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cashflow_p&amp;l_files/"/>
    </mc:Choice>
  </mc:AlternateContent>
  <xr:revisionPtr revIDLastSave="0" documentId="8_{FB381307-D9E6-9148-BB2C-EF62A54E9FBD}" xr6:coauthVersionLast="47" xr6:coauthVersionMax="47" xr10:uidLastSave="{00000000-0000-0000-0000-000000000000}"/>
  <bookViews>
    <workbookView xWindow="0" yWindow="500" windowWidth="28800" windowHeight="16020" activeTab="8" xr2:uid="{00000000-000D-0000-FFFF-FFFF00000000}"/>
  </bookViews>
  <sheets>
    <sheet name="Investors" sheetId="1" state="hidden" r:id="rId1"/>
    <sheet name="Opportunities" sheetId="2" state="hidden" r:id="rId2"/>
    <sheet name="Construction" sheetId="3" state="hidden" r:id="rId3"/>
    <sheet name="Updated Construction" sheetId="4" state="hidden" r:id="rId4"/>
    <sheet name="Sales" sheetId="5" state="hidden" r:id="rId5"/>
    <sheet name="Operational Costs" sheetId="6" state="hidden" r:id="rId6"/>
    <sheet name="Xero" sheetId="7" state="hidden" r:id="rId7"/>
    <sheet name="Other Costs" sheetId="8" state="hidden" r:id="rId8"/>
    <sheet name="Cashflow Projection" sheetId="9" r:id="rId9"/>
    <sheet name="Dashboard" sheetId="10" r:id="rId10"/>
    <sheet name="Heron" sheetId="11" state="hidden" r:id="rId11"/>
    <sheet name="NSST Print" sheetId="12" r:id="rId12"/>
    <sheet name="Investor Exit List" sheetId="13" r:id="rId13"/>
    <sheet name="Momentum" sheetId="14" r:id="rId14"/>
    <sheet name="Checklist" sheetId="15" r:id="rId15"/>
  </sheets>
  <definedNames>
    <definedName name="_xlnm._FilterDatabase" localSheetId="8" hidden="1">'Cashflow Projection'!$A$242:$G$593</definedName>
    <definedName name="_xlnm._FilterDatabase" localSheetId="2" hidden="1">Construction!$A$4:$T$26</definedName>
    <definedName name="_xlnm._FilterDatabase" localSheetId="0" hidden="1">Investors!$A$4:$S$568</definedName>
    <definedName name="_xlnm._FilterDatabase" localSheetId="5" hidden="1">'Operational Costs'!$A$4:$N$101</definedName>
    <definedName name="_xlnm._FilterDatabase" localSheetId="1" hidden="1">Opportunities!$A$5:$H$230</definedName>
    <definedName name="_xlnm._FilterDatabase" localSheetId="4" hidden="1">Sales!$A$4:$V$290</definedName>
    <definedName name="_xlnm._FilterDatabase" localSheetId="6" hidden="1">Xero!$A$4:$G$7294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/>
  <c r="B243" i="9" a="1"/>
  <c r="B243" i="9" s="1"/>
  <c r="E243" i="9" s="1"/>
  <c r="A243" i="9" s="1"/>
  <c r="K154" i="9"/>
  <c r="D16" i="15"/>
  <c r="D15" i="15"/>
  <c r="C8" i="15"/>
  <c r="B62" i="14"/>
  <c r="B57" i="14"/>
  <c r="B49" i="14"/>
  <c r="C6" i="15" s="1"/>
  <c r="B45" i="14"/>
  <c r="B42" i="14"/>
  <c r="D40" i="14"/>
  <c r="B44" i="14" s="1"/>
  <c r="C40" i="14"/>
  <c r="B46" i="14" s="1"/>
  <c r="B40" i="14"/>
  <c r="B65" i="14" s="1"/>
  <c r="B67" i="14" s="1"/>
  <c r="AB567" i="13"/>
  <c r="T567" i="13"/>
  <c r="S567" i="13"/>
  <c r="Q567" i="13"/>
  <c r="L567" i="13"/>
  <c r="AC567" i="13" s="1"/>
  <c r="J567" i="13"/>
  <c r="I567" i="13"/>
  <c r="K567" i="13" s="1"/>
  <c r="H567" i="13"/>
  <c r="V567" i="13" s="1"/>
  <c r="F567" i="13"/>
  <c r="AB566" i="13"/>
  <c r="T566" i="13"/>
  <c r="S566" i="13"/>
  <c r="Q566" i="13"/>
  <c r="O566" i="13"/>
  <c r="N566" i="13"/>
  <c r="P566" i="13" s="1"/>
  <c r="L566" i="13"/>
  <c r="AC566" i="13" s="1"/>
  <c r="J566" i="13"/>
  <c r="K566" i="13" s="1"/>
  <c r="I566" i="13"/>
  <c r="H566" i="13"/>
  <c r="Y566" i="13" s="1"/>
  <c r="Z566" i="13" s="1"/>
  <c r="F566" i="13"/>
  <c r="AC565" i="13"/>
  <c r="AB565" i="13"/>
  <c r="Y565" i="13"/>
  <c r="Z565" i="13" s="1"/>
  <c r="T565" i="13"/>
  <c r="S565" i="13"/>
  <c r="Q565" i="13"/>
  <c r="N565" i="13"/>
  <c r="P565" i="13" s="1"/>
  <c r="L565" i="13"/>
  <c r="J565" i="13"/>
  <c r="K565" i="13" s="1"/>
  <c r="I565" i="13"/>
  <c r="H565" i="13"/>
  <c r="R565" i="13" s="1"/>
  <c r="F565" i="13"/>
  <c r="AC564" i="13"/>
  <c r="AB564" i="13"/>
  <c r="Y564" i="13"/>
  <c r="Z564" i="13" s="1"/>
  <c r="T564" i="13"/>
  <c r="S564" i="13"/>
  <c r="Q564" i="13"/>
  <c r="N564" i="13"/>
  <c r="P564" i="13" s="1"/>
  <c r="L564" i="13"/>
  <c r="J564" i="13"/>
  <c r="I564" i="13"/>
  <c r="K564" i="13" s="1"/>
  <c r="H564" i="13"/>
  <c r="V564" i="13" s="1"/>
  <c r="F564" i="13"/>
  <c r="AB563" i="13"/>
  <c r="T563" i="13"/>
  <c r="S563" i="13"/>
  <c r="Q563" i="13"/>
  <c r="L563" i="13"/>
  <c r="AC563" i="13" s="1"/>
  <c r="J563" i="13"/>
  <c r="K563" i="13" s="1"/>
  <c r="I563" i="13"/>
  <c r="N563" i="13" s="1"/>
  <c r="H563" i="13"/>
  <c r="Y563" i="13" s="1"/>
  <c r="Z563" i="13" s="1"/>
  <c r="F563" i="13"/>
  <c r="AC562" i="13"/>
  <c r="AB562" i="13"/>
  <c r="Y562" i="13"/>
  <c r="Z562" i="13" s="1"/>
  <c r="T562" i="13"/>
  <c r="S562" i="13"/>
  <c r="Q562" i="13"/>
  <c r="N562" i="13"/>
  <c r="P562" i="13" s="1"/>
  <c r="L562" i="13"/>
  <c r="K562" i="13"/>
  <c r="J562" i="13"/>
  <c r="I562" i="13"/>
  <c r="R562" i="13" s="1"/>
  <c r="H562" i="13"/>
  <c r="V562" i="13" s="1"/>
  <c r="F562" i="13"/>
  <c r="AC561" i="13"/>
  <c r="AB561" i="13"/>
  <c r="T561" i="13"/>
  <c r="S561" i="13"/>
  <c r="Q561" i="13"/>
  <c r="L561" i="13"/>
  <c r="J561" i="13"/>
  <c r="I561" i="13"/>
  <c r="N561" i="13" s="1"/>
  <c r="H561" i="13"/>
  <c r="F561" i="13"/>
  <c r="AC560" i="13"/>
  <c r="AB560" i="13"/>
  <c r="Y560" i="13"/>
  <c r="Z560" i="13" s="1"/>
  <c r="T560" i="13"/>
  <c r="S560" i="13"/>
  <c r="Q560" i="13"/>
  <c r="L560" i="13"/>
  <c r="J560" i="13"/>
  <c r="I560" i="13"/>
  <c r="R560" i="13" s="1"/>
  <c r="H560" i="13"/>
  <c r="F560" i="13"/>
  <c r="AB559" i="13"/>
  <c r="T559" i="13"/>
  <c r="S559" i="13"/>
  <c r="Q559" i="13"/>
  <c r="P559" i="13"/>
  <c r="O559" i="13"/>
  <c r="N559" i="13"/>
  <c r="L559" i="13"/>
  <c r="AC559" i="13" s="1"/>
  <c r="J559" i="13"/>
  <c r="K559" i="13" s="1"/>
  <c r="I559" i="13"/>
  <c r="H559" i="13"/>
  <c r="F559" i="13"/>
  <c r="AC558" i="13"/>
  <c r="AB558" i="13"/>
  <c r="T558" i="13"/>
  <c r="S558" i="13"/>
  <c r="Q558" i="13"/>
  <c r="L558" i="13"/>
  <c r="J558" i="13"/>
  <c r="K558" i="13" s="1"/>
  <c r="I558" i="13"/>
  <c r="N558" i="13" s="1"/>
  <c r="H558" i="13"/>
  <c r="Y558" i="13" s="1"/>
  <c r="Z558" i="13" s="1"/>
  <c r="F558" i="13"/>
  <c r="AB557" i="13"/>
  <c r="Y557" i="13"/>
  <c r="Z557" i="13" s="1"/>
  <c r="T557" i="13"/>
  <c r="S557" i="13"/>
  <c r="Q557" i="13"/>
  <c r="O557" i="13"/>
  <c r="N557" i="13"/>
  <c r="P557" i="13" s="1"/>
  <c r="L557" i="13"/>
  <c r="AC557" i="13" s="1"/>
  <c r="K557" i="13"/>
  <c r="V557" i="13" s="1"/>
  <c r="J557" i="13"/>
  <c r="I557" i="13"/>
  <c r="H557" i="13"/>
  <c r="R557" i="13" s="1"/>
  <c r="F557" i="13"/>
  <c r="AC556" i="13"/>
  <c r="AB556" i="13"/>
  <c r="T556" i="13"/>
  <c r="S556" i="13"/>
  <c r="Q556" i="13"/>
  <c r="L556" i="13"/>
  <c r="J556" i="13"/>
  <c r="I556" i="13"/>
  <c r="H556" i="13"/>
  <c r="F556" i="13"/>
  <c r="AB555" i="13"/>
  <c r="V555" i="13"/>
  <c r="T555" i="13"/>
  <c r="S555" i="13"/>
  <c r="Q555" i="13"/>
  <c r="L555" i="13"/>
  <c r="AC555" i="13" s="1"/>
  <c r="K555" i="13"/>
  <c r="J555" i="13"/>
  <c r="I555" i="13"/>
  <c r="H555" i="13"/>
  <c r="Y555" i="13" s="1"/>
  <c r="F555" i="13"/>
  <c r="AB554" i="13"/>
  <c r="Y554" i="13"/>
  <c r="Z554" i="13" s="1"/>
  <c r="V554" i="13"/>
  <c r="T554" i="13"/>
  <c r="S554" i="13"/>
  <c r="Q554" i="13"/>
  <c r="L554" i="13"/>
  <c r="K554" i="13"/>
  <c r="J554" i="13"/>
  <c r="I554" i="13"/>
  <c r="R554" i="13" s="1"/>
  <c r="H554" i="13"/>
  <c r="F554" i="13"/>
  <c r="AC553" i="13"/>
  <c r="AB553" i="13"/>
  <c r="T553" i="13"/>
  <c r="S553" i="13"/>
  <c r="R553" i="13"/>
  <c r="Q553" i="13"/>
  <c r="L553" i="13"/>
  <c r="J553" i="13"/>
  <c r="I553" i="13"/>
  <c r="H553" i="13"/>
  <c r="Y553" i="13" s="1"/>
  <c r="F553" i="13"/>
  <c r="AB552" i="13"/>
  <c r="Y552" i="13"/>
  <c r="T552" i="13"/>
  <c r="S552" i="13"/>
  <c r="Q552" i="13"/>
  <c r="L552" i="13"/>
  <c r="AC552" i="13" s="1"/>
  <c r="J552" i="13"/>
  <c r="I552" i="13"/>
  <c r="R552" i="13" s="1"/>
  <c r="H552" i="13"/>
  <c r="F552" i="13"/>
  <c r="AB551" i="13"/>
  <c r="T551" i="13"/>
  <c r="S551" i="13"/>
  <c r="Q551" i="13"/>
  <c r="P551" i="13"/>
  <c r="N551" i="13"/>
  <c r="O551" i="13" s="1"/>
  <c r="L551" i="13"/>
  <c r="AC551" i="13" s="1"/>
  <c r="J551" i="13"/>
  <c r="K551" i="13" s="1"/>
  <c r="I551" i="13"/>
  <c r="H551" i="13"/>
  <c r="F551" i="13"/>
  <c r="AC550" i="13"/>
  <c r="AB550" i="13"/>
  <c r="T550" i="13"/>
  <c r="S550" i="13"/>
  <c r="Q550" i="13"/>
  <c r="L550" i="13"/>
  <c r="J550" i="13"/>
  <c r="K550" i="13" s="1"/>
  <c r="I550" i="13"/>
  <c r="N550" i="13" s="1"/>
  <c r="H550" i="13"/>
  <c r="F550" i="13"/>
  <c r="AB549" i="13"/>
  <c r="Y549" i="13"/>
  <c r="Z549" i="13" s="1"/>
  <c r="T549" i="13"/>
  <c r="S549" i="13"/>
  <c r="Q549" i="13"/>
  <c r="O549" i="13"/>
  <c r="N549" i="13"/>
  <c r="P549" i="13" s="1"/>
  <c r="L549" i="13"/>
  <c r="AC549" i="13" s="1"/>
  <c r="K549" i="13"/>
  <c r="V549" i="13" s="1"/>
  <c r="J549" i="13"/>
  <c r="I549" i="13"/>
  <c r="H549" i="13"/>
  <c r="R549" i="13" s="1"/>
  <c r="F549" i="13"/>
  <c r="AC548" i="13"/>
  <c r="AB548" i="13"/>
  <c r="T548" i="13"/>
  <c r="S548" i="13"/>
  <c r="Q548" i="13"/>
  <c r="L548" i="13"/>
  <c r="J548" i="13"/>
  <c r="I548" i="13"/>
  <c r="H548" i="13"/>
  <c r="F548" i="13"/>
  <c r="AC547" i="13"/>
  <c r="AB547" i="13"/>
  <c r="T547" i="13"/>
  <c r="S547" i="13"/>
  <c r="R547" i="13"/>
  <c r="Q547" i="13"/>
  <c r="L547" i="13"/>
  <c r="K547" i="13"/>
  <c r="V547" i="13" s="1"/>
  <c r="J547" i="13"/>
  <c r="I547" i="13"/>
  <c r="N547" i="13" s="1"/>
  <c r="H547" i="13"/>
  <c r="Y547" i="13" s="1"/>
  <c r="Z547" i="13" s="1"/>
  <c r="F547" i="13"/>
  <c r="AB546" i="13"/>
  <c r="Y546" i="13"/>
  <c r="V546" i="13"/>
  <c r="T546" i="13"/>
  <c r="S546" i="13"/>
  <c r="Q546" i="13"/>
  <c r="P546" i="13"/>
  <c r="O546" i="13"/>
  <c r="N546" i="13"/>
  <c r="L546" i="13"/>
  <c r="AC546" i="13" s="1"/>
  <c r="K546" i="13"/>
  <c r="J546" i="13"/>
  <c r="I546" i="13"/>
  <c r="R546" i="13" s="1"/>
  <c r="H546" i="13"/>
  <c r="F546" i="13"/>
  <c r="AC545" i="13"/>
  <c r="AB545" i="13"/>
  <c r="T545" i="13"/>
  <c r="S545" i="13"/>
  <c r="R545" i="13"/>
  <c r="Q545" i="13"/>
  <c r="L545" i="13"/>
  <c r="J545" i="13"/>
  <c r="I545" i="13"/>
  <c r="H545" i="13"/>
  <c r="Y545" i="13" s="1"/>
  <c r="Z545" i="13" s="1"/>
  <c r="F545" i="13"/>
  <c r="AB544" i="13"/>
  <c r="Y544" i="13"/>
  <c r="T544" i="13"/>
  <c r="S544" i="13"/>
  <c r="Q544" i="13"/>
  <c r="N544" i="13"/>
  <c r="L544" i="13"/>
  <c r="AC544" i="13" s="1"/>
  <c r="J544" i="13"/>
  <c r="I544" i="13"/>
  <c r="R544" i="13" s="1"/>
  <c r="H544" i="13"/>
  <c r="F544" i="13"/>
  <c r="AB543" i="13"/>
  <c r="T543" i="13"/>
  <c r="S543" i="13"/>
  <c r="Q543" i="13"/>
  <c r="N543" i="13"/>
  <c r="O543" i="13" s="1"/>
  <c r="L543" i="13"/>
  <c r="AC543" i="13" s="1"/>
  <c r="K543" i="13"/>
  <c r="J543" i="13"/>
  <c r="I543" i="13"/>
  <c r="H543" i="13"/>
  <c r="F543" i="13"/>
  <c r="AC542" i="13"/>
  <c r="AB542" i="13"/>
  <c r="T542" i="13"/>
  <c r="S542" i="13"/>
  <c r="Q542" i="13"/>
  <c r="L542" i="13"/>
  <c r="K542" i="13"/>
  <c r="J542" i="13"/>
  <c r="I542" i="13"/>
  <c r="N542" i="13" s="1"/>
  <c r="H542" i="13"/>
  <c r="F542" i="13"/>
  <c r="AB541" i="13"/>
  <c r="T541" i="13"/>
  <c r="S541" i="13"/>
  <c r="Q541" i="13"/>
  <c r="O541" i="13"/>
  <c r="N541" i="13"/>
  <c r="P541" i="13" s="1"/>
  <c r="L541" i="13"/>
  <c r="AC541" i="13" s="1"/>
  <c r="K541" i="13"/>
  <c r="V541" i="13" s="1"/>
  <c r="J541" i="13"/>
  <c r="I541" i="13"/>
  <c r="H541" i="13"/>
  <c r="R541" i="13" s="1"/>
  <c r="F541" i="13"/>
  <c r="AC540" i="13"/>
  <c r="AB540" i="13"/>
  <c r="T540" i="13"/>
  <c r="S540" i="13"/>
  <c r="Q540" i="13"/>
  <c r="L540" i="13"/>
  <c r="J540" i="13"/>
  <c r="I540" i="13"/>
  <c r="H540" i="13"/>
  <c r="F540" i="13"/>
  <c r="AB539" i="13"/>
  <c r="V539" i="13"/>
  <c r="T539" i="13"/>
  <c r="S539" i="13"/>
  <c r="R539" i="13"/>
  <c r="Q539" i="13"/>
  <c r="L539" i="13"/>
  <c r="AC539" i="13" s="1"/>
  <c r="K539" i="13"/>
  <c r="J539" i="13"/>
  <c r="I539" i="13"/>
  <c r="H539" i="13"/>
  <c r="F539" i="13"/>
  <c r="AB538" i="13"/>
  <c r="V538" i="13"/>
  <c r="T538" i="13"/>
  <c r="S538" i="13"/>
  <c r="Q538" i="13"/>
  <c r="L538" i="13"/>
  <c r="K538" i="13"/>
  <c r="J538" i="13"/>
  <c r="I538" i="13"/>
  <c r="H538" i="13"/>
  <c r="F538" i="13"/>
  <c r="AC537" i="13"/>
  <c r="AB537" i="13"/>
  <c r="T537" i="13"/>
  <c r="S537" i="13"/>
  <c r="Q537" i="13"/>
  <c r="L537" i="13"/>
  <c r="J537" i="13"/>
  <c r="I537" i="13"/>
  <c r="H537" i="13"/>
  <c r="F537" i="13"/>
  <c r="AC536" i="13"/>
  <c r="AB536" i="13"/>
  <c r="T536" i="13"/>
  <c r="S536" i="13"/>
  <c r="R536" i="13"/>
  <c r="Q536" i="13"/>
  <c r="L536" i="13"/>
  <c r="N536" i="13" s="1"/>
  <c r="K536" i="13"/>
  <c r="V536" i="13" s="1"/>
  <c r="J536" i="13"/>
  <c r="I536" i="13"/>
  <c r="H536" i="13"/>
  <c r="F536" i="13"/>
  <c r="AC535" i="13"/>
  <c r="AB535" i="13"/>
  <c r="T535" i="13"/>
  <c r="S535" i="13"/>
  <c r="Q535" i="13"/>
  <c r="L535" i="13"/>
  <c r="J535" i="13"/>
  <c r="I535" i="13"/>
  <c r="K535" i="13" s="1"/>
  <c r="H535" i="13"/>
  <c r="F535" i="13"/>
  <c r="AB534" i="13"/>
  <c r="T534" i="13"/>
  <c r="S534" i="13"/>
  <c r="Q534" i="13"/>
  <c r="L534" i="13"/>
  <c r="AC534" i="13" s="1"/>
  <c r="K534" i="13"/>
  <c r="J534" i="13"/>
  <c r="I534" i="13"/>
  <c r="H534" i="13"/>
  <c r="F534" i="13"/>
  <c r="AB533" i="13"/>
  <c r="Y533" i="13"/>
  <c r="Z533" i="13" s="1"/>
  <c r="T533" i="13"/>
  <c r="S533" i="13"/>
  <c r="Q533" i="13"/>
  <c r="L533" i="13"/>
  <c r="AC533" i="13" s="1"/>
  <c r="K533" i="13"/>
  <c r="J533" i="13"/>
  <c r="I533" i="13"/>
  <c r="H533" i="13"/>
  <c r="R533" i="13" s="1"/>
  <c r="F533" i="13"/>
  <c r="AC532" i="13"/>
  <c r="AB532" i="13"/>
  <c r="T532" i="13"/>
  <c r="S532" i="13"/>
  <c r="Q532" i="13"/>
  <c r="L532" i="13"/>
  <c r="J532" i="13"/>
  <c r="I532" i="13"/>
  <c r="K532" i="13" s="1"/>
  <c r="H532" i="13"/>
  <c r="V532" i="13" s="1"/>
  <c r="F532" i="13"/>
  <c r="AC531" i="13"/>
  <c r="AB531" i="13"/>
  <c r="T531" i="13"/>
  <c r="S531" i="13"/>
  <c r="Q531" i="13"/>
  <c r="L531" i="13"/>
  <c r="J531" i="13"/>
  <c r="I531" i="13"/>
  <c r="H531" i="13"/>
  <c r="Y531" i="13" s="1"/>
  <c r="F531" i="13"/>
  <c r="AB530" i="13"/>
  <c r="T530" i="13"/>
  <c r="S530" i="13"/>
  <c r="Q530" i="13"/>
  <c r="N530" i="13"/>
  <c r="P530" i="13" s="1"/>
  <c r="L530" i="13"/>
  <c r="AC530" i="13" s="1"/>
  <c r="K530" i="13"/>
  <c r="J530" i="13"/>
  <c r="I530" i="13"/>
  <c r="H530" i="13"/>
  <c r="R530" i="13" s="1"/>
  <c r="F530" i="13"/>
  <c r="AC529" i="13"/>
  <c r="AB529" i="13"/>
  <c r="T529" i="13"/>
  <c r="S529" i="13"/>
  <c r="Q529" i="13"/>
  <c r="L529" i="13"/>
  <c r="J529" i="13"/>
  <c r="I529" i="13"/>
  <c r="N529" i="13" s="1"/>
  <c r="O529" i="13" s="1"/>
  <c r="H529" i="13"/>
  <c r="F529" i="13"/>
  <c r="AB528" i="13"/>
  <c r="T528" i="13"/>
  <c r="S528" i="13"/>
  <c r="Q528" i="13"/>
  <c r="L528" i="13"/>
  <c r="AC528" i="13" s="1"/>
  <c r="J528" i="13"/>
  <c r="I528" i="13"/>
  <c r="K528" i="13" s="1"/>
  <c r="H528" i="13"/>
  <c r="F528" i="13"/>
  <c r="AB527" i="13"/>
  <c r="T527" i="13"/>
  <c r="S527" i="13"/>
  <c r="Q527" i="13"/>
  <c r="L527" i="13"/>
  <c r="K527" i="13"/>
  <c r="J527" i="13"/>
  <c r="I527" i="13"/>
  <c r="H527" i="13"/>
  <c r="F527" i="13"/>
  <c r="AB526" i="13"/>
  <c r="T526" i="13"/>
  <c r="S526" i="13"/>
  <c r="Q526" i="13"/>
  <c r="L526" i="13"/>
  <c r="AC526" i="13" s="1"/>
  <c r="J526" i="13"/>
  <c r="I526" i="13"/>
  <c r="H526" i="13"/>
  <c r="Y526" i="13" s="1"/>
  <c r="Z526" i="13" s="1"/>
  <c r="F526" i="13"/>
  <c r="AB525" i="13"/>
  <c r="Y525" i="13"/>
  <c r="T525" i="13"/>
  <c r="S525" i="13"/>
  <c r="Q525" i="13"/>
  <c r="L525" i="13"/>
  <c r="AC525" i="13" s="1"/>
  <c r="J525" i="13"/>
  <c r="I525" i="13"/>
  <c r="H525" i="13"/>
  <c r="F525" i="13"/>
  <c r="AB524" i="13"/>
  <c r="Y524" i="13"/>
  <c r="T524" i="13"/>
  <c r="S524" i="13"/>
  <c r="Q524" i="13"/>
  <c r="L524" i="13"/>
  <c r="AC524" i="13" s="1"/>
  <c r="J524" i="13"/>
  <c r="I524" i="13"/>
  <c r="H524" i="13"/>
  <c r="F524" i="13"/>
  <c r="AC523" i="13"/>
  <c r="AB523" i="13"/>
  <c r="Y523" i="13"/>
  <c r="V523" i="13"/>
  <c r="T523" i="13"/>
  <c r="S523" i="13"/>
  <c r="Q523" i="13"/>
  <c r="L523" i="13"/>
  <c r="N523" i="13" s="1"/>
  <c r="K523" i="13"/>
  <c r="J523" i="13"/>
  <c r="I523" i="13"/>
  <c r="H523" i="13"/>
  <c r="F523" i="13"/>
  <c r="AB522" i="13"/>
  <c r="T522" i="13"/>
  <c r="S522" i="13"/>
  <c r="Q522" i="13"/>
  <c r="L522" i="13"/>
  <c r="K522" i="13"/>
  <c r="J522" i="13"/>
  <c r="I522" i="13"/>
  <c r="H522" i="13"/>
  <c r="F522" i="13"/>
  <c r="AC521" i="13"/>
  <c r="AB521" i="13"/>
  <c r="T521" i="13"/>
  <c r="S521" i="13"/>
  <c r="Q521" i="13"/>
  <c r="N521" i="13"/>
  <c r="P521" i="13" s="1"/>
  <c r="L521" i="13"/>
  <c r="K521" i="13"/>
  <c r="J521" i="13"/>
  <c r="I521" i="13"/>
  <c r="H521" i="13"/>
  <c r="F521" i="13"/>
  <c r="AC520" i="13"/>
  <c r="AB520" i="13"/>
  <c r="V520" i="13"/>
  <c r="T520" i="13"/>
  <c r="S520" i="13"/>
  <c r="Q520" i="13"/>
  <c r="L520" i="13"/>
  <c r="K520" i="13"/>
  <c r="J520" i="13"/>
  <c r="I520" i="13"/>
  <c r="N520" i="13" s="1"/>
  <c r="P520" i="13" s="1"/>
  <c r="H520" i="13"/>
  <c r="Y520" i="13" s="1"/>
  <c r="Z520" i="13" s="1"/>
  <c r="F520" i="13"/>
  <c r="AC519" i="13"/>
  <c r="AB519" i="13"/>
  <c r="T519" i="13"/>
  <c r="S519" i="13"/>
  <c r="Q519" i="13"/>
  <c r="L519" i="13"/>
  <c r="J519" i="13"/>
  <c r="I519" i="13"/>
  <c r="H519" i="13"/>
  <c r="Y519" i="13" s="1"/>
  <c r="Z519" i="13" s="1"/>
  <c r="F519" i="13"/>
  <c r="AC518" i="13"/>
  <c r="AB518" i="13"/>
  <c r="V518" i="13"/>
  <c r="T518" i="13"/>
  <c r="S518" i="13"/>
  <c r="Q518" i="13"/>
  <c r="L518" i="13"/>
  <c r="K518" i="13"/>
  <c r="J518" i="13"/>
  <c r="I518" i="13"/>
  <c r="H518" i="13"/>
  <c r="Y518" i="13" s="1"/>
  <c r="F518" i="13"/>
  <c r="AB517" i="13"/>
  <c r="Y517" i="13"/>
  <c r="Z517" i="13" s="1"/>
  <c r="T517" i="13"/>
  <c r="S517" i="13"/>
  <c r="Q517" i="13"/>
  <c r="O517" i="13"/>
  <c r="N517" i="13"/>
  <c r="P517" i="13" s="1"/>
  <c r="L517" i="13"/>
  <c r="AC517" i="13" s="1"/>
  <c r="K517" i="13"/>
  <c r="V517" i="13" s="1"/>
  <c r="J517" i="13"/>
  <c r="I517" i="13"/>
  <c r="R517" i="13" s="1"/>
  <c r="H517" i="13"/>
  <c r="F517" i="13"/>
  <c r="AC516" i="13"/>
  <c r="AB516" i="13"/>
  <c r="T516" i="13"/>
  <c r="S516" i="13"/>
  <c r="Q516" i="13"/>
  <c r="N516" i="13"/>
  <c r="L516" i="13"/>
  <c r="J516" i="13"/>
  <c r="I516" i="13"/>
  <c r="K516" i="13" s="1"/>
  <c r="H516" i="13"/>
  <c r="F516" i="13"/>
  <c r="AC515" i="13"/>
  <c r="AB515" i="13"/>
  <c r="T515" i="13"/>
  <c r="S515" i="13"/>
  <c r="Q515" i="13"/>
  <c r="L515" i="13"/>
  <c r="J515" i="13"/>
  <c r="I515" i="13"/>
  <c r="K515" i="13" s="1"/>
  <c r="H515" i="13"/>
  <c r="R515" i="13" s="1"/>
  <c r="F515" i="13"/>
  <c r="AB514" i="13"/>
  <c r="Y514" i="13"/>
  <c r="T514" i="13"/>
  <c r="S514" i="13"/>
  <c r="Q514" i="13"/>
  <c r="L514" i="13"/>
  <c r="AC514" i="13" s="1"/>
  <c r="K514" i="13"/>
  <c r="J514" i="13"/>
  <c r="I514" i="13"/>
  <c r="H514" i="13"/>
  <c r="R514" i="13" s="1"/>
  <c r="F514" i="13"/>
  <c r="AC513" i="13"/>
  <c r="AB513" i="13"/>
  <c r="Y513" i="13"/>
  <c r="Z513" i="13" s="1"/>
  <c r="T513" i="13"/>
  <c r="S513" i="13"/>
  <c r="Q513" i="13"/>
  <c r="N513" i="13"/>
  <c r="P513" i="13" s="1"/>
  <c r="L513" i="13"/>
  <c r="K513" i="13"/>
  <c r="J513" i="13"/>
  <c r="I513" i="13"/>
  <c r="H513" i="13"/>
  <c r="F513" i="13"/>
  <c r="AB512" i="13"/>
  <c r="Y512" i="13"/>
  <c r="T512" i="13"/>
  <c r="S512" i="13"/>
  <c r="Q512" i="13"/>
  <c r="L512" i="13"/>
  <c r="AC512" i="13" s="1"/>
  <c r="J512" i="13"/>
  <c r="I512" i="13"/>
  <c r="K512" i="13" s="1"/>
  <c r="H512" i="13"/>
  <c r="R512" i="13" s="1"/>
  <c r="F512" i="13"/>
  <c r="AB511" i="13"/>
  <c r="T511" i="13"/>
  <c r="S511" i="13"/>
  <c r="Q511" i="13"/>
  <c r="P511" i="13"/>
  <c r="L511" i="13"/>
  <c r="AC511" i="13" s="1"/>
  <c r="J511" i="13"/>
  <c r="I511" i="13"/>
  <c r="N511" i="13" s="1"/>
  <c r="O511" i="13" s="1"/>
  <c r="H511" i="13"/>
  <c r="F511" i="13"/>
  <c r="AC510" i="13"/>
  <c r="AB510" i="13"/>
  <c r="T510" i="13"/>
  <c r="S510" i="13"/>
  <c r="Q510" i="13"/>
  <c r="L510" i="13"/>
  <c r="J510" i="13"/>
  <c r="I510" i="13"/>
  <c r="R510" i="13" s="1"/>
  <c r="H510" i="13"/>
  <c r="F510" i="13"/>
  <c r="AB509" i="13"/>
  <c r="Y509" i="13"/>
  <c r="Z509" i="13" s="1"/>
  <c r="V509" i="13"/>
  <c r="T509" i="13"/>
  <c r="S509" i="13"/>
  <c r="Q509" i="13"/>
  <c r="L509" i="13"/>
  <c r="K509" i="13"/>
  <c r="J509" i="13"/>
  <c r="I509" i="13"/>
  <c r="R509" i="13" s="1"/>
  <c r="H509" i="13"/>
  <c r="F509" i="13"/>
  <c r="AC508" i="13"/>
  <c r="AB508" i="13"/>
  <c r="T508" i="13"/>
  <c r="S508" i="13"/>
  <c r="Q508" i="13"/>
  <c r="P508" i="13"/>
  <c r="O508" i="13"/>
  <c r="N508" i="13"/>
  <c r="L508" i="13"/>
  <c r="J508" i="13"/>
  <c r="I508" i="13"/>
  <c r="K508" i="13" s="1"/>
  <c r="H508" i="13"/>
  <c r="Y508" i="13" s="1"/>
  <c r="F508" i="13"/>
  <c r="AC507" i="13"/>
  <c r="AB507" i="13"/>
  <c r="T507" i="13"/>
  <c r="S507" i="13"/>
  <c r="Q507" i="13"/>
  <c r="P507" i="13"/>
  <c r="L507" i="13"/>
  <c r="K507" i="13"/>
  <c r="J507" i="13"/>
  <c r="I507" i="13"/>
  <c r="N507" i="13" s="1"/>
  <c r="O507" i="13" s="1"/>
  <c r="H507" i="13"/>
  <c r="Y507" i="13" s="1"/>
  <c r="Z507" i="13" s="1"/>
  <c r="F507" i="13"/>
  <c r="AB506" i="13"/>
  <c r="Y506" i="13"/>
  <c r="Z506" i="13" s="1"/>
  <c r="T506" i="13"/>
  <c r="S506" i="13"/>
  <c r="Q506" i="13"/>
  <c r="L506" i="13"/>
  <c r="K506" i="13"/>
  <c r="J506" i="13"/>
  <c r="I506" i="13"/>
  <c r="H506" i="13"/>
  <c r="F506" i="13"/>
  <c r="AC505" i="13"/>
  <c r="AB505" i="13"/>
  <c r="T505" i="13"/>
  <c r="S505" i="13"/>
  <c r="R505" i="13"/>
  <c r="Q505" i="13"/>
  <c r="O505" i="13"/>
  <c r="L505" i="13"/>
  <c r="J505" i="13"/>
  <c r="I505" i="13"/>
  <c r="N505" i="13" s="1"/>
  <c r="P505" i="13" s="1"/>
  <c r="H505" i="13"/>
  <c r="Y505" i="13" s="1"/>
  <c r="F505" i="13"/>
  <c r="AB504" i="13"/>
  <c r="Y504" i="13"/>
  <c r="T504" i="13"/>
  <c r="S504" i="13"/>
  <c r="Q504" i="13"/>
  <c r="L504" i="13"/>
  <c r="AC504" i="13" s="1"/>
  <c r="K504" i="13"/>
  <c r="V504" i="13" s="1"/>
  <c r="J504" i="13"/>
  <c r="I504" i="13"/>
  <c r="H504" i="13"/>
  <c r="F504" i="13"/>
  <c r="AB503" i="13"/>
  <c r="Y503" i="13"/>
  <c r="Z503" i="13" s="1"/>
  <c r="T503" i="13"/>
  <c r="S503" i="13"/>
  <c r="Q503" i="13"/>
  <c r="P503" i="13"/>
  <c r="N503" i="13"/>
  <c r="O503" i="13" s="1"/>
  <c r="L503" i="13"/>
  <c r="AC503" i="13" s="1"/>
  <c r="K503" i="13"/>
  <c r="J503" i="13"/>
  <c r="I503" i="13"/>
  <c r="H503" i="13"/>
  <c r="F503" i="13"/>
  <c r="AB502" i="13"/>
  <c r="T502" i="13"/>
  <c r="S502" i="13"/>
  <c r="Q502" i="13"/>
  <c r="L502" i="13"/>
  <c r="AC502" i="13" s="1"/>
  <c r="J502" i="13"/>
  <c r="I502" i="13"/>
  <c r="H502" i="13"/>
  <c r="Y502" i="13" s="1"/>
  <c r="F502" i="13"/>
  <c r="AB501" i="13"/>
  <c r="Y501" i="13"/>
  <c r="Z501" i="13" s="1"/>
  <c r="T501" i="13"/>
  <c r="S501" i="13"/>
  <c r="Q501" i="13"/>
  <c r="N501" i="13"/>
  <c r="O501" i="13" s="1"/>
  <c r="L501" i="13"/>
  <c r="AC501" i="13" s="1"/>
  <c r="K501" i="13"/>
  <c r="V501" i="13" s="1"/>
  <c r="J501" i="13"/>
  <c r="I501" i="13"/>
  <c r="R501" i="13" s="1"/>
  <c r="H501" i="13"/>
  <c r="F501" i="13"/>
  <c r="AB500" i="13"/>
  <c r="T500" i="13"/>
  <c r="S500" i="13"/>
  <c r="Q500" i="13"/>
  <c r="N500" i="13"/>
  <c r="P500" i="13" s="1"/>
  <c r="L500" i="13"/>
  <c r="AC500" i="13" s="1"/>
  <c r="K500" i="13"/>
  <c r="J500" i="13"/>
  <c r="I500" i="13"/>
  <c r="H500" i="13"/>
  <c r="F500" i="13"/>
  <c r="AC499" i="13"/>
  <c r="AB499" i="13"/>
  <c r="T499" i="13"/>
  <c r="S499" i="13"/>
  <c r="Q499" i="13"/>
  <c r="L499" i="13"/>
  <c r="J499" i="13"/>
  <c r="I499" i="13"/>
  <c r="N499" i="13" s="1"/>
  <c r="H499" i="13"/>
  <c r="F499" i="13"/>
  <c r="AB498" i="13"/>
  <c r="T498" i="13"/>
  <c r="S498" i="13"/>
  <c r="Q498" i="13"/>
  <c r="N498" i="13"/>
  <c r="L498" i="13"/>
  <c r="AC498" i="13" s="1"/>
  <c r="K498" i="13"/>
  <c r="J498" i="13"/>
  <c r="I498" i="13"/>
  <c r="H498" i="13"/>
  <c r="R498" i="13" s="1"/>
  <c r="F498" i="13"/>
  <c r="AC497" i="13"/>
  <c r="AB497" i="13"/>
  <c r="T497" i="13"/>
  <c r="S497" i="13"/>
  <c r="Q497" i="13"/>
  <c r="P497" i="13"/>
  <c r="O497" i="13"/>
  <c r="L497" i="13"/>
  <c r="K497" i="13"/>
  <c r="J497" i="13"/>
  <c r="I497" i="13"/>
  <c r="N497" i="13" s="1"/>
  <c r="H497" i="13"/>
  <c r="F497" i="13"/>
  <c r="AB496" i="13"/>
  <c r="T496" i="13"/>
  <c r="S496" i="13"/>
  <c r="R496" i="13"/>
  <c r="Q496" i="13"/>
  <c r="L496" i="13"/>
  <c r="J496" i="13"/>
  <c r="I496" i="13"/>
  <c r="H496" i="13"/>
  <c r="Y496" i="13" s="1"/>
  <c r="F496" i="13"/>
  <c r="AB495" i="13"/>
  <c r="Y495" i="13"/>
  <c r="Z495" i="13" s="1"/>
  <c r="T495" i="13"/>
  <c r="S495" i="13"/>
  <c r="Q495" i="13"/>
  <c r="P495" i="13"/>
  <c r="L495" i="13"/>
  <c r="N495" i="13" s="1"/>
  <c r="O495" i="13" s="1"/>
  <c r="J495" i="13"/>
  <c r="I495" i="13"/>
  <c r="K495" i="13" s="1"/>
  <c r="V495" i="13" s="1"/>
  <c r="H495" i="13"/>
  <c r="F495" i="13"/>
  <c r="AC494" i="13"/>
  <c r="AB494" i="13"/>
  <c r="T494" i="13"/>
  <c r="S494" i="13"/>
  <c r="R494" i="13"/>
  <c r="Q494" i="13"/>
  <c r="L494" i="13"/>
  <c r="J494" i="13"/>
  <c r="I494" i="13"/>
  <c r="H494" i="13"/>
  <c r="Y494" i="13" s="1"/>
  <c r="Z494" i="13" s="1"/>
  <c r="F494" i="13"/>
  <c r="AC493" i="13"/>
  <c r="AB493" i="13"/>
  <c r="T493" i="13"/>
  <c r="S493" i="13"/>
  <c r="Q493" i="13"/>
  <c r="N493" i="13"/>
  <c r="O493" i="13" s="1"/>
  <c r="L493" i="13"/>
  <c r="K493" i="13"/>
  <c r="J493" i="13"/>
  <c r="I493" i="13"/>
  <c r="H493" i="13"/>
  <c r="R493" i="13" s="1"/>
  <c r="F493" i="13"/>
  <c r="AB492" i="13"/>
  <c r="Y492" i="13"/>
  <c r="Z492" i="13" s="1"/>
  <c r="T492" i="13"/>
  <c r="S492" i="13"/>
  <c r="Q492" i="13"/>
  <c r="L492" i="13"/>
  <c r="AC492" i="13" s="1"/>
  <c r="K492" i="13"/>
  <c r="V492" i="13" s="1"/>
  <c r="J492" i="13"/>
  <c r="I492" i="13"/>
  <c r="H492" i="13"/>
  <c r="R492" i="13" s="1"/>
  <c r="F492" i="13"/>
  <c r="AC491" i="13"/>
  <c r="AB491" i="13"/>
  <c r="T491" i="13"/>
  <c r="S491" i="13"/>
  <c r="Q491" i="13"/>
  <c r="L491" i="13"/>
  <c r="K491" i="13"/>
  <c r="J491" i="13"/>
  <c r="I491" i="13"/>
  <c r="N491" i="13" s="1"/>
  <c r="H491" i="13"/>
  <c r="Y491" i="13" s="1"/>
  <c r="Z491" i="13" s="1"/>
  <c r="F491" i="13"/>
  <c r="AB490" i="13"/>
  <c r="Y490" i="13"/>
  <c r="Z490" i="13" s="1"/>
  <c r="T490" i="13"/>
  <c r="S490" i="13"/>
  <c r="Q490" i="13"/>
  <c r="L490" i="13"/>
  <c r="AC490" i="13" s="1"/>
  <c r="K490" i="13"/>
  <c r="V490" i="13" s="1"/>
  <c r="J490" i="13"/>
  <c r="I490" i="13"/>
  <c r="N490" i="13" s="1"/>
  <c r="H490" i="13"/>
  <c r="R490" i="13" s="1"/>
  <c r="F490" i="13"/>
  <c r="AB489" i="13"/>
  <c r="T489" i="13"/>
  <c r="S489" i="13"/>
  <c r="Q489" i="13"/>
  <c r="P489" i="13"/>
  <c r="L489" i="13"/>
  <c r="N489" i="13" s="1"/>
  <c r="O489" i="13" s="1"/>
  <c r="J489" i="13"/>
  <c r="I489" i="13"/>
  <c r="K489" i="13" s="1"/>
  <c r="V489" i="13" s="1"/>
  <c r="H489" i="13"/>
  <c r="F489" i="13"/>
  <c r="AC488" i="13"/>
  <c r="AB488" i="13"/>
  <c r="T488" i="13"/>
  <c r="S488" i="13"/>
  <c r="Q488" i="13"/>
  <c r="P488" i="13" s="1"/>
  <c r="O488" i="13"/>
  <c r="L488" i="13"/>
  <c r="K488" i="13"/>
  <c r="J488" i="13"/>
  <c r="I488" i="13"/>
  <c r="N488" i="13" s="1"/>
  <c r="H488" i="13"/>
  <c r="R488" i="13" s="1"/>
  <c r="F488" i="13"/>
  <c r="AC487" i="13"/>
  <c r="AB487" i="13"/>
  <c r="Y487" i="13"/>
  <c r="T487" i="13"/>
  <c r="S487" i="13"/>
  <c r="Q487" i="13"/>
  <c r="L487" i="13"/>
  <c r="K487" i="13"/>
  <c r="V487" i="13" s="1"/>
  <c r="J487" i="13"/>
  <c r="I487" i="13"/>
  <c r="R487" i="13" s="1"/>
  <c r="H487" i="13"/>
  <c r="F487" i="13"/>
  <c r="AC486" i="13"/>
  <c r="AB486" i="13"/>
  <c r="Y486" i="13"/>
  <c r="Z486" i="13" s="1"/>
  <c r="T486" i="13"/>
  <c r="S486" i="13"/>
  <c r="Q486" i="13"/>
  <c r="O486" i="13"/>
  <c r="N486" i="13"/>
  <c r="P486" i="13" s="1"/>
  <c r="L486" i="13"/>
  <c r="J486" i="13"/>
  <c r="I486" i="13"/>
  <c r="H486" i="13"/>
  <c r="F486" i="13"/>
  <c r="AB485" i="13"/>
  <c r="T485" i="13"/>
  <c r="S485" i="13"/>
  <c r="Q485" i="13"/>
  <c r="P485" i="13"/>
  <c r="N485" i="13"/>
  <c r="O485" i="13" s="1"/>
  <c r="L485" i="13"/>
  <c r="AC485" i="13" s="1"/>
  <c r="J485" i="13"/>
  <c r="I485" i="13"/>
  <c r="K485" i="13" s="1"/>
  <c r="V485" i="13" s="1"/>
  <c r="H485" i="13"/>
  <c r="Y485" i="13" s="1"/>
  <c r="Z485" i="13" s="1"/>
  <c r="F485" i="13"/>
  <c r="AB484" i="13"/>
  <c r="S484" i="13"/>
  <c r="Q484" i="13"/>
  <c r="P484" i="13"/>
  <c r="O484" i="13"/>
  <c r="N484" i="13"/>
  <c r="L484" i="13"/>
  <c r="AC484" i="13" s="1"/>
  <c r="J484" i="13"/>
  <c r="K484" i="13" s="1"/>
  <c r="I484" i="13"/>
  <c r="H484" i="13"/>
  <c r="R484" i="13" s="1"/>
  <c r="F484" i="13"/>
  <c r="AC483" i="13"/>
  <c r="AB483" i="13"/>
  <c r="T483" i="13"/>
  <c r="S483" i="13"/>
  <c r="Q483" i="13"/>
  <c r="L483" i="13"/>
  <c r="J483" i="13"/>
  <c r="I483" i="13"/>
  <c r="H483" i="13"/>
  <c r="Y483" i="13" s="1"/>
  <c r="Z483" i="13" s="1"/>
  <c r="F483" i="13"/>
  <c r="AB482" i="13"/>
  <c r="T482" i="13"/>
  <c r="S482" i="13"/>
  <c r="Q482" i="13"/>
  <c r="L482" i="13"/>
  <c r="AC482" i="13" s="1"/>
  <c r="J482" i="13"/>
  <c r="I482" i="13"/>
  <c r="N482" i="13" s="1"/>
  <c r="H482" i="13"/>
  <c r="R482" i="13" s="1"/>
  <c r="F482" i="13"/>
  <c r="AB481" i="13"/>
  <c r="Y481" i="13"/>
  <c r="Z481" i="13" s="1"/>
  <c r="V481" i="13"/>
  <c r="T481" i="13"/>
  <c r="S481" i="13"/>
  <c r="Q481" i="13"/>
  <c r="N481" i="13"/>
  <c r="L481" i="13"/>
  <c r="AC481" i="13" s="1"/>
  <c r="K481" i="13"/>
  <c r="J481" i="13"/>
  <c r="I481" i="13"/>
  <c r="H481" i="13"/>
  <c r="R481" i="13" s="1"/>
  <c r="F481" i="13"/>
  <c r="AB480" i="13"/>
  <c r="T480" i="13"/>
  <c r="S480" i="13"/>
  <c r="Q480" i="13"/>
  <c r="P480" i="13"/>
  <c r="O480" i="13"/>
  <c r="L480" i="13"/>
  <c r="J480" i="13"/>
  <c r="I480" i="13"/>
  <c r="N480" i="13" s="1"/>
  <c r="H480" i="13"/>
  <c r="Y480" i="13" s="1"/>
  <c r="F480" i="13"/>
  <c r="AC479" i="13"/>
  <c r="AB479" i="13"/>
  <c r="Y479" i="13"/>
  <c r="S479" i="13"/>
  <c r="R479" i="13"/>
  <c r="Q479" i="13"/>
  <c r="L479" i="13"/>
  <c r="J479" i="13"/>
  <c r="T479" i="13" s="1"/>
  <c r="I479" i="13"/>
  <c r="H479" i="13"/>
  <c r="F479" i="13"/>
  <c r="AB478" i="13"/>
  <c r="Y478" i="13"/>
  <c r="Z478" i="13" s="1"/>
  <c r="T478" i="13"/>
  <c r="S478" i="13"/>
  <c r="Q478" i="13"/>
  <c r="P478" i="13"/>
  <c r="N478" i="13"/>
  <c r="O478" i="13" s="1"/>
  <c r="L478" i="13"/>
  <c r="AC478" i="13" s="1"/>
  <c r="J478" i="13"/>
  <c r="I478" i="13"/>
  <c r="H478" i="13"/>
  <c r="R478" i="13" s="1"/>
  <c r="F478" i="13"/>
  <c r="AB477" i="13"/>
  <c r="Y477" i="13"/>
  <c r="Z477" i="13" s="1"/>
  <c r="T477" i="13"/>
  <c r="S477" i="13"/>
  <c r="Q477" i="13"/>
  <c r="N477" i="13"/>
  <c r="L477" i="13"/>
  <c r="AC477" i="13" s="1"/>
  <c r="K477" i="13"/>
  <c r="V477" i="13" s="1"/>
  <c r="J477" i="13"/>
  <c r="I477" i="13"/>
  <c r="H477" i="13"/>
  <c r="R477" i="13" s="1"/>
  <c r="F477" i="13"/>
  <c r="AB476" i="13"/>
  <c r="Z476" i="13"/>
  <c r="Y476" i="13"/>
  <c r="T476" i="13"/>
  <c r="S476" i="13"/>
  <c r="Q476" i="13"/>
  <c r="N476" i="13"/>
  <c r="P476" i="13" s="1"/>
  <c r="L476" i="13"/>
  <c r="AC476" i="13" s="1"/>
  <c r="K476" i="13"/>
  <c r="J476" i="13"/>
  <c r="I476" i="13"/>
  <c r="H476" i="13"/>
  <c r="R476" i="13" s="1"/>
  <c r="F476" i="13"/>
  <c r="AC475" i="13"/>
  <c r="AB475" i="13"/>
  <c r="T475" i="13"/>
  <c r="S475" i="13"/>
  <c r="Q475" i="13"/>
  <c r="P475" i="13"/>
  <c r="O475" i="13"/>
  <c r="N475" i="13"/>
  <c r="L475" i="13"/>
  <c r="J475" i="13"/>
  <c r="I475" i="13"/>
  <c r="K475" i="13" s="1"/>
  <c r="H475" i="13"/>
  <c r="F475" i="13"/>
  <c r="AC474" i="13"/>
  <c r="AB474" i="13"/>
  <c r="T474" i="13"/>
  <c r="S474" i="13"/>
  <c r="Q474" i="13"/>
  <c r="L474" i="13"/>
  <c r="J474" i="13"/>
  <c r="I474" i="13"/>
  <c r="H474" i="13"/>
  <c r="F474" i="13"/>
  <c r="AB473" i="13"/>
  <c r="T473" i="13"/>
  <c r="S473" i="13"/>
  <c r="Q473" i="13"/>
  <c r="L473" i="13"/>
  <c r="AC473" i="13" s="1"/>
  <c r="K473" i="13"/>
  <c r="V473" i="13" s="1"/>
  <c r="J473" i="13"/>
  <c r="I473" i="13"/>
  <c r="R473" i="13" s="1"/>
  <c r="H473" i="13"/>
  <c r="Y473" i="13" s="1"/>
  <c r="Z473" i="13" s="1"/>
  <c r="F473" i="13"/>
  <c r="AB472" i="13"/>
  <c r="T472" i="13"/>
  <c r="S472" i="13"/>
  <c r="Q472" i="13"/>
  <c r="O472" i="13"/>
  <c r="L472" i="13"/>
  <c r="K472" i="13"/>
  <c r="V472" i="13" s="1"/>
  <c r="J472" i="13"/>
  <c r="I472" i="13"/>
  <c r="N472" i="13" s="1"/>
  <c r="P472" i="13" s="1"/>
  <c r="H472" i="13"/>
  <c r="Y472" i="13" s="1"/>
  <c r="F472" i="13"/>
  <c r="AB471" i="13"/>
  <c r="T471" i="13"/>
  <c r="S471" i="13"/>
  <c r="Q471" i="13"/>
  <c r="P471" i="13"/>
  <c r="O471" i="13"/>
  <c r="N471" i="13"/>
  <c r="L471" i="13"/>
  <c r="AC471" i="13" s="1"/>
  <c r="J471" i="13"/>
  <c r="I471" i="13"/>
  <c r="K471" i="13" s="1"/>
  <c r="V471" i="13" s="1"/>
  <c r="H471" i="13"/>
  <c r="F471" i="13"/>
  <c r="AC470" i="13"/>
  <c r="AB470" i="13"/>
  <c r="T470" i="13"/>
  <c r="S470" i="13"/>
  <c r="Q470" i="13"/>
  <c r="L470" i="13"/>
  <c r="J470" i="13"/>
  <c r="I470" i="13"/>
  <c r="H470" i="13"/>
  <c r="F470" i="13"/>
  <c r="AB469" i="13"/>
  <c r="V469" i="13"/>
  <c r="T469" i="13"/>
  <c r="S469" i="13"/>
  <c r="Q469" i="13"/>
  <c r="L469" i="13"/>
  <c r="AC469" i="13" s="1"/>
  <c r="K469" i="13"/>
  <c r="J469" i="13"/>
  <c r="I469" i="13"/>
  <c r="H469" i="13"/>
  <c r="R469" i="13" s="1"/>
  <c r="F469" i="13"/>
  <c r="AB468" i="13"/>
  <c r="T468" i="13"/>
  <c r="S468" i="13"/>
  <c r="Q468" i="13"/>
  <c r="P468" i="13"/>
  <c r="O468" i="13"/>
  <c r="N468" i="13"/>
  <c r="L468" i="13"/>
  <c r="AC468" i="13" s="1"/>
  <c r="K468" i="13"/>
  <c r="J468" i="13"/>
  <c r="I468" i="13"/>
  <c r="H468" i="13"/>
  <c r="F468" i="13"/>
  <c r="AC467" i="13"/>
  <c r="AB467" i="13"/>
  <c r="T467" i="13"/>
  <c r="S467" i="13"/>
  <c r="Q467" i="13"/>
  <c r="N467" i="13"/>
  <c r="L467" i="13"/>
  <c r="K467" i="13"/>
  <c r="J467" i="13"/>
  <c r="I467" i="13"/>
  <c r="R467" i="13" s="1"/>
  <c r="H467" i="13"/>
  <c r="V467" i="13" s="1"/>
  <c r="F467" i="13"/>
  <c r="AB466" i="13"/>
  <c r="T466" i="13"/>
  <c r="S466" i="13"/>
  <c r="Q466" i="13"/>
  <c r="O466" i="13"/>
  <c r="N466" i="13"/>
  <c r="P466" i="13" s="1"/>
  <c r="L466" i="13"/>
  <c r="AC466" i="13" s="1"/>
  <c r="K466" i="13"/>
  <c r="J466" i="13"/>
  <c r="I466" i="13"/>
  <c r="H466" i="13"/>
  <c r="F466" i="13"/>
  <c r="AC465" i="13"/>
  <c r="AB465" i="13"/>
  <c r="T465" i="13"/>
  <c r="S465" i="13"/>
  <c r="Q465" i="13"/>
  <c r="L465" i="13"/>
  <c r="J465" i="13"/>
  <c r="I465" i="13"/>
  <c r="H465" i="13"/>
  <c r="F465" i="13"/>
  <c r="AB464" i="13"/>
  <c r="V464" i="13"/>
  <c r="T464" i="13"/>
  <c r="S464" i="13"/>
  <c r="Q464" i="13"/>
  <c r="L464" i="13"/>
  <c r="AC464" i="13" s="1"/>
  <c r="K464" i="13"/>
  <c r="J464" i="13"/>
  <c r="I464" i="13"/>
  <c r="R464" i="13" s="1"/>
  <c r="H464" i="13"/>
  <c r="F464" i="13"/>
  <c r="AC463" i="13"/>
  <c r="AB463" i="13"/>
  <c r="T463" i="13"/>
  <c r="S463" i="13"/>
  <c r="Q463" i="13"/>
  <c r="L463" i="13"/>
  <c r="J463" i="13"/>
  <c r="I463" i="13"/>
  <c r="H463" i="13"/>
  <c r="F463" i="13"/>
  <c r="AB462" i="13"/>
  <c r="T462" i="13"/>
  <c r="S462" i="13"/>
  <c r="R462" i="13"/>
  <c r="Q462" i="13"/>
  <c r="L462" i="13"/>
  <c r="AC462" i="13" s="1"/>
  <c r="J462" i="13"/>
  <c r="I462" i="13"/>
  <c r="H462" i="13"/>
  <c r="F462" i="13"/>
  <c r="AB461" i="13"/>
  <c r="V461" i="13"/>
  <c r="T461" i="13"/>
  <c r="S461" i="13"/>
  <c r="Q461" i="13"/>
  <c r="L461" i="13"/>
  <c r="AC461" i="13" s="1"/>
  <c r="K461" i="13"/>
  <c r="J461" i="13"/>
  <c r="I461" i="13"/>
  <c r="H461" i="13"/>
  <c r="R461" i="13" s="1"/>
  <c r="F461" i="13"/>
  <c r="AB460" i="13"/>
  <c r="T460" i="13"/>
  <c r="S460" i="13"/>
  <c r="Q460" i="13"/>
  <c r="P460" i="13"/>
  <c r="O460" i="13"/>
  <c r="N460" i="13"/>
  <c r="L460" i="13"/>
  <c r="AC460" i="13" s="1"/>
  <c r="K460" i="13"/>
  <c r="J460" i="13"/>
  <c r="I460" i="13"/>
  <c r="H460" i="13"/>
  <c r="F460" i="13"/>
  <c r="AC459" i="13"/>
  <c r="AB459" i="13"/>
  <c r="T459" i="13"/>
  <c r="S459" i="13"/>
  <c r="R459" i="13"/>
  <c r="Q459" i="13"/>
  <c r="L459" i="13"/>
  <c r="K459" i="13"/>
  <c r="J459" i="13"/>
  <c r="I459" i="13"/>
  <c r="N459" i="13" s="1"/>
  <c r="H459" i="13"/>
  <c r="F459" i="13"/>
  <c r="AB458" i="13"/>
  <c r="T458" i="13"/>
  <c r="S458" i="13"/>
  <c r="Q458" i="13"/>
  <c r="L458" i="13"/>
  <c r="AC458" i="13" s="1"/>
  <c r="K458" i="13"/>
  <c r="J458" i="13"/>
  <c r="I458" i="13"/>
  <c r="H458" i="13"/>
  <c r="F458" i="13"/>
  <c r="AC457" i="13"/>
  <c r="AB457" i="13"/>
  <c r="T457" i="13"/>
  <c r="S457" i="13"/>
  <c r="R457" i="13"/>
  <c r="Q457" i="13"/>
  <c r="P457" i="13"/>
  <c r="L457" i="13"/>
  <c r="J457" i="13"/>
  <c r="I457" i="13"/>
  <c r="N457" i="13" s="1"/>
  <c r="O457" i="13" s="1"/>
  <c r="H457" i="13"/>
  <c r="F457" i="13"/>
  <c r="AB456" i="13"/>
  <c r="T456" i="13"/>
  <c r="S456" i="13"/>
  <c r="Q456" i="13"/>
  <c r="L456" i="13"/>
  <c r="AC456" i="13" s="1"/>
  <c r="K456" i="13"/>
  <c r="V456" i="13" s="1"/>
  <c r="J456" i="13"/>
  <c r="I456" i="13"/>
  <c r="R456" i="13" s="1"/>
  <c r="H456" i="13"/>
  <c r="F456" i="13"/>
  <c r="AC455" i="13"/>
  <c r="AB455" i="13"/>
  <c r="T455" i="13"/>
  <c r="S455" i="13"/>
  <c r="R455" i="13"/>
  <c r="Q455" i="13"/>
  <c r="O455" i="13"/>
  <c r="N455" i="13"/>
  <c r="P455" i="13" s="1"/>
  <c r="L455" i="13"/>
  <c r="J455" i="13"/>
  <c r="I455" i="13"/>
  <c r="K455" i="13" s="1"/>
  <c r="V455" i="13" s="1"/>
  <c r="H455" i="13"/>
  <c r="F455" i="13"/>
  <c r="AB454" i="13"/>
  <c r="T454" i="13"/>
  <c r="S454" i="13"/>
  <c r="Q454" i="13"/>
  <c r="L454" i="13"/>
  <c r="AC454" i="13" s="1"/>
  <c r="J454" i="13"/>
  <c r="I454" i="13"/>
  <c r="H454" i="13"/>
  <c r="F454" i="13"/>
  <c r="AB453" i="13"/>
  <c r="V453" i="13"/>
  <c r="T453" i="13"/>
  <c r="S453" i="13"/>
  <c r="Q453" i="13"/>
  <c r="L453" i="13"/>
  <c r="K453" i="13"/>
  <c r="J453" i="13"/>
  <c r="I453" i="13"/>
  <c r="H453" i="13"/>
  <c r="R453" i="13" s="1"/>
  <c r="F453" i="13"/>
  <c r="AB452" i="13"/>
  <c r="T452" i="13"/>
  <c r="S452" i="13"/>
  <c r="Q452" i="13"/>
  <c r="P452" i="13"/>
  <c r="O452" i="13"/>
  <c r="N452" i="13"/>
  <c r="L452" i="13"/>
  <c r="AC452" i="13" s="1"/>
  <c r="K452" i="13"/>
  <c r="J452" i="13"/>
  <c r="I452" i="13"/>
  <c r="H452" i="13"/>
  <c r="F452" i="13"/>
  <c r="AC451" i="13"/>
  <c r="AB451" i="13"/>
  <c r="T451" i="13"/>
  <c r="S451" i="13"/>
  <c r="Q451" i="13"/>
  <c r="N451" i="13"/>
  <c r="L451" i="13"/>
  <c r="J451" i="13"/>
  <c r="I451" i="13"/>
  <c r="K451" i="13" s="1"/>
  <c r="H451" i="13"/>
  <c r="V451" i="13" s="1"/>
  <c r="F451" i="13"/>
  <c r="AB450" i="13"/>
  <c r="T450" i="13"/>
  <c r="S450" i="13"/>
  <c r="Q450" i="13"/>
  <c r="N450" i="13"/>
  <c r="P450" i="13" s="1"/>
  <c r="L450" i="13"/>
  <c r="AC450" i="13" s="1"/>
  <c r="K450" i="13"/>
  <c r="J450" i="13"/>
  <c r="I450" i="13"/>
  <c r="H450" i="13"/>
  <c r="R450" i="13" s="1"/>
  <c r="F450" i="13"/>
  <c r="AC449" i="13"/>
  <c r="AB449" i="13"/>
  <c r="T449" i="13"/>
  <c r="S449" i="13"/>
  <c r="Q449" i="13"/>
  <c r="L449" i="13"/>
  <c r="J449" i="13"/>
  <c r="I449" i="13"/>
  <c r="N449" i="13" s="1"/>
  <c r="P449" i="13" s="1"/>
  <c r="H449" i="13"/>
  <c r="F449" i="13"/>
  <c r="AB448" i="13"/>
  <c r="T448" i="13"/>
  <c r="S448" i="13"/>
  <c r="R448" i="13"/>
  <c r="Q448" i="13"/>
  <c r="L448" i="13"/>
  <c r="AC448" i="13" s="1"/>
  <c r="K448" i="13"/>
  <c r="V448" i="13" s="1"/>
  <c r="J448" i="13"/>
  <c r="I448" i="13"/>
  <c r="H448" i="13"/>
  <c r="F448" i="13"/>
  <c r="AC447" i="13"/>
  <c r="AB447" i="13"/>
  <c r="T447" i="13"/>
  <c r="S447" i="13"/>
  <c r="R447" i="13"/>
  <c r="Q447" i="13"/>
  <c r="N447" i="13"/>
  <c r="P447" i="13" s="1"/>
  <c r="L447" i="13"/>
  <c r="J447" i="13"/>
  <c r="I447" i="13"/>
  <c r="K447" i="13" s="1"/>
  <c r="V447" i="13" s="1"/>
  <c r="H447" i="13"/>
  <c r="F447" i="13"/>
  <c r="AB446" i="13"/>
  <c r="T446" i="13"/>
  <c r="S446" i="13"/>
  <c r="R446" i="13"/>
  <c r="Q446" i="13"/>
  <c r="L446" i="13"/>
  <c r="AC446" i="13" s="1"/>
  <c r="J446" i="13"/>
  <c r="I446" i="13"/>
  <c r="H446" i="13"/>
  <c r="F446" i="13"/>
  <c r="AB445" i="13"/>
  <c r="T445" i="13"/>
  <c r="S445" i="13"/>
  <c r="Q445" i="13"/>
  <c r="L445" i="13"/>
  <c r="AC445" i="13" s="1"/>
  <c r="K445" i="13"/>
  <c r="V445" i="13" s="1"/>
  <c r="J445" i="13"/>
  <c r="I445" i="13"/>
  <c r="H445" i="13"/>
  <c r="R445" i="13" s="1"/>
  <c r="F445" i="13"/>
  <c r="AC444" i="13"/>
  <c r="AB444" i="13"/>
  <c r="T444" i="13"/>
  <c r="S444" i="13"/>
  <c r="Q444" i="13"/>
  <c r="N444" i="13"/>
  <c r="P444" i="13" s="1"/>
  <c r="L444" i="13"/>
  <c r="K444" i="13"/>
  <c r="J444" i="13"/>
  <c r="I444" i="13"/>
  <c r="H444" i="13"/>
  <c r="F444" i="13"/>
  <c r="AC443" i="13"/>
  <c r="AB443" i="13"/>
  <c r="T443" i="13"/>
  <c r="S443" i="13"/>
  <c r="Q443" i="13"/>
  <c r="N443" i="13"/>
  <c r="P443" i="13" s="1"/>
  <c r="L443" i="13"/>
  <c r="K443" i="13"/>
  <c r="J443" i="13"/>
  <c r="I443" i="13"/>
  <c r="H443" i="13"/>
  <c r="V443" i="13" s="1"/>
  <c r="F443" i="13"/>
  <c r="AB442" i="13"/>
  <c r="T442" i="13"/>
  <c r="S442" i="13"/>
  <c r="Q442" i="13"/>
  <c r="L442" i="13"/>
  <c r="AC442" i="13" s="1"/>
  <c r="K442" i="13"/>
  <c r="V442" i="13" s="1"/>
  <c r="J442" i="13"/>
  <c r="I442" i="13"/>
  <c r="H442" i="13"/>
  <c r="R442" i="13" s="1"/>
  <c r="F442" i="13"/>
  <c r="AB441" i="13"/>
  <c r="T441" i="13"/>
  <c r="S441" i="13"/>
  <c r="R441" i="13"/>
  <c r="Q441" i="13"/>
  <c r="L441" i="13"/>
  <c r="AC441" i="13" s="1"/>
  <c r="J441" i="13"/>
  <c r="I441" i="13"/>
  <c r="H441" i="13"/>
  <c r="F441" i="13"/>
  <c r="AC440" i="13"/>
  <c r="AB440" i="13"/>
  <c r="T440" i="13"/>
  <c r="S440" i="13"/>
  <c r="Q440" i="13"/>
  <c r="P440" i="13"/>
  <c r="L440" i="13"/>
  <c r="K440" i="13"/>
  <c r="V440" i="13" s="1"/>
  <c r="J440" i="13"/>
  <c r="I440" i="13"/>
  <c r="N440" i="13" s="1"/>
  <c r="O440" i="13" s="1"/>
  <c r="H440" i="13"/>
  <c r="F440" i="13"/>
  <c r="AC439" i="13"/>
  <c r="AB439" i="13"/>
  <c r="V439" i="13"/>
  <c r="T439" i="13"/>
  <c r="S439" i="13"/>
  <c r="Q439" i="13"/>
  <c r="O439" i="13"/>
  <c r="L439" i="13"/>
  <c r="K439" i="13"/>
  <c r="J439" i="13"/>
  <c r="I439" i="13"/>
  <c r="N439" i="13" s="1"/>
  <c r="P439" i="13" s="1"/>
  <c r="H439" i="13"/>
  <c r="F439" i="13"/>
  <c r="AC438" i="13"/>
  <c r="AB438" i="13"/>
  <c r="T438" i="13"/>
  <c r="S438" i="13"/>
  <c r="Q438" i="13"/>
  <c r="N438" i="13"/>
  <c r="P438" i="13" s="1"/>
  <c r="L438" i="13"/>
  <c r="J438" i="13"/>
  <c r="I438" i="13"/>
  <c r="K438" i="13" s="1"/>
  <c r="H438" i="13"/>
  <c r="V438" i="13" s="1"/>
  <c r="F438" i="13"/>
  <c r="AB437" i="13"/>
  <c r="T437" i="13"/>
  <c r="S437" i="13"/>
  <c r="Q437" i="13"/>
  <c r="N437" i="13"/>
  <c r="O437" i="13" s="1"/>
  <c r="L437" i="13"/>
  <c r="AC437" i="13" s="1"/>
  <c r="J437" i="13"/>
  <c r="I437" i="13"/>
  <c r="K437" i="13" s="1"/>
  <c r="H437" i="13"/>
  <c r="F437" i="13"/>
  <c r="AB436" i="13"/>
  <c r="T436" i="13"/>
  <c r="S436" i="13"/>
  <c r="Q436" i="13"/>
  <c r="N436" i="13"/>
  <c r="P436" i="13" s="1"/>
  <c r="L436" i="13"/>
  <c r="AC436" i="13" s="1"/>
  <c r="J436" i="13"/>
  <c r="I436" i="13"/>
  <c r="K436" i="13" s="1"/>
  <c r="H436" i="13"/>
  <c r="F436" i="13"/>
  <c r="AB435" i="13"/>
  <c r="T435" i="13"/>
  <c r="S435" i="13"/>
  <c r="Q435" i="13"/>
  <c r="N435" i="13"/>
  <c r="O435" i="13" s="1"/>
  <c r="L435" i="13"/>
  <c r="AC435" i="13" s="1"/>
  <c r="J435" i="13"/>
  <c r="I435" i="13"/>
  <c r="K435" i="13" s="1"/>
  <c r="H435" i="13"/>
  <c r="F435" i="13"/>
  <c r="AB434" i="13"/>
  <c r="T434" i="13"/>
  <c r="S434" i="13"/>
  <c r="Q434" i="13"/>
  <c r="L434" i="13"/>
  <c r="AC434" i="13" s="1"/>
  <c r="K434" i="13"/>
  <c r="J434" i="13"/>
  <c r="I434" i="13"/>
  <c r="H434" i="13"/>
  <c r="R434" i="13" s="1"/>
  <c r="F434" i="13"/>
  <c r="AC433" i="13"/>
  <c r="AB433" i="13"/>
  <c r="T433" i="13"/>
  <c r="S433" i="13"/>
  <c r="Q433" i="13"/>
  <c r="L433" i="13"/>
  <c r="K433" i="13"/>
  <c r="J433" i="13"/>
  <c r="I433" i="13"/>
  <c r="N433" i="13" s="1"/>
  <c r="H433" i="13"/>
  <c r="F433" i="13"/>
  <c r="AB432" i="13"/>
  <c r="T432" i="13"/>
  <c r="S432" i="13"/>
  <c r="Q432" i="13"/>
  <c r="L432" i="13"/>
  <c r="AC432" i="13" s="1"/>
  <c r="J432" i="13"/>
  <c r="I432" i="13"/>
  <c r="N432" i="13" s="1"/>
  <c r="H432" i="13"/>
  <c r="R432" i="13" s="1"/>
  <c r="F432" i="13"/>
  <c r="AB431" i="13"/>
  <c r="V431" i="13"/>
  <c r="T431" i="13"/>
  <c r="S431" i="13"/>
  <c r="Q431" i="13"/>
  <c r="L431" i="13"/>
  <c r="AC431" i="13" s="1"/>
  <c r="K431" i="13"/>
  <c r="J431" i="13"/>
  <c r="I431" i="13"/>
  <c r="H431" i="13"/>
  <c r="R431" i="13" s="1"/>
  <c r="F431" i="13"/>
  <c r="AB430" i="13"/>
  <c r="T430" i="13"/>
  <c r="S430" i="13"/>
  <c r="R430" i="13"/>
  <c r="Q430" i="13"/>
  <c r="O430" i="13"/>
  <c r="L430" i="13"/>
  <c r="AC430" i="13" s="1"/>
  <c r="J430" i="13"/>
  <c r="I430" i="13"/>
  <c r="N430" i="13" s="1"/>
  <c r="P430" i="13" s="1"/>
  <c r="H430" i="13"/>
  <c r="F430" i="13"/>
  <c r="AB429" i="13"/>
  <c r="T429" i="13"/>
  <c r="S429" i="13"/>
  <c r="Q429" i="13"/>
  <c r="L429" i="13"/>
  <c r="AC429" i="13" s="1"/>
  <c r="K429" i="13"/>
  <c r="V429" i="13" s="1"/>
  <c r="J429" i="13"/>
  <c r="I429" i="13"/>
  <c r="N429" i="13" s="1"/>
  <c r="H429" i="13"/>
  <c r="F429" i="13"/>
  <c r="AB428" i="13"/>
  <c r="V428" i="13"/>
  <c r="T428" i="13"/>
  <c r="S428" i="13"/>
  <c r="Q428" i="13"/>
  <c r="L428" i="13"/>
  <c r="AC428" i="13" s="1"/>
  <c r="J428" i="13"/>
  <c r="I428" i="13"/>
  <c r="K428" i="13" s="1"/>
  <c r="H428" i="13"/>
  <c r="R428" i="13" s="1"/>
  <c r="F428" i="13"/>
  <c r="AC427" i="13"/>
  <c r="AB427" i="13"/>
  <c r="T427" i="13"/>
  <c r="S427" i="13"/>
  <c r="Q427" i="13"/>
  <c r="L427" i="13"/>
  <c r="N427" i="13" s="1"/>
  <c r="K427" i="13"/>
  <c r="V427" i="13" s="1"/>
  <c r="J427" i="13"/>
  <c r="I427" i="13"/>
  <c r="H427" i="13"/>
  <c r="R427" i="13" s="1"/>
  <c r="F427" i="13"/>
  <c r="AB426" i="13"/>
  <c r="T426" i="13"/>
  <c r="S426" i="13"/>
  <c r="Q426" i="13"/>
  <c r="L426" i="13"/>
  <c r="AC426" i="13" s="1"/>
  <c r="K426" i="13"/>
  <c r="J426" i="13"/>
  <c r="I426" i="13"/>
  <c r="H426" i="13"/>
  <c r="R426" i="13" s="1"/>
  <c r="F426" i="13"/>
  <c r="AC425" i="13"/>
  <c r="AB425" i="13"/>
  <c r="T425" i="13"/>
  <c r="S425" i="13"/>
  <c r="Q425" i="13"/>
  <c r="L425" i="13"/>
  <c r="J425" i="13"/>
  <c r="I425" i="13"/>
  <c r="H425" i="13"/>
  <c r="F425" i="13"/>
  <c r="AC424" i="13"/>
  <c r="AB424" i="13"/>
  <c r="T424" i="13"/>
  <c r="S424" i="13"/>
  <c r="Q424" i="13"/>
  <c r="L424" i="13"/>
  <c r="K424" i="13"/>
  <c r="V424" i="13" s="1"/>
  <c r="J424" i="13"/>
  <c r="I424" i="13"/>
  <c r="N424" i="13" s="1"/>
  <c r="H424" i="13"/>
  <c r="F424" i="13"/>
  <c r="AB423" i="13"/>
  <c r="V423" i="13"/>
  <c r="T423" i="13"/>
  <c r="S423" i="13"/>
  <c r="Q423" i="13"/>
  <c r="N423" i="13"/>
  <c r="L423" i="13"/>
  <c r="AC423" i="13" s="1"/>
  <c r="K423" i="13"/>
  <c r="J423" i="13"/>
  <c r="I423" i="13"/>
  <c r="R423" i="13" s="1"/>
  <c r="H423" i="13"/>
  <c r="F423" i="13"/>
  <c r="AC422" i="13"/>
  <c r="AB422" i="13"/>
  <c r="T422" i="13"/>
  <c r="S422" i="13"/>
  <c r="Q422" i="13"/>
  <c r="L422" i="13"/>
  <c r="K422" i="13"/>
  <c r="V422" i="13" s="1"/>
  <c r="J422" i="13"/>
  <c r="I422" i="13"/>
  <c r="H422" i="13"/>
  <c r="F422" i="13"/>
  <c r="AC421" i="13"/>
  <c r="AB421" i="13"/>
  <c r="T421" i="13"/>
  <c r="S421" i="13"/>
  <c r="R421" i="13"/>
  <c r="Q421" i="13"/>
  <c r="L421" i="13"/>
  <c r="J421" i="13"/>
  <c r="I421" i="13"/>
  <c r="H421" i="13"/>
  <c r="F421" i="13"/>
  <c r="AB420" i="13"/>
  <c r="V420" i="13"/>
  <c r="T420" i="13"/>
  <c r="S420" i="13"/>
  <c r="Q420" i="13"/>
  <c r="L420" i="13"/>
  <c r="J420" i="13"/>
  <c r="I420" i="13"/>
  <c r="K420" i="13" s="1"/>
  <c r="H420" i="13"/>
  <c r="F420" i="13"/>
  <c r="AB419" i="13"/>
  <c r="T419" i="13"/>
  <c r="S419" i="13"/>
  <c r="Q419" i="13"/>
  <c r="L419" i="13"/>
  <c r="AC419" i="13" s="1"/>
  <c r="J419" i="13"/>
  <c r="I419" i="13"/>
  <c r="H419" i="13"/>
  <c r="R419" i="13" s="1"/>
  <c r="F419" i="13"/>
  <c r="AB418" i="13"/>
  <c r="T418" i="13"/>
  <c r="S418" i="13"/>
  <c r="Q418" i="13"/>
  <c r="N418" i="13"/>
  <c r="L418" i="13"/>
  <c r="AC418" i="13" s="1"/>
  <c r="K418" i="13"/>
  <c r="V418" i="13" s="1"/>
  <c r="J418" i="13"/>
  <c r="I418" i="13"/>
  <c r="H418" i="13"/>
  <c r="R418" i="13" s="1"/>
  <c r="F418" i="13"/>
  <c r="AC417" i="13"/>
  <c r="AB417" i="13"/>
  <c r="T417" i="13"/>
  <c r="S417" i="13"/>
  <c r="Q417" i="13"/>
  <c r="P417" i="13"/>
  <c r="O417" i="13"/>
  <c r="N417" i="13"/>
  <c r="L417" i="13"/>
  <c r="K417" i="13"/>
  <c r="J417" i="13"/>
  <c r="I417" i="13"/>
  <c r="H417" i="13"/>
  <c r="V417" i="13" s="1"/>
  <c r="F417" i="13"/>
  <c r="AC416" i="13"/>
  <c r="AB416" i="13"/>
  <c r="T416" i="13"/>
  <c r="S416" i="13"/>
  <c r="Q416" i="13"/>
  <c r="N416" i="13"/>
  <c r="P416" i="13" s="1"/>
  <c r="L416" i="13"/>
  <c r="J416" i="13"/>
  <c r="I416" i="13"/>
  <c r="K416" i="13" s="1"/>
  <c r="H416" i="13"/>
  <c r="F416" i="13"/>
  <c r="AB415" i="13"/>
  <c r="T415" i="13"/>
  <c r="S415" i="13"/>
  <c r="Q415" i="13"/>
  <c r="L415" i="13"/>
  <c r="AC415" i="13" s="1"/>
  <c r="K415" i="13"/>
  <c r="J415" i="13"/>
  <c r="I415" i="13"/>
  <c r="N415" i="13" s="1"/>
  <c r="H415" i="13"/>
  <c r="F415" i="13"/>
  <c r="AB414" i="13"/>
  <c r="T414" i="13"/>
  <c r="S414" i="13"/>
  <c r="Q414" i="13"/>
  <c r="L414" i="13"/>
  <c r="AC414" i="13" s="1"/>
  <c r="J414" i="13"/>
  <c r="I414" i="13"/>
  <c r="H414" i="13"/>
  <c r="F414" i="13"/>
  <c r="AB413" i="13"/>
  <c r="V413" i="13"/>
  <c r="T413" i="13"/>
  <c r="S413" i="13"/>
  <c r="Q413" i="13"/>
  <c r="L413" i="13"/>
  <c r="AC413" i="13" s="1"/>
  <c r="K413" i="13"/>
  <c r="J413" i="13"/>
  <c r="I413" i="13"/>
  <c r="R413" i="13" s="1"/>
  <c r="H413" i="13"/>
  <c r="F413" i="13"/>
  <c r="AC412" i="13"/>
  <c r="AB412" i="13"/>
  <c r="T412" i="13"/>
  <c r="S412" i="13"/>
  <c r="Q412" i="13"/>
  <c r="L412" i="13"/>
  <c r="J412" i="13"/>
  <c r="I412" i="13"/>
  <c r="H412" i="13"/>
  <c r="F412" i="13"/>
  <c r="AC411" i="13"/>
  <c r="AB411" i="13"/>
  <c r="T411" i="13"/>
  <c r="S411" i="13"/>
  <c r="Q411" i="13"/>
  <c r="L411" i="13"/>
  <c r="K411" i="13"/>
  <c r="V411" i="13" s="1"/>
  <c r="J411" i="13"/>
  <c r="I411" i="13"/>
  <c r="N411" i="13" s="1"/>
  <c r="H411" i="13"/>
  <c r="F411" i="13"/>
  <c r="AB410" i="13"/>
  <c r="T410" i="13"/>
  <c r="S410" i="13"/>
  <c r="Q410" i="13"/>
  <c r="L410" i="13"/>
  <c r="AC410" i="13" s="1"/>
  <c r="K410" i="13"/>
  <c r="J410" i="13"/>
  <c r="I410" i="13"/>
  <c r="H410" i="13"/>
  <c r="F410" i="13"/>
  <c r="AC409" i="13"/>
  <c r="AB409" i="13"/>
  <c r="T409" i="13"/>
  <c r="S409" i="13"/>
  <c r="Q409" i="13"/>
  <c r="N409" i="13"/>
  <c r="L409" i="13"/>
  <c r="J409" i="13"/>
  <c r="I409" i="13"/>
  <c r="K409" i="13" s="1"/>
  <c r="H409" i="13"/>
  <c r="F409" i="13"/>
  <c r="AC408" i="13"/>
  <c r="AB408" i="13"/>
  <c r="T408" i="13"/>
  <c r="S408" i="13"/>
  <c r="Q408" i="13"/>
  <c r="O408" i="13"/>
  <c r="N408" i="13"/>
  <c r="P408" i="13" s="1"/>
  <c r="L408" i="13"/>
  <c r="K408" i="13"/>
  <c r="V408" i="13" s="1"/>
  <c r="J408" i="13"/>
  <c r="I408" i="13"/>
  <c r="H408" i="13"/>
  <c r="R408" i="13" s="1"/>
  <c r="F408" i="13"/>
  <c r="AC407" i="13"/>
  <c r="AB407" i="13"/>
  <c r="T407" i="13"/>
  <c r="S407" i="13"/>
  <c r="Q407" i="13"/>
  <c r="L407" i="13"/>
  <c r="J407" i="13"/>
  <c r="I407" i="13"/>
  <c r="H407" i="13"/>
  <c r="F407" i="13"/>
  <c r="AC406" i="13"/>
  <c r="AB406" i="13"/>
  <c r="T406" i="13"/>
  <c r="S406" i="13"/>
  <c r="Q406" i="13"/>
  <c r="L406" i="13"/>
  <c r="K406" i="13"/>
  <c r="V406" i="13" s="1"/>
  <c r="J406" i="13"/>
  <c r="I406" i="13"/>
  <c r="N406" i="13" s="1"/>
  <c r="P406" i="13" s="1"/>
  <c r="H406" i="13"/>
  <c r="F406" i="13"/>
  <c r="AB405" i="13"/>
  <c r="T405" i="13"/>
  <c r="S405" i="13"/>
  <c r="Q405" i="13"/>
  <c r="N405" i="13"/>
  <c r="L405" i="13"/>
  <c r="AC405" i="13" s="1"/>
  <c r="J405" i="13"/>
  <c r="I405" i="13"/>
  <c r="R405" i="13" s="1"/>
  <c r="H405" i="13"/>
  <c r="F405" i="13"/>
  <c r="AC404" i="13"/>
  <c r="AB404" i="13"/>
  <c r="T404" i="13"/>
  <c r="S404" i="13"/>
  <c r="Q404" i="13"/>
  <c r="N404" i="13"/>
  <c r="L404" i="13"/>
  <c r="J404" i="13"/>
  <c r="I404" i="13"/>
  <c r="K404" i="13" s="1"/>
  <c r="H404" i="13"/>
  <c r="V404" i="13" s="1"/>
  <c r="F404" i="13"/>
  <c r="AC403" i="13"/>
  <c r="AB403" i="13"/>
  <c r="T403" i="13"/>
  <c r="S403" i="13"/>
  <c r="Q403" i="13"/>
  <c r="N403" i="13"/>
  <c r="L403" i="13"/>
  <c r="J403" i="13"/>
  <c r="I403" i="13"/>
  <c r="K403" i="13" s="1"/>
  <c r="H403" i="13"/>
  <c r="F403" i="13"/>
  <c r="AB402" i="13"/>
  <c r="T402" i="13"/>
  <c r="S402" i="13"/>
  <c r="Q402" i="13"/>
  <c r="O402" i="13"/>
  <c r="N402" i="13"/>
  <c r="P402" i="13" s="1"/>
  <c r="L402" i="13"/>
  <c r="AC402" i="13" s="1"/>
  <c r="K402" i="13"/>
  <c r="J402" i="13"/>
  <c r="I402" i="13"/>
  <c r="H402" i="13"/>
  <c r="F402" i="13"/>
  <c r="AC401" i="13"/>
  <c r="AB401" i="13"/>
  <c r="T401" i="13"/>
  <c r="S401" i="13"/>
  <c r="Q401" i="13"/>
  <c r="L401" i="13"/>
  <c r="K401" i="13"/>
  <c r="J401" i="13"/>
  <c r="I401" i="13"/>
  <c r="N401" i="13" s="1"/>
  <c r="H401" i="13"/>
  <c r="F401" i="13"/>
  <c r="AB400" i="13"/>
  <c r="T400" i="13"/>
  <c r="S400" i="13"/>
  <c r="Q400" i="13"/>
  <c r="L400" i="13"/>
  <c r="AC400" i="13" s="1"/>
  <c r="K400" i="13"/>
  <c r="V400" i="13" s="1"/>
  <c r="J400" i="13"/>
  <c r="I400" i="13"/>
  <c r="H400" i="13"/>
  <c r="R400" i="13" s="1"/>
  <c r="F400" i="13"/>
  <c r="AB399" i="13"/>
  <c r="V399" i="13"/>
  <c r="T399" i="13"/>
  <c r="S399" i="13"/>
  <c r="Q399" i="13"/>
  <c r="L399" i="13"/>
  <c r="K399" i="13"/>
  <c r="J399" i="13"/>
  <c r="I399" i="13"/>
  <c r="H399" i="13"/>
  <c r="F399" i="13"/>
  <c r="AC398" i="13"/>
  <c r="AB398" i="13"/>
  <c r="T398" i="13"/>
  <c r="S398" i="13"/>
  <c r="Q398" i="13"/>
  <c r="L398" i="13"/>
  <c r="J398" i="13"/>
  <c r="I398" i="13"/>
  <c r="H398" i="13"/>
  <c r="F398" i="13"/>
  <c r="AB397" i="13"/>
  <c r="T397" i="13"/>
  <c r="S397" i="13"/>
  <c r="Q397" i="13"/>
  <c r="L397" i="13"/>
  <c r="AC397" i="13" s="1"/>
  <c r="K397" i="13"/>
  <c r="V397" i="13" s="1"/>
  <c r="J397" i="13"/>
  <c r="I397" i="13"/>
  <c r="N397" i="13" s="1"/>
  <c r="H397" i="13"/>
  <c r="F397" i="13"/>
  <c r="AC396" i="13"/>
  <c r="AB396" i="13"/>
  <c r="T396" i="13"/>
  <c r="S396" i="13"/>
  <c r="Q396" i="13"/>
  <c r="N396" i="13"/>
  <c r="L396" i="13"/>
  <c r="J396" i="13"/>
  <c r="I396" i="13"/>
  <c r="K396" i="13" s="1"/>
  <c r="H396" i="13"/>
  <c r="R396" i="13" s="1"/>
  <c r="F396" i="13"/>
  <c r="AC395" i="13"/>
  <c r="AB395" i="13"/>
  <c r="V395" i="13"/>
  <c r="T395" i="13"/>
  <c r="S395" i="13"/>
  <c r="Q395" i="13"/>
  <c r="N395" i="13"/>
  <c r="O395" i="13" s="1"/>
  <c r="L395" i="13"/>
  <c r="K395" i="13"/>
  <c r="J395" i="13"/>
  <c r="I395" i="13"/>
  <c r="H395" i="13"/>
  <c r="R395" i="13" s="1"/>
  <c r="F395" i="13"/>
  <c r="AB394" i="13"/>
  <c r="T394" i="13"/>
  <c r="S394" i="13"/>
  <c r="Q394" i="13"/>
  <c r="L394" i="13"/>
  <c r="K394" i="13"/>
  <c r="J394" i="13"/>
  <c r="I394" i="13"/>
  <c r="H394" i="13"/>
  <c r="F394" i="13"/>
  <c r="AC393" i="13"/>
  <c r="AB393" i="13"/>
  <c r="T393" i="13"/>
  <c r="S393" i="13"/>
  <c r="R393" i="13"/>
  <c r="Q393" i="13"/>
  <c r="L393" i="13"/>
  <c r="J393" i="13"/>
  <c r="I393" i="13"/>
  <c r="H393" i="13"/>
  <c r="F393" i="13"/>
  <c r="AC392" i="13"/>
  <c r="AB392" i="13"/>
  <c r="T392" i="13"/>
  <c r="S392" i="13"/>
  <c r="Q392" i="13"/>
  <c r="L392" i="13"/>
  <c r="J392" i="13"/>
  <c r="I392" i="13"/>
  <c r="H392" i="13"/>
  <c r="F392" i="13"/>
  <c r="AB391" i="13"/>
  <c r="T391" i="13"/>
  <c r="S391" i="13"/>
  <c r="Q391" i="13"/>
  <c r="L391" i="13"/>
  <c r="AC391" i="13" s="1"/>
  <c r="J391" i="13"/>
  <c r="I391" i="13"/>
  <c r="R391" i="13" s="1"/>
  <c r="H391" i="13"/>
  <c r="F391" i="13"/>
  <c r="AC390" i="13"/>
  <c r="AB390" i="13"/>
  <c r="V390" i="13"/>
  <c r="T390" i="13"/>
  <c r="S390" i="13"/>
  <c r="Q390" i="13"/>
  <c r="P390" i="13"/>
  <c r="O390" i="13"/>
  <c r="L390" i="13"/>
  <c r="K390" i="13"/>
  <c r="J390" i="13"/>
  <c r="I390" i="13"/>
  <c r="N390" i="13" s="1"/>
  <c r="H390" i="13"/>
  <c r="F390" i="13"/>
  <c r="AC389" i="13"/>
  <c r="AB389" i="13"/>
  <c r="T389" i="13"/>
  <c r="S389" i="13"/>
  <c r="Q389" i="13"/>
  <c r="L389" i="13"/>
  <c r="J389" i="13"/>
  <c r="I389" i="13"/>
  <c r="H389" i="13"/>
  <c r="F389" i="13"/>
  <c r="AB388" i="13"/>
  <c r="T388" i="13"/>
  <c r="S388" i="13"/>
  <c r="Q388" i="13"/>
  <c r="L388" i="13"/>
  <c r="AC388" i="13" s="1"/>
  <c r="K388" i="13"/>
  <c r="J388" i="13"/>
  <c r="I388" i="13"/>
  <c r="H388" i="13"/>
  <c r="F388" i="13"/>
  <c r="AB387" i="13"/>
  <c r="T387" i="13"/>
  <c r="S387" i="13"/>
  <c r="Q387" i="13"/>
  <c r="L387" i="13"/>
  <c r="K387" i="13"/>
  <c r="J387" i="13"/>
  <c r="I387" i="13"/>
  <c r="H387" i="13"/>
  <c r="F387" i="13"/>
  <c r="AC386" i="13"/>
  <c r="AB386" i="13"/>
  <c r="T386" i="13"/>
  <c r="S386" i="13"/>
  <c r="R386" i="13"/>
  <c r="Q386" i="13"/>
  <c r="L386" i="13"/>
  <c r="K386" i="13"/>
  <c r="J386" i="13"/>
  <c r="I386" i="13"/>
  <c r="N386" i="13" s="1"/>
  <c r="H386" i="13"/>
  <c r="V386" i="13" s="1"/>
  <c r="F386" i="13"/>
  <c r="AB385" i="13"/>
  <c r="T385" i="13"/>
  <c r="S385" i="13"/>
  <c r="Q385" i="13"/>
  <c r="L385" i="13"/>
  <c r="AC385" i="13" s="1"/>
  <c r="J385" i="13"/>
  <c r="I385" i="13"/>
  <c r="H385" i="13"/>
  <c r="F385" i="13"/>
  <c r="AB384" i="13"/>
  <c r="T384" i="13"/>
  <c r="S384" i="13"/>
  <c r="Q384" i="13"/>
  <c r="L384" i="13"/>
  <c r="AC384" i="13" s="1"/>
  <c r="J384" i="13"/>
  <c r="I384" i="13"/>
  <c r="H384" i="13"/>
  <c r="F384" i="13"/>
  <c r="AB383" i="13"/>
  <c r="T383" i="13"/>
  <c r="S383" i="13"/>
  <c r="Q383" i="13"/>
  <c r="L383" i="13"/>
  <c r="AC383" i="13" s="1"/>
  <c r="K383" i="13"/>
  <c r="J383" i="13"/>
  <c r="I383" i="13"/>
  <c r="H383" i="13"/>
  <c r="F383" i="13"/>
  <c r="AC382" i="13"/>
  <c r="AB382" i="13"/>
  <c r="T382" i="13"/>
  <c r="S382" i="13"/>
  <c r="Q382" i="13"/>
  <c r="N382" i="13"/>
  <c r="P382" i="13" s="1"/>
  <c r="L382" i="13"/>
  <c r="K382" i="13"/>
  <c r="V382" i="13" s="1"/>
  <c r="J382" i="13"/>
  <c r="I382" i="13"/>
  <c r="R382" i="13" s="1"/>
  <c r="H382" i="13"/>
  <c r="F382" i="13"/>
  <c r="AC381" i="13"/>
  <c r="AB381" i="13"/>
  <c r="T381" i="13"/>
  <c r="S381" i="13"/>
  <c r="R381" i="13"/>
  <c r="Q381" i="13"/>
  <c r="N381" i="13"/>
  <c r="P381" i="13" s="1"/>
  <c r="L381" i="13"/>
  <c r="J381" i="13"/>
  <c r="I381" i="13"/>
  <c r="K381" i="13" s="1"/>
  <c r="H381" i="13"/>
  <c r="F381" i="13"/>
  <c r="AB380" i="13"/>
  <c r="T380" i="13"/>
  <c r="S380" i="13"/>
  <c r="R380" i="13"/>
  <c r="Q380" i="13"/>
  <c r="N380" i="13"/>
  <c r="L380" i="13"/>
  <c r="AC380" i="13" s="1"/>
  <c r="K380" i="13"/>
  <c r="J380" i="13"/>
  <c r="I380" i="13"/>
  <c r="H380" i="13"/>
  <c r="V380" i="13" s="1"/>
  <c r="F380" i="13"/>
  <c r="AB379" i="13"/>
  <c r="T379" i="13"/>
  <c r="S379" i="13"/>
  <c r="Q379" i="13"/>
  <c r="L379" i="13"/>
  <c r="K379" i="13"/>
  <c r="V379" i="13" s="1"/>
  <c r="J379" i="13"/>
  <c r="I379" i="13"/>
  <c r="H379" i="13"/>
  <c r="F379" i="13"/>
  <c r="AC378" i="13"/>
  <c r="AB378" i="13"/>
  <c r="T378" i="13"/>
  <c r="S378" i="13"/>
  <c r="Q378" i="13"/>
  <c r="N378" i="13"/>
  <c r="L378" i="13"/>
  <c r="J378" i="13"/>
  <c r="I378" i="13"/>
  <c r="K378" i="13" s="1"/>
  <c r="H378" i="13"/>
  <c r="V378" i="13" s="1"/>
  <c r="F378" i="13"/>
  <c r="AB377" i="13"/>
  <c r="S377" i="13"/>
  <c r="R377" i="13"/>
  <c r="Q377" i="13"/>
  <c r="N377" i="13"/>
  <c r="P377" i="13" s="1"/>
  <c r="L377" i="13"/>
  <c r="AC377" i="13" s="1"/>
  <c r="J377" i="13"/>
  <c r="T377" i="13" s="1"/>
  <c r="I377" i="13"/>
  <c r="K377" i="13" s="1"/>
  <c r="H377" i="13"/>
  <c r="F377" i="13"/>
  <c r="AB376" i="13"/>
  <c r="T376" i="13"/>
  <c r="S376" i="13"/>
  <c r="Q376" i="13"/>
  <c r="N376" i="13"/>
  <c r="L376" i="13"/>
  <c r="AC376" i="13" s="1"/>
  <c r="J376" i="13"/>
  <c r="I376" i="13"/>
  <c r="K376" i="13" s="1"/>
  <c r="H376" i="13"/>
  <c r="F376" i="13"/>
  <c r="AB375" i="13"/>
  <c r="T375" i="13"/>
  <c r="S375" i="13"/>
  <c r="Q375" i="13"/>
  <c r="P375" i="13"/>
  <c r="O375" i="13"/>
  <c r="N375" i="13"/>
  <c r="L375" i="13"/>
  <c r="AC375" i="13" s="1"/>
  <c r="J375" i="13"/>
  <c r="I375" i="13"/>
  <c r="K375" i="13" s="1"/>
  <c r="H375" i="13"/>
  <c r="F375" i="13"/>
  <c r="AB374" i="13"/>
  <c r="T374" i="13"/>
  <c r="S374" i="13"/>
  <c r="Q374" i="13"/>
  <c r="L374" i="13"/>
  <c r="AC374" i="13" s="1"/>
  <c r="K374" i="13"/>
  <c r="J374" i="13"/>
  <c r="I374" i="13"/>
  <c r="H374" i="13"/>
  <c r="F374" i="13"/>
  <c r="AB373" i="13"/>
  <c r="T373" i="13"/>
  <c r="S373" i="13"/>
  <c r="Q373" i="13"/>
  <c r="N373" i="13"/>
  <c r="L373" i="13"/>
  <c r="AC373" i="13" s="1"/>
  <c r="K373" i="13"/>
  <c r="V373" i="13" s="1"/>
  <c r="J373" i="13"/>
  <c r="I373" i="13"/>
  <c r="H373" i="13"/>
  <c r="R373" i="13" s="1"/>
  <c r="F373" i="13"/>
  <c r="AC372" i="13"/>
  <c r="AB372" i="13"/>
  <c r="T372" i="13"/>
  <c r="S372" i="13"/>
  <c r="R372" i="13"/>
  <c r="Q372" i="13"/>
  <c r="L372" i="13"/>
  <c r="J372" i="13"/>
  <c r="I372" i="13"/>
  <c r="H372" i="13"/>
  <c r="F372" i="13"/>
  <c r="AC371" i="13"/>
  <c r="AB371" i="13"/>
  <c r="T371" i="13"/>
  <c r="S371" i="13"/>
  <c r="R371" i="13"/>
  <c r="Q371" i="13"/>
  <c r="N371" i="13"/>
  <c r="L371" i="13"/>
  <c r="K371" i="13"/>
  <c r="V371" i="13" s="1"/>
  <c r="J371" i="13"/>
  <c r="I371" i="13"/>
  <c r="H371" i="13"/>
  <c r="F371" i="13"/>
  <c r="AB370" i="13"/>
  <c r="V370" i="13"/>
  <c r="T370" i="13"/>
  <c r="S370" i="13"/>
  <c r="Q370" i="13"/>
  <c r="L370" i="13"/>
  <c r="J370" i="13"/>
  <c r="I370" i="13"/>
  <c r="K370" i="13" s="1"/>
  <c r="H370" i="13"/>
  <c r="R370" i="13" s="1"/>
  <c r="F370" i="13"/>
  <c r="AC369" i="13"/>
  <c r="AB369" i="13"/>
  <c r="T369" i="13"/>
  <c r="S369" i="13"/>
  <c r="Q369" i="13"/>
  <c r="L369" i="13"/>
  <c r="J369" i="13"/>
  <c r="I369" i="13"/>
  <c r="H369" i="13"/>
  <c r="R369" i="13" s="1"/>
  <c r="F369" i="13"/>
  <c r="AB368" i="13"/>
  <c r="T368" i="13"/>
  <c r="S368" i="13"/>
  <c r="Q368" i="13"/>
  <c r="L368" i="13"/>
  <c r="K368" i="13"/>
  <c r="V368" i="13" s="1"/>
  <c r="J368" i="13"/>
  <c r="I368" i="13"/>
  <c r="H368" i="13"/>
  <c r="R368" i="13" s="1"/>
  <c r="F368" i="13"/>
  <c r="AC367" i="13"/>
  <c r="AB367" i="13"/>
  <c r="T367" i="13"/>
  <c r="S367" i="13"/>
  <c r="Q367" i="13"/>
  <c r="O367" i="13"/>
  <c r="N367" i="13"/>
  <c r="P367" i="13" s="1"/>
  <c r="L367" i="13"/>
  <c r="J367" i="13"/>
  <c r="I367" i="13"/>
  <c r="K367" i="13" s="1"/>
  <c r="H367" i="13"/>
  <c r="F367" i="13"/>
  <c r="AB366" i="13"/>
  <c r="T366" i="13"/>
  <c r="S366" i="13"/>
  <c r="R366" i="13"/>
  <c r="Q366" i="13"/>
  <c r="L366" i="13"/>
  <c r="AC366" i="13" s="1"/>
  <c r="J366" i="13"/>
  <c r="I366" i="13"/>
  <c r="H366" i="13"/>
  <c r="F366" i="13"/>
  <c r="AB365" i="13"/>
  <c r="T365" i="13"/>
  <c r="S365" i="13"/>
  <c r="Q365" i="13"/>
  <c r="P365" i="13"/>
  <c r="O365" i="13"/>
  <c r="N365" i="13"/>
  <c r="L365" i="13"/>
  <c r="AC365" i="13" s="1"/>
  <c r="K365" i="13"/>
  <c r="V365" i="13" s="1"/>
  <c r="J365" i="13"/>
  <c r="I365" i="13"/>
  <c r="H365" i="13"/>
  <c r="R365" i="13" s="1"/>
  <c r="F365" i="13"/>
  <c r="AC364" i="13"/>
  <c r="AB364" i="13"/>
  <c r="T364" i="13"/>
  <c r="S364" i="13"/>
  <c r="Q364" i="13"/>
  <c r="L364" i="13"/>
  <c r="J364" i="13"/>
  <c r="I364" i="13"/>
  <c r="H364" i="13"/>
  <c r="F364" i="13"/>
  <c r="AC363" i="13"/>
  <c r="AB363" i="13"/>
  <c r="T363" i="13"/>
  <c r="S363" i="13"/>
  <c r="Q363" i="13"/>
  <c r="N363" i="13"/>
  <c r="L363" i="13"/>
  <c r="J363" i="13"/>
  <c r="I363" i="13"/>
  <c r="H363" i="13"/>
  <c r="F363" i="13"/>
  <c r="AB362" i="13"/>
  <c r="T362" i="13"/>
  <c r="S362" i="13"/>
  <c r="Q362" i="13"/>
  <c r="O362" i="13"/>
  <c r="N362" i="13"/>
  <c r="P362" i="13" s="1"/>
  <c r="L362" i="13"/>
  <c r="AC362" i="13" s="1"/>
  <c r="J362" i="13"/>
  <c r="I362" i="13"/>
  <c r="K362" i="13" s="1"/>
  <c r="H362" i="13"/>
  <c r="F362" i="13"/>
  <c r="AC361" i="13"/>
  <c r="AB361" i="13"/>
  <c r="T361" i="13"/>
  <c r="S361" i="13"/>
  <c r="R361" i="13"/>
  <c r="Q361" i="13"/>
  <c r="P361" i="13"/>
  <c r="L361" i="13"/>
  <c r="K361" i="13"/>
  <c r="J361" i="13"/>
  <c r="I361" i="13"/>
  <c r="N361" i="13" s="1"/>
  <c r="O361" i="13" s="1"/>
  <c r="H361" i="13"/>
  <c r="F361" i="13"/>
  <c r="AB360" i="13"/>
  <c r="V360" i="13"/>
  <c r="T360" i="13"/>
  <c r="S360" i="13"/>
  <c r="Q360" i="13"/>
  <c r="O360" i="13"/>
  <c r="N360" i="13"/>
  <c r="P360" i="13" s="1"/>
  <c r="L360" i="13"/>
  <c r="AC360" i="13" s="1"/>
  <c r="K360" i="13"/>
  <c r="J360" i="13"/>
  <c r="I360" i="13"/>
  <c r="H360" i="13"/>
  <c r="R360" i="13" s="1"/>
  <c r="F360" i="13"/>
  <c r="AC359" i="13"/>
  <c r="AB359" i="13"/>
  <c r="T359" i="13"/>
  <c r="S359" i="13"/>
  <c r="Q359" i="13"/>
  <c r="L359" i="13"/>
  <c r="J359" i="13"/>
  <c r="I359" i="13"/>
  <c r="K359" i="13" s="1"/>
  <c r="H359" i="13"/>
  <c r="V359" i="13" s="1"/>
  <c r="F359" i="13"/>
  <c r="AC358" i="13"/>
  <c r="AB358" i="13"/>
  <c r="T358" i="13"/>
  <c r="S358" i="13"/>
  <c r="Q358" i="13"/>
  <c r="L358" i="13"/>
  <c r="K358" i="13"/>
  <c r="J358" i="13"/>
  <c r="I358" i="13"/>
  <c r="H358" i="13"/>
  <c r="F358" i="13"/>
  <c r="AB357" i="13"/>
  <c r="T357" i="13"/>
  <c r="S357" i="13"/>
  <c r="Q357" i="13"/>
  <c r="N357" i="13"/>
  <c r="L357" i="13"/>
  <c r="AC357" i="13" s="1"/>
  <c r="K357" i="13"/>
  <c r="V357" i="13" s="1"/>
  <c r="J357" i="13"/>
  <c r="I357" i="13"/>
  <c r="H357" i="13"/>
  <c r="R357" i="13" s="1"/>
  <c r="F357" i="13"/>
  <c r="AC356" i="13"/>
  <c r="AB356" i="13"/>
  <c r="T356" i="13"/>
  <c r="S356" i="13"/>
  <c r="Q356" i="13"/>
  <c r="L356" i="13"/>
  <c r="J356" i="13"/>
  <c r="I356" i="13"/>
  <c r="H356" i="13"/>
  <c r="F356" i="13"/>
  <c r="AC355" i="13"/>
  <c r="AB355" i="13"/>
  <c r="T355" i="13"/>
  <c r="S355" i="13"/>
  <c r="R355" i="13"/>
  <c r="Q355" i="13"/>
  <c r="N355" i="13"/>
  <c r="L355" i="13"/>
  <c r="K355" i="13"/>
  <c r="V355" i="13" s="1"/>
  <c r="J355" i="13"/>
  <c r="I355" i="13"/>
  <c r="H355" i="13"/>
  <c r="F355" i="13"/>
  <c r="AB354" i="13"/>
  <c r="V354" i="13"/>
  <c r="T354" i="13"/>
  <c r="S354" i="13"/>
  <c r="Q354" i="13"/>
  <c r="L354" i="13"/>
  <c r="J354" i="13"/>
  <c r="I354" i="13"/>
  <c r="K354" i="13" s="1"/>
  <c r="H354" i="13"/>
  <c r="R354" i="13" s="1"/>
  <c r="F354" i="13"/>
  <c r="AC353" i="13"/>
  <c r="AB353" i="13"/>
  <c r="T353" i="13"/>
  <c r="S353" i="13"/>
  <c r="Q353" i="13"/>
  <c r="L353" i="13"/>
  <c r="J353" i="13"/>
  <c r="I353" i="13"/>
  <c r="H353" i="13"/>
  <c r="F353" i="13"/>
  <c r="AB352" i="13"/>
  <c r="T352" i="13"/>
  <c r="S352" i="13"/>
  <c r="Q352" i="13"/>
  <c r="L352" i="13"/>
  <c r="K352" i="13"/>
  <c r="V352" i="13" s="1"/>
  <c r="J352" i="13"/>
  <c r="I352" i="13"/>
  <c r="H352" i="13"/>
  <c r="R352" i="13" s="1"/>
  <c r="F352" i="13"/>
  <c r="AC351" i="13"/>
  <c r="AB351" i="13"/>
  <c r="T351" i="13"/>
  <c r="S351" i="13"/>
  <c r="R351" i="13"/>
  <c r="Q351" i="13"/>
  <c r="L351" i="13"/>
  <c r="J351" i="13"/>
  <c r="I351" i="13"/>
  <c r="H351" i="13"/>
  <c r="F351" i="13"/>
  <c r="AB350" i="13"/>
  <c r="T350" i="13"/>
  <c r="S350" i="13"/>
  <c r="R350" i="13"/>
  <c r="Q350" i="13"/>
  <c r="L350" i="13"/>
  <c r="AC350" i="13" s="1"/>
  <c r="K350" i="13"/>
  <c r="J350" i="13"/>
  <c r="I350" i="13"/>
  <c r="N350" i="13" s="1"/>
  <c r="H350" i="13"/>
  <c r="F350" i="13"/>
  <c r="AB349" i="13"/>
  <c r="T349" i="13"/>
  <c r="S349" i="13"/>
  <c r="Q349" i="13"/>
  <c r="N349" i="13"/>
  <c r="L349" i="13"/>
  <c r="AC349" i="13" s="1"/>
  <c r="K349" i="13"/>
  <c r="J349" i="13"/>
  <c r="I349" i="13"/>
  <c r="H349" i="13"/>
  <c r="F349" i="13"/>
  <c r="AC348" i="13"/>
  <c r="AB348" i="13"/>
  <c r="T348" i="13"/>
  <c r="S348" i="13"/>
  <c r="Q348" i="13"/>
  <c r="L348" i="13"/>
  <c r="J348" i="13"/>
  <c r="I348" i="13"/>
  <c r="H348" i="13"/>
  <c r="F348" i="13"/>
  <c r="AB347" i="13"/>
  <c r="T347" i="13"/>
  <c r="S347" i="13"/>
  <c r="Q347" i="13"/>
  <c r="L347" i="13"/>
  <c r="AC347" i="13" s="1"/>
  <c r="J347" i="13"/>
  <c r="I347" i="13"/>
  <c r="H347" i="13"/>
  <c r="F347" i="13"/>
  <c r="AC346" i="13"/>
  <c r="AB346" i="13"/>
  <c r="V346" i="13"/>
  <c r="T346" i="13"/>
  <c r="S346" i="13"/>
  <c r="R346" i="13"/>
  <c r="Q346" i="13"/>
  <c r="N346" i="13"/>
  <c r="L346" i="13"/>
  <c r="J346" i="13"/>
  <c r="I346" i="13"/>
  <c r="K346" i="13" s="1"/>
  <c r="H346" i="13"/>
  <c r="F346" i="13"/>
  <c r="AC345" i="13"/>
  <c r="AB345" i="13"/>
  <c r="T345" i="13"/>
  <c r="S345" i="13"/>
  <c r="R345" i="13"/>
  <c r="Q345" i="13"/>
  <c r="L345" i="13"/>
  <c r="K345" i="13"/>
  <c r="V345" i="13" s="1"/>
  <c r="J345" i="13"/>
  <c r="I345" i="13"/>
  <c r="N345" i="13" s="1"/>
  <c r="O345" i="13" s="1"/>
  <c r="H345" i="13"/>
  <c r="F345" i="13"/>
  <c r="AB344" i="13"/>
  <c r="T344" i="13"/>
  <c r="S344" i="13"/>
  <c r="Q344" i="13"/>
  <c r="L344" i="13"/>
  <c r="K344" i="13"/>
  <c r="V344" i="13" s="1"/>
  <c r="J344" i="13"/>
  <c r="I344" i="13"/>
  <c r="H344" i="13"/>
  <c r="R344" i="13" s="1"/>
  <c r="F344" i="13"/>
  <c r="AC343" i="13"/>
  <c r="AB343" i="13"/>
  <c r="T343" i="13"/>
  <c r="S343" i="13"/>
  <c r="Q343" i="13"/>
  <c r="L343" i="13"/>
  <c r="J343" i="13"/>
  <c r="I343" i="13"/>
  <c r="K343" i="13" s="1"/>
  <c r="H343" i="13"/>
  <c r="F343" i="13"/>
  <c r="AB342" i="13"/>
  <c r="T342" i="13"/>
  <c r="S342" i="13"/>
  <c r="Q342" i="13"/>
  <c r="L342" i="13"/>
  <c r="K342" i="13"/>
  <c r="J342" i="13"/>
  <c r="I342" i="13"/>
  <c r="H342" i="13"/>
  <c r="F342" i="13"/>
  <c r="AB341" i="13"/>
  <c r="Y341" i="13"/>
  <c r="Z341" i="13" s="1"/>
  <c r="T341" i="13"/>
  <c r="S341" i="13"/>
  <c r="Q341" i="13"/>
  <c r="N341" i="13"/>
  <c r="L341" i="13"/>
  <c r="AC341" i="13" s="1"/>
  <c r="K341" i="13"/>
  <c r="J341" i="13"/>
  <c r="I341" i="13"/>
  <c r="H341" i="13"/>
  <c r="R341" i="13" s="1"/>
  <c r="F341" i="13"/>
  <c r="AC340" i="13"/>
  <c r="AB340" i="13"/>
  <c r="T340" i="13"/>
  <c r="S340" i="13"/>
  <c r="Q340" i="13"/>
  <c r="L340" i="13"/>
  <c r="J340" i="13"/>
  <c r="I340" i="13"/>
  <c r="H340" i="13"/>
  <c r="F340" i="13"/>
  <c r="AB339" i="13"/>
  <c r="T339" i="13"/>
  <c r="S339" i="13"/>
  <c r="Q339" i="13"/>
  <c r="O339" i="13"/>
  <c r="N339" i="13"/>
  <c r="P339" i="13" s="1"/>
  <c r="L339" i="13"/>
  <c r="AC339" i="13" s="1"/>
  <c r="J339" i="13"/>
  <c r="I339" i="13"/>
  <c r="K339" i="13" s="1"/>
  <c r="V339" i="13" s="1"/>
  <c r="H339" i="13"/>
  <c r="F339" i="13"/>
  <c r="AC338" i="13"/>
  <c r="AB338" i="13"/>
  <c r="T338" i="13"/>
  <c r="S338" i="13"/>
  <c r="R338" i="13"/>
  <c r="Q338" i="13"/>
  <c r="N338" i="13"/>
  <c r="L338" i="13"/>
  <c r="J338" i="13"/>
  <c r="I338" i="13"/>
  <c r="K338" i="13" s="1"/>
  <c r="H338" i="13"/>
  <c r="V338" i="13" s="1"/>
  <c r="F338" i="13"/>
  <c r="AC337" i="13"/>
  <c r="AB337" i="13"/>
  <c r="T337" i="13"/>
  <c r="S337" i="13"/>
  <c r="R337" i="13"/>
  <c r="Q337" i="13"/>
  <c r="L337" i="13"/>
  <c r="K337" i="13"/>
  <c r="V337" i="13" s="1"/>
  <c r="J337" i="13"/>
  <c r="I337" i="13"/>
  <c r="N337" i="13" s="1"/>
  <c r="O337" i="13" s="1"/>
  <c r="H337" i="13"/>
  <c r="F337" i="13"/>
  <c r="AB336" i="13"/>
  <c r="Y336" i="13"/>
  <c r="T336" i="13"/>
  <c r="S336" i="13"/>
  <c r="Q336" i="13"/>
  <c r="L336" i="13"/>
  <c r="K336" i="13"/>
  <c r="V336" i="13" s="1"/>
  <c r="J336" i="13"/>
  <c r="I336" i="13"/>
  <c r="H336" i="13"/>
  <c r="R336" i="13" s="1"/>
  <c r="F336" i="13"/>
  <c r="AC335" i="13"/>
  <c r="AB335" i="13"/>
  <c r="T335" i="13"/>
  <c r="S335" i="13"/>
  <c r="Q335" i="13"/>
  <c r="L335" i="13"/>
  <c r="J335" i="13"/>
  <c r="I335" i="13"/>
  <c r="H335" i="13"/>
  <c r="R335" i="13" s="1"/>
  <c r="F335" i="13"/>
  <c r="AB334" i="13"/>
  <c r="T334" i="13"/>
  <c r="S334" i="13"/>
  <c r="Q334" i="13"/>
  <c r="L334" i="13"/>
  <c r="AC334" i="13" s="1"/>
  <c r="K334" i="13"/>
  <c r="J334" i="13"/>
  <c r="I334" i="13"/>
  <c r="H334" i="13"/>
  <c r="F334" i="13"/>
  <c r="AB333" i="13"/>
  <c r="T333" i="13"/>
  <c r="S333" i="13"/>
  <c r="Q333" i="13"/>
  <c r="N333" i="13"/>
  <c r="L333" i="13"/>
  <c r="AC333" i="13" s="1"/>
  <c r="K333" i="13"/>
  <c r="J333" i="13"/>
  <c r="I333" i="13"/>
  <c r="H333" i="13"/>
  <c r="F333" i="13"/>
  <c r="AC332" i="13"/>
  <c r="AB332" i="13"/>
  <c r="T332" i="13"/>
  <c r="S332" i="13"/>
  <c r="Q332" i="13"/>
  <c r="L332" i="13"/>
  <c r="J332" i="13"/>
  <c r="I332" i="13"/>
  <c r="H332" i="13"/>
  <c r="F332" i="13"/>
  <c r="AB331" i="13"/>
  <c r="Y331" i="13"/>
  <c r="T331" i="13"/>
  <c r="S331" i="13"/>
  <c r="Q331" i="13"/>
  <c r="L331" i="13"/>
  <c r="AC331" i="13" s="1"/>
  <c r="J331" i="13"/>
  <c r="I331" i="13"/>
  <c r="H331" i="13"/>
  <c r="F331" i="13"/>
  <c r="AC330" i="13"/>
  <c r="AB330" i="13"/>
  <c r="T330" i="13"/>
  <c r="S330" i="13"/>
  <c r="Q330" i="13"/>
  <c r="N330" i="13"/>
  <c r="L330" i="13"/>
  <c r="J330" i="13"/>
  <c r="I330" i="13"/>
  <c r="K330" i="13" s="1"/>
  <c r="H330" i="13"/>
  <c r="F330" i="13"/>
  <c r="AC329" i="13"/>
  <c r="AB329" i="13"/>
  <c r="T329" i="13"/>
  <c r="S329" i="13"/>
  <c r="R329" i="13"/>
  <c r="Q329" i="13"/>
  <c r="L329" i="13"/>
  <c r="K329" i="13"/>
  <c r="V329" i="13" s="1"/>
  <c r="J329" i="13"/>
  <c r="I329" i="13"/>
  <c r="N329" i="13" s="1"/>
  <c r="O329" i="13" s="1"/>
  <c r="H329" i="13"/>
  <c r="F329" i="13"/>
  <c r="AB328" i="13"/>
  <c r="T328" i="13"/>
  <c r="S328" i="13"/>
  <c r="Q328" i="13"/>
  <c r="L328" i="13"/>
  <c r="K328" i="13"/>
  <c r="V328" i="13" s="1"/>
  <c r="J328" i="13"/>
  <c r="I328" i="13"/>
  <c r="H328" i="13"/>
  <c r="R328" i="13" s="1"/>
  <c r="F328" i="13"/>
  <c r="AC327" i="13"/>
  <c r="AB327" i="13"/>
  <c r="T327" i="13"/>
  <c r="S327" i="13"/>
  <c r="Q327" i="13"/>
  <c r="L327" i="13"/>
  <c r="J327" i="13"/>
  <c r="I327" i="13"/>
  <c r="H327" i="13"/>
  <c r="F327" i="13"/>
  <c r="AB326" i="13"/>
  <c r="T326" i="13"/>
  <c r="S326" i="13"/>
  <c r="Q326" i="13"/>
  <c r="L326" i="13"/>
  <c r="K326" i="13"/>
  <c r="J326" i="13"/>
  <c r="I326" i="13"/>
  <c r="H326" i="13"/>
  <c r="F326" i="13"/>
  <c r="AB325" i="13"/>
  <c r="T325" i="13"/>
  <c r="S325" i="13"/>
  <c r="Q325" i="13"/>
  <c r="N325" i="13"/>
  <c r="L325" i="13"/>
  <c r="AC325" i="13" s="1"/>
  <c r="K325" i="13"/>
  <c r="J325" i="13"/>
  <c r="I325" i="13"/>
  <c r="H325" i="13"/>
  <c r="F325" i="13"/>
  <c r="AC324" i="13"/>
  <c r="AB324" i="13"/>
  <c r="T324" i="13"/>
  <c r="S324" i="13"/>
  <c r="R324" i="13"/>
  <c r="Q324" i="13"/>
  <c r="L324" i="13"/>
  <c r="J324" i="13"/>
  <c r="I324" i="13"/>
  <c r="H324" i="13"/>
  <c r="F324" i="13"/>
  <c r="AB323" i="13"/>
  <c r="T323" i="13"/>
  <c r="S323" i="13"/>
  <c r="Q323" i="13"/>
  <c r="L323" i="13"/>
  <c r="AC323" i="13" s="1"/>
  <c r="J323" i="13"/>
  <c r="I323" i="13"/>
  <c r="H323" i="13"/>
  <c r="F323" i="13"/>
  <c r="AC322" i="13"/>
  <c r="AB322" i="13"/>
  <c r="T322" i="13"/>
  <c r="S322" i="13"/>
  <c r="Q322" i="13"/>
  <c r="N322" i="13"/>
  <c r="L322" i="13"/>
  <c r="J322" i="13"/>
  <c r="I322" i="13"/>
  <c r="K322" i="13" s="1"/>
  <c r="H322" i="13"/>
  <c r="F322" i="13"/>
  <c r="AB321" i="13"/>
  <c r="T321" i="13"/>
  <c r="S321" i="13"/>
  <c r="Q321" i="13"/>
  <c r="N321" i="13"/>
  <c r="L321" i="13"/>
  <c r="AC321" i="13" s="1"/>
  <c r="J321" i="13"/>
  <c r="I321" i="13"/>
  <c r="K321" i="13" s="1"/>
  <c r="H321" i="13"/>
  <c r="R321" i="13" s="1"/>
  <c r="F321" i="13"/>
  <c r="AB320" i="13"/>
  <c r="T320" i="13"/>
  <c r="S320" i="13"/>
  <c r="Q320" i="13"/>
  <c r="O320" i="13"/>
  <c r="N320" i="13"/>
  <c r="P320" i="13" s="1"/>
  <c r="L320" i="13"/>
  <c r="AC320" i="13" s="1"/>
  <c r="K320" i="13"/>
  <c r="J320" i="13"/>
  <c r="I320" i="13"/>
  <c r="H320" i="13"/>
  <c r="R320" i="13" s="1"/>
  <c r="F320" i="13"/>
  <c r="AC319" i="13"/>
  <c r="AB319" i="13"/>
  <c r="T319" i="13"/>
  <c r="S319" i="13"/>
  <c r="Q319" i="13"/>
  <c r="P319" i="13"/>
  <c r="L319" i="13"/>
  <c r="K319" i="13"/>
  <c r="J319" i="13"/>
  <c r="I319" i="13"/>
  <c r="N319" i="13" s="1"/>
  <c r="O319" i="13" s="1"/>
  <c r="H319" i="13"/>
  <c r="F319" i="13"/>
  <c r="AB318" i="13"/>
  <c r="T318" i="13"/>
  <c r="S318" i="13"/>
  <c r="Q318" i="13"/>
  <c r="N318" i="13"/>
  <c r="L318" i="13"/>
  <c r="AC318" i="13" s="1"/>
  <c r="J318" i="13"/>
  <c r="I318" i="13"/>
  <c r="K318" i="13" s="1"/>
  <c r="H318" i="13"/>
  <c r="R318" i="13" s="1"/>
  <c r="F318" i="13"/>
  <c r="AB317" i="13"/>
  <c r="V317" i="13"/>
  <c r="T317" i="13"/>
  <c r="S317" i="13"/>
  <c r="Q317" i="13"/>
  <c r="L317" i="13"/>
  <c r="K317" i="13"/>
  <c r="J317" i="13"/>
  <c r="I317" i="13"/>
  <c r="H317" i="13"/>
  <c r="F317" i="13"/>
  <c r="AB316" i="13"/>
  <c r="T316" i="13"/>
  <c r="S316" i="13"/>
  <c r="R316" i="13"/>
  <c r="Q316" i="13"/>
  <c r="L316" i="13"/>
  <c r="AC316" i="13" s="1"/>
  <c r="J316" i="13"/>
  <c r="I316" i="13"/>
  <c r="H316" i="13"/>
  <c r="F316" i="13"/>
  <c r="AB315" i="13"/>
  <c r="Y315" i="13"/>
  <c r="V315" i="13"/>
  <c r="T315" i="13"/>
  <c r="S315" i="13"/>
  <c r="Q315" i="13"/>
  <c r="L315" i="13"/>
  <c r="K315" i="13"/>
  <c r="J315" i="13"/>
  <c r="I315" i="13"/>
  <c r="R315" i="13" s="1"/>
  <c r="H315" i="13"/>
  <c r="F315" i="13"/>
  <c r="AC314" i="13"/>
  <c r="AB314" i="13"/>
  <c r="Y314" i="13"/>
  <c r="T314" i="13"/>
  <c r="S314" i="13"/>
  <c r="Q314" i="13"/>
  <c r="L314" i="13"/>
  <c r="J314" i="13"/>
  <c r="I314" i="13"/>
  <c r="H314" i="13"/>
  <c r="F314" i="13"/>
  <c r="AC313" i="13"/>
  <c r="AB313" i="13"/>
  <c r="Y313" i="13"/>
  <c r="V313" i="13"/>
  <c r="T313" i="13"/>
  <c r="S313" i="13"/>
  <c r="Q313" i="13"/>
  <c r="P313" i="13"/>
  <c r="N313" i="13"/>
  <c r="O313" i="13" s="1"/>
  <c r="L313" i="13"/>
  <c r="K313" i="13"/>
  <c r="J313" i="13"/>
  <c r="I313" i="13"/>
  <c r="H313" i="13"/>
  <c r="F313" i="13"/>
  <c r="AB312" i="13"/>
  <c r="T312" i="13"/>
  <c r="S312" i="13"/>
  <c r="Q312" i="13"/>
  <c r="L312" i="13"/>
  <c r="K312" i="13"/>
  <c r="J312" i="13"/>
  <c r="I312" i="13"/>
  <c r="H312" i="13"/>
  <c r="F312" i="13"/>
  <c r="AC311" i="13"/>
  <c r="AB311" i="13"/>
  <c r="T311" i="13"/>
  <c r="S311" i="13"/>
  <c r="R311" i="13"/>
  <c r="Q311" i="13"/>
  <c r="L311" i="13"/>
  <c r="J311" i="13"/>
  <c r="I311" i="13"/>
  <c r="K311" i="13" s="1"/>
  <c r="H311" i="13"/>
  <c r="Y311" i="13" s="1"/>
  <c r="F311" i="13"/>
  <c r="AC310" i="13"/>
  <c r="AB310" i="13"/>
  <c r="T310" i="13"/>
  <c r="S310" i="13"/>
  <c r="Q310" i="13"/>
  <c r="L310" i="13"/>
  <c r="K310" i="13"/>
  <c r="V310" i="13" s="1"/>
  <c r="J310" i="13"/>
  <c r="I310" i="13"/>
  <c r="N310" i="13" s="1"/>
  <c r="P310" i="13" s="1"/>
  <c r="H310" i="13"/>
  <c r="R310" i="13" s="1"/>
  <c r="F310" i="13"/>
  <c r="AC309" i="13"/>
  <c r="AB309" i="13"/>
  <c r="Y309" i="13"/>
  <c r="Z309" i="13" s="1"/>
  <c r="T309" i="13"/>
  <c r="S309" i="13"/>
  <c r="R309" i="13"/>
  <c r="Q309" i="13"/>
  <c r="L309" i="13"/>
  <c r="J309" i="13"/>
  <c r="I309" i="13"/>
  <c r="K309" i="13" s="1"/>
  <c r="V309" i="13" s="1"/>
  <c r="H309" i="13"/>
  <c r="F309" i="13"/>
  <c r="AC308" i="13"/>
  <c r="AB308" i="13"/>
  <c r="T308" i="13"/>
  <c r="S308" i="13"/>
  <c r="Q308" i="13"/>
  <c r="P308" i="13"/>
  <c r="O308" i="13"/>
  <c r="L308" i="13"/>
  <c r="K308" i="13"/>
  <c r="V308" i="13" s="1"/>
  <c r="J308" i="13"/>
  <c r="I308" i="13"/>
  <c r="N308" i="13" s="1"/>
  <c r="H308" i="13"/>
  <c r="Y308" i="13" s="1"/>
  <c r="Z308" i="13" s="1"/>
  <c r="F308" i="13"/>
  <c r="AC307" i="13"/>
  <c r="AB307" i="13"/>
  <c r="T307" i="13"/>
  <c r="S307" i="13"/>
  <c r="R307" i="13"/>
  <c r="Q307" i="13"/>
  <c r="N307" i="13"/>
  <c r="P307" i="13" s="1"/>
  <c r="L307" i="13"/>
  <c r="J307" i="13"/>
  <c r="I307" i="13"/>
  <c r="K307" i="13" s="1"/>
  <c r="V307" i="13" s="1"/>
  <c r="H307" i="13"/>
  <c r="F307" i="13"/>
  <c r="AB306" i="13"/>
  <c r="T306" i="13"/>
  <c r="S306" i="13"/>
  <c r="R306" i="13"/>
  <c r="Q306" i="13"/>
  <c r="L306" i="13"/>
  <c r="AC306" i="13" s="1"/>
  <c r="J306" i="13"/>
  <c r="I306" i="13"/>
  <c r="K306" i="13" s="1"/>
  <c r="V306" i="13" s="1"/>
  <c r="H306" i="13"/>
  <c r="F306" i="13"/>
  <c r="AB305" i="13"/>
  <c r="T305" i="13"/>
  <c r="S305" i="13"/>
  <c r="R305" i="13"/>
  <c r="Q305" i="13"/>
  <c r="L305" i="13"/>
  <c r="AC305" i="13" s="1"/>
  <c r="J305" i="13"/>
  <c r="I305" i="13"/>
  <c r="K305" i="13" s="1"/>
  <c r="H305" i="13"/>
  <c r="V305" i="13" s="1"/>
  <c r="F305" i="13"/>
  <c r="AB304" i="13"/>
  <c r="V304" i="13"/>
  <c r="T304" i="13"/>
  <c r="S304" i="13"/>
  <c r="Q304" i="13"/>
  <c r="O304" i="13"/>
  <c r="N304" i="13"/>
  <c r="P304" i="13" s="1"/>
  <c r="L304" i="13"/>
  <c r="AC304" i="13" s="1"/>
  <c r="K304" i="13"/>
  <c r="J304" i="13"/>
  <c r="I304" i="13"/>
  <c r="H304" i="13"/>
  <c r="R304" i="13" s="1"/>
  <c r="F304" i="13"/>
  <c r="AC303" i="13"/>
  <c r="AB303" i="13"/>
  <c r="T303" i="13"/>
  <c r="S303" i="13"/>
  <c r="Q303" i="13"/>
  <c r="N303" i="13"/>
  <c r="O303" i="13" s="1"/>
  <c r="L303" i="13"/>
  <c r="K303" i="13"/>
  <c r="J303" i="13"/>
  <c r="I303" i="13"/>
  <c r="H303" i="13"/>
  <c r="F303" i="13"/>
  <c r="AB302" i="13"/>
  <c r="T302" i="13"/>
  <c r="S302" i="13"/>
  <c r="R302" i="13"/>
  <c r="Q302" i="13"/>
  <c r="L302" i="13"/>
  <c r="AC302" i="13" s="1"/>
  <c r="J302" i="13"/>
  <c r="I302" i="13"/>
  <c r="K302" i="13" s="1"/>
  <c r="H302" i="13"/>
  <c r="F302" i="13"/>
  <c r="AC301" i="13"/>
  <c r="AB301" i="13"/>
  <c r="V301" i="13"/>
  <c r="T301" i="13"/>
  <c r="S301" i="13"/>
  <c r="Q301" i="13"/>
  <c r="L301" i="13"/>
  <c r="K301" i="13"/>
  <c r="J301" i="13"/>
  <c r="I301" i="13"/>
  <c r="H301" i="13"/>
  <c r="R301" i="13" s="1"/>
  <c r="F301" i="13"/>
  <c r="AB300" i="13"/>
  <c r="T300" i="13"/>
  <c r="S300" i="13"/>
  <c r="Q300" i="13"/>
  <c r="L300" i="13"/>
  <c r="AC300" i="13" s="1"/>
  <c r="J300" i="13"/>
  <c r="I300" i="13"/>
  <c r="H300" i="13"/>
  <c r="R300" i="13" s="1"/>
  <c r="F300" i="13"/>
  <c r="AB299" i="13"/>
  <c r="T299" i="13"/>
  <c r="S299" i="13"/>
  <c r="Q299" i="13"/>
  <c r="O299" i="13"/>
  <c r="N299" i="13"/>
  <c r="P299" i="13" s="1"/>
  <c r="L299" i="13"/>
  <c r="AC299" i="13" s="1"/>
  <c r="K299" i="13"/>
  <c r="V299" i="13" s="1"/>
  <c r="J299" i="13"/>
  <c r="I299" i="13"/>
  <c r="R299" i="13" s="1"/>
  <c r="H299" i="13"/>
  <c r="F299" i="13"/>
  <c r="AC298" i="13"/>
  <c r="AB298" i="13"/>
  <c r="T298" i="13"/>
  <c r="S298" i="13"/>
  <c r="Q298" i="13"/>
  <c r="L298" i="13"/>
  <c r="J298" i="13"/>
  <c r="I298" i="13"/>
  <c r="H298" i="13"/>
  <c r="R298" i="13" s="1"/>
  <c r="F298" i="13"/>
  <c r="AC297" i="13"/>
  <c r="AB297" i="13"/>
  <c r="V297" i="13"/>
  <c r="T297" i="13"/>
  <c r="S297" i="13"/>
  <c r="R297" i="13"/>
  <c r="Q297" i="13"/>
  <c r="L297" i="13"/>
  <c r="K297" i="13"/>
  <c r="J297" i="13"/>
  <c r="I297" i="13"/>
  <c r="N297" i="13" s="1"/>
  <c r="O297" i="13" s="1"/>
  <c r="H297" i="13"/>
  <c r="F297" i="13"/>
  <c r="AB296" i="13"/>
  <c r="T296" i="13"/>
  <c r="S296" i="13"/>
  <c r="Q296" i="13"/>
  <c r="L296" i="13"/>
  <c r="K296" i="13"/>
  <c r="J296" i="13"/>
  <c r="I296" i="13"/>
  <c r="H296" i="13"/>
  <c r="F296" i="13"/>
  <c r="AC295" i="13"/>
  <c r="AB295" i="13"/>
  <c r="T295" i="13"/>
  <c r="S295" i="13"/>
  <c r="Q295" i="13"/>
  <c r="L295" i="13"/>
  <c r="J295" i="13"/>
  <c r="I295" i="13"/>
  <c r="H295" i="13"/>
  <c r="F295" i="13"/>
  <c r="AB294" i="13"/>
  <c r="T294" i="13"/>
  <c r="S294" i="13"/>
  <c r="Q294" i="13"/>
  <c r="N294" i="13"/>
  <c r="P294" i="13" s="1"/>
  <c r="L294" i="13"/>
  <c r="AC294" i="13" s="1"/>
  <c r="K294" i="13"/>
  <c r="V294" i="13" s="1"/>
  <c r="J294" i="13"/>
  <c r="I294" i="13"/>
  <c r="H294" i="13"/>
  <c r="R294" i="13" s="1"/>
  <c r="F294" i="13"/>
  <c r="AC293" i="13"/>
  <c r="AB293" i="13"/>
  <c r="T293" i="13"/>
  <c r="S293" i="13"/>
  <c r="Q293" i="13"/>
  <c r="L293" i="13"/>
  <c r="J293" i="13"/>
  <c r="I293" i="13"/>
  <c r="H293" i="13"/>
  <c r="F293" i="13"/>
  <c r="AC292" i="13"/>
  <c r="AB292" i="13"/>
  <c r="T292" i="13"/>
  <c r="S292" i="13"/>
  <c r="Q292" i="13"/>
  <c r="L292" i="13"/>
  <c r="J292" i="13"/>
  <c r="I292" i="13"/>
  <c r="H292" i="13"/>
  <c r="F292" i="13"/>
  <c r="AC291" i="13"/>
  <c r="AB291" i="13"/>
  <c r="T291" i="13"/>
  <c r="S291" i="13"/>
  <c r="Q291" i="13"/>
  <c r="L291" i="13"/>
  <c r="J291" i="13"/>
  <c r="I291" i="13"/>
  <c r="H291" i="13"/>
  <c r="F291" i="13"/>
  <c r="AB290" i="13"/>
  <c r="V290" i="13"/>
  <c r="T290" i="13"/>
  <c r="S290" i="13"/>
  <c r="Q290" i="13"/>
  <c r="N290" i="13"/>
  <c r="L290" i="13"/>
  <c r="AC290" i="13" s="1"/>
  <c r="J290" i="13"/>
  <c r="I290" i="13"/>
  <c r="K290" i="13" s="1"/>
  <c r="H290" i="13"/>
  <c r="R290" i="13" s="1"/>
  <c r="F290" i="13"/>
  <c r="AB289" i="13"/>
  <c r="T289" i="13"/>
  <c r="S289" i="13"/>
  <c r="Q289" i="13"/>
  <c r="L289" i="13"/>
  <c r="AC289" i="13" s="1"/>
  <c r="J289" i="13"/>
  <c r="I289" i="13"/>
  <c r="K289" i="13" s="1"/>
  <c r="V289" i="13" s="1"/>
  <c r="H289" i="13"/>
  <c r="R289" i="13" s="1"/>
  <c r="F289" i="13"/>
  <c r="AB288" i="13"/>
  <c r="T288" i="13"/>
  <c r="S288" i="13"/>
  <c r="Q288" i="13"/>
  <c r="N288" i="13"/>
  <c r="L288" i="13"/>
  <c r="AC288" i="13" s="1"/>
  <c r="K288" i="13"/>
  <c r="J288" i="13"/>
  <c r="I288" i="13"/>
  <c r="H288" i="13"/>
  <c r="F288" i="13"/>
  <c r="AC287" i="13"/>
  <c r="AB287" i="13"/>
  <c r="T287" i="13"/>
  <c r="S287" i="13"/>
  <c r="Q287" i="13"/>
  <c r="O287" i="13"/>
  <c r="L287" i="13"/>
  <c r="J287" i="13"/>
  <c r="I287" i="13"/>
  <c r="N287" i="13" s="1"/>
  <c r="P287" i="13" s="1"/>
  <c r="H287" i="13"/>
  <c r="F287" i="13"/>
  <c r="AB286" i="13"/>
  <c r="T286" i="13"/>
  <c r="S286" i="13"/>
  <c r="Q286" i="13"/>
  <c r="N286" i="13"/>
  <c r="L286" i="13"/>
  <c r="AC286" i="13" s="1"/>
  <c r="J286" i="13"/>
  <c r="I286" i="13"/>
  <c r="K286" i="13" s="1"/>
  <c r="H286" i="13"/>
  <c r="F286" i="13"/>
  <c r="AB285" i="13"/>
  <c r="T285" i="13"/>
  <c r="S285" i="13"/>
  <c r="Q285" i="13"/>
  <c r="N285" i="13"/>
  <c r="P285" i="13" s="1"/>
  <c r="L285" i="13"/>
  <c r="AC285" i="13" s="1"/>
  <c r="K285" i="13"/>
  <c r="J285" i="13"/>
  <c r="I285" i="13"/>
  <c r="H285" i="13"/>
  <c r="R285" i="13" s="1"/>
  <c r="F285" i="13"/>
  <c r="AC284" i="13"/>
  <c r="AB284" i="13"/>
  <c r="T284" i="13"/>
  <c r="S284" i="13"/>
  <c r="Q284" i="13"/>
  <c r="P284" i="13"/>
  <c r="O284" i="13"/>
  <c r="N284" i="13"/>
  <c r="L284" i="13"/>
  <c r="K284" i="13"/>
  <c r="J284" i="13"/>
  <c r="I284" i="13"/>
  <c r="H284" i="13"/>
  <c r="F284" i="13"/>
  <c r="AC283" i="13"/>
  <c r="AB283" i="13"/>
  <c r="T283" i="13"/>
  <c r="S283" i="13"/>
  <c r="Q283" i="13"/>
  <c r="L283" i="13"/>
  <c r="J283" i="13"/>
  <c r="I283" i="13"/>
  <c r="H283" i="13"/>
  <c r="R283" i="13" s="1"/>
  <c r="F283" i="13"/>
  <c r="AB282" i="13"/>
  <c r="T282" i="13"/>
  <c r="S282" i="13"/>
  <c r="Q282" i="13"/>
  <c r="L282" i="13"/>
  <c r="AC282" i="13" s="1"/>
  <c r="K282" i="13"/>
  <c r="V282" i="13" s="1"/>
  <c r="J282" i="13"/>
  <c r="I282" i="13"/>
  <c r="H282" i="13"/>
  <c r="R282" i="13" s="1"/>
  <c r="F282" i="13"/>
  <c r="AB281" i="13"/>
  <c r="T281" i="13"/>
  <c r="S281" i="13"/>
  <c r="Q281" i="13"/>
  <c r="L281" i="13"/>
  <c r="AC281" i="13" s="1"/>
  <c r="J281" i="13"/>
  <c r="I281" i="13"/>
  <c r="H281" i="13"/>
  <c r="F281" i="13"/>
  <c r="AB280" i="13"/>
  <c r="V280" i="13"/>
  <c r="T280" i="13"/>
  <c r="S280" i="13"/>
  <c r="Q280" i="13"/>
  <c r="P280" i="13"/>
  <c r="L280" i="13"/>
  <c r="N280" i="13" s="1"/>
  <c r="O280" i="13" s="1"/>
  <c r="K280" i="13"/>
  <c r="J280" i="13"/>
  <c r="I280" i="13"/>
  <c r="R280" i="13" s="1"/>
  <c r="H280" i="13"/>
  <c r="F280" i="13"/>
  <c r="AC279" i="13"/>
  <c r="AB279" i="13"/>
  <c r="T279" i="13"/>
  <c r="S279" i="13"/>
  <c r="Q279" i="13"/>
  <c r="L279" i="13"/>
  <c r="J279" i="13"/>
  <c r="I279" i="13"/>
  <c r="H279" i="13"/>
  <c r="F279" i="13"/>
  <c r="AC278" i="13"/>
  <c r="AB278" i="13"/>
  <c r="T278" i="13"/>
  <c r="S278" i="13"/>
  <c r="Q278" i="13"/>
  <c r="N278" i="13"/>
  <c r="O278" i="13" s="1"/>
  <c r="L278" i="13"/>
  <c r="K278" i="13"/>
  <c r="V278" i="13" s="1"/>
  <c r="J278" i="13"/>
  <c r="I278" i="13"/>
  <c r="H278" i="13"/>
  <c r="R278" i="13" s="1"/>
  <c r="F278" i="13"/>
  <c r="AB277" i="13"/>
  <c r="V277" i="13"/>
  <c r="T277" i="13"/>
  <c r="S277" i="13"/>
  <c r="Q277" i="13"/>
  <c r="L277" i="13"/>
  <c r="K277" i="13"/>
  <c r="J277" i="13"/>
  <c r="I277" i="13"/>
  <c r="H277" i="13"/>
  <c r="R277" i="13" s="1"/>
  <c r="F277" i="13"/>
  <c r="AC276" i="13"/>
  <c r="AB276" i="13"/>
  <c r="T276" i="13"/>
  <c r="S276" i="13"/>
  <c r="Q276" i="13"/>
  <c r="O276" i="13"/>
  <c r="N276" i="13"/>
  <c r="P276" i="13" s="1"/>
  <c r="L276" i="13"/>
  <c r="J276" i="13"/>
  <c r="I276" i="13"/>
  <c r="K276" i="13" s="1"/>
  <c r="H276" i="13"/>
  <c r="F276" i="13"/>
  <c r="AC275" i="13"/>
  <c r="AB275" i="13"/>
  <c r="T275" i="13"/>
  <c r="S275" i="13"/>
  <c r="Q275" i="13"/>
  <c r="L275" i="13"/>
  <c r="K275" i="13"/>
  <c r="V275" i="13" s="1"/>
  <c r="J275" i="13"/>
  <c r="I275" i="13"/>
  <c r="N275" i="13" s="1"/>
  <c r="P275" i="13" s="1"/>
  <c r="H275" i="13"/>
  <c r="R275" i="13" s="1"/>
  <c r="F275" i="13"/>
  <c r="AC274" i="13"/>
  <c r="AB274" i="13"/>
  <c r="T274" i="13"/>
  <c r="S274" i="13"/>
  <c r="R274" i="13"/>
  <c r="Q274" i="13"/>
  <c r="L274" i="13"/>
  <c r="J274" i="13"/>
  <c r="I274" i="13"/>
  <c r="H274" i="13"/>
  <c r="F274" i="13"/>
  <c r="AC273" i="13"/>
  <c r="AB273" i="13"/>
  <c r="V273" i="13"/>
  <c r="T273" i="13"/>
  <c r="S273" i="13"/>
  <c r="Q273" i="13"/>
  <c r="O273" i="13"/>
  <c r="L273" i="13"/>
  <c r="K273" i="13"/>
  <c r="J273" i="13"/>
  <c r="I273" i="13"/>
  <c r="N273" i="13" s="1"/>
  <c r="P273" i="13" s="1"/>
  <c r="H273" i="13"/>
  <c r="F273" i="13"/>
  <c r="AB272" i="13"/>
  <c r="T272" i="13"/>
  <c r="S272" i="13"/>
  <c r="Q272" i="13"/>
  <c r="N272" i="13"/>
  <c r="P272" i="13" s="1"/>
  <c r="L272" i="13"/>
  <c r="AC272" i="13" s="1"/>
  <c r="J272" i="13"/>
  <c r="I272" i="13"/>
  <c r="K272" i="13" s="1"/>
  <c r="V272" i="13" s="1"/>
  <c r="H272" i="13"/>
  <c r="F272" i="13"/>
  <c r="AC271" i="13"/>
  <c r="AB271" i="13"/>
  <c r="T271" i="13"/>
  <c r="S271" i="13"/>
  <c r="R271" i="13"/>
  <c r="Q271" i="13"/>
  <c r="P271" i="13"/>
  <c r="N271" i="13"/>
  <c r="O271" i="13" s="1"/>
  <c r="L271" i="13"/>
  <c r="J271" i="13"/>
  <c r="I271" i="13"/>
  <c r="K271" i="13" s="1"/>
  <c r="H271" i="13"/>
  <c r="V271" i="13" s="1"/>
  <c r="F271" i="13"/>
  <c r="AC270" i="13"/>
  <c r="AB270" i="13"/>
  <c r="T270" i="13"/>
  <c r="S270" i="13"/>
  <c r="Q270" i="13"/>
  <c r="N270" i="13"/>
  <c r="L270" i="13"/>
  <c r="J270" i="13"/>
  <c r="I270" i="13"/>
  <c r="K270" i="13" s="1"/>
  <c r="H270" i="13"/>
  <c r="F270" i="13"/>
  <c r="AB269" i="13"/>
  <c r="T269" i="13"/>
  <c r="S269" i="13"/>
  <c r="Q269" i="13"/>
  <c r="L269" i="13"/>
  <c r="AC269" i="13" s="1"/>
  <c r="K269" i="13"/>
  <c r="J269" i="13"/>
  <c r="I269" i="13"/>
  <c r="H269" i="13"/>
  <c r="F269" i="13"/>
  <c r="AC268" i="13"/>
  <c r="AB268" i="13"/>
  <c r="T268" i="13"/>
  <c r="S268" i="13"/>
  <c r="Q268" i="13"/>
  <c r="L268" i="13"/>
  <c r="K268" i="13"/>
  <c r="J268" i="13"/>
  <c r="I268" i="13"/>
  <c r="N268" i="13" s="1"/>
  <c r="H268" i="13"/>
  <c r="F268" i="13"/>
  <c r="AB267" i="13"/>
  <c r="T267" i="13"/>
  <c r="S267" i="13"/>
  <c r="Q267" i="13"/>
  <c r="L267" i="13"/>
  <c r="AC267" i="13" s="1"/>
  <c r="K267" i="13"/>
  <c r="V267" i="13" s="1"/>
  <c r="J267" i="13"/>
  <c r="I267" i="13"/>
  <c r="H267" i="13"/>
  <c r="R267" i="13" s="1"/>
  <c r="F267" i="13"/>
  <c r="AB266" i="13"/>
  <c r="V266" i="13"/>
  <c r="T266" i="13"/>
  <c r="S266" i="13"/>
  <c r="Q266" i="13"/>
  <c r="L266" i="13"/>
  <c r="K266" i="13"/>
  <c r="J266" i="13"/>
  <c r="I266" i="13"/>
  <c r="H266" i="13"/>
  <c r="F266" i="13"/>
  <c r="AC265" i="13"/>
  <c r="AB265" i="13"/>
  <c r="T265" i="13"/>
  <c r="S265" i="13"/>
  <c r="R265" i="13"/>
  <c r="Q265" i="13"/>
  <c r="L265" i="13"/>
  <c r="J265" i="13"/>
  <c r="I265" i="13"/>
  <c r="H265" i="13"/>
  <c r="F265" i="13"/>
  <c r="AB264" i="13"/>
  <c r="T264" i="13"/>
  <c r="S264" i="13"/>
  <c r="Q264" i="13"/>
  <c r="L264" i="13"/>
  <c r="AC264" i="13" s="1"/>
  <c r="K264" i="13"/>
  <c r="V264" i="13" s="1"/>
  <c r="J264" i="13"/>
  <c r="I264" i="13"/>
  <c r="R264" i="13" s="1"/>
  <c r="H264" i="13"/>
  <c r="F264" i="13"/>
  <c r="AC263" i="13"/>
  <c r="AB263" i="13"/>
  <c r="T263" i="13"/>
  <c r="S263" i="13"/>
  <c r="Q263" i="13"/>
  <c r="P263" i="13"/>
  <c r="N263" i="13"/>
  <c r="O263" i="13" s="1"/>
  <c r="L263" i="13"/>
  <c r="J263" i="13"/>
  <c r="I263" i="13"/>
  <c r="K263" i="13" s="1"/>
  <c r="H263" i="13"/>
  <c r="V263" i="13" s="1"/>
  <c r="F263" i="13"/>
  <c r="AC262" i="13"/>
  <c r="AB262" i="13"/>
  <c r="V262" i="13"/>
  <c r="T262" i="13"/>
  <c r="S262" i="13"/>
  <c r="Q262" i="13"/>
  <c r="P262" i="13"/>
  <c r="N262" i="13"/>
  <c r="O262" i="13" s="1"/>
  <c r="L262" i="13"/>
  <c r="K262" i="13"/>
  <c r="J262" i="13"/>
  <c r="I262" i="13"/>
  <c r="H262" i="13"/>
  <c r="R262" i="13" s="1"/>
  <c r="F262" i="13"/>
  <c r="AB261" i="13"/>
  <c r="T261" i="13"/>
  <c r="S261" i="13"/>
  <c r="Q261" i="13"/>
  <c r="L261" i="13"/>
  <c r="K261" i="13"/>
  <c r="J261" i="13"/>
  <c r="I261" i="13"/>
  <c r="H261" i="13"/>
  <c r="F261" i="13"/>
  <c r="AC260" i="13"/>
  <c r="AB260" i="13"/>
  <c r="T260" i="13"/>
  <c r="S260" i="13"/>
  <c r="Q260" i="13"/>
  <c r="L260" i="13"/>
  <c r="J260" i="13"/>
  <c r="I260" i="13"/>
  <c r="H260" i="13"/>
  <c r="R260" i="13" s="1"/>
  <c r="F260" i="13"/>
  <c r="AC259" i="13"/>
  <c r="AB259" i="13"/>
  <c r="T259" i="13"/>
  <c r="S259" i="13"/>
  <c r="Q259" i="13"/>
  <c r="L259" i="13"/>
  <c r="J259" i="13"/>
  <c r="I259" i="13"/>
  <c r="N259" i="13" s="1"/>
  <c r="H259" i="13"/>
  <c r="F259" i="13"/>
  <c r="AB258" i="13"/>
  <c r="T258" i="13"/>
  <c r="S258" i="13"/>
  <c r="Q258" i="13"/>
  <c r="L258" i="13"/>
  <c r="AC258" i="13" s="1"/>
  <c r="J258" i="13"/>
  <c r="I258" i="13"/>
  <c r="K258" i="13" s="1"/>
  <c r="H258" i="13"/>
  <c r="R258" i="13" s="1"/>
  <c r="F258" i="13"/>
  <c r="AC257" i="13"/>
  <c r="AB257" i="13"/>
  <c r="T257" i="13"/>
  <c r="S257" i="13"/>
  <c r="Q257" i="13"/>
  <c r="L257" i="13"/>
  <c r="J257" i="13"/>
  <c r="I257" i="13"/>
  <c r="N257" i="13" s="1"/>
  <c r="P257" i="13" s="1"/>
  <c r="H257" i="13"/>
  <c r="F257" i="13"/>
  <c r="AC256" i="13"/>
  <c r="AB256" i="13"/>
  <c r="T256" i="13"/>
  <c r="S256" i="13"/>
  <c r="Q256" i="13"/>
  <c r="L256" i="13"/>
  <c r="J256" i="13"/>
  <c r="I256" i="13"/>
  <c r="R256" i="13" s="1"/>
  <c r="H256" i="13"/>
  <c r="F256" i="13"/>
  <c r="AB255" i="13"/>
  <c r="V255" i="13"/>
  <c r="T255" i="13"/>
  <c r="S255" i="13"/>
  <c r="Q255" i="13"/>
  <c r="N255" i="13"/>
  <c r="O255" i="13" s="1"/>
  <c r="L255" i="13"/>
  <c r="AC255" i="13" s="1"/>
  <c r="J255" i="13"/>
  <c r="I255" i="13"/>
  <c r="K255" i="13" s="1"/>
  <c r="H255" i="13"/>
  <c r="R255" i="13" s="1"/>
  <c r="F255" i="13"/>
  <c r="AB254" i="13"/>
  <c r="T254" i="13"/>
  <c r="S254" i="13"/>
  <c r="Q254" i="13"/>
  <c r="L254" i="13"/>
  <c r="AC254" i="13" s="1"/>
  <c r="J254" i="13"/>
  <c r="I254" i="13"/>
  <c r="N254" i="13" s="1"/>
  <c r="H254" i="13"/>
  <c r="F254" i="13"/>
  <c r="AB253" i="13"/>
  <c r="T253" i="13"/>
  <c r="S253" i="13"/>
  <c r="Q253" i="13"/>
  <c r="O253" i="13"/>
  <c r="N253" i="13"/>
  <c r="P253" i="13" s="1"/>
  <c r="L253" i="13"/>
  <c r="AC253" i="13" s="1"/>
  <c r="K253" i="13"/>
  <c r="J253" i="13"/>
  <c r="I253" i="13"/>
  <c r="H253" i="13"/>
  <c r="F253" i="13"/>
  <c r="AC252" i="13"/>
  <c r="AB252" i="13"/>
  <c r="T252" i="13"/>
  <c r="S252" i="13"/>
  <c r="Q252" i="13"/>
  <c r="P252" i="13"/>
  <c r="O252" i="13"/>
  <c r="N252" i="13"/>
  <c r="L252" i="13"/>
  <c r="K252" i="13"/>
  <c r="J252" i="13"/>
  <c r="I252" i="13"/>
  <c r="H252" i="13"/>
  <c r="F252" i="13"/>
  <c r="AC251" i="13"/>
  <c r="AB251" i="13"/>
  <c r="T251" i="13"/>
  <c r="S251" i="13"/>
  <c r="R251" i="13"/>
  <c r="Q251" i="13"/>
  <c r="N251" i="13"/>
  <c r="L251" i="13"/>
  <c r="J251" i="13"/>
  <c r="I251" i="13"/>
  <c r="K251" i="13" s="1"/>
  <c r="H251" i="13"/>
  <c r="F251" i="13"/>
  <c r="AB250" i="13"/>
  <c r="V250" i="13"/>
  <c r="T250" i="13"/>
  <c r="S250" i="13"/>
  <c r="Q250" i="13"/>
  <c r="L250" i="13"/>
  <c r="AC250" i="13" s="1"/>
  <c r="K250" i="13"/>
  <c r="J250" i="13"/>
  <c r="I250" i="13"/>
  <c r="H250" i="13"/>
  <c r="F250" i="13"/>
  <c r="AC249" i="13"/>
  <c r="AB249" i="13"/>
  <c r="T249" i="13"/>
  <c r="S249" i="13"/>
  <c r="Q249" i="13"/>
  <c r="O249" i="13"/>
  <c r="N249" i="13"/>
  <c r="P249" i="13" s="1"/>
  <c r="L249" i="13"/>
  <c r="K249" i="13"/>
  <c r="V249" i="13" s="1"/>
  <c r="J249" i="13"/>
  <c r="I249" i="13"/>
  <c r="R249" i="13" s="1"/>
  <c r="H249" i="13"/>
  <c r="F249" i="13"/>
  <c r="AC248" i="13"/>
  <c r="AB248" i="13"/>
  <c r="T248" i="13"/>
  <c r="S248" i="13"/>
  <c r="Q248" i="13"/>
  <c r="L248" i="13"/>
  <c r="J248" i="13"/>
  <c r="I248" i="13"/>
  <c r="R248" i="13" s="1"/>
  <c r="H248" i="13"/>
  <c r="F248" i="13"/>
  <c r="AB247" i="13"/>
  <c r="T247" i="13"/>
  <c r="S247" i="13"/>
  <c r="R247" i="13"/>
  <c r="Q247" i="13"/>
  <c r="P247" i="13"/>
  <c r="N247" i="13"/>
  <c r="O247" i="13" s="1"/>
  <c r="L247" i="13"/>
  <c r="AC247" i="13" s="1"/>
  <c r="K247" i="13"/>
  <c r="V247" i="13" s="1"/>
  <c r="J247" i="13"/>
  <c r="I247" i="13"/>
  <c r="H247" i="13"/>
  <c r="F247" i="13"/>
  <c r="AB246" i="13"/>
  <c r="V246" i="13"/>
  <c r="T246" i="13"/>
  <c r="S246" i="13"/>
  <c r="Q246" i="13"/>
  <c r="L246" i="13"/>
  <c r="K246" i="13"/>
  <c r="J246" i="13"/>
  <c r="I246" i="13"/>
  <c r="H246" i="13"/>
  <c r="F246" i="13"/>
  <c r="AC245" i="13"/>
  <c r="AB245" i="13"/>
  <c r="T245" i="13"/>
  <c r="S245" i="13"/>
  <c r="Q245" i="13"/>
  <c r="N245" i="13"/>
  <c r="O245" i="13" s="1"/>
  <c r="L245" i="13"/>
  <c r="J245" i="13"/>
  <c r="I245" i="13"/>
  <c r="K245" i="13" s="1"/>
  <c r="H245" i="13"/>
  <c r="F245" i="13"/>
  <c r="AB244" i="13"/>
  <c r="T244" i="13"/>
  <c r="S244" i="13"/>
  <c r="Q244" i="13"/>
  <c r="L244" i="13"/>
  <c r="AC244" i="13" s="1"/>
  <c r="J244" i="13"/>
  <c r="I244" i="13"/>
  <c r="K244" i="13" s="1"/>
  <c r="H244" i="13"/>
  <c r="R244" i="13" s="1"/>
  <c r="F244" i="13"/>
  <c r="AC243" i="13"/>
  <c r="AB243" i="13"/>
  <c r="T243" i="13"/>
  <c r="S243" i="13"/>
  <c r="Q243" i="13"/>
  <c r="L243" i="13"/>
  <c r="K243" i="13"/>
  <c r="J243" i="13"/>
  <c r="I243" i="13"/>
  <c r="N243" i="13" s="1"/>
  <c r="H243" i="13"/>
  <c r="F243" i="13"/>
  <c r="AB242" i="13"/>
  <c r="T242" i="13"/>
  <c r="S242" i="13"/>
  <c r="Q242" i="13"/>
  <c r="L242" i="13"/>
  <c r="AC242" i="13" s="1"/>
  <c r="K242" i="13"/>
  <c r="J242" i="13"/>
  <c r="I242" i="13"/>
  <c r="H242" i="13"/>
  <c r="F242" i="13"/>
  <c r="AC241" i="13"/>
  <c r="AB241" i="13"/>
  <c r="T241" i="13"/>
  <c r="S241" i="13"/>
  <c r="Q241" i="13"/>
  <c r="L241" i="13"/>
  <c r="J241" i="13"/>
  <c r="I241" i="13"/>
  <c r="N241" i="13" s="1"/>
  <c r="H241" i="13"/>
  <c r="F241" i="13"/>
  <c r="AC240" i="13"/>
  <c r="AB240" i="13"/>
  <c r="T240" i="13"/>
  <c r="S240" i="13"/>
  <c r="Q240" i="13"/>
  <c r="O240" i="13"/>
  <c r="N240" i="13"/>
  <c r="P240" i="13" s="1"/>
  <c r="L240" i="13"/>
  <c r="J240" i="13"/>
  <c r="I240" i="13"/>
  <c r="K240" i="13" s="1"/>
  <c r="H240" i="13"/>
  <c r="F240" i="13"/>
  <c r="AC239" i="13"/>
  <c r="AB239" i="13"/>
  <c r="T239" i="13"/>
  <c r="S239" i="13"/>
  <c r="Q239" i="13"/>
  <c r="L239" i="13"/>
  <c r="J239" i="13"/>
  <c r="I239" i="13"/>
  <c r="R239" i="13" s="1"/>
  <c r="H239" i="13"/>
  <c r="F239" i="13"/>
  <c r="AB238" i="13"/>
  <c r="T238" i="13"/>
  <c r="S238" i="13"/>
  <c r="Q238" i="13"/>
  <c r="L238" i="13"/>
  <c r="K238" i="13"/>
  <c r="J238" i="13"/>
  <c r="I238" i="13"/>
  <c r="H238" i="13"/>
  <c r="F238" i="13"/>
  <c r="AC237" i="13"/>
  <c r="AB237" i="13"/>
  <c r="T237" i="13"/>
  <c r="S237" i="13"/>
  <c r="Q237" i="13"/>
  <c r="L237" i="13"/>
  <c r="J237" i="13"/>
  <c r="I237" i="13"/>
  <c r="N237" i="13" s="1"/>
  <c r="H237" i="13"/>
  <c r="F237" i="13"/>
  <c r="AB236" i="13"/>
  <c r="T236" i="13"/>
  <c r="S236" i="13"/>
  <c r="Q236" i="13"/>
  <c r="N236" i="13"/>
  <c r="P236" i="13" s="1"/>
  <c r="L236" i="13"/>
  <c r="AC236" i="13" s="1"/>
  <c r="J236" i="13"/>
  <c r="I236" i="13"/>
  <c r="K236" i="13" s="1"/>
  <c r="H236" i="13"/>
  <c r="R236" i="13" s="1"/>
  <c r="F236" i="13"/>
  <c r="AC235" i="13"/>
  <c r="AB235" i="13"/>
  <c r="T235" i="13"/>
  <c r="S235" i="13"/>
  <c r="Q235" i="13"/>
  <c r="P235" i="13"/>
  <c r="N235" i="13"/>
  <c r="O235" i="13" s="1"/>
  <c r="L235" i="13"/>
  <c r="K235" i="13"/>
  <c r="J235" i="13"/>
  <c r="I235" i="13"/>
  <c r="H235" i="13"/>
  <c r="F235" i="13"/>
  <c r="AB234" i="13"/>
  <c r="T234" i="13"/>
  <c r="S234" i="13"/>
  <c r="Q234" i="13"/>
  <c r="L234" i="13"/>
  <c r="AC234" i="13" s="1"/>
  <c r="K234" i="13"/>
  <c r="V234" i="13" s="1"/>
  <c r="J234" i="13"/>
  <c r="I234" i="13"/>
  <c r="H234" i="13"/>
  <c r="F234" i="13"/>
  <c r="AC233" i="13"/>
  <c r="AB233" i="13"/>
  <c r="T233" i="13"/>
  <c r="S233" i="13"/>
  <c r="Q233" i="13"/>
  <c r="O233" i="13"/>
  <c r="N233" i="13"/>
  <c r="P233" i="13" s="1"/>
  <c r="L233" i="13"/>
  <c r="K233" i="13"/>
  <c r="V233" i="13" s="1"/>
  <c r="J233" i="13"/>
  <c r="I233" i="13"/>
  <c r="R233" i="13" s="1"/>
  <c r="H233" i="13"/>
  <c r="F233" i="13"/>
  <c r="AB232" i="13"/>
  <c r="S232" i="13"/>
  <c r="Q232" i="13"/>
  <c r="L232" i="13"/>
  <c r="AC232" i="13" s="1"/>
  <c r="J232" i="13"/>
  <c r="T232" i="13" s="1"/>
  <c r="I232" i="13"/>
  <c r="H232" i="13"/>
  <c r="R232" i="13" s="1"/>
  <c r="F232" i="13"/>
  <c r="AB231" i="13"/>
  <c r="T231" i="13"/>
  <c r="S231" i="13"/>
  <c r="R231" i="13"/>
  <c r="Q231" i="13"/>
  <c r="L231" i="13"/>
  <c r="AC231" i="13" s="1"/>
  <c r="K231" i="13"/>
  <c r="V231" i="13" s="1"/>
  <c r="J231" i="13"/>
  <c r="I231" i="13"/>
  <c r="N231" i="13" s="1"/>
  <c r="H231" i="13"/>
  <c r="F231" i="13"/>
  <c r="AB230" i="13"/>
  <c r="V230" i="13"/>
  <c r="T230" i="13"/>
  <c r="S230" i="13"/>
  <c r="Q230" i="13"/>
  <c r="L230" i="13"/>
  <c r="K230" i="13"/>
  <c r="J230" i="13"/>
  <c r="I230" i="13"/>
  <c r="H230" i="13"/>
  <c r="F230" i="13"/>
  <c r="AC229" i="13"/>
  <c r="AB229" i="13"/>
  <c r="S229" i="13"/>
  <c r="R229" i="13"/>
  <c r="Q229" i="13"/>
  <c r="L229" i="13"/>
  <c r="K229" i="13"/>
  <c r="J229" i="13"/>
  <c r="T229" i="13" s="1"/>
  <c r="I229" i="13"/>
  <c r="N229" i="13" s="1"/>
  <c r="H229" i="13"/>
  <c r="F229" i="13"/>
  <c r="AB228" i="13"/>
  <c r="V228" i="13"/>
  <c r="S228" i="13"/>
  <c r="Q228" i="13"/>
  <c r="N228" i="13"/>
  <c r="P228" i="13" s="1"/>
  <c r="L228" i="13"/>
  <c r="AC228" i="13" s="1"/>
  <c r="J228" i="13"/>
  <c r="T228" i="13" s="1"/>
  <c r="I228" i="13"/>
  <c r="K228" i="13" s="1"/>
  <c r="H228" i="13"/>
  <c r="F228" i="13"/>
  <c r="AC227" i="13"/>
  <c r="AB227" i="13"/>
  <c r="T227" i="13"/>
  <c r="S227" i="13"/>
  <c r="Q227" i="13"/>
  <c r="N227" i="13"/>
  <c r="O227" i="13" s="1"/>
  <c r="L227" i="13"/>
  <c r="J227" i="13"/>
  <c r="I227" i="13"/>
  <c r="K227" i="13" s="1"/>
  <c r="H227" i="13"/>
  <c r="R227" i="13" s="1"/>
  <c r="F227" i="13"/>
  <c r="AB226" i="13"/>
  <c r="S226" i="13"/>
  <c r="Q226" i="13"/>
  <c r="O226" i="13"/>
  <c r="L226" i="13"/>
  <c r="AC226" i="13" s="1"/>
  <c r="J226" i="13"/>
  <c r="K226" i="13" s="1"/>
  <c r="V226" i="13" s="1"/>
  <c r="I226" i="13"/>
  <c r="N226" i="13" s="1"/>
  <c r="P226" i="13" s="1"/>
  <c r="H226" i="13"/>
  <c r="F226" i="13"/>
  <c r="AC225" i="13"/>
  <c r="AB225" i="13"/>
  <c r="Y225" i="13"/>
  <c r="Z225" i="13" s="1"/>
  <c r="T225" i="13"/>
  <c r="S225" i="13"/>
  <c r="Q225" i="13"/>
  <c r="P225" i="13"/>
  <c r="O225" i="13"/>
  <c r="N225" i="13"/>
  <c r="L225" i="13"/>
  <c r="K225" i="13"/>
  <c r="V225" i="13" s="1"/>
  <c r="J225" i="13"/>
  <c r="I225" i="13"/>
  <c r="R225" i="13" s="1"/>
  <c r="H225" i="13"/>
  <c r="F225" i="13"/>
  <c r="AB224" i="13"/>
  <c r="S224" i="13"/>
  <c r="Q224" i="13"/>
  <c r="L224" i="13"/>
  <c r="AC224" i="13" s="1"/>
  <c r="J224" i="13"/>
  <c r="T224" i="13" s="1"/>
  <c r="I224" i="13"/>
  <c r="H224" i="13"/>
  <c r="Y224" i="13" s="1"/>
  <c r="F224" i="13"/>
  <c r="AB223" i="13"/>
  <c r="Y223" i="13"/>
  <c r="T223" i="13"/>
  <c r="S223" i="13"/>
  <c r="Q223" i="13"/>
  <c r="N223" i="13"/>
  <c r="L223" i="13"/>
  <c r="AC223" i="13" s="1"/>
  <c r="J223" i="13"/>
  <c r="I223" i="13"/>
  <c r="K223" i="13" s="1"/>
  <c r="V223" i="13" s="1"/>
  <c r="H223" i="13"/>
  <c r="F223" i="13"/>
  <c r="AB222" i="13"/>
  <c r="T222" i="13"/>
  <c r="S222" i="13"/>
  <c r="Q222" i="13"/>
  <c r="P222" i="13"/>
  <c r="O222" i="13"/>
  <c r="N222" i="13"/>
  <c r="L222" i="13"/>
  <c r="AC222" i="13" s="1"/>
  <c r="J222" i="13"/>
  <c r="K222" i="13" s="1"/>
  <c r="I222" i="13"/>
  <c r="H222" i="13"/>
  <c r="F222" i="13"/>
  <c r="AC221" i="13"/>
  <c r="AB221" i="13"/>
  <c r="Y221" i="13"/>
  <c r="Z221" i="13" s="1"/>
  <c r="T221" i="13"/>
  <c r="S221" i="13"/>
  <c r="R221" i="13"/>
  <c r="Q221" i="13"/>
  <c r="L221" i="13"/>
  <c r="K221" i="13"/>
  <c r="J221" i="13"/>
  <c r="I221" i="13"/>
  <c r="N221" i="13" s="1"/>
  <c r="H221" i="13"/>
  <c r="F221" i="13"/>
  <c r="AB220" i="13"/>
  <c r="Y220" i="13"/>
  <c r="Z220" i="13" s="1"/>
  <c r="T220" i="13"/>
  <c r="S220" i="13"/>
  <c r="Q220" i="13"/>
  <c r="L220" i="13"/>
  <c r="AC220" i="13" s="1"/>
  <c r="J220" i="13"/>
  <c r="I220" i="13"/>
  <c r="K220" i="13" s="1"/>
  <c r="V220" i="13" s="1"/>
  <c r="H220" i="13"/>
  <c r="F220" i="13"/>
  <c r="AC219" i="13"/>
  <c r="AB219" i="13"/>
  <c r="T219" i="13"/>
  <c r="S219" i="13"/>
  <c r="Q219" i="13"/>
  <c r="L219" i="13"/>
  <c r="J219" i="13"/>
  <c r="I219" i="13"/>
  <c r="H219" i="13"/>
  <c r="Y219" i="13" s="1"/>
  <c r="Z219" i="13" s="1"/>
  <c r="F219" i="13"/>
  <c r="AB218" i="13"/>
  <c r="T218" i="13"/>
  <c r="S218" i="13"/>
  <c r="Q218" i="13"/>
  <c r="O218" i="13"/>
  <c r="L218" i="13"/>
  <c r="AC218" i="13" s="1"/>
  <c r="K218" i="13"/>
  <c r="J218" i="13"/>
  <c r="I218" i="13"/>
  <c r="N218" i="13" s="1"/>
  <c r="P218" i="13" s="1"/>
  <c r="H218" i="13"/>
  <c r="F218" i="13"/>
  <c r="AC217" i="13"/>
  <c r="AB217" i="13"/>
  <c r="Y217" i="13"/>
  <c r="Z217" i="13" s="1"/>
  <c r="T217" i="13"/>
  <c r="S217" i="13"/>
  <c r="Q217" i="13"/>
  <c r="L217" i="13"/>
  <c r="J217" i="13"/>
  <c r="I217" i="13"/>
  <c r="R217" i="13" s="1"/>
  <c r="H217" i="13"/>
  <c r="F217" i="13"/>
  <c r="AB216" i="13"/>
  <c r="S216" i="13"/>
  <c r="R216" i="13"/>
  <c r="Q216" i="13"/>
  <c r="L216" i="13"/>
  <c r="AC216" i="13" s="1"/>
  <c r="J216" i="13"/>
  <c r="T216" i="13" s="1"/>
  <c r="I216" i="13"/>
  <c r="H216" i="13"/>
  <c r="Y216" i="13" s="1"/>
  <c r="Z216" i="13" s="1"/>
  <c r="F216" i="13"/>
  <c r="AC215" i="13"/>
  <c r="AB215" i="13"/>
  <c r="Y215" i="13"/>
  <c r="T215" i="13"/>
  <c r="S215" i="13"/>
  <c r="R215" i="13"/>
  <c r="Q215" i="13"/>
  <c r="P215" i="13"/>
  <c r="N215" i="13"/>
  <c r="O215" i="13" s="1"/>
  <c r="L215" i="13"/>
  <c r="K215" i="13"/>
  <c r="V215" i="13" s="1"/>
  <c r="J215" i="13"/>
  <c r="I215" i="13"/>
  <c r="H215" i="13"/>
  <c r="F215" i="13"/>
  <c r="AB214" i="13"/>
  <c r="S214" i="13"/>
  <c r="Q214" i="13"/>
  <c r="P214" i="13"/>
  <c r="O214" i="13"/>
  <c r="N214" i="13"/>
  <c r="L214" i="13"/>
  <c r="AC214" i="13" s="1"/>
  <c r="K214" i="13"/>
  <c r="V214" i="13" s="1"/>
  <c r="J214" i="13"/>
  <c r="T214" i="13" s="1"/>
  <c r="I214" i="13"/>
  <c r="H214" i="13"/>
  <c r="F214" i="13"/>
  <c r="AC213" i="13"/>
  <c r="AB213" i="13"/>
  <c r="Y213" i="13"/>
  <c r="Z213" i="13" s="1"/>
  <c r="S213" i="13"/>
  <c r="Q213" i="13"/>
  <c r="L213" i="13"/>
  <c r="J213" i="13"/>
  <c r="T213" i="13" s="1"/>
  <c r="I213" i="13"/>
  <c r="R213" i="13" s="1"/>
  <c r="H213" i="13"/>
  <c r="F213" i="13"/>
  <c r="AC212" i="13"/>
  <c r="AB212" i="13"/>
  <c r="S212" i="13"/>
  <c r="R212" i="13"/>
  <c r="Q212" i="13"/>
  <c r="O212" i="13"/>
  <c r="N212" i="13"/>
  <c r="P212" i="13" s="1"/>
  <c r="L212" i="13"/>
  <c r="J212" i="13"/>
  <c r="T212" i="13" s="1"/>
  <c r="I212" i="13"/>
  <c r="K212" i="13" s="1"/>
  <c r="H212" i="13"/>
  <c r="F212" i="13"/>
  <c r="AC211" i="13"/>
  <c r="AB211" i="13"/>
  <c r="T211" i="13"/>
  <c r="S211" i="13"/>
  <c r="Q211" i="13"/>
  <c r="L211" i="13"/>
  <c r="J211" i="13"/>
  <c r="I211" i="13"/>
  <c r="H211" i="13"/>
  <c r="R211" i="13" s="1"/>
  <c r="F211" i="13"/>
  <c r="AB210" i="13"/>
  <c r="T210" i="13"/>
  <c r="S210" i="13"/>
  <c r="Q210" i="13"/>
  <c r="P210" i="13"/>
  <c r="O210" i="13"/>
  <c r="L210" i="13"/>
  <c r="AC210" i="13" s="1"/>
  <c r="J210" i="13"/>
  <c r="K210" i="13" s="1"/>
  <c r="I210" i="13"/>
  <c r="N210" i="13" s="1"/>
  <c r="H210" i="13"/>
  <c r="F210" i="13"/>
  <c r="AC209" i="13"/>
  <c r="AB209" i="13"/>
  <c r="Y209" i="13"/>
  <c r="Z209" i="13" s="1"/>
  <c r="T209" i="13"/>
  <c r="S209" i="13"/>
  <c r="Q209" i="13"/>
  <c r="L209" i="13"/>
  <c r="J209" i="13"/>
  <c r="I209" i="13"/>
  <c r="H209" i="13"/>
  <c r="F209" i="13"/>
  <c r="AC208" i="13"/>
  <c r="AB208" i="13"/>
  <c r="S208" i="13"/>
  <c r="Q208" i="13"/>
  <c r="L208" i="13"/>
  <c r="J208" i="13"/>
  <c r="T208" i="13" s="1"/>
  <c r="I208" i="13"/>
  <c r="H208" i="13"/>
  <c r="F208" i="13"/>
  <c r="AC207" i="13"/>
  <c r="AB207" i="13"/>
  <c r="T207" i="13"/>
  <c r="S207" i="13"/>
  <c r="Q207" i="13"/>
  <c r="L207" i="13"/>
  <c r="J207" i="13"/>
  <c r="I207" i="13"/>
  <c r="H207" i="13"/>
  <c r="F207" i="13"/>
  <c r="AB206" i="13"/>
  <c r="T206" i="13"/>
  <c r="S206" i="13"/>
  <c r="Q206" i="13"/>
  <c r="P206" i="13"/>
  <c r="O206" i="13"/>
  <c r="N206" i="13"/>
  <c r="L206" i="13"/>
  <c r="AC206" i="13" s="1"/>
  <c r="J206" i="13"/>
  <c r="K206" i="13" s="1"/>
  <c r="I206" i="13"/>
  <c r="H206" i="13"/>
  <c r="V206" i="13" s="1"/>
  <c r="F206" i="13"/>
  <c r="AC205" i="13"/>
  <c r="AB205" i="13"/>
  <c r="Y205" i="13"/>
  <c r="Z205" i="13" s="1"/>
  <c r="T205" i="13"/>
  <c r="S205" i="13"/>
  <c r="R205" i="13"/>
  <c r="Q205" i="13"/>
  <c r="L205" i="13"/>
  <c r="J205" i="13"/>
  <c r="I205" i="13"/>
  <c r="N205" i="13" s="1"/>
  <c r="H205" i="13"/>
  <c r="F205" i="13"/>
  <c r="AB204" i="13"/>
  <c r="S204" i="13"/>
  <c r="Q204" i="13"/>
  <c r="L204" i="13"/>
  <c r="AC204" i="13" s="1"/>
  <c r="J204" i="13"/>
  <c r="T204" i="13" s="1"/>
  <c r="I204" i="13"/>
  <c r="N204" i="13" s="1"/>
  <c r="H204" i="13"/>
  <c r="F204" i="13"/>
  <c r="AB203" i="13"/>
  <c r="Y203" i="13"/>
  <c r="T203" i="13"/>
  <c r="S203" i="13"/>
  <c r="Q203" i="13"/>
  <c r="L203" i="13"/>
  <c r="AC203" i="13" s="1"/>
  <c r="K203" i="13"/>
  <c r="V203" i="13" s="1"/>
  <c r="J203" i="13"/>
  <c r="I203" i="13"/>
  <c r="N203" i="13" s="1"/>
  <c r="H203" i="13"/>
  <c r="R203" i="13" s="1"/>
  <c r="F203" i="13"/>
  <c r="AB202" i="13"/>
  <c r="V202" i="13"/>
  <c r="S202" i="13"/>
  <c r="Q202" i="13"/>
  <c r="L202" i="13"/>
  <c r="AC202" i="13" s="1"/>
  <c r="K202" i="13"/>
  <c r="J202" i="13"/>
  <c r="T202" i="13" s="1"/>
  <c r="I202" i="13"/>
  <c r="N202" i="13" s="1"/>
  <c r="P202" i="13" s="1"/>
  <c r="H202" i="13"/>
  <c r="F202" i="13"/>
  <c r="AC201" i="13"/>
  <c r="AB201" i="13"/>
  <c r="Y201" i="13"/>
  <c r="Z201" i="13" s="1"/>
  <c r="T201" i="13"/>
  <c r="S201" i="13"/>
  <c r="Q201" i="13"/>
  <c r="N201" i="13"/>
  <c r="L201" i="13"/>
  <c r="J201" i="13"/>
  <c r="I201" i="13"/>
  <c r="H201" i="13"/>
  <c r="F201" i="13"/>
  <c r="AB200" i="13"/>
  <c r="V200" i="13"/>
  <c r="T200" i="13"/>
  <c r="S200" i="13"/>
  <c r="Q200" i="13"/>
  <c r="O200" i="13"/>
  <c r="N200" i="13"/>
  <c r="P200" i="13" s="1"/>
  <c r="L200" i="13"/>
  <c r="AC200" i="13" s="1"/>
  <c r="J200" i="13"/>
  <c r="I200" i="13"/>
  <c r="K200" i="13" s="1"/>
  <c r="H200" i="13"/>
  <c r="F200" i="13"/>
  <c r="AB199" i="13"/>
  <c r="T199" i="13"/>
  <c r="S199" i="13"/>
  <c r="Q199" i="13"/>
  <c r="P199" i="13"/>
  <c r="N199" i="13"/>
  <c r="O199" i="13" s="1"/>
  <c r="L199" i="13"/>
  <c r="AC199" i="13" s="1"/>
  <c r="K199" i="13"/>
  <c r="V199" i="13" s="1"/>
  <c r="J199" i="13"/>
  <c r="I199" i="13"/>
  <c r="H199" i="13"/>
  <c r="R199" i="13" s="1"/>
  <c r="F199" i="13"/>
  <c r="AB198" i="13"/>
  <c r="T198" i="13"/>
  <c r="S198" i="13"/>
  <c r="Q198" i="13"/>
  <c r="L198" i="13"/>
  <c r="K198" i="13"/>
  <c r="V198" i="13" s="1"/>
  <c r="J198" i="13"/>
  <c r="I198" i="13"/>
  <c r="H198" i="13"/>
  <c r="R198" i="13" s="1"/>
  <c r="F198" i="13"/>
  <c r="AC197" i="13"/>
  <c r="AB197" i="13"/>
  <c r="T197" i="13"/>
  <c r="S197" i="13"/>
  <c r="Q197" i="13"/>
  <c r="L197" i="13"/>
  <c r="J197" i="13"/>
  <c r="I197" i="13"/>
  <c r="H197" i="13"/>
  <c r="R197" i="13" s="1"/>
  <c r="F197" i="13"/>
  <c r="AC196" i="13"/>
  <c r="AB196" i="13"/>
  <c r="T196" i="13"/>
  <c r="S196" i="13"/>
  <c r="Q196" i="13"/>
  <c r="L196" i="13"/>
  <c r="J196" i="13"/>
  <c r="I196" i="13"/>
  <c r="H196" i="13"/>
  <c r="F196" i="13"/>
  <c r="AB195" i="13"/>
  <c r="V195" i="13"/>
  <c r="T195" i="13"/>
  <c r="S195" i="13"/>
  <c r="Q195" i="13"/>
  <c r="L195" i="13"/>
  <c r="AC195" i="13" s="1"/>
  <c r="J195" i="13"/>
  <c r="I195" i="13"/>
  <c r="K195" i="13" s="1"/>
  <c r="H195" i="13"/>
  <c r="F195" i="13"/>
  <c r="AB194" i="13"/>
  <c r="T194" i="13"/>
  <c r="S194" i="13"/>
  <c r="Q194" i="13"/>
  <c r="P194" i="13"/>
  <c r="O194" i="13"/>
  <c r="L194" i="13"/>
  <c r="K194" i="13"/>
  <c r="V194" i="13" s="1"/>
  <c r="J194" i="13"/>
  <c r="I194" i="13"/>
  <c r="N194" i="13" s="1"/>
  <c r="H194" i="13"/>
  <c r="Y194" i="13" s="1"/>
  <c r="F194" i="13"/>
  <c r="AC193" i="13"/>
  <c r="AB193" i="13"/>
  <c r="Y193" i="13"/>
  <c r="Z193" i="13" s="1"/>
  <c r="T193" i="13"/>
  <c r="S193" i="13"/>
  <c r="Q193" i="13"/>
  <c r="L193" i="13"/>
  <c r="J193" i="13"/>
  <c r="I193" i="13"/>
  <c r="R193" i="13" s="1"/>
  <c r="H193" i="13"/>
  <c r="F193" i="13"/>
  <c r="AC192" i="13"/>
  <c r="AB192" i="13"/>
  <c r="T192" i="13"/>
  <c r="S192" i="13"/>
  <c r="Q192" i="13"/>
  <c r="L192" i="13"/>
  <c r="J192" i="13"/>
  <c r="I192" i="13"/>
  <c r="H192" i="13"/>
  <c r="Y192" i="13" s="1"/>
  <c r="Z192" i="13" s="1"/>
  <c r="F192" i="13"/>
  <c r="AB191" i="13"/>
  <c r="Y191" i="13"/>
  <c r="T191" i="13"/>
  <c r="S191" i="13"/>
  <c r="R191" i="13"/>
  <c r="Q191" i="13"/>
  <c r="L191" i="13"/>
  <c r="AC191" i="13" s="1"/>
  <c r="K191" i="13"/>
  <c r="J191" i="13"/>
  <c r="I191" i="13"/>
  <c r="N191" i="13" s="1"/>
  <c r="H191" i="13"/>
  <c r="V191" i="13" s="1"/>
  <c r="F191" i="13"/>
  <c r="AB190" i="13"/>
  <c r="T190" i="13"/>
  <c r="S190" i="13"/>
  <c r="Q190" i="13"/>
  <c r="L190" i="13"/>
  <c r="AC190" i="13" s="1"/>
  <c r="K190" i="13"/>
  <c r="V190" i="13" s="1"/>
  <c r="J190" i="13"/>
  <c r="I190" i="13"/>
  <c r="H190" i="13"/>
  <c r="R190" i="13" s="1"/>
  <c r="F190" i="13"/>
  <c r="AC189" i="13"/>
  <c r="AB189" i="13"/>
  <c r="T189" i="13"/>
  <c r="S189" i="13"/>
  <c r="Q189" i="13"/>
  <c r="N189" i="13"/>
  <c r="P189" i="13" s="1"/>
  <c r="L189" i="13"/>
  <c r="K189" i="13"/>
  <c r="J189" i="13"/>
  <c r="I189" i="13"/>
  <c r="H189" i="13"/>
  <c r="F189" i="13"/>
  <c r="AB188" i="13"/>
  <c r="Y188" i="13"/>
  <c r="T188" i="13"/>
  <c r="S188" i="13"/>
  <c r="Q188" i="13"/>
  <c r="N188" i="13"/>
  <c r="P188" i="13" s="1"/>
  <c r="L188" i="13"/>
  <c r="AC188" i="13" s="1"/>
  <c r="J188" i="13"/>
  <c r="I188" i="13"/>
  <c r="K188" i="13" s="1"/>
  <c r="H188" i="13"/>
  <c r="R188" i="13" s="1"/>
  <c r="F188" i="13"/>
  <c r="AC187" i="13"/>
  <c r="AB187" i="13"/>
  <c r="T187" i="13"/>
  <c r="S187" i="13"/>
  <c r="Q187" i="13"/>
  <c r="L187" i="13"/>
  <c r="J187" i="13"/>
  <c r="I187" i="13"/>
  <c r="N187" i="13" s="1"/>
  <c r="O187" i="13" s="1"/>
  <c r="H187" i="13"/>
  <c r="F187" i="13"/>
  <c r="AB186" i="13"/>
  <c r="T186" i="13"/>
  <c r="S186" i="13"/>
  <c r="R186" i="13"/>
  <c r="Q186" i="13"/>
  <c r="L186" i="13"/>
  <c r="AC186" i="13" s="1"/>
  <c r="J186" i="13"/>
  <c r="I186" i="13"/>
  <c r="H186" i="13"/>
  <c r="Y186" i="13" s="1"/>
  <c r="Z186" i="13" s="1"/>
  <c r="F186" i="13"/>
  <c r="AB185" i="13"/>
  <c r="Y185" i="13"/>
  <c r="Z185" i="13" s="1"/>
  <c r="T185" i="13"/>
  <c r="S185" i="13"/>
  <c r="Q185" i="13"/>
  <c r="P185" i="13"/>
  <c r="O185" i="13"/>
  <c r="N185" i="13"/>
  <c r="L185" i="13"/>
  <c r="AC185" i="13" s="1"/>
  <c r="K185" i="13"/>
  <c r="V185" i="13" s="1"/>
  <c r="J185" i="13"/>
  <c r="I185" i="13"/>
  <c r="R185" i="13" s="1"/>
  <c r="H185" i="13"/>
  <c r="F185" i="13"/>
  <c r="AC184" i="13"/>
  <c r="AB184" i="13"/>
  <c r="T184" i="13"/>
  <c r="S184" i="13"/>
  <c r="Q184" i="13"/>
  <c r="R184" i="13" s="1"/>
  <c r="L184" i="13"/>
  <c r="J184" i="13"/>
  <c r="I184" i="13"/>
  <c r="H184" i="13"/>
  <c r="F184" i="13"/>
  <c r="AC183" i="13"/>
  <c r="AB183" i="13"/>
  <c r="T183" i="13"/>
  <c r="S183" i="13"/>
  <c r="Q183" i="13"/>
  <c r="L183" i="13"/>
  <c r="K183" i="13"/>
  <c r="J183" i="13"/>
  <c r="I183" i="13"/>
  <c r="N183" i="13" s="1"/>
  <c r="O183" i="13" s="1"/>
  <c r="H183" i="13"/>
  <c r="R183" i="13" s="1"/>
  <c r="F183" i="13"/>
  <c r="AB182" i="13"/>
  <c r="Y182" i="13"/>
  <c r="Z182" i="13" s="1"/>
  <c r="V182" i="13"/>
  <c r="T182" i="13"/>
  <c r="S182" i="13"/>
  <c r="Q182" i="13"/>
  <c r="N182" i="13"/>
  <c r="P182" i="13" s="1"/>
  <c r="L182" i="13"/>
  <c r="AC182" i="13" s="1"/>
  <c r="K182" i="13"/>
  <c r="J182" i="13"/>
  <c r="I182" i="13"/>
  <c r="R182" i="13" s="1"/>
  <c r="H182" i="13"/>
  <c r="F182" i="13"/>
  <c r="AC181" i="13"/>
  <c r="AB181" i="13"/>
  <c r="T181" i="13"/>
  <c r="S181" i="13"/>
  <c r="Q181" i="13"/>
  <c r="N181" i="13"/>
  <c r="P181" i="13" s="1"/>
  <c r="L181" i="13"/>
  <c r="J181" i="13"/>
  <c r="I181" i="13"/>
  <c r="K181" i="13" s="1"/>
  <c r="H181" i="13"/>
  <c r="F181" i="13"/>
  <c r="AC180" i="13"/>
  <c r="AB180" i="13"/>
  <c r="T180" i="13"/>
  <c r="S180" i="13"/>
  <c r="Q180" i="13"/>
  <c r="L180" i="13"/>
  <c r="J180" i="13"/>
  <c r="I180" i="13"/>
  <c r="N180" i="13" s="1"/>
  <c r="H180" i="13"/>
  <c r="F180" i="13"/>
  <c r="AB179" i="13"/>
  <c r="T179" i="13"/>
  <c r="S179" i="13"/>
  <c r="Q179" i="13"/>
  <c r="L179" i="13"/>
  <c r="AC179" i="13" s="1"/>
  <c r="K179" i="13"/>
  <c r="V179" i="13" s="1"/>
  <c r="J179" i="13"/>
  <c r="I179" i="13"/>
  <c r="H179" i="13"/>
  <c r="R179" i="13" s="1"/>
  <c r="F179" i="13"/>
  <c r="AC178" i="13"/>
  <c r="AB178" i="13"/>
  <c r="T178" i="13"/>
  <c r="S178" i="13"/>
  <c r="Q178" i="13"/>
  <c r="L178" i="13"/>
  <c r="J178" i="13"/>
  <c r="I178" i="13"/>
  <c r="H178" i="13"/>
  <c r="R178" i="13" s="1"/>
  <c r="F178" i="13"/>
  <c r="AC177" i="13"/>
  <c r="AB177" i="13"/>
  <c r="V177" i="13"/>
  <c r="T177" i="13"/>
  <c r="S177" i="13"/>
  <c r="R177" i="13"/>
  <c r="Q177" i="13"/>
  <c r="N177" i="13"/>
  <c r="L177" i="13"/>
  <c r="K177" i="13"/>
  <c r="J177" i="13"/>
  <c r="I177" i="13"/>
  <c r="H177" i="13"/>
  <c r="F177" i="13"/>
  <c r="AB176" i="13"/>
  <c r="T176" i="13"/>
  <c r="S176" i="13"/>
  <c r="Q176" i="13"/>
  <c r="P176" i="13"/>
  <c r="O176" i="13"/>
  <c r="N176" i="13"/>
  <c r="L176" i="13"/>
  <c r="AC176" i="13" s="1"/>
  <c r="J176" i="13"/>
  <c r="I176" i="13"/>
  <c r="K176" i="13" s="1"/>
  <c r="H176" i="13"/>
  <c r="R176" i="13" s="1"/>
  <c r="F176" i="13"/>
  <c r="AC175" i="13"/>
  <c r="AB175" i="13"/>
  <c r="T175" i="13"/>
  <c r="S175" i="13"/>
  <c r="Q175" i="13"/>
  <c r="P175" i="13"/>
  <c r="L175" i="13"/>
  <c r="K175" i="13"/>
  <c r="J175" i="13"/>
  <c r="I175" i="13"/>
  <c r="N175" i="13" s="1"/>
  <c r="O175" i="13" s="1"/>
  <c r="H175" i="13"/>
  <c r="R175" i="13" s="1"/>
  <c r="F175" i="13"/>
  <c r="AB174" i="13"/>
  <c r="Y174" i="13"/>
  <c r="T174" i="13"/>
  <c r="S174" i="13"/>
  <c r="Q174" i="13"/>
  <c r="N174" i="13"/>
  <c r="P174" i="13" s="1"/>
  <c r="L174" i="13"/>
  <c r="AC174" i="13" s="1"/>
  <c r="K174" i="13"/>
  <c r="V174" i="13" s="1"/>
  <c r="J174" i="13"/>
  <c r="I174" i="13"/>
  <c r="R174" i="13" s="1"/>
  <c r="H174" i="13"/>
  <c r="F174" i="13"/>
  <c r="AC173" i="13"/>
  <c r="AB173" i="13"/>
  <c r="T173" i="13"/>
  <c r="S173" i="13"/>
  <c r="Q173" i="13"/>
  <c r="O173" i="13"/>
  <c r="N173" i="13"/>
  <c r="P173" i="13" s="1"/>
  <c r="L173" i="13"/>
  <c r="J173" i="13"/>
  <c r="I173" i="13"/>
  <c r="K173" i="13" s="1"/>
  <c r="H173" i="13"/>
  <c r="V173" i="13" s="1"/>
  <c r="F173" i="13"/>
  <c r="AC172" i="13"/>
  <c r="AB172" i="13"/>
  <c r="T172" i="13"/>
  <c r="S172" i="13"/>
  <c r="Q172" i="13"/>
  <c r="L172" i="13"/>
  <c r="J172" i="13"/>
  <c r="I172" i="13"/>
  <c r="N172" i="13" s="1"/>
  <c r="H172" i="13"/>
  <c r="R172" i="13" s="1"/>
  <c r="F172" i="13"/>
  <c r="AB171" i="13"/>
  <c r="T171" i="13"/>
  <c r="S171" i="13"/>
  <c r="Q171" i="13"/>
  <c r="L171" i="13"/>
  <c r="AC171" i="13" s="1"/>
  <c r="K171" i="13"/>
  <c r="V171" i="13" s="1"/>
  <c r="J171" i="13"/>
  <c r="I171" i="13"/>
  <c r="H171" i="13"/>
  <c r="R171" i="13" s="1"/>
  <c r="F171" i="13"/>
  <c r="AC170" i="13"/>
  <c r="AB170" i="13"/>
  <c r="T170" i="13"/>
  <c r="S170" i="13"/>
  <c r="Q170" i="13"/>
  <c r="L170" i="13"/>
  <c r="J170" i="13"/>
  <c r="I170" i="13"/>
  <c r="H170" i="13"/>
  <c r="R170" i="13" s="1"/>
  <c r="F170" i="13"/>
  <c r="AC169" i="13"/>
  <c r="AB169" i="13"/>
  <c r="T169" i="13"/>
  <c r="S169" i="13"/>
  <c r="Q169" i="13"/>
  <c r="L169" i="13"/>
  <c r="J169" i="13"/>
  <c r="I169" i="13"/>
  <c r="R169" i="13" s="1"/>
  <c r="H169" i="13"/>
  <c r="F169" i="13"/>
  <c r="AB168" i="13"/>
  <c r="T168" i="13"/>
  <c r="S168" i="13"/>
  <c r="Q168" i="13"/>
  <c r="O168" i="13"/>
  <c r="N168" i="13"/>
  <c r="P168" i="13" s="1"/>
  <c r="L168" i="13"/>
  <c r="AC168" i="13" s="1"/>
  <c r="J168" i="13"/>
  <c r="I168" i="13"/>
  <c r="K168" i="13" s="1"/>
  <c r="H168" i="13"/>
  <c r="R168" i="13" s="1"/>
  <c r="F168" i="13"/>
  <c r="AC167" i="13"/>
  <c r="AB167" i="13"/>
  <c r="T167" i="13"/>
  <c r="S167" i="13"/>
  <c r="R167" i="13"/>
  <c r="Q167" i="13"/>
  <c r="P167" i="13"/>
  <c r="L167" i="13"/>
  <c r="K167" i="13"/>
  <c r="J167" i="13"/>
  <c r="I167" i="13"/>
  <c r="N167" i="13" s="1"/>
  <c r="O167" i="13" s="1"/>
  <c r="H167" i="13"/>
  <c r="F167" i="13"/>
  <c r="AB166" i="13"/>
  <c r="Y166" i="13"/>
  <c r="T166" i="13"/>
  <c r="S166" i="13"/>
  <c r="Q166" i="13"/>
  <c r="O166" i="13"/>
  <c r="N166" i="13"/>
  <c r="P166" i="13" s="1"/>
  <c r="L166" i="13"/>
  <c r="AC166" i="13" s="1"/>
  <c r="J166" i="13"/>
  <c r="K166" i="13" s="1"/>
  <c r="V166" i="13" s="1"/>
  <c r="I166" i="13"/>
  <c r="R166" i="13" s="1"/>
  <c r="H166" i="13"/>
  <c r="F166" i="13"/>
  <c r="AC165" i="13"/>
  <c r="AB165" i="13"/>
  <c r="Y165" i="13"/>
  <c r="Z165" i="13" s="1"/>
  <c r="T165" i="13"/>
  <c r="S165" i="13"/>
  <c r="Q165" i="13"/>
  <c r="L165" i="13"/>
  <c r="J165" i="13"/>
  <c r="I165" i="13"/>
  <c r="K165" i="13" s="1"/>
  <c r="H165" i="13"/>
  <c r="F165" i="13"/>
  <c r="AB164" i="13"/>
  <c r="T164" i="13"/>
  <c r="S164" i="13"/>
  <c r="Q164" i="13"/>
  <c r="L164" i="13"/>
  <c r="AC164" i="13" s="1"/>
  <c r="J164" i="13"/>
  <c r="K164" i="13" s="1"/>
  <c r="I164" i="13"/>
  <c r="N164" i="13" s="1"/>
  <c r="H164" i="13"/>
  <c r="Y164" i="13" s="1"/>
  <c r="F164" i="13"/>
  <c r="AB163" i="13"/>
  <c r="Y163" i="13"/>
  <c r="Z163" i="13" s="1"/>
  <c r="T163" i="13"/>
  <c r="S163" i="13"/>
  <c r="Q163" i="13"/>
  <c r="N163" i="13"/>
  <c r="P163" i="13" s="1"/>
  <c r="L163" i="13"/>
  <c r="AC163" i="13" s="1"/>
  <c r="K163" i="13"/>
  <c r="V163" i="13" s="1"/>
  <c r="J163" i="13"/>
  <c r="I163" i="13"/>
  <c r="H163" i="13"/>
  <c r="R163" i="13" s="1"/>
  <c r="F163" i="13"/>
  <c r="AC162" i="13"/>
  <c r="AB162" i="13"/>
  <c r="T162" i="13"/>
  <c r="S162" i="13"/>
  <c r="Q162" i="13"/>
  <c r="L162" i="13"/>
  <c r="J162" i="13"/>
  <c r="I162" i="13"/>
  <c r="H162" i="13"/>
  <c r="R162" i="13" s="1"/>
  <c r="F162" i="13"/>
  <c r="AC161" i="13"/>
  <c r="AB161" i="13"/>
  <c r="Y161" i="13"/>
  <c r="Z161" i="13" s="1"/>
  <c r="T161" i="13"/>
  <c r="S161" i="13"/>
  <c r="R161" i="13"/>
  <c r="Q161" i="13"/>
  <c r="N161" i="13"/>
  <c r="L161" i="13"/>
  <c r="K161" i="13"/>
  <c r="V161" i="13" s="1"/>
  <c r="J161" i="13"/>
  <c r="I161" i="13"/>
  <c r="H161" i="13"/>
  <c r="F161" i="13"/>
  <c r="AB160" i="13"/>
  <c r="Y160" i="13"/>
  <c r="Z160" i="13" s="1"/>
  <c r="T160" i="13"/>
  <c r="S160" i="13"/>
  <c r="Q160" i="13"/>
  <c r="P160" i="13"/>
  <c r="O160" i="13"/>
  <c r="N160" i="13"/>
  <c r="L160" i="13"/>
  <c r="AC160" i="13" s="1"/>
  <c r="J160" i="13"/>
  <c r="I160" i="13"/>
  <c r="K160" i="13" s="1"/>
  <c r="V160" i="13" s="1"/>
  <c r="H160" i="13"/>
  <c r="R160" i="13" s="1"/>
  <c r="F160" i="13"/>
  <c r="AC159" i="13"/>
  <c r="AB159" i="13"/>
  <c r="T159" i="13"/>
  <c r="S159" i="13"/>
  <c r="Q159" i="13"/>
  <c r="L159" i="13"/>
  <c r="J159" i="13"/>
  <c r="I159" i="13"/>
  <c r="N159" i="13" s="1"/>
  <c r="O159" i="13" s="1"/>
  <c r="H159" i="13"/>
  <c r="F159" i="13"/>
  <c r="AB158" i="13"/>
  <c r="Y158" i="13"/>
  <c r="T158" i="13"/>
  <c r="S158" i="13"/>
  <c r="Q158" i="13"/>
  <c r="O158" i="13"/>
  <c r="N158" i="13"/>
  <c r="P158" i="13" s="1"/>
  <c r="L158" i="13"/>
  <c r="AC158" i="13" s="1"/>
  <c r="K158" i="13"/>
  <c r="V158" i="13" s="1"/>
  <c r="J158" i="13"/>
  <c r="I158" i="13"/>
  <c r="R158" i="13" s="1"/>
  <c r="H158" i="13"/>
  <c r="F158" i="13"/>
  <c r="AC157" i="13"/>
  <c r="AB157" i="13"/>
  <c r="Y157" i="13"/>
  <c r="Z157" i="13" s="1"/>
  <c r="T157" i="13"/>
  <c r="S157" i="13"/>
  <c r="Q157" i="13"/>
  <c r="L157" i="13"/>
  <c r="J157" i="13"/>
  <c r="I157" i="13"/>
  <c r="K157" i="13" s="1"/>
  <c r="H157" i="13"/>
  <c r="F157" i="13"/>
  <c r="AB156" i="13"/>
  <c r="T156" i="13"/>
  <c r="S156" i="13"/>
  <c r="Q156" i="13"/>
  <c r="L156" i="13"/>
  <c r="AC156" i="13" s="1"/>
  <c r="K156" i="13"/>
  <c r="J156" i="13"/>
  <c r="I156" i="13"/>
  <c r="N156" i="13" s="1"/>
  <c r="H156" i="13"/>
  <c r="Y156" i="13" s="1"/>
  <c r="Z156" i="13" s="1"/>
  <c r="F156" i="13"/>
  <c r="AB155" i="13"/>
  <c r="Y155" i="13"/>
  <c r="Z155" i="13" s="1"/>
  <c r="T155" i="13"/>
  <c r="S155" i="13"/>
  <c r="Q155" i="13"/>
  <c r="N155" i="13"/>
  <c r="P155" i="13" s="1"/>
  <c r="L155" i="13"/>
  <c r="AC155" i="13" s="1"/>
  <c r="K155" i="13"/>
  <c r="V155" i="13" s="1"/>
  <c r="J155" i="13"/>
  <c r="I155" i="13"/>
  <c r="H155" i="13"/>
  <c r="R155" i="13" s="1"/>
  <c r="F155" i="13"/>
  <c r="AC154" i="13"/>
  <c r="AB154" i="13"/>
  <c r="T154" i="13"/>
  <c r="S154" i="13"/>
  <c r="Q154" i="13"/>
  <c r="L154" i="13"/>
  <c r="J154" i="13"/>
  <c r="I154" i="13"/>
  <c r="N154" i="13" s="1"/>
  <c r="P154" i="13" s="1"/>
  <c r="H154" i="13"/>
  <c r="F154" i="13"/>
  <c r="AB153" i="13"/>
  <c r="Y153" i="13"/>
  <c r="T153" i="13"/>
  <c r="S153" i="13"/>
  <c r="R153" i="13"/>
  <c r="Q153" i="13"/>
  <c r="O153" i="13"/>
  <c r="N153" i="13"/>
  <c r="P153" i="13" s="1"/>
  <c r="L153" i="13"/>
  <c r="AC153" i="13" s="1"/>
  <c r="J153" i="13"/>
  <c r="Z153" i="13" s="1"/>
  <c r="I153" i="13"/>
  <c r="K153" i="13" s="1"/>
  <c r="V153" i="13" s="1"/>
  <c r="H153" i="13"/>
  <c r="F153" i="13"/>
  <c r="AC152" i="13"/>
  <c r="AB152" i="13"/>
  <c r="Y152" i="13"/>
  <c r="Z152" i="13" s="1"/>
  <c r="T152" i="13"/>
  <c r="S152" i="13"/>
  <c r="Q152" i="13"/>
  <c r="N152" i="13"/>
  <c r="P152" i="13" s="1"/>
  <c r="L152" i="13"/>
  <c r="J152" i="13"/>
  <c r="I152" i="13"/>
  <c r="K152" i="13" s="1"/>
  <c r="H152" i="13"/>
  <c r="R152" i="13" s="1"/>
  <c r="F152" i="13"/>
  <c r="AC151" i="13"/>
  <c r="AB151" i="13"/>
  <c r="T151" i="13"/>
  <c r="S151" i="13"/>
  <c r="R151" i="13"/>
  <c r="Q151" i="13"/>
  <c r="L151" i="13"/>
  <c r="K151" i="13"/>
  <c r="V151" i="13" s="1"/>
  <c r="J151" i="13"/>
  <c r="I151" i="13"/>
  <c r="N151" i="13" s="1"/>
  <c r="O151" i="13" s="1"/>
  <c r="H151" i="13"/>
  <c r="Y151" i="13" s="1"/>
  <c r="F151" i="13"/>
  <c r="AB150" i="13"/>
  <c r="Y150" i="13"/>
  <c r="Z150" i="13" s="1"/>
  <c r="T150" i="13"/>
  <c r="S150" i="13"/>
  <c r="Q150" i="13"/>
  <c r="P150" i="13"/>
  <c r="O150" i="13"/>
  <c r="N150" i="13"/>
  <c r="L150" i="13"/>
  <c r="AC150" i="13" s="1"/>
  <c r="J150" i="13"/>
  <c r="K150" i="13" s="1"/>
  <c r="V150" i="13" s="1"/>
  <c r="I150" i="13"/>
  <c r="R150" i="13" s="1"/>
  <c r="H150" i="13"/>
  <c r="F150" i="13"/>
  <c r="AC149" i="13"/>
  <c r="AB149" i="13"/>
  <c r="T149" i="13"/>
  <c r="S149" i="13"/>
  <c r="Q149" i="13"/>
  <c r="L149" i="13"/>
  <c r="J149" i="13"/>
  <c r="I149" i="13"/>
  <c r="K149" i="13" s="1"/>
  <c r="H149" i="13"/>
  <c r="F149" i="13"/>
  <c r="AB148" i="13"/>
  <c r="T148" i="13"/>
  <c r="S148" i="13"/>
  <c r="Q148" i="13"/>
  <c r="N148" i="13"/>
  <c r="L148" i="13"/>
  <c r="AC148" i="13" s="1"/>
  <c r="J148" i="13"/>
  <c r="K148" i="13" s="1"/>
  <c r="I148" i="13"/>
  <c r="H148" i="13"/>
  <c r="V148" i="13" s="1"/>
  <c r="F148" i="13"/>
  <c r="AB147" i="13"/>
  <c r="T147" i="13"/>
  <c r="S147" i="13"/>
  <c r="Q147" i="13"/>
  <c r="N147" i="13"/>
  <c r="P147" i="13" s="1"/>
  <c r="L147" i="13"/>
  <c r="AC147" i="13" s="1"/>
  <c r="K147" i="13"/>
  <c r="J147" i="13"/>
  <c r="I147" i="13"/>
  <c r="H147" i="13"/>
  <c r="R147" i="13" s="1"/>
  <c r="F147" i="13"/>
  <c r="AC146" i="13"/>
  <c r="AB146" i="13"/>
  <c r="T146" i="13"/>
  <c r="S146" i="13"/>
  <c r="Q146" i="13"/>
  <c r="O146" i="13"/>
  <c r="L146" i="13"/>
  <c r="J146" i="13"/>
  <c r="I146" i="13"/>
  <c r="N146" i="13" s="1"/>
  <c r="P146" i="13" s="1"/>
  <c r="H146" i="13"/>
  <c r="F146" i="13"/>
  <c r="AB145" i="13"/>
  <c r="Y145" i="13"/>
  <c r="Z145" i="13" s="1"/>
  <c r="T145" i="13"/>
  <c r="S145" i="13"/>
  <c r="Q145" i="13"/>
  <c r="L145" i="13"/>
  <c r="AC145" i="13" s="1"/>
  <c r="J145" i="13"/>
  <c r="I145" i="13"/>
  <c r="K145" i="13" s="1"/>
  <c r="V145" i="13" s="1"/>
  <c r="H145" i="13"/>
  <c r="F145" i="13"/>
  <c r="AC144" i="13"/>
  <c r="AB144" i="13"/>
  <c r="T144" i="13"/>
  <c r="S144" i="13"/>
  <c r="Q144" i="13"/>
  <c r="N144" i="13"/>
  <c r="P144" i="13" s="1"/>
  <c r="L144" i="13"/>
  <c r="J144" i="13"/>
  <c r="I144" i="13"/>
  <c r="K144" i="13" s="1"/>
  <c r="H144" i="13"/>
  <c r="Y144" i="13" s="1"/>
  <c r="Z144" i="13" s="1"/>
  <c r="F144" i="13"/>
  <c r="AC143" i="13"/>
  <c r="AB143" i="13"/>
  <c r="T143" i="13"/>
  <c r="S143" i="13"/>
  <c r="R143" i="13"/>
  <c r="Q143" i="13"/>
  <c r="L143" i="13"/>
  <c r="J143" i="13"/>
  <c r="K143" i="13" s="1"/>
  <c r="V143" i="13" s="1"/>
  <c r="I143" i="13"/>
  <c r="N143" i="13" s="1"/>
  <c r="O143" i="13" s="1"/>
  <c r="H143" i="13"/>
  <c r="Y143" i="13" s="1"/>
  <c r="F143" i="13"/>
  <c r="AB142" i="13"/>
  <c r="Y142" i="13"/>
  <c r="Z142" i="13" s="1"/>
  <c r="S142" i="13"/>
  <c r="Q142" i="13"/>
  <c r="P142" i="13"/>
  <c r="O142" i="13"/>
  <c r="N142" i="13"/>
  <c r="L142" i="13"/>
  <c r="AC142" i="13" s="1"/>
  <c r="K142" i="13"/>
  <c r="V142" i="13" s="1"/>
  <c r="J142" i="13"/>
  <c r="T142" i="13" s="1"/>
  <c r="I142" i="13"/>
  <c r="R142" i="13" s="1"/>
  <c r="H142" i="13"/>
  <c r="F142" i="13"/>
  <c r="AC141" i="13"/>
  <c r="AB141" i="13"/>
  <c r="S141" i="13"/>
  <c r="Q141" i="13"/>
  <c r="N141" i="13"/>
  <c r="P141" i="13" s="1"/>
  <c r="L141" i="13"/>
  <c r="J141" i="13"/>
  <c r="T141" i="13" s="1"/>
  <c r="I141" i="13"/>
  <c r="H141" i="13"/>
  <c r="F141" i="13"/>
  <c r="AC140" i="13"/>
  <c r="AB140" i="13"/>
  <c r="Y140" i="13"/>
  <c r="S140" i="13"/>
  <c r="R140" i="13"/>
  <c r="Q140" i="13"/>
  <c r="L140" i="13"/>
  <c r="J140" i="13"/>
  <c r="K140" i="13" s="1"/>
  <c r="V140" i="13" s="1"/>
  <c r="I140" i="13"/>
  <c r="N140" i="13" s="1"/>
  <c r="H140" i="13"/>
  <c r="F140" i="13"/>
  <c r="AB139" i="13"/>
  <c r="T139" i="13"/>
  <c r="S139" i="13"/>
  <c r="Q139" i="13"/>
  <c r="P139" i="13"/>
  <c r="O139" i="13"/>
  <c r="N139" i="13"/>
  <c r="L139" i="13"/>
  <c r="AC139" i="13" s="1"/>
  <c r="K139" i="13"/>
  <c r="J139" i="13"/>
  <c r="I139" i="13"/>
  <c r="H139" i="13"/>
  <c r="R139" i="13" s="1"/>
  <c r="F139" i="13"/>
  <c r="AC138" i="13"/>
  <c r="AB138" i="13"/>
  <c r="T138" i="13"/>
  <c r="S138" i="13"/>
  <c r="Q138" i="13"/>
  <c r="P138" i="13"/>
  <c r="L138" i="13"/>
  <c r="K138" i="13"/>
  <c r="J138" i="13"/>
  <c r="I138" i="13"/>
  <c r="N138" i="13" s="1"/>
  <c r="O138" i="13" s="1"/>
  <c r="H138" i="13"/>
  <c r="F138" i="13"/>
  <c r="AB137" i="13"/>
  <c r="Y137" i="13"/>
  <c r="Z137" i="13" s="1"/>
  <c r="T137" i="13"/>
  <c r="S137" i="13"/>
  <c r="Q137" i="13"/>
  <c r="L137" i="13"/>
  <c r="AC137" i="13" s="1"/>
  <c r="J137" i="13"/>
  <c r="I137" i="13"/>
  <c r="N137" i="13" s="1"/>
  <c r="H137" i="13"/>
  <c r="F137" i="13"/>
  <c r="AB136" i="13"/>
  <c r="Y136" i="13"/>
  <c r="V136" i="13"/>
  <c r="T136" i="13"/>
  <c r="S136" i="13"/>
  <c r="Q136" i="13"/>
  <c r="L136" i="13"/>
  <c r="AC136" i="13" s="1"/>
  <c r="J136" i="13"/>
  <c r="I136" i="13"/>
  <c r="K136" i="13" s="1"/>
  <c r="H136" i="13"/>
  <c r="R136" i="13" s="1"/>
  <c r="F136" i="13"/>
  <c r="AC135" i="13"/>
  <c r="AB135" i="13"/>
  <c r="T135" i="13"/>
  <c r="S135" i="13"/>
  <c r="Q135" i="13"/>
  <c r="P135" i="13"/>
  <c r="L135" i="13"/>
  <c r="J135" i="13"/>
  <c r="I135" i="13"/>
  <c r="N135" i="13" s="1"/>
  <c r="O135" i="13" s="1"/>
  <c r="H135" i="13"/>
  <c r="Y135" i="13" s="1"/>
  <c r="F135" i="13"/>
  <c r="AB134" i="13"/>
  <c r="Y134" i="13"/>
  <c r="Z134" i="13" s="1"/>
  <c r="T134" i="13"/>
  <c r="S134" i="13"/>
  <c r="Q134" i="13"/>
  <c r="P134" i="13"/>
  <c r="O134" i="13"/>
  <c r="N134" i="13"/>
  <c r="L134" i="13"/>
  <c r="AC134" i="13" s="1"/>
  <c r="K134" i="13"/>
  <c r="V134" i="13" s="1"/>
  <c r="J134" i="13"/>
  <c r="I134" i="13"/>
  <c r="R134" i="13" s="1"/>
  <c r="H134" i="13"/>
  <c r="F134" i="13"/>
  <c r="AC133" i="13"/>
  <c r="AB133" i="13"/>
  <c r="T133" i="13"/>
  <c r="S133" i="13"/>
  <c r="Q133" i="13"/>
  <c r="N133" i="13"/>
  <c r="P133" i="13" s="1"/>
  <c r="L133" i="13"/>
  <c r="J133" i="13"/>
  <c r="I133" i="13"/>
  <c r="H133" i="13"/>
  <c r="Y133" i="13" s="1"/>
  <c r="Z133" i="13" s="1"/>
  <c r="F133" i="13"/>
  <c r="AC132" i="13"/>
  <c r="AB132" i="13"/>
  <c r="Y132" i="13"/>
  <c r="Z132" i="13" s="1"/>
  <c r="T132" i="13"/>
  <c r="S132" i="13"/>
  <c r="R132" i="13"/>
  <c r="Q132" i="13"/>
  <c r="N132" i="13"/>
  <c r="L132" i="13"/>
  <c r="K132" i="13"/>
  <c r="V132" i="13" s="1"/>
  <c r="J132" i="13"/>
  <c r="I132" i="13"/>
  <c r="H132" i="13"/>
  <c r="F132" i="13"/>
  <c r="AB131" i="13"/>
  <c r="T131" i="13"/>
  <c r="S131" i="13"/>
  <c r="Q131" i="13"/>
  <c r="P131" i="13"/>
  <c r="O131" i="13"/>
  <c r="N131" i="13"/>
  <c r="L131" i="13"/>
  <c r="AC131" i="13" s="1"/>
  <c r="K131" i="13"/>
  <c r="J131" i="13"/>
  <c r="I131" i="13"/>
  <c r="H131" i="13"/>
  <c r="R131" i="13" s="1"/>
  <c r="F131" i="13"/>
  <c r="AC130" i="13"/>
  <c r="AB130" i="13"/>
  <c r="S130" i="13"/>
  <c r="Q130" i="13"/>
  <c r="P130" i="13"/>
  <c r="O130" i="13"/>
  <c r="L130" i="13"/>
  <c r="K130" i="13"/>
  <c r="J130" i="13"/>
  <c r="T130" i="13" s="1"/>
  <c r="I130" i="13"/>
  <c r="N130" i="13" s="1"/>
  <c r="H130" i="13"/>
  <c r="F130" i="13"/>
  <c r="AC129" i="13"/>
  <c r="AB129" i="13"/>
  <c r="S129" i="13"/>
  <c r="R129" i="13"/>
  <c r="Q129" i="13"/>
  <c r="L129" i="13"/>
  <c r="J129" i="13"/>
  <c r="T129" i="13" s="1"/>
  <c r="I129" i="13"/>
  <c r="H129" i="13"/>
  <c r="F129" i="13"/>
  <c r="AB128" i="13"/>
  <c r="V128" i="13"/>
  <c r="T128" i="13"/>
  <c r="S128" i="13"/>
  <c r="Q128" i="13"/>
  <c r="L128" i="13"/>
  <c r="AC128" i="13" s="1"/>
  <c r="J128" i="13"/>
  <c r="I128" i="13"/>
  <c r="K128" i="13" s="1"/>
  <c r="H128" i="13"/>
  <c r="F128" i="13"/>
  <c r="AC127" i="13"/>
  <c r="AB127" i="13"/>
  <c r="S127" i="13"/>
  <c r="Q127" i="13"/>
  <c r="L127" i="13"/>
  <c r="J127" i="13"/>
  <c r="T127" i="13" s="1"/>
  <c r="I127" i="13"/>
  <c r="H127" i="13"/>
  <c r="R127" i="13" s="1"/>
  <c r="F127" i="13"/>
  <c r="AB126" i="13"/>
  <c r="S126" i="13"/>
  <c r="Q126" i="13"/>
  <c r="P126" i="13"/>
  <c r="O126" i="13"/>
  <c r="N126" i="13"/>
  <c r="L126" i="13"/>
  <c r="AC126" i="13" s="1"/>
  <c r="K126" i="13"/>
  <c r="V126" i="13" s="1"/>
  <c r="J126" i="13"/>
  <c r="T126" i="13" s="1"/>
  <c r="I126" i="13"/>
  <c r="R126" i="13" s="1"/>
  <c r="H126" i="13"/>
  <c r="F126" i="13"/>
  <c r="AC125" i="13"/>
  <c r="AB125" i="13"/>
  <c r="S125" i="13"/>
  <c r="Q125" i="13"/>
  <c r="L125" i="13"/>
  <c r="J125" i="13"/>
  <c r="T125" i="13" s="1"/>
  <c r="I125" i="13"/>
  <c r="K125" i="13" s="1"/>
  <c r="H125" i="13"/>
  <c r="F125" i="13"/>
  <c r="AC124" i="13"/>
  <c r="AB124" i="13"/>
  <c r="T124" i="13"/>
  <c r="S124" i="13"/>
  <c r="Q124" i="13"/>
  <c r="L124" i="13"/>
  <c r="J124" i="13"/>
  <c r="I124" i="13"/>
  <c r="H124" i="13"/>
  <c r="Y124" i="13" s="1"/>
  <c r="F124" i="13"/>
  <c r="AB123" i="13"/>
  <c r="T123" i="13"/>
  <c r="S123" i="13"/>
  <c r="Q123" i="13"/>
  <c r="P123" i="13"/>
  <c r="O123" i="13"/>
  <c r="N123" i="13"/>
  <c r="L123" i="13"/>
  <c r="AC123" i="13" s="1"/>
  <c r="J123" i="13"/>
  <c r="K123" i="13" s="1"/>
  <c r="V123" i="13" s="1"/>
  <c r="I123" i="13"/>
  <c r="H123" i="13"/>
  <c r="R123" i="13" s="1"/>
  <c r="F123" i="13"/>
  <c r="AC122" i="13"/>
  <c r="AB122" i="13"/>
  <c r="Y122" i="13"/>
  <c r="Z122" i="13" s="1"/>
  <c r="T122" i="13"/>
  <c r="S122" i="13"/>
  <c r="Q122" i="13"/>
  <c r="L122" i="13"/>
  <c r="J122" i="13"/>
  <c r="I122" i="13"/>
  <c r="K122" i="13" s="1"/>
  <c r="H122" i="13"/>
  <c r="F122" i="13"/>
  <c r="AB121" i="13"/>
  <c r="S121" i="13"/>
  <c r="Q121" i="13"/>
  <c r="N121" i="13"/>
  <c r="P121" i="13" s="1"/>
  <c r="L121" i="13"/>
  <c r="AC121" i="13" s="1"/>
  <c r="J121" i="13"/>
  <c r="T121" i="13" s="1"/>
  <c r="I121" i="13"/>
  <c r="K121" i="13" s="1"/>
  <c r="H121" i="13"/>
  <c r="R121" i="13" s="1"/>
  <c r="F121" i="13"/>
  <c r="AC120" i="13"/>
  <c r="AB120" i="13"/>
  <c r="T120" i="13"/>
  <c r="S120" i="13"/>
  <c r="Q120" i="13"/>
  <c r="L120" i="13"/>
  <c r="J120" i="13"/>
  <c r="I120" i="13"/>
  <c r="K120" i="13" s="1"/>
  <c r="H120" i="13"/>
  <c r="V120" i="13" s="1"/>
  <c r="F120" i="13"/>
  <c r="AB119" i="13"/>
  <c r="S119" i="13"/>
  <c r="Q119" i="13"/>
  <c r="L119" i="13"/>
  <c r="AC119" i="13" s="1"/>
  <c r="J119" i="13"/>
  <c r="T119" i="13" s="1"/>
  <c r="I119" i="13"/>
  <c r="H119" i="13"/>
  <c r="Y119" i="13" s="1"/>
  <c r="F119" i="13"/>
  <c r="AB118" i="13"/>
  <c r="Y118" i="13"/>
  <c r="Z118" i="13" s="1"/>
  <c r="T118" i="13"/>
  <c r="S118" i="13"/>
  <c r="Q118" i="13"/>
  <c r="L118" i="13"/>
  <c r="AC118" i="13" s="1"/>
  <c r="J118" i="13"/>
  <c r="I118" i="13"/>
  <c r="K118" i="13" s="1"/>
  <c r="V118" i="13" s="1"/>
  <c r="H118" i="13"/>
  <c r="F118" i="13"/>
  <c r="AB117" i="13"/>
  <c r="S117" i="13"/>
  <c r="Q117" i="13"/>
  <c r="P117" i="13"/>
  <c r="O117" i="13"/>
  <c r="N117" i="13"/>
  <c r="L117" i="13"/>
  <c r="AC117" i="13" s="1"/>
  <c r="J117" i="13"/>
  <c r="T117" i="13" s="1"/>
  <c r="I117" i="13"/>
  <c r="H117" i="13"/>
  <c r="R117" i="13" s="1"/>
  <c r="F117" i="13"/>
  <c r="AC116" i="13"/>
  <c r="AB116" i="13"/>
  <c r="Y116" i="13"/>
  <c r="T116" i="13"/>
  <c r="S116" i="13"/>
  <c r="Q116" i="13"/>
  <c r="P116" i="13"/>
  <c r="N116" i="13"/>
  <c r="O116" i="13" s="1"/>
  <c r="L116" i="13"/>
  <c r="K116" i="13"/>
  <c r="V116" i="13" s="1"/>
  <c r="J116" i="13"/>
  <c r="I116" i="13"/>
  <c r="H116" i="13"/>
  <c r="R116" i="13" s="1"/>
  <c r="F116" i="13"/>
  <c r="AB115" i="13"/>
  <c r="Y115" i="13"/>
  <c r="Z115" i="13" s="1"/>
  <c r="S115" i="13"/>
  <c r="Q115" i="13"/>
  <c r="P115" i="13"/>
  <c r="O115" i="13"/>
  <c r="N115" i="13"/>
  <c r="L115" i="13"/>
  <c r="AC115" i="13" s="1"/>
  <c r="K115" i="13"/>
  <c r="J115" i="13"/>
  <c r="T115" i="13" s="1"/>
  <c r="I115" i="13"/>
  <c r="H115" i="13"/>
  <c r="F115" i="13"/>
  <c r="AC114" i="13"/>
  <c r="AB114" i="13"/>
  <c r="T114" i="13"/>
  <c r="S114" i="13"/>
  <c r="R114" i="13"/>
  <c r="Q114" i="13"/>
  <c r="L114" i="13"/>
  <c r="J114" i="13"/>
  <c r="I114" i="13"/>
  <c r="H114" i="13"/>
  <c r="F114" i="13"/>
  <c r="AC113" i="13"/>
  <c r="AB113" i="13"/>
  <c r="Y113" i="13"/>
  <c r="T113" i="13"/>
  <c r="S113" i="13"/>
  <c r="R113" i="13"/>
  <c r="Q113" i="13"/>
  <c r="N113" i="13"/>
  <c r="L113" i="13"/>
  <c r="J113" i="13"/>
  <c r="I113" i="13"/>
  <c r="K113" i="13" s="1"/>
  <c r="V113" i="13" s="1"/>
  <c r="H113" i="13"/>
  <c r="F113" i="13"/>
  <c r="AB112" i="13"/>
  <c r="V112" i="13"/>
  <c r="T112" i="13"/>
  <c r="S112" i="13"/>
  <c r="Q112" i="13"/>
  <c r="P112" i="13"/>
  <c r="O112" i="13"/>
  <c r="N112" i="13"/>
  <c r="L112" i="13"/>
  <c r="AC112" i="13" s="1"/>
  <c r="K112" i="13"/>
  <c r="J112" i="13"/>
  <c r="I112" i="13"/>
  <c r="H112" i="13"/>
  <c r="F112" i="13"/>
  <c r="AC111" i="13"/>
  <c r="AB111" i="13"/>
  <c r="Y111" i="13"/>
  <c r="T111" i="13"/>
  <c r="S111" i="13"/>
  <c r="Q111" i="13"/>
  <c r="L111" i="13"/>
  <c r="J111" i="13"/>
  <c r="I111" i="13"/>
  <c r="N111" i="13" s="1"/>
  <c r="O111" i="13" s="1"/>
  <c r="H111" i="13"/>
  <c r="F111" i="13"/>
  <c r="AB110" i="13"/>
  <c r="Y110" i="13"/>
  <c r="Z110" i="13" s="1"/>
  <c r="T110" i="13"/>
  <c r="S110" i="13"/>
  <c r="Q110" i="13"/>
  <c r="O110" i="13"/>
  <c r="N110" i="13"/>
  <c r="P110" i="13" s="1"/>
  <c r="L110" i="13"/>
  <c r="AC110" i="13" s="1"/>
  <c r="J110" i="13"/>
  <c r="I110" i="13"/>
  <c r="K110" i="13" s="1"/>
  <c r="H110" i="13"/>
  <c r="F110" i="13"/>
  <c r="AC109" i="13"/>
  <c r="AB109" i="13"/>
  <c r="T109" i="13"/>
  <c r="S109" i="13"/>
  <c r="R109" i="13"/>
  <c r="Q109" i="13"/>
  <c r="N109" i="13"/>
  <c r="L109" i="13"/>
  <c r="J109" i="13"/>
  <c r="I109" i="13"/>
  <c r="K109" i="13" s="1"/>
  <c r="H109" i="13"/>
  <c r="V109" i="13" s="1"/>
  <c r="F109" i="13"/>
  <c r="AB108" i="13"/>
  <c r="T108" i="13"/>
  <c r="S108" i="13"/>
  <c r="Q108" i="13"/>
  <c r="L108" i="13"/>
  <c r="AC108" i="13" s="1"/>
  <c r="J108" i="13"/>
  <c r="K108" i="13" s="1"/>
  <c r="I108" i="13"/>
  <c r="N108" i="13" s="1"/>
  <c r="H108" i="13"/>
  <c r="F108" i="13"/>
  <c r="AC107" i="13"/>
  <c r="AB107" i="13"/>
  <c r="Y107" i="13"/>
  <c r="Z107" i="13" s="1"/>
  <c r="T107" i="13"/>
  <c r="S107" i="13"/>
  <c r="Q107" i="13"/>
  <c r="P107" i="13"/>
  <c r="O107" i="13"/>
  <c r="N107" i="13"/>
  <c r="L107" i="13"/>
  <c r="K107" i="13"/>
  <c r="V107" i="13" s="1"/>
  <c r="J107" i="13"/>
  <c r="I107" i="13"/>
  <c r="R107" i="13" s="1"/>
  <c r="H107" i="13"/>
  <c r="F107" i="13"/>
  <c r="AC106" i="13"/>
  <c r="AB106" i="13"/>
  <c r="T106" i="13"/>
  <c r="S106" i="13"/>
  <c r="R106" i="13"/>
  <c r="Q106" i="13"/>
  <c r="L106" i="13"/>
  <c r="J106" i="13"/>
  <c r="I106" i="13"/>
  <c r="H106" i="13"/>
  <c r="F106" i="13"/>
  <c r="AB105" i="13"/>
  <c r="Y105" i="13"/>
  <c r="Z105" i="13" s="1"/>
  <c r="T105" i="13"/>
  <c r="S105" i="13"/>
  <c r="R105" i="13"/>
  <c r="Q105" i="13"/>
  <c r="N105" i="13"/>
  <c r="L105" i="13"/>
  <c r="AC105" i="13" s="1"/>
  <c r="K105" i="13"/>
  <c r="V105" i="13" s="1"/>
  <c r="J105" i="13"/>
  <c r="I105" i="13"/>
  <c r="H105" i="13"/>
  <c r="F105" i="13"/>
  <c r="AB104" i="13"/>
  <c r="V104" i="13"/>
  <c r="T104" i="13"/>
  <c r="S104" i="13"/>
  <c r="Q104" i="13"/>
  <c r="P104" i="13"/>
  <c r="O104" i="13"/>
  <c r="N104" i="13"/>
  <c r="L104" i="13"/>
  <c r="AC104" i="13" s="1"/>
  <c r="K104" i="13"/>
  <c r="J104" i="13"/>
  <c r="I104" i="13"/>
  <c r="H104" i="13"/>
  <c r="F104" i="13"/>
  <c r="AC103" i="13"/>
  <c r="AB103" i="13"/>
  <c r="Y103" i="13"/>
  <c r="T103" i="13"/>
  <c r="S103" i="13"/>
  <c r="R103" i="13"/>
  <c r="Q103" i="13"/>
  <c r="P103" i="13"/>
  <c r="L103" i="13"/>
  <c r="K103" i="13"/>
  <c r="J103" i="13"/>
  <c r="Z103" i="13" s="1"/>
  <c r="I103" i="13"/>
  <c r="N103" i="13" s="1"/>
  <c r="O103" i="13" s="1"/>
  <c r="H103" i="13"/>
  <c r="F103" i="13"/>
  <c r="AB102" i="13"/>
  <c r="Y102" i="13"/>
  <c r="T102" i="13"/>
  <c r="S102" i="13"/>
  <c r="Q102" i="13"/>
  <c r="N102" i="13"/>
  <c r="P102" i="13" s="1"/>
  <c r="L102" i="13"/>
  <c r="AC102" i="13" s="1"/>
  <c r="J102" i="13"/>
  <c r="I102" i="13"/>
  <c r="K102" i="13" s="1"/>
  <c r="V102" i="13" s="1"/>
  <c r="H102" i="13"/>
  <c r="F102" i="13"/>
  <c r="AC101" i="13"/>
  <c r="AB101" i="13"/>
  <c r="T101" i="13"/>
  <c r="S101" i="13"/>
  <c r="Q101" i="13"/>
  <c r="L101" i="13"/>
  <c r="J101" i="13"/>
  <c r="I101" i="13"/>
  <c r="K101" i="13" s="1"/>
  <c r="H101" i="13"/>
  <c r="V101" i="13" s="1"/>
  <c r="F101" i="13"/>
  <c r="AA103" i="13" s="1"/>
  <c r="AB100" i="13"/>
  <c r="T100" i="13"/>
  <c r="S100" i="13"/>
  <c r="Q100" i="13"/>
  <c r="P100" i="13"/>
  <c r="N100" i="13"/>
  <c r="O100" i="13" s="1"/>
  <c r="L100" i="13"/>
  <c r="AC100" i="13" s="1"/>
  <c r="K100" i="13"/>
  <c r="J100" i="13"/>
  <c r="I100" i="13"/>
  <c r="H100" i="13"/>
  <c r="F100" i="13"/>
  <c r="AC99" i="13"/>
  <c r="AB99" i="13"/>
  <c r="AA99" i="13"/>
  <c r="Y99" i="13"/>
  <c r="Z99" i="13" s="1"/>
  <c r="T99" i="13"/>
  <c r="S99" i="13"/>
  <c r="Q99" i="13"/>
  <c r="N99" i="13"/>
  <c r="P99" i="13" s="1"/>
  <c r="L99" i="13"/>
  <c r="K99" i="13"/>
  <c r="J99" i="13"/>
  <c r="I99" i="13"/>
  <c r="H99" i="13"/>
  <c r="R99" i="13" s="1"/>
  <c r="F99" i="13"/>
  <c r="AC98" i="13"/>
  <c r="AB98" i="13"/>
  <c r="T98" i="13"/>
  <c r="S98" i="13"/>
  <c r="R98" i="13"/>
  <c r="Q98" i="13"/>
  <c r="L98" i="13"/>
  <c r="J98" i="13"/>
  <c r="I98" i="13"/>
  <c r="H98" i="13"/>
  <c r="F98" i="13"/>
  <c r="AB97" i="13"/>
  <c r="Y97" i="13"/>
  <c r="T97" i="13"/>
  <c r="S97" i="13"/>
  <c r="Q97" i="13"/>
  <c r="L97" i="13"/>
  <c r="AC97" i="13" s="1"/>
  <c r="J97" i="13"/>
  <c r="I97" i="13"/>
  <c r="R97" i="13" s="1"/>
  <c r="H97" i="13"/>
  <c r="F97" i="13"/>
  <c r="AB96" i="13"/>
  <c r="T96" i="13"/>
  <c r="S96" i="13"/>
  <c r="Q96" i="13"/>
  <c r="L96" i="13"/>
  <c r="AC96" i="13" s="1"/>
  <c r="K96" i="13"/>
  <c r="J96" i="13"/>
  <c r="I96" i="13"/>
  <c r="N96" i="13" s="1"/>
  <c r="P96" i="13" s="1"/>
  <c r="H96" i="13"/>
  <c r="F96" i="13"/>
  <c r="AC95" i="13"/>
  <c r="AB95" i="13"/>
  <c r="Y95" i="13"/>
  <c r="S95" i="13"/>
  <c r="R95" i="13"/>
  <c r="Q95" i="13"/>
  <c r="L95" i="13"/>
  <c r="J95" i="13"/>
  <c r="I95" i="13"/>
  <c r="N95" i="13" s="1"/>
  <c r="O95" i="13" s="1"/>
  <c r="H95" i="13"/>
  <c r="F95" i="13"/>
  <c r="AB94" i="13"/>
  <c r="Y94" i="13"/>
  <c r="Z94" i="13" s="1"/>
  <c r="T94" i="13"/>
  <c r="S94" i="13"/>
  <c r="Q94" i="13"/>
  <c r="O94" i="13"/>
  <c r="N94" i="13"/>
  <c r="P94" i="13" s="1"/>
  <c r="L94" i="13"/>
  <c r="AC94" i="13" s="1"/>
  <c r="J94" i="13"/>
  <c r="I94" i="13"/>
  <c r="K94" i="13" s="1"/>
  <c r="V94" i="13" s="1"/>
  <c r="H94" i="13"/>
  <c r="F94" i="13"/>
  <c r="AC93" i="13"/>
  <c r="AB93" i="13"/>
  <c r="T93" i="13"/>
  <c r="S93" i="13"/>
  <c r="R93" i="13"/>
  <c r="Q93" i="13"/>
  <c r="N93" i="13"/>
  <c r="O93" i="13" s="1"/>
  <c r="L93" i="13"/>
  <c r="J93" i="13"/>
  <c r="I93" i="13"/>
  <c r="K93" i="13" s="1"/>
  <c r="H93" i="13"/>
  <c r="V93" i="13" s="1"/>
  <c r="F93" i="13"/>
  <c r="AB92" i="13"/>
  <c r="T92" i="13"/>
  <c r="S92" i="13"/>
  <c r="Q92" i="13"/>
  <c r="N92" i="13"/>
  <c r="O92" i="13" s="1"/>
  <c r="L92" i="13"/>
  <c r="AC92" i="13" s="1"/>
  <c r="K92" i="13"/>
  <c r="J92" i="13"/>
  <c r="I92" i="13"/>
  <c r="H92" i="13"/>
  <c r="F92" i="13"/>
  <c r="AC91" i="13"/>
  <c r="AB91" i="13"/>
  <c r="Y91" i="13"/>
  <c r="Z91" i="13" s="1"/>
  <c r="T91" i="13"/>
  <c r="S91" i="13"/>
  <c r="Q91" i="13"/>
  <c r="N91" i="13"/>
  <c r="P91" i="13" s="1"/>
  <c r="L91" i="13"/>
  <c r="K91" i="13"/>
  <c r="J91" i="13"/>
  <c r="I91" i="13"/>
  <c r="H91" i="13"/>
  <c r="F91" i="13"/>
  <c r="AC90" i="13"/>
  <c r="AB90" i="13"/>
  <c r="T90" i="13"/>
  <c r="S90" i="13"/>
  <c r="R90" i="13"/>
  <c r="Q90" i="13"/>
  <c r="L90" i="13"/>
  <c r="J90" i="13"/>
  <c r="I90" i="13"/>
  <c r="N90" i="13" s="1"/>
  <c r="P90" i="13" s="1"/>
  <c r="H90" i="13"/>
  <c r="F90" i="13"/>
  <c r="AB89" i="13"/>
  <c r="Y89" i="13"/>
  <c r="Z89" i="13" s="1"/>
  <c r="T89" i="13"/>
  <c r="S89" i="13"/>
  <c r="R89" i="13"/>
  <c r="Q89" i="13"/>
  <c r="L89" i="13"/>
  <c r="AC89" i="13" s="1"/>
  <c r="J89" i="13"/>
  <c r="I89" i="13"/>
  <c r="N89" i="13" s="1"/>
  <c r="H89" i="13"/>
  <c r="F89" i="13"/>
  <c r="AB88" i="13"/>
  <c r="T88" i="13"/>
  <c r="S88" i="13"/>
  <c r="Q88" i="13"/>
  <c r="L88" i="13"/>
  <c r="AC88" i="13" s="1"/>
  <c r="J88" i="13"/>
  <c r="I88" i="13"/>
  <c r="H88" i="13"/>
  <c r="Y88" i="13" s="1"/>
  <c r="Z88" i="13" s="1"/>
  <c r="F88" i="13"/>
  <c r="AB87" i="13"/>
  <c r="Y87" i="13"/>
  <c r="T87" i="13"/>
  <c r="S87" i="13"/>
  <c r="Q87" i="13"/>
  <c r="L87" i="13"/>
  <c r="J87" i="13"/>
  <c r="I87" i="13"/>
  <c r="N87" i="13" s="1"/>
  <c r="O87" i="13" s="1"/>
  <c r="H87" i="13"/>
  <c r="F87" i="13"/>
  <c r="AB86" i="13"/>
  <c r="Y86" i="13"/>
  <c r="T86" i="13"/>
  <c r="S86" i="13"/>
  <c r="Q86" i="13"/>
  <c r="O86" i="13"/>
  <c r="N86" i="13"/>
  <c r="P86" i="13" s="1"/>
  <c r="L86" i="13"/>
  <c r="AC86" i="13" s="1"/>
  <c r="J86" i="13"/>
  <c r="I86" i="13"/>
  <c r="R86" i="13" s="1"/>
  <c r="H86" i="13"/>
  <c r="F86" i="13"/>
  <c r="AB85" i="13"/>
  <c r="Y85" i="13"/>
  <c r="S85" i="13"/>
  <c r="Q85" i="13"/>
  <c r="L85" i="13"/>
  <c r="AC85" i="13" s="1"/>
  <c r="J85" i="13"/>
  <c r="T85" i="13" s="1"/>
  <c r="I85" i="13"/>
  <c r="K85" i="13" s="1"/>
  <c r="V85" i="13" s="1"/>
  <c r="H85" i="13"/>
  <c r="R85" i="13" s="1"/>
  <c r="F85" i="13"/>
  <c r="AB84" i="13"/>
  <c r="T84" i="13"/>
  <c r="S84" i="13"/>
  <c r="Q84" i="13"/>
  <c r="N84" i="13"/>
  <c r="O84" i="13" s="1"/>
  <c r="L84" i="13"/>
  <c r="AC84" i="13" s="1"/>
  <c r="K84" i="13"/>
  <c r="J84" i="13"/>
  <c r="I84" i="13"/>
  <c r="H84" i="13"/>
  <c r="R84" i="13" s="1"/>
  <c r="F84" i="13"/>
  <c r="AC83" i="13"/>
  <c r="AB83" i="13"/>
  <c r="Y83" i="13"/>
  <c r="S83" i="13"/>
  <c r="Q83" i="13"/>
  <c r="N83" i="13"/>
  <c r="P83" i="13" s="1"/>
  <c r="L83" i="13"/>
  <c r="J83" i="13"/>
  <c r="I83" i="13"/>
  <c r="H83" i="13"/>
  <c r="F83" i="13"/>
  <c r="AC82" i="13"/>
  <c r="AB82" i="13"/>
  <c r="Y82" i="13"/>
  <c r="T82" i="13"/>
  <c r="S82" i="13"/>
  <c r="Q82" i="13"/>
  <c r="L82" i="13"/>
  <c r="J82" i="13"/>
  <c r="I82" i="13"/>
  <c r="N82" i="13" s="1"/>
  <c r="H82" i="13"/>
  <c r="F82" i="13"/>
  <c r="AB81" i="13"/>
  <c r="Y81" i="13"/>
  <c r="Z81" i="13" s="1"/>
  <c r="T81" i="13"/>
  <c r="S81" i="13"/>
  <c r="Q81" i="13"/>
  <c r="N81" i="13"/>
  <c r="P81" i="13" s="1"/>
  <c r="L81" i="13"/>
  <c r="AC81" i="13" s="1"/>
  <c r="K81" i="13"/>
  <c r="V81" i="13" s="1"/>
  <c r="J81" i="13"/>
  <c r="I81" i="13"/>
  <c r="H81" i="13"/>
  <c r="R81" i="13" s="1"/>
  <c r="F81" i="13"/>
  <c r="AB80" i="13"/>
  <c r="T80" i="13"/>
  <c r="S80" i="13"/>
  <c r="Q80" i="13"/>
  <c r="P80" i="13"/>
  <c r="O80" i="13"/>
  <c r="L80" i="13"/>
  <c r="AC80" i="13" s="1"/>
  <c r="K80" i="13"/>
  <c r="V80" i="13" s="1"/>
  <c r="J80" i="13"/>
  <c r="I80" i="13"/>
  <c r="N80" i="13" s="1"/>
  <c r="H80" i="13"/>
  <c r="Y80" i="13" s="1"/>
  <c r="F80" i="13"/>
  <c r="AC79" i="13"/>
  <c r="AB79" i="13"/>
  <c r="AA79" i="13"/>
  <c r="Y79" i="13"/>
  <c r="Z79" i="13" s="1"/>
  <c r="T79" i="13"/>
  <c r="S79" i="13"/>
  <c r="R79" i="13"/>
  <c r="Q79" i="13"/>
  <c r="P79" i="13"/>
  <c r="O79" i="13"/>
  <c r="L79" i="13"/>
  <c r="J79" i="13"/>
  <c r="I79" i="13"/>
  <c r="N79" i="13" s="1"/>
  <c r="H79" i="13"/>
  <c r="F79" i="13"/>
  <c r="AC78" i="13"/>
  <c r="AB78" i="13"/>
  <c r="Y78" i="13"/>
  <c r="T78" i="13"/>
  <c r="S78" i="13"/>
  <c r="R78" i="13"/>
  <c r="Q78" i="13"/>
  <c r="L78" i="13"/>
  <c r="J78" i="13"/>
  <c r="I78" i="13"/>
  <c r="H78" i="13"/>
  <c r="F78" i="13"/>
  <c r="AB77" i="13"/>
  <c r="T77" i="13"/>
  <c r="S77" i="13"/>
  <c r="R77" i="13"/>
  <c r="Q77" i="13"/>
  <c r="L77" i="13"/>
  <c r="AC77" i="13" s="1"/>
  <c r="J77" i="13"/>
  <c r="I77" i="13"/>
  <c r="H77" i="13"/>
  <c r="Y77" i="13" s="1"/>
  <c r="Z77" i="13" s="1"/>
  <c r="F77" i="13"/>
  <c r="AB76" i="13"/>
  <c r="T76" i="13"/>
  <c r="S76" i="13"/>
  <c r="Q76" i="13"/>
  <c r="P76" i="13"/>
  <c r="N76" i="13"/>
  <c r="O76" i="13" s="1"/>
  <c r="L76" i="13"/>
  <c r="AC76" i="13" s="1"/>
  <c r="J76" i="13"/>
  <c r="K76" i="13" s="1"/>
  <c r="I76" i="13"/>
  <c r="H76" i="13"/>
  <c r="R76" i="13" s="1"/>
  <c r="F76" i="13"/>
  <c r="AC75" i="13"/>
  <c r="AB75" i="13"/>
  <c r="T75" i="13"/>
  <c r="S75" i="13"/>
  <c r="Q75" i="13"/>
  <c r="P75" i="13"/>
  <c r="O75" i="13"/>
  <c r="N75" i="13"/>
  <c r="L75" i="13"/>
  <c r="J75" i="13"/>
  <c r="K75" i="13" s="1"/>
  <c r="I75" i="13"/>
  <c r="H75" i="13"/>
  <c r="F75" i="13"/>
  <c r="AC74" i="13"/>
  <c r="AB74" i="13"/>
  <c r="T74" i="13"/>
  <c r="S74" i="13"/>
  <c r="Q74" i="13"/>
  <c r="L74" i="13"/>
  <c r="J74" i="13"/>
  <c r="I74" i="13"/>
  <c r="N74" i="13" s="1"/>
  <c r="H74" i="13"/>
  <c r="F74" i="13"/>
  <c r="AB73" i="13"/>
  <c r="T73" i="13"/>
  <c r="S73" i="13"/>
  <c r="Q73" i="13"/>
  <c r="L73" i="13"/>
  <c r="AC73" i="13" s="1"/>
  <c r="J73" i="13"/>
  <c r="I73" i="13"/>
  <c r="N73" i="13" s="1"/>
  <c r="H73" i="13"/>
  <c r="Y73" i="13" s="1"/>
  <c r="Z73" i="13" s="1"/>
  <c r="F73" i="13"/>
  <c r="AB72" i="13"/>
  <c r="T72" i="13"/>
  <c r="S72" i="13"/>
  <c r="Q72" i="13"/>
  <c r="L72" i="13"/>
  <c r="AC72" i="13" s="1"/>
  <c r="J72" i="13"/>
  <c r="I72" i="13"/>
  <c r="N72" i="13" s="1"/>
  <c r="P72" i="13" s="1"/>
  <c r="H72" i="13"/>
  <c r="Y72" i="13" s="1"/>
  <c r="F72" i="13"/>
  <c r="AB71" i="13"/>
  <c r="Y71" i="13"/>
  <c r="Z71" i="13" s="1"/>
  <c r="V71" i="13"/>
  <c r="T71" i="13"/>
  <c r="S71" i="13"/>
  <c r="Q71" i="13"/>
  <c r="N71" i="13"/>
  <c r="P71" i="13" s="1"/>
  <c r="L71" i="13"/>
  <c r="AC71" i="13" s="1"/>
  <c r="K71" i="13"/>
  <c r="J71" i="13"/>
  <c r="I71" i="13"/>
  <c r="R71" i="13" s="1"/>
  <c r="H71" i="13"/>
  <c r="F71" i="13"/>
  <c r="AC70" i="13"/>
  <c r="AB70" i="13"/>
  <c r="T70" i="13"/>
  <c r="S70" i="13"/>
  <c r="Q70" i="13"/>
  <c r="L70" i="13"/>
  <c r="J70" i="13"/>
  <c r="I70" i="13"/>
  <c r="K70" i="13" s="1"/>
  <c r="H70" i="13"/>
  <c r="Y70" i="13" s="1"/>
  <c r="Z70" i="13" s="1"/>
  <c r="F70" i="13"/>
  <c r="AC69" i="13"/>
  <c r="AB69" i="13"/>
  <c r="T69" i="13"/>
  <c r="S69" i="13"/>
  <c r="Q69" i="13"/>
  <c r="L69" i="13"/>
  <c r="J69" i="13"/>
  <c r="I69" i="13"/>
  <c r="N69" i="13" s="1"/>
  <c r="H69" i="13"/>
  <c r="Y69" i="13" s="1"/>
  <c r="Z69" i="13" s="1"/>
  <c r="F69" i="13"/>
  <c r="AA70" i="13" s="1"/>
  <c r="AB68" i="13"/>
  <c r="T68" i="13"/>
  <c r="S68" i="13"/>
  <c r="Q68" i="13"/>
  <c r="P68" i="13"/>
  <c r="O68" i="13"/>
  <c r="N68" i="13"/>
  <c r="L68" i="13"/>
  <c r="AC68" i="13" s="1"/>
  <c r="K68" i="13"/>
  <c r="J68" i="13"/>
  <c r="I68" i="13"/>
  <c r="H68" i="13"/>
  <c r="R68" i="13" s="1"/>
  <c r="F68" i="13"/>
  <c r="AC67" i="13"/>
  <c r="AB67" i="13"/>
  <c r="Y67" i="13"/>
  <c r="T67" i="13"/>
  <c r="S67" i="13"/>
  <c r="Q67" i="13"/>
  <c r="N67" i="13"/>
  <c r="P67" i="13" s="1"/>
  <c r="L67" i="13"/>
  <c r="K67" i="13"/>
  <c r="J67" i="13"/>
  <c r="I67" i="13"/>
  <c r="R67" i="13" s="1"/>
  <c r="H67" i="13"/>
  <c r="F67" i="13"/>
  <c r="AB66" i="13"/>
  <c r="Y66" i="13"/>
  <c r="Z66" i="13" s="1"/>
  <c r="T66" i="13"/>
  <c r="S66" i="13"/>
  <c r="Q66" i="13"/>
  <c r="O66" i="13"/>
  <c r="N66" i="13"/>
  <c r="P66" i="13" s="1"/>
  <c r="L66" i="13"/>
  <c r="AC66" i="13" s="1"/>
  <c r="K66" i="13"/>
  <c r="V66" i="13" s="1"/>
  <c r="J66" i="13"/>
  <c r="I66" i="13"/>
  <c r="H66" i="13"/>
  <c r="R66" i="13" s="1"/>
  <c r="F66" i="13"/>
  <c r="AC65" i="13"/>
  <c r="AB65" i="13"/>
  <c r="T65" i="13"/>
  <c r="S65" i="13"/>
  <c r="Q65" i="13"/>
  <c r="L65" i="13"/>
  <c r="J65" i="13"/>
  <c r="I65" i="13"/>
  <c r="N65" i="13" s="1"/>
  <c r="H65" i="13"/>
  <c r="Y65" i="13" s="1"/>
  <c r="Z65" i="13" s="1"/>
  <c r="F65" i="13"/>
  <c r="AA65" i="13" s="1"/>
  <c r="AC64" i="13"/>
  <c r="AB64" i="13"/>
  <c r="Y64" i="13"/>
  <c r="Z64" i="13" s="1"/>
  <c r="T64" i="13"/>
  <c r="S64" i="13"/>
  <c r="Q64" i="13"/>
  <c r="L64" i="13"/>
  <c r="J64" i="13"/>
  <c r="I64" i="13"/>
  <c r="N64" i="13" s="1"/>
  <c r="H64" i="13"/>
  <c r="F64" i="13"/>
  <c r="AB63" i="13"/>
  <c r="Y63" i="13"/>
  <c r="Z63" i="13" s="1"/>
  <c r="V63" i="13"/>
  <c r="T63" i="13"/>
  <c r="S63" i="13"/>
  <c r="Q63" i="13"/>
  <c r="N63" i="13"/>
  <c r="P63" i="13" s="1"/>
  <c r="L63" i="13"/>
  <c r="AC63" i="13" s="1"/>
  <c r="K63" i="13"/>
  <c r="J63" i="13"/>
  <c r="I63" i="13"/>
  <c r="H63" i="13"/>
  <c r="R63" i="13" s="1"/>
  <c r="F63" i="13"/>
  <c r="AC62" i="13"/>
  <c r="AB62" i="13"/>
  <c r="S62" i="13"/>
  <c r="Q62" i="13"/>
  <c r="L62" i="13"/>
  <c r="J62" i="13"/>
  <c r="T62" i="13" s="1"/>
  <c r="I62" i="13"/>
  <c r="N62" i="13" s="1"/>
  <c r="H62" i="13"/>
  <c r="Y62" i="13" s="1"/>
  <c r="Z62" i="13" s="1"/>
  <c r="F62" i="13"/>
  <c r="AA62" i="13" s="1"/>
  <c r="AB61" i="13"/>
  <c r="Y61" i="13"/>
  <c r="Z61" i="13" s="1"/>
  <c r="T61" i="13"/>
  <c r="S61" i="13"/>
  <c r="Q61" i="13"/>
  <c r="N61" i="13"/>
  <c r="P61" i="13" s="1"/>
  <c r="L61" i="13"/>
  <c r="AC61" i="13" s="1"/>
  <c r="K61" i="13"/>
  <c r="V61" i="13" s="1"/>
  <c r="J61" i="13"/>
  <c r="I61" i="13"/>
  <c r="R61" i="13" s="1"/>
  <c r="H61" i="13"/>
  <c r="F61" i="13"/>
  <c r="AC60" i="13"/>
  <c r="AB60" i="13"/>
  <c r="Y60" i="13"/>
  <c r="Z60" i="13" s="1"/>
  <c r="T60" i="13"/>
  <c r="S60" i="13"/>
  <c r="Q60" i="13"/>
  <c r="O60" i="13"/>
  <c r="N60" i="13"/>
  <c r="P60" i="13" s="1"/>
  <c r="L60" i="13"/>
  <c r="J60" i="13"/>
  <c r="I60" i="13"/>
  <c r="K60" i="13" s="1"/>
  <c r="H60" i="13"/>
  <c r="F60" i="13"/>
  <c r="AC59" i="13"/>
  <c r="AB59" i="13"/>
  <c r="T59" i="13"/>
  <c r="S59" i="13"/>
  <c r="Q59" i="13"/>
  <c r="L59" i="13"/>
  <c r="J59" i="13"/>
  <c r="I59" i="13"/>
  <c r="N59" i="13" s="1"/>
  <c r="H59" i="13"/>
  <c r="Y59" i="13" s="1"/>
  <c r="Z59" i="13" s="1"/>
  <c r="F59" i="13"/>
  <c r="AB58" i="13"/>
  <c r="Y58" i="13"/>
  <c r="V58" i="13"/>
  <c r="T58" i="13"/>
  <c r="S58" i="13"/>
  <c r="Q58" i="13"/>
  <c r="O58" i="13"/>
  <c r="N58" i="13"/>
  <c r="P58" i="13" s="1"/>
  <c r="L58" i="13"/>
  <c r="AC58" i="13" s="1"/>
  <c r="K58" i="13"/>
  <c r="J58" i="13"/>
  <c r="I58" i="13"/>
  <c r="R58" i="13" s="1"/>
  <c r="H58" i="13"/>
  <c r="F58" i="13"/>
  <c r="AC57" i="13"/>
  <c r="AB57" i="13"/>
  <c r="S57" i="13"/>
  <c r="Q57" i="13"/>
  <c r="L57" i="13"/>
  <c r="J57" i="13"/>
  <c r="T57" i="13" s="1"/>
  <c r="I57" i="13"/>
  <c r="N57" i="13" s="1"/>
  <c r="H57" i="13"/>
  <c r="Y57" i="13" s="1"/>
  <c r="Z57" i="13" s="1"/>
  <c r="F57" i="13"/>
  <c r="AA57" i="13" s="1"/>
  <c r="AC56" i="13"/>
  <c r="AB56" i="13"/>
  <c r="Y56" i="13"/>
  <c r="Z56" i="13" s="1"/>
  <c r="T56" i="13"/>
  <c r="S56" i="13"/>
  <c r="Q56" i="13"/>
  <c r="L56" i="13"/>
  <c r="J56" i="13"/>
  <c r="I56" i="13"/>
  <c r="N56" i="13" s="1"/>
  <c r="H56" i="13"/>
  <c r="F56" i="13"/>
  <c r="AB55" i="13"/>
  <c r="Y55" i="13"/>
  <c r="Z55" i="13" s="1"/>
  <c r="V55" i="13"/>
  <c r="T55" i="13"/>
  <c r="S55" i="13"/>
  <c r="Q55" i="13"/>
  <c r="N55" i="13"/>
  <c r="P55" i="13" s="1"/>
  <c r="L55" i="13"/>
  <c r="AC55" i="13" s="1"/>
  <c r="K55" i="13"/>
  <c r="J55" i="13"/>
  <c r="I55" i="13"/>
  <c r="H55" i="13"/>
  <c r="R55" i="13" s="1"/>
  <c r="F55" i="13"/>
  <c r="AC54" i="13"/>
  <c r="AB54" i="13"/>
  <c r="T54" i="13"/>
  <c r="S54" i="13"/>
  <c r="Q54" i="13"/>
  <c r="L54" i="13"/>
  <c r="J54" i="13"/>
  <c r="I54" i="13"/>
  <c r="N54" i="13" s="1"/>
  <c r="H54" i="13"/>
  <c r="Y54" i="13" s="1"/>
  <c r="Z54" i="13" s="1"/>
  <c r="F54" i="13"/>
  <c r="AA55" i="13" s="1"/>
  <c r="AB53" i="13"/>
  <c r="Y53" i="13"/>
  <c r="Z53" i="13" s="1"/>
  <c r="T53" i="13"/>
  <c r="S53" i="13"/>
  <c r="Q53" i="13"/>
  <c r="N53" i="13"/>
  <c r="P53" i="13" s="1"/>
  <c r="L53" i="13"/>
  <c r="AC53" i="13" s="1"/>
  <c r="K53" i="13"/>
  <c r="V53" i="13" s="1"/>
  <c r="J53" i="13"/>
  <c r="I53" i="13"/>
  <c r="H53" i="13"/>
  <c r="R53" i="13" s="1"/>
  <c r="F53" i="13"/>
  <c r="AC52" i="13"/>
  <c r="AB52" i="13"/>
  <c r="Y52" i="13"/>
  <c r="Z52" i="13" s="1"/>
  <c r="T52" i="13"/>
  <c r="S52" i="13"/>
  <c r="Q52" i="13"/>
  <c r="O52" i="13"/>
  <c r="N52" i="13"/>
  <c r="P52" i="13" s="1"/>
  <c r="L52" i="13"/>
  <c r="K52" i="13"/>
  <c r="J52" i="13"/>
  <c r="I52" i="13"/>
  <c r="H52" i="13"/>
  <c r="V52" i="13" s="1"/>
  <c r="F52" i="13"/>
  <c r="AC51" i="13"/>
  <c r="AB51" i="13"/>
  <c r="T51" i="13"/>
  <c r="S51" i="13"/>
  <c r="Q51" i="13"/>
  <c r="L51" i="13"/>
  <c r="J51" i="13"/>
  <c r="I51" i="13"/>
  <c r="N51" i="13" s="1"/>
  <c r="H51" i="13"/>
  <c r="Y51" i="13" s="1"/>
  <c r="Z51" i="13" s="1"/>
  <c r="F51" i="13"/>
  <c r="AB50" i="13"/>
  <c r="Y50" i="13"/>
  <c r="V50" i="13"/>
  <c r="T50" i="13"/>
  <c r="S50" i="13"/>
  <c r="Q50" i="13"/>
  <c r="O50" i="13"/>
  <c r="N50" i="13"/>
  <c r="P50" i="13" s="1"/>
  <c r="L50" i="13"/>
  <c r="AC50" i="13" s="1"/>
  <c r="K50" i="13"/>
  <c r="J50" i="13"/>
  <c r="I50" i="13"/>
  <c r="R50" i="13" s="1"/>
  <c r="H50" i="13"/>
  <c r="F50" i="13"/>
  <c r="AC49" i="13"/>
  <c r="AB49" i="13"/>
  <c r="T49" i="13"/>
  <c r="S49" i="13"/>
  <c r="Q49" i="13"/>
  <c r="L49" i="13"/>
  <c r="J49" i="13"/>
  <c r="I49" i="13"/>
  <c r="N49" i="13" s="1"/>
  <c r="H49" i="13"/>
  <c r="Y49" i="13" s="1"/>
  <c r="Z49" i="13" s="1"/>
  <c r="F49" i="13"/>
  <c r="AA49" i="13" s="1"/>
  <c r="AC48" i="13"/>
  <c r="AB48" i="13"/>
  <c r="Y48" i="13"/>
  <c r="Z48" i="13" s="1"/>
  <c r="T48" i="13"/>
  <c r="S48" i="13"/>
  <c r="Q48" i="13"/>
  <c r="L48" i="13"/>
  <c r="J48" i="13"/>
  <c r="I48" i="13"/>
  <c r="N48" i="13" s="1"/>
  <c r="H48" i="13"/>
  <c r="F48" i="13"/>
  <c r="AB47" i="13"/>
  <c r="Y47" i="13"/>
  <c r="Z47" i="13" s="1"/>
  <c r="T47" i="13"/>
  <c r="S47" i="13"/>
  <c r="Q47" i="13"/>
  <c r="N47" i="13"/>
  <c r="P47" i="13" s="1"/>
  <c r="L47" i="13"/>
  <c r="AC47" i="13" s="1"/>
  <c r="J47" i="13"/>
  <c r="K47" i="13" s="1"/>
  <c r="V47" i="13" s="1"/>
  <c r="I47" i="13"/>
  <c r="H47" i="13"/>
  <c r="R47" i="13" s="1"/>
  <c r="F47" i="13"/>
  <c r="AC46" i="13"/>
  <c r="AB46" i="13"/>
  <c r="T46" i="13"/>
  <c r="S46" i="13"/>
  <c r="Q46" i="13"/>
  <c r="L46" i="13"/>
  <c r="J46" i="13"/>
  <c r="I46" i="13"/>
  <c r="N46" i="13" s="1"/>
  <c r="H46" i="13"/>
  <c r="Y46" i="13" s="1"/>
  <c r="Z46" i="13" s="1"/>
  <c r="F46" i="13"/>
  <c r="AA47" i="13" s="1"/>
  <c r="AB45" i="13"/>
  <c r="Y45" i="13"/>
  <c r="Z45" i="13" s="1"/>
  <c r="T45" i="13"/>
  <c r="S45" i="13"/>
  <c r="Q45" i="13"/>
  <c r="N45" i="13"/>
  <c r="P45" i="13" s="1"/>
  <c r="L45" i="13"/>
  <c r="AC45" i="13" s="1"/>
  <c r="K45" i="13"/>
  <c r="V45" i="13" s="1"/>
  <c r="J45" i="13"/>
  <c r="I45" i="13"/>
  <c r="H45" i="13"/>
  <c r="R45" i="13" s="1"/>
  <c r="F45" i="13"/>
  <c r="AC44" i="13"/>
  <c r="AB44" i="13"/>
  <c r="Y44" i="13"/>
  <c r="Z44" i="13" s="1"/>
  <c r="T44" i="13"/>
  <c r="S44" i="13"/>
  <c r="Q44" i="13"/>
  <c r="O44" i="13"/>
  <c r="N44" i="13"/>
  <c r="P44" i="13" s="1"/>
  <c r="L44" i="13"/>
  <c r="K44" i="13"/>
  <c r="J44" i="13"/>
  <c r="I44" i="13"/>
  <c r="H44" i="13"/>
  <c r="V44" i="13" s="1"/>
  <c r="F44" i="13"/>
  <c r="AC43" i="13"/>
  <c r="AB43" i="13"/>
  <c r="T43" i="13"/>
  <c r="S43" i="13"/>
  <c r="Q43" i="13"/>
  <c r="L43" i="13"/>
  <c r="J43" i="13"/>
  <c r="I43" i="13"/>
  <c r="N43" i="13" s="1"/>
  <c r="H43" i="13"/>
  <c r="Y43" i="13" s="1"/>
  <c r="Z43" i="13" s="1"/>
  <c r="F43" i="13"/>
  <c r="AB42" i="13"/>
  <c r="Y42" i="13"/>
  <c r="V42" i="13"/>
  <c r="T42" i="13"/>
  <c r="S42" i="13"/>
  <c r="Q42" i="13"/>
  <c r="O42" i="13"/>
  <c r="N42" i="13"/>
  <c r="P42" i="13" s="1"/>
  <c r="L42" i="13"/>
  <c r="AC42" i="13" s="1"/>
  <c r="K42" i="13"/>
  <c r="J42" i="13"/>
  <c r="I42" i="13"/>
  <c r="R42" i="13" s="1"/>
  <c r="H42" i="13"/>
  <c r="F42" i="13"/>
  <c r="AC41" i="13"/>
  <c r="AB41" i="13"/>
  <c r="S41" i="13"/>
  <c r="Q41" i="13"/>
  <c r="L41" i="13"/>
  <c r="J41" i="13"/>
  <c r="T41" i="13" s="1"/>
  <c r="I41" i="13"/>
  <c r="N41" i="13" s="1"/>
  <c r="H41" i="13"/>
  <c r="Y41" i="13" s="1"/>
  <c r="Z41" i="13" s="1"/>
  <c r="F41" i="13"/>
  <c r="AA41" i="13" s="1"/>
  <c r="AC40" i="13"/>
  <c r="AB40" i="13"/>
  <c r="Y40" i="13"/>
  <c r="Z40" i="13" s="1"/>
  <c r="T40" i="13"/>
  <c r="S40" i="13"/>
  <c r="Q40" i="13"/>
  <c r="L40" i="13"/>
  <c r="J40" i="13"/>
  <c r="I40" i="13"/>
  <c r="N40" i="13" s="1"/>
  <c r="H40" i="13"/>
  <c r="F40" i="13"/>
  <c r="AB39" i="13"/>
  <c r="Y39" i="13"/>
  <c r="Z39" i="13" s="1"/>
  <c r="T39" i="13"/>
  <c r="S39" i="13"/>
  <c r="Q39" i="13"/>
  <c r="N39" i="13"/>
  <c r="P39" i="13" s="1"/>
  <c r="L39" i="13"/>
  <c r="AC39" i="13" s="1"/>
  <c r="J39" i="13"/>
  <c r="K39" i="13" s="1"/>
  <c r="V39" i="13" s="1"/>
  <c r="I39" i="13"/>
  <c r="H39" i="13"/>
  <c r="R39" i="13" s="1"/>
  <c r="F39" i="13"/>
  <c r="AC38" i="13"/>
  <c r="AB38" i="13"/>
  <c r="T38" i="13"/>
  <c r="S38" i="13"/>
  <c r="Q38" i="13"/>
  <c r="L38" i="13"/>
  <c r="J38" i="13"/>
  <c r="I38" i="13"/>
  <c r="N38" i="13" s="1"/>
  <c r="H38" i="13"/>
  <c r="Y38" i="13" s="1"/>
  <c r="Z38" i="13" s="1"/>
  <c r="F38" i="13"/>
  <c r="AA39" i="13" s="1"/>
  <c r="AB37" i="13"/>
  <c r="Y37" i="13"/>
  <c r="Z37" i="13" s="1"/>
  <c r="T37" i="13"/>
  <c r="S37" i="13"/>
  <c r="Q37" i="13"/>
  <c r="N37" i="13"/>
  <c r="P37" i="13" s="1"/>
  <c r="L37" i="13"/>
  <c r="AC37" i="13" s="1"/>
  <c r="K37" i="13"/>
  <c r="V37" i="13" s="1"/>
  <c r="J37" i="13"/>
  <c r="I37" i="13"/>
  <c r="H37" i="13"/>
  <c r="R37" i="13" s="1"/>
  <c r="F37" i="13"/>
  <c r="AC36" i="13"/>
  <c r="AB36" i="13"/>
  <c r="T36" i="13"/>
  <c r="S36" i="13"/>
  <c r="Q36" i="13"/>
  <c r="O36" i="13"/>
  <c r="N36" i="13"/>
  <c r="P36" i="13" s="1"/>
  <c r="L36" i="13"/>
  <c r="K36" i="13"/>
  <c r="J36" i="13"/>
  <c r="I36" i="13"/>
  <c r="H36" i="13"/>
  <c r="V36" i="13" s="1"/>
  <c r="F36" i="13"/>
  <c r="AC35" i="13"/>
  <c r="AB35" i="13"/>
  <c r="T35" i="13"/>
  <c r="S35" i="13"/>
  <c r="Q35" i="13"/>
  <c r="L35" i="13"/>
  <c r="J35" i="13"/>
  <c r="I35" i="13"/>
  <c r="N35" i="13" s="1"/>
  <c r="H35" i="13"/>
  <c r="Y35" i="13" s="1"/>
  <c r="Z35" i="13" s="1"/>
  <c r="F35" i="13"/>
  <c r="AB34" i="13"/>
  <c r="Y34" i="13"/>
  <c r="V34" i="13"/>
  <c r="T34" i="13"/>
  <c r="S34" i="13"/>
  <c r="Q34" i="13"/>
  <c r="O34" i="13"/>
  <c r="N34" i="13"/>
  <c r="P34" i="13" s="1"/>
  <c r="L34" i="13"/>
  <c r="AC34" i="13" s="1"/>
  <c r="K34" i="13"/>
  <c r="J34" i="13"/>
  <c r="I34" i="13"/>
  <c r="R34" i="13" s="1"/>
  <c r="H34" i="13"/>
  <c r="F34" i="13"/>
  <c r="AC33" i="13"/>
  <c r="AB33" i="13"/>
  <c r="T33" i="13"/>
  <c r="S33" i="13"/>
  <c r="Q33" i="13"/>
  <c r="L33" i="13"/>
  <c r="J33" i="13"/>
  <c r="I33" i="13"/>
  <c r="N33" i="13" s="1"/>
  <c r="H33" i="13"/>
  <c r="Y33" i="13" s="1"/>
  <c r="Z33" i="13" s="1"/>
  <c r="F33" i="13"/>
  <c r="AA33" i="13" s="1"/>
  <c r="AB32" i="13"/>
  <c r="Y32" i="13"/>
  <c r="Z32" i="13" s="1"/>
  <c r="T32" i="13"/>
  <c r="S32" i="13"/>
  <c r="Q32" i="13"/>
  <c r="L32" i="13"/>
  <c r="AC32" i="13" s="1"/>
  <c r="J32" i="13"/>
  <c r="I32" i="13"/>
  <c r="N32" i="13" s="1"/>
  <c r="H32" i="13"/>
  <c r="F32" i="13"/>
  <c r="AB31" i="13"/>
  <c r="Y31" i="13"/>
  <c r="Z31" i="13" s="1"/>
  <c r="T31" i="13"/>
  <c r="S31" i="13"/>
  <c r="Q31" i="13"/>
  <c r="N31" i="13"/>
  <c r="P31" i="13" s="1"/>
  <c r="L31" i="13"/>
  <c r="AC31" i="13" s="1"/>
  <c r="J31" i="13"/>
  <c r="K31" i="13" s="1"/>
  <c r="V31" i="13" s="1"/>
  <c r="I31" i="13"/>
  <c r="H31" i="13"/>
  <c r="R31" i="13" s="1"/>
  <c r="F31" i="13"/>
  <c r="AA31" i="13" s="1"/>
  <c r="AC30" i="13"/>
  <c r="AB30" i="13"/>
  <c r="S30" i="13"/>
  <c r="Q30" i="13"/>
  <c r="L30" i="13"/>
  <c r="J30" i="13"/>
  <c r="T30" i="13" s="1"/>
  <c r="I30" i="13"/>
  <c r="N30" i="13" s="1"/>
  <c r="H30" i="13"/>
  <c r="Y30" i="13" s="1"/>
  <c r="Z30" i="13" s="1"/>
  <c r="F30" i="13"/>
  <c r="AA30" i="13" s="1"/>
  <c r="AB29" i="13"/>
  <c r="Y29" i="13"/>
  <c r="Z29" i="13" s="1"/>
  <c r="T29" i="13"/>
  <c r="S29" i="13"/>
  <c r="Q29" i="13"/>
  <c r="N29" i="13"/>
  <c r="P29" i="13" s="1"/>
  <c r="L29" i="13"/>
  <c r="AC29" i="13" s="1"/>
  <c r="K29" i="13"/>
  <c r="V29" i="13" s="1"/>
  <c r="J29" i="13"/>
  <c r="I29" i="13"/>
  <c r="H29" i="13"/>
  <c r="R29" i="13" s="1"/>
  <c r="F29" i="13"/>
  <c r="AC28" i="13"/>
  <c r="AB28" i="13"/>
  <c r="T28" i="13"/>
  <c r="S28" i="13"/>
  <c r="Q28" i="13"/>
  <c r="O28" i="13"/>
  <c r="N28" i="13"/>
  <c r="P28" i="13" s="1"/>
  <c r="L28" i="13"/>
  <c r="J28" i="13"/>
  <c r="I28" i="13"/>
  <c r="K28" i="13" s="1"/>
  <c r="H28" i="13"/>
  <c r="F28" i="13"/>
  <c r="AC27" i="13"/>
  <c r="AB27" i="13"/>
  <c r="T27" i="13"/>
  <c r="S27" i="13"/>
  <c r="Q27" i="13"/>
  <c r="L27" i="13"/>
  <c r="J27" i="13"/>
  <c r="I27" i="13"/>
  <c r="N27" i="13" s="1"/>
  <c r="H27" i="13"/>
  <c r="Y27" i="13" s="1"/>
  <c r="Z27" i="13" s="1"/>
  <c r="F27" i="13"/>
  <c r="AB26" i="13"/>
  <c r="Y26" i="13"/>
  <c r="V26" i="13"/>
  <c r="T26" i="13"/>
  <c r="S26" i="13"/>
  <c r="Q26" i="13"/>
  <c r="O26" i="13"/>
  <c r="N26" i="13"/>
  <c r="P26" i="13" s="1"/>
  <c r="L26" i="13"/>
  <c r="AC26" i="13" s="1"/>
  <c r="K26" i="13"/>
  <c r="J26" i="13"/>
  <c r="I26" i="13"/>
  <c r="R26" i="13" s="1"/>
  <c r="H26" i="13"/>
  <c r="F26" i="13"/>
  <c r="AC25" i="13"/>
  <c r="AB25" i="13"/>
  <c r="T25" i="13"/>
  <c r="S25" i="13"/>
  <c r="Q25" i="13"/>
  <c r="L25" i="13"/>
  <c r="J25" i="13"/>
  <c r="I25" i="13"/>
  <c r="N25" i="13" s="1"/>
  <c r="H25" i="13"/>
  <c r="Y25" i="13" s="1"/>
  <c r="Z25" i="13" s="1"/>
  <c r="F25" i="13"/>
  <c r="AA25" i="13" s="1"/>
  <c r="AB24" i="13"/>
  <c r="Y24" i="13"/>
  <c r="Z24" i="13" s="1"/>
  <c r="T24" i="13"/>
  <c r="S24" i="13"/>
  <c r="Q24" i="13"/>
  <c r="L24" i="13"/>
  <c r="AC24" i="13" s="1"/>
  <c r="J24" i="13"/>
  <c r="I24" i="13"/>
  <c r="N24" i="13" s="1"/>
  <c r="H24" i="13"/>
  <c r="F24" i="13"/>
  <c r="AB23" i="13"/>
  <c r="Y23" i="13"/>
  <c r="Z23" i="13" s="1"/>
  <c r="T23" i="13"/>
  <c r="S23" i="13"/>
  <c r="Q23" i="13"/>
  <c r="N23" i="13"/>
  <c r="P23" i="13" s="1"/>
  <c r="L23" i="13"/>
  <c r="AC23" i="13" s="1"/>
  <c r="J23" i="13"/>
  <c r="K23" i="13" s="1"/>
  <c r="V23" i="13" s="1"/>
  <c r="I23" i="13"/>
  <c r="H23" i="13"/>
  <c r="R23" i="13" s="1"/>
  <c r="F23" i="13"/>
  <c r="AA23" i="13" s="1"/>
  <c r="AC22" i="13"/>
  <c r="AB22" i="13"/>
  <c r="T22" i="13"/>
  <c r="S22" i="13"/>
  <c r="Q22" i="13"/>
  <c r="L22" i="13"/>
  <c r="J22" i="13"/>
  <c r="I22" i="13"/>
  <c r="N22" i="13" s="1"/>
  <c r="H22" i="13"/>
  <c r="Y22" i="13" s="1"/>
  <c r="Z22" i="13" s="1"/>
  <c r="F22" i="13"/>
  <c r="AA22" i="13" s="1"/>
  <c r="AB21" i="13"/>
  <c r="Y21" i="13"/>
  <c r="Z21" i="13" s="1"/>
  <c r="T21" i="13"/>
  <c r="S21" i="13"/>
  <c r="Q21" i="13"/>
  <c r="N21" i="13"/>
  <c r="P21" i="13" s="1"/>
  <c r="L21" i="13"/>
  <c r="AC21" i="13" s="1"/>
  <c r="K21" i="13"/>
  <c r="V21" i="13" s="1"/>
  <c r="J21" i="13"/>
  <c r="I21" i="13"/>
  <c r="H21" i="13"/>
  <c r="R21" i="13" s="1"/>
  <c r="F21" i="13"/>
  <c r="AC20" i="13"/>
  <c r="AB20" i="13"/>
  <c r="T20" i="13"/>
  <c r="S20" i="13"/>
  <c r="Q20" i="13"/>
  <c r="O20" i="13"/>
  <c r="N20" i="13"/>
  <c r="P20" i="13" s="1"/>
  <c r="L20" i="13"/>
  <c r="J20" i="13"/>
  <c r="I20" i="13"/>
  <c r="K20" i="13" s="1"/>
  <c r="H20" i="13"/>
  <c r="F20" i="13"/>
  <c r="AC19" i="13"/>
  <c r="AB19" i="13"/>
  <c r="T19" i="13"/>
  <c r="S19" i="13"/>
  <c r="Q19" i="13"/>
  <c r="L19" i="13"/>
  <c r="J19" i="13"/>
  <c r="I19" i="13"/>
  <c r="N19" i="13" s="1"/>
  <c r="H19" i="13"/>
  <c r="Y19" i="13" s="1"/>
  <c r="Z19" i="13" s="1"/>
  <c r="F19" i="13"/>
  <c r="AB18" i="13"/>
  <c r="Y18" i="13"/>
  <c r="V18" i="13"/>
  <c r="T18" i="13"/>
  <c r="S18" i="13"/>
  <c r="Q18" i="13"/>
  <c r="O18" i="13"/>
  <c r="N18" i="13"/>
  <c r="P18" i="13" s="1"/>
  <c r="L18" i="13"/>
  <c r="AC18" i="13" s="1"/>
  <c r="K18" i="13"/>
  <c r="J18" i="13"/>
  <c r="I18" i="13"/>
  <c r="R18" i="13" s="1"/>
  <c r="H18" i="13"/>
  <c r="F18" i="13"/>
  <c r="AC17" i="13"/>
  <c r="AB17" i="13"/>
  <c r="T17" i="13"/>
  <c r="S17" i="13"/>
  <c r="Q17" i="13"/>
  <c r="L17" i="13"/>
  <c r="J17" i="13"/>
  <c r="I17" i="13"/>
  <c r="N17" i="13" s="1"/>
  <c r="H17" i="13"/>
  <c r="Y17" i="13" s="1"/>
  <c r="Z17" i="13" s="1"/>
  <c r="F17" i="13"/>
  <c r="AA17" i="13" s="1"/>
  <c r="AB16" i="13"/>
  <c r="Y16" i="13"/>
  <c r="Z16" i="13" s="1"/>
  <c r="T16" i="13"/>
  <c r="S16" i="13"/>
  <c r="Q16" i="13"/>
  <c r="L16" i="13"/>
  <c r="AC16" i="13" s="1"/>
  <c r="J16" i="13"/>
  <c r="I16" i="13"/>
  <c r="N16" i="13" s="1"/>
  <c r="H16" i="13"/>
  <c r="F16" i="13"/>
  <c r="AB15" i="13"/>
  <c r="Y15" i="13"/>
  <c r="Z15" i="13" s="1"/>
  <c r="T15" i="13"/>
  <c r="S15" i="13"/>
  <c r="Q15" i="13"/>
  <c r="N15" i="13"/>
  <c r="P15" i="13" s="1"/>
  <c r="L15" i="13"/>
  <c r="AC15" i="13" s="1"/>
  <c r="J15" i="13"/>
  <c r="K15" i="13" s="1"/>
  <c r="V15" i="13" s="1"/>
  <c r="I15" i="13"/>
  <c r="H15" i="13"/>
  <c r="R15" i="13" s="1"/>
  <c r="F15" i="13"/>
  <c r="AA15" i="13" s="1"/>
  <c r="AC14" i="13"/>
  <c r="AB14" i="13"/>
  <c r="T14" i="13"/>
  <c r="S14" i="13"/>
  <c r="Q14" i="13"/>
  <c r="L14" i="13"/>
  <c r="J14" i="13"/>
  <c r="I14" i="13"/>
  <c r="N14" i="13" s="1"/>
  <c r="H14" i="13"/>
  <c r="Y14" i="13" s="1"/>
  <c r="Z14" i="13" s="1"/>
  <c r="F14" i="13"/>
  <c r="AA14" i="13" s="1"/>
  <c r="AB13" i="13"/>
  <c r="Y13" i="13"/>
  <c r="Z13" i="13" s="1"/>
  <c r="T13" i="13"/>
  <c r="S13" i="13"/>
  <c r="Q13" i="13"/>
  <c r="N13" i="13"/>
  <c r="P13" i="13" s="1"/>
  <c r="L13" i="13"/>
  <c r="AC13" i="13" s="1"/>
  <c r="K13" i="13"/>
  <c r="V13" i="13" s="1"/>
  <c r="J13" i="13"/>
  <c r="I13" i="13"/>
  <c r="H13" i="13"/>
  <c r="R13" i="13" s="1"/>
  <c r="F13" i="13"/>
  <c r="AC12" i="13"/>
  <c r="AB12" i="13"/>
  <c r="T12" i="13"/>
  <c r="S12" i="13"/>
  <c r="Q12" i="13"/>
  <c r="O12" i="13"/>
  <c r="N12" i="13"/>
  <c r="P12" i="13" s="1"/>
  <c r="L12" i="13"/>
  <c r="J12" i="13"/>
  <c r="I12" i="13"/>
  <c r="K12" i="13" s="1"/>
  <c r="H12" i="13"/>
  <c r="V12" i="13" s="1"/>
  <c r="F12" i="13"/>
  <c r="AC11" i="13"/>
  <c r="AB11" i="13"/>
  <c r="T11" i="13"/>
  <c r="S11" i="13"/>
  <c r="Q11" i="13"/>
  <c r="L11" i="13"/>
  <c r="K11" i="13"/>
  <c r="J11" i="13"/>
  <c r="I11" i="13"/>
  <c r="N11" i="13" s="1"/>
  <c r="H11" i="13"/>
  <c r="Y11" i="13" s="1"/>
  <c r="Z11" i="13" s="1"/>
  <c r="F11" i="13"/>
  <c r="AB10" i="13"/>
  <c r="Y10" i="13"/>
  <c r="Z10" i="13" s="1"/>
  <c r="V10" i="13"/>
  <c r="T10" i="13"/>
  <c r="S10" i="13"/>
  <c r="Q10" i="13"/>
  <c r="O10" i="13"/>
  <c r="N10" i="13"/>
  <c r="P10" i="13" s="1"/>
  <c r="L10" i="13"/>
  <c r="AC10" i="13" s="1"/>
  <c r="K10" i="13"/>
  <c r="J10" i="13"/>
  <c r="I10" i="13"/>
  <c r="R10" i="13" s="1"/>
  <c r="H10" i="13"/>
  <c r="F10" i="13"/>
  <c r="AC9" i="13"/>
  <c r="AB9" i="13"/>
  <c r="T9" i="13"/>
  <c r="S9" i="13"/>
  <c r="Q9" i="13"/>
  <c r="L9" i="13"/>
  <c r="J9" i="13"/>
  <c r="I9" i="13"/>
  <c r="N9" i="13" s="1"/>
  <c r="H9" i="13"/>
  <c r="Y9" i="13" s="1"/>
  <c r="Z9" i="13" s="1"/>
  <c r="F9" i="13"/>
  <c r="AB8" i="13"/>
  <c r="Y8" i="13"/>
  <c r="Z8" i="13" s="1"/>
  <c r="T8" i="13"/>
  <c r="S8" i="13"/>
  <c r="Q8" i="13"/>
  <c r="L8" i="13"/>
  <c r="AC8" i="13" s="1"/>
  <c r="J8" i="13"/>
  <c r="I8" i="13"/>
  <c r="N8" i="13" s="1"/>
  <c r="H8" i="13"/>
  <c r="F8" i="13"/>
  <c r="AB7" i="13"/>
  <c r="Y7" i="13"/>
  <c r="Z7" i="13" s="1"/>
  <c r="T7" i="13"/>
  <c r="S7" i="13"/>
  <c r="Q7" i="13"/>
  <c r="N7" i="13"/>
  <c r="P7" i="13" s="1"/>
  <c r="L7" i="13"/>
  <c r="AC7" i="13" s="1"/>
  <c r="J7" i="13"/>
  <c r="K7" i="13" s="1"/>
  <c r="V7" i="13" s="1"/>
  <c r="I7" i="13"/>
  <c r="H7" i="13"/>
  <c r="R7" i="13" s="1"/>
  <c r="F7" i="13"/>
  <c r="AA7" i="13" s="1"/>
  <c r="AC6" i="13"/>
  <c r="AB6" i="13"/>
  <c r="T6" i="13"/>
  <c r="S6" i="13"/>
  <c r="Q6" i="13"/>
  <c r="L6" i="13"/>
  <c r="J6" i="13"/>
  <c r="I6" i="13"/>
  <c r="N6" i="13" s="1"/>
  <c r="H6" i="13"/>
  <c r="Y6" i="13" s="1"/>
  <c r="Z6" i="13" s="1"/>
  <c r="F6" i="13"/>
  <c r="AA6" i="13" s="1"/>
  <c r="AB5" i="13"/>
  <c r="Y5" i="13"/>
  <c r="Z5" i="13" s="1"/>
  <c r="T5" i="13"/>
  <c r="S5" i="13"/>
  <c r="S3" i="13" s="1"/>
  <c r="Q5" i="13"/>
  <c r="N5" i="13"/>
  <c r="P5" i="13" s="1"/>
  <c r="L5" i="13"/>
  <c r="AC5" i="13" s="1"/>
  <c r="K5" i="13"/>
  <c r="V5" i="13" s="1"/>
  <c r="J5" i="13"/>
  <c r="I5" i="13"/>
  <c r="H5" i="13"/>
  <c r="R5" i="13" s="1"/>
  <c r="F5" i="13"/>
  <c r="AC4" i="13"/>
  <c r="AB4" i="13"/>
  <c r="T4" i="13"/>
  <c r="S4" i="13"/>
  <c r="Q4" i="13"/>
  <c r="Q3" i="13" s="1"/>
  <c r="O4" i="13"/>
  <c r="N4" i="13"/>
  <c r="P4" i="13" s="1"/>
  <c r="L4" i="13"/>
  <c r="J4" i="13"/>
  <c r="I4" i="13"/>
  <c r="K4" i="13" s="1"/>
  <c r="H4" i="13"/>
  <c r="V4" i="13" s="1"/>
  <c r="F4" i="13"/>
  <c r="W3" i="13"/>
  <c r="F3" i="13"/>
  <c r="D9" i="15" s="1"/>
  <c r="C3" i="13"/>
  <c r="AA112" i="13" s="1"/>
  <c r="A3" i="13"/>
  <c r="D11" i="15" s="1"/>
  <c r="B77" i="12"/>
  <c r="B76" i="12"/>
  <c r="B75" i="12"/>
  <c r="B74" i="12"/>
  <c r="B73" i="12"/>
  <c r="B72" i="12"/>
  <c r="B71" i="12"/>
  <c r="B70" i="12"/>
  <c r="B78" i="12" s="1"/>
  <c r="B69" i="12"/>
  <c r="B68" i="12"/>
  <c r="B67" i="12"/>
  <c r="B66" i="12"/>
  <c r="B63" i="12"/>
  <c r="B62" i="12"/>
  <c r="B61" i="12"/>
  <c r="B41" i="12" s="1"/>
  <c r="B60" i="12"/>
  <c r="B59" i="12"/>
  <c r="B58" i="12"/>
  <c r="B57" i="12"/>
  <c r="B56" i="12"/>
  <c r="C53" i="12"/>
  <c r="E26" i="12" s="1"/>
  <c r="D52" i="12"/>
  <c r="C52" i="12"/>
  <c r="C51" i="12"/>
  <c r="D50" i="12"/>
  <c r="C50" i="12"/>
  <c r="D49" i="12"/>
  <c r="C49" i="12"/>
  <c r="D48" i="12"/>
  <c r="C48" i="12"/>
  <c r="D47" i="12"/>
  <c r="C47" i="12"/>
  <c r="C46" i="12"/>
  <c r="B44" i="12"/>
  <c r="B42" i="12"/>
  <c r="B31" i="12"/>
  <c r="B30" i="12"/>
  <c r="B29" i="12"/>
  <c r="D26" i="12"/>
  <c r="C26" i="12"/>
  <c r="E25" i="12"/>
  <c r="D25" i="12"/>
  <c r="C25" i="12"/>
  <c r="B25" i="12"/>
  <c r="E24" i="12"/>
  <c r="D24" i="12"/>
  <c r="C24" i="12"/>
  <c r="B24" i="12"/>
  <c r="E23" i="12"/>
  <c r="D23" i="12"/>
  <c r="C23" i="12"/>
  <c r="B23" i="12"/>
  <c r="E22" i="12"/>
  <c r="D22" i="12"/>
  <c r="C22" i="12"/>
  <c r="B22" i="12"/>
  <c r="E21" i="12"/>
  <c r="D21" i="12"/>
  <c r="D27" i="12" s="1"/>
  <c r="C21" i="12"/>
  <c r="C27" i="12" s="1"/>
  <c r="B21" i="12"/>
  <c r="E20" i="12"/>
  <c r="D20" i="12"/>
  <c r="C20" i="12"/>
  <c r="B20" i="12"/>
  <c r="B16" i="12"/>
  <c r="B15" i="12"/>
  <c r="B17" i="12" s="1"/>
  <c r="B13" i="12"/>
  <c r="C9" i="15" s="1"/>
  <c r="B12" i="12"/>
  <c r="B11" i="12"/>
  <c r="B10" i="12" s="1"/>
  <c r="B8" i="12"/>
  <c r="D6" i="15" s="1"/>
  <c r="B7" i="12"/>
  <c r="BL117" i="11"/>
  <c r="AR115" i="11"/>
  <c r="AQ115" i="11"/>
  <c r="AP115" i="11"/>
  <c r="AO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O115" i="11"/>
  <c r="N115" i="11"/>
  <c r="M115" i="11"/>
  <c r="L115" i="11"/>
  <c r="K115" i="11"/>
  <c r="J115" i="11"/>
  <c r="I115" i="11"/>
  <c r="H115" i="11"/>
  <c r="G115" i="11"/>
  <c r="F115" i="11"/>
  <c r="E115" i="11"/>
  <c r="D115" i="11"/>
  <c r="AR114" i="11"/>
  <c r="AQ114" i="11"/>
  <c r="AP114" i="11"/>
  <c r="AO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O114" i="11"/>
  <c r="N114" i="11"/>
  <c r="M114" i="11"/>
  <c r="L114" i="11"/>
  <c r="K114" i="11"/>
  <c r="J114" i="11"/>
  <c r="I114" i="11"/>
  <c r="H114" i="11"/>
  <c r="G114" i="11"/>
  <c r="F114" i="11"/>
  <c r="E114" i="11"/>
  <c r="D114" i="11"/>
  <c r="AR113" i="11"/>
  <c r="AQ113" i="11"/>
  <c r="AP113" i="11"/>
  <c r="AO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O113" i="11"/>
  <c r="N113" i="11"/>
  <c r="M113" i="11"/>
  <c r="L113" i="11"/>
  <c r="K113" i="11"/>
  <c r="J113" i="11"/>
  <c r="I113" i="11"/>
  <c r="H113" i="11"/>
  <c r="G113" i="11"/>
  <c r="F113" i="11"/>
  <c r="E113" i="11"/>
  <c r="D113" i="1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E112" i="11"/>
  <c r="D112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G111" i="11"/>
  <c r="F111" i="11"/>
  <c r="E111" i="11"/>
  <c r="D111" i="11"/>
  <c r="AR110" i="11"/>
  <c r="AQ110" i="11"/>
  <c r="AP110" i="11"/>
  <c r="AO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O110" i="11"/>
  <c r="N110" i="11"/>
  <c r="M110" i="11"/>
  <c r="L110" i="11"/>
  <c r="K110" i="11"/>
  <c r="J110" i="11"/>
  <c r="I110" i="11"/>
  <c r="H110" i="11"/>
  <c r="G110" i="11"/>
  <c r="F110" i="11"/>
  <c r="E110" i="11"/>
  <c r="D110" i="11"/>
  <c r="AR108" i="11"/>
  <c r="AQ108" i="11"/>
  <c r="AP108" i="11"/>
  <c r="AO108" i="11"/>
  <c r="AN108" i="11"/>
  <c r="AM108" i="11"/>
  <c r="AL108" i="11"/>
  <c r="AK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O108" i="11"/>
  <c r="N108" i="11"/>
  <c r="M108" i="11"/>
  <c r="L108" i="11"/>
  <c r="K108" i="11"/>
  <c r="J108" i="11"/>
  <c r="I108" i="11"/>
  <c r="H108" i="11"/>
  <c r="G108" i="11"/>
  <c r="F108" i="11"/>
  <c r="E108" i="11"/>
  <c r="D108" i="11"/>
  <c r="AR107" i="11"/>
  <c r="AQ107" i="11"/>
  <c r="AP107" i="11"/>
  <c r="AO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O107" i="11"/>
  <c r="N107" i="11"/>
  <c r="M107" i="11"/>
  <c r="L107" i="11"/>
  <c r="K107" i="11"/>
  <c r="J107" i="11"/>
  <c r="I107" i="11"/>
  <c r="H107" i="11"/>
  <c r="G107" i="11"/>
  <c r="F107" i="11"/>
  <c r="E107" i="11"/>
  <c r="D107" i="11"/>
  <c r="AR106" i="11"/>
  <c r="AQ106" i="11"/>
  <c r="AP106" i="11"/>
  <c r="AO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K106" i="11"/>
  <c r="J106" i="11"/>
  <c r="I106" i="11"/>
  <c r="H106" i="11"/>
  <c r="G106" i="11"/>
  <c r="F106" i="11"/>
  <c r="E106" i="11"/>
  <c r="D106" i="11"/>
  <c r="AR105" i="11"/>
  <c r="AQ105" i="11"/>
  <c r="AP105" i="11"/>
  <c r="AO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K105" i="11"/>
  <c r="J105" i="11"/>
  <c r="I105" i="11"/>
  <c r="H105" i="11"/>
  <c r="G105" i="11"/>
  <c r="F105" i="11"/>
  <c r="E105" i="11"/>
  <c r="D105" i="11"/>
  <c r="AR104" i="11"/>
  <c r="AQ104" i="11"/>
  <c r="AP104" i="11"/>
  <c r="AO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G104" i="11"/>
  <c r="F104" i="11"/>
  <c r="E104" i="11"/>
  <c r="D104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AR100" i="11"/>
  <c r="AQ100" i="11"/>
  <c r="AP100" i="11"/>
  <c r="AO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H100" i="11"/>
  <c r="G100" i="11"/>
  <c r="F100" i="11"/>
  <c r="E100" i="11"/>
  <c r="D100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AR98" i="11"/>
  <c r="AQ98" i="11"/>
  <c r="AP98" i="11"/>
  <c r="AO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G98" i="11"/>
  <c r="F98" i="11"/>
  <c r="E98" i="11"/>
  <c r="D98" i="11"/>
  <c r="AR97" i="11"/>
  <c r="AQ97" i="11"/>
  <c r="AP97" i="11"/>
  <c r="AO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G97" i="11"/>
  <c r="F97" i="11"/>
  <c r="E97" i="11"/>
  <c r="D97" i="11"/>
  <c r="AR96" i="11"/>
  <c r="AQ96" i="11"/>
  <c r="AP96" i="11"/>
  <c r="AO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G96" i="11"/>
  <c r="F96" i="11"/>
  <c r="E96" i="11"/>
  <c r="D96" i="11"/>
  <c r="AR95" i="11"/>
  <c r="AQ95" i="11"/>
  <c r="AP95" i="11"/>
  <c r="AO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G95" i="11"/>
  <c r="F95" i="11"/>
  <c r="E95" i="11"/>
  <c r="D95" i="11"/>
  <c r="AR94" i="11"/>
  <c r="AQ94" i="11"/>
  <c r="AP94" i="11"/>
  <c r="AO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G94" i="11"/>
  <c r="F94" i="11"/>
  <c r="E94" i="11"/>
  <c r="D94" i="11"/>
  <c r="AR93" i="11"/>
  <c r="AQ93" i="11"/>
  <c r="AP93" i="11"/>
  <c r="AO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O93" i="11"/>
  <c r="N93" i="11"/>
  <c r="M93" i="11"/>
  <c r="L93" i="11"/>
  <c r="K93" i="11"/>
  <c r="J93" i="11"/>
  <c r="I93" i="11"/>
  <c r="H93" i="11"/>
  <c r="G93" i="11"/>
  <c r="F93" i="11"/>
  <c r="E93" i="11"/>
  <c r="D93" i="11"/>
  <c r="AR92" i="11"/>
  <c r="AQ92" i="11"/>
  <c r="AP92" i="11"/>
  <c r="AO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K92" i="11"/>
  <c r="J92" i="11"/>
  <c r="I92" i="11"/>
  <c r="H92" i="11"/>
  <c r="G92" i="11"/>
  <c r="F92" i="11"/>
  <c r="E92" i="11"/>
  <c r="D92" i="11"/>
  <c r="AR91" i="11"/>
  <c r="AQ91" i="11"/>
  <c r="AP91" i="11"/>
  <c r="AO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G91" i="11"/>
  <c r="F91" i="11"/>
  <c r="E91" i="11"/>
  <c r="D91" i="11"/>
  <c r="AR90" i="11"/>
  <c r="AQ90" i="11"/>
  <c r="AP90" i="11"/>
  <c r="AO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G90" i="11"/>
  <c r="F90" i="11"/>
  <c r="E90" i="11"/>
  <c r="D90" i="11"/>
  <c r="AR89" i="11"/>
  <c r="AQ89" i="11"/>
  <c r="AP89" i="11"/>
  <c r="AO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G89" i="11"/>
  <c r="F89" i="11"/>
  <c r="E89" i="11"/>
  <c r="D89" i="11"/>
  <c r="AR88" i="11"/>
  <c r="AQ88" i="11"/>
  <c r="AP88" i="11"/>
  <c r="AO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G88" i="11"/>
  <c r="F88" i="11"/>
  <c r="E88" i="11"/>
  <c r="D88" i="11"/>
  <c r="AR87" i="11"/>
  <c r="AQ87" i="11"/>
  <c r="AP87" i="11"/>
  <c r="AO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G87" i="11"/>
  <c r="F87" i="11"/>
  <c r="E87" i="11"/>
  <c r="D87" i="11"/>
  <c r="AR86" i="11"/>
  <c r="AQ86" i="11"/>
  <c r="AP86" i="11"/>
  <c r="AO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G86" i="11"/>
  <c r="F86" i="11"/>
  <c r="E86" i="11"/>
  <c r="D86" i="11"/>
  <c r="AR85" i="11"/>
  <c r="AQ85" i="11"/>
  <c r="AP85" i="11"/>
  <c r="AO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G85" i="11"/>
  <c r="F85" i="11"/>
  <c r="E85" i="11"/>
  <c r="D85" i="11"/>
  <c r="AR84" i="11"/>
  <c r="AQ84" i="11"/>
  <c r="AP84" i="11"/>
  <c r="AO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4" i="11"/>
  <c r="AR83" i="11"/>
  <c r="AQ83" i="11"/>
  <c r="AP83" i="11"/>
  <c r="AO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G83" i="11"/>
  <c r="F83" i="11"/>
  <c r="E83" i="11"/>
  <c r="D83" i="11"/>
  <c r="AR82" i="11"/>
  <c r="AQ82" i="11"/>
  <c r="AP82" i="11"/>
  <c r="AO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G82" i="11"/>
  <c r="F82" i="11"/>
  <c r="E82" i="11"/>
  <c r="D82" i="11"/>
  <c r="AR81" i="11"/>
  <c r="AQ81" i="11"/>
  <c r="AP81" i="11"/>
  <c r="AO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AR80" i="11"/>
  <c r="AQ80" i="11"/>
  <c r="AP80" i="11"/>
  <c r="AO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AR79" i="11"/>
  <c r="AQ79" i="11"/>
  <c r="AP79" i="11"/>
  <c r="AO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AR78" i="11"/>
  <c r="AQ78" i="11"/>
  <c r="AP78" i="11"/>
  <c r="AO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AR77" i="11"/>
  <c r="AQ77" i="11"/>
  <c r="AP77" i="11"/>
  <c r="AO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AR76" i="11"/>
  <c r="AQ76" i="11"/>
  <c r="AP76" i="11"/>
  <c r="AO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AR75" i="11"/>
  <c r="AQ75" i="11"/>
  <c r="AP75" i="11"/>
  <c r="AO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AR74" i="11"/>
  <c r="AQ74" i="11"/>
  <c r="AP74" i="11"/>
  <c r="AO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AR73" i="11"/>
  <c r="AQ73" i="11"/>
  <c r="AP73" i="11"/>
  <c r="AO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AR72" i="11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AR71" i="11"/>
  <c r="AQ71" i="11"/>
  <c r="AP71" i="11"/>
  <c r="AO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AR70" i="11"/>
  <c r="AQ70" i="11"/>
  <c r="AP70" i="11"/>
  <c r="AO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AR69" i="11"/>
  <c r="AQ69" i="11"/>
  <c r="AP69" i="11"/>
  <c r="AO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AR67" i="11"/>
  <c r="AQ67" i="11"/>
  <c r="AP67" i="11"/>
  <c r="AO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AR66" i="11"/>
  <c r="AQ66" i="11"/>
  <c r="AP66" i="11"/>
  <c r="AO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AR65" i="11"/>
  <c r="AQ65" i="11"/>
  <c r="AP65" i="11"/>
  <c r="AO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AR64" i="11"/>
  <c r="AQ64" i="11"/>
  <c r="AP64" i="11"/>
  <c r="AO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AR63" i="11"/>
  <c r="AQ63" i="11"/>
  <c r="AP63" i="11"/>
  <c r="AO63" i="11"/>
  <c r="AN63" i="11"/>
  <c r="AM63" i="11"/>
  <c r="AL63" i="11"/>
  <c r="AK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AR62" i="11"/>
  <c r="AQ62" i="11"/>
  <c r="AP62" i="11"/>
  <c r="AO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AR61" i="11"/>
  <c r="AQ61" i="11"/>
  <c r="AP61" i="11"/>
  <c r="AO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AR60" i="11"/>
  <c r="AQ60" i="11"/>
  <c r="AP60" i="11"/>
  <c r="AO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AR58" i="11"/>
  <c r="AQ58" i="11"/>
  <c r="AP58" i="11"/>
  <c r="AO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AR57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AR56" i="11"/>
  <c r="AQ56" i="11"/>
  <c r="AP56" i="11"/>
  <c r="AO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AR55" i="11"/>
  <c r="AQ55" i="11"/>
  <c r="AP55" i="11"/>
  <c r="AO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AR54" i="11"/>
  <c r="AQ54" i="11"/>
  <c r="AP54" i="11"/>
  <c r="AO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AR53" i="11"/>
  <c r="AQ53" i="11"/>
  <c r="AP53" i="11"/>
  <c r="AO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AR52" i="11"/>
  <c r="AQ52" i="11"/>
  <c r="AP52" i="11"/>
  <c r="AO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AR51" i="11"/>
  <c r="AQ51" i="11"/>
  <c r="AP51" i="11"/>
  <c r="AO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AR50" i="11"/>
  <c r="AQ50" i="11"/>
  <c r="AP50" i="11"/>
  <c r="AO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AR49" i="11"/>
  <c r="AQ49" i="11"/>
  <c r="AP49" i="11"/>
  <c r="AO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AR48" i="11"/>
  <c r="AQ48" i="11"/>
  <c r="AP48" i="11"/>
  <c r="AO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BL29" i="11"/>
  <c r="BL120" i="11" s="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AS9" i="11"/>
  <c r="AS13" i="11" s="1"/>
  <c r="B20" i="10"/>
  <c r="C14" i="10"/>
  <c r="B14" i="10"/>
  <c r="C20" i="10" s="1"/>
  <c r="C13" i="10"/>
  <c r="B13" i="10"/>
  <c r="C5" i="10"/>
  <c r="B5" i="10"/>
  <c r="E593" i="9"/>
  <c r="F593" i="9" s="1"/>
  <c r="D593" i="9"/>
  <c r="C593" i="9"/>
  <c r="E592" i="9"/>
  <c r="F592" i="9" s="1"/>
  <c r="D592" i="9"/>
  <c r="C592" i="9"/>
  <c r="E591" i="9"/>
  <c r="A591" i="9" s="1"/>
  <c r="D591" i="9"/>
  <c r="C591" i="9"/>
  <c r="E590" i="9"/>
  <c r="F590" i="9" s="1"/>
  <c r="D590" i="9"/>
  <c r="C590" i="9"/>
  <c r="E589" i="9"/>
  <c r="A589" i="9" s="1"/>
  <c r="D589" i="9"/>
  <c r="C589" i="9"/>
  <c r="E588" i="9"/>
  <c r="A588" i="9" s="1"/>
  <c r="D588" i="9"/>
  <c r="C588" i="9"/>
  <c r="E587" i="9"/>
  <c r="F587" i="9" s="1"/>
  <c r="D587" i="9"/>
  <c r="C587" i="9"/>
  <c r="E586" i="9"/>
  <c r="F586" i="9" s="1"/>
  <c r="D586" i="9"/>
  <c r="C586" i="9"/>
  <c r="E585" i="9"/>
  <c r="F585" i="9" s="1"/>
  <c r="D585" i="9"/>
  <c r="C585" i="9"/>
  <c r="E584" i="9"/>
  <c r="F584" i="9" s="1"/>
  <c r="D584" i="9"/>
  <c r="C584" i="9"/>
  <c r="E583" i="9"/>
  <c r="A583" i="9" s="1"/>
  <c r="D583" i="9"/>
  <c r="C583" i="9"/>
  <c r="E582" i="9"/>
  <c r="A582" i="9" s="1"/>
  <c r="D582" i="9"/>
  <c r="C582" i="9"/>
  <c r="E581" i="9"/>
  <c r="A581" i="9" s="1"/>
  <c r="D581" i="9"/>
  <c r="C581" i="9"/>
  <c r="E580" i="9"/>
  <c r="A580" i="9" s="1"/>
  <c r="D580" i="9"/>
  <c r="C580" i="9"/>
  <c r="E579" i="9"/>
  <c r="F579" i="9" s="1"/>
  <c r="D579" i="9"/>
  <c r="C579" i="9"/>
  <c r="E578" i="9"/>
  <c r="F578" i="9" s="1"/>
  <c r="D578" i="9"/>
  <c r="C578" i="9"/>
  <c r="E577" i="9"/>
  <c r="F577" i="9" s="1"/>
  <c r="D577" i="9"/>
  <c r="C577" i="9"/>
  <c r="E576" i="9"/>
  <c r="F576" i="9" s="1"/>
  <c r="D576" i="9"/>
  <c r="C576" i="9"/>
  <c r="E575" i="9"/>
  <c r="A575" i="9" s="1"/>
  <c r="D575" i="9"/>
  <c r="C575" i="9"/>
  <c r="E574" i="9"/>
  <c r="A574" i="9" s="1"/>
  <c r="D574" i="9"/>
  <c r="C574" i="9"/>
  <c r="E573" i="9"/>
  <c r="F573" i="9" s="1"/>
  <c r="D573" i="9"/>
  <c r="C573" i="9"/>
  <c r="E572" i="9"/>
  <c r="A572" i="9" s="1"/>
  <c r="D572" i="9"/>
  <c r="C572" i="9"/>
  <c r="E571" i="9"/>
  <c r="F571" i="9" s="1"/>
  <c r="D571" i="9"/>
  <c r="C571" i="9"/>
  <c r="E570" i="9"/>
  <c r="A570" i="9" s="1"/>
  <c r="D570" i="9"/>
  <c r="C570" i="9"/>
  <c r="E569" i="9"/>
  <c r="F569" i="9" s="1"/>
  <c r="D569" i="9"/>
  <c r="C569" i="9"/>
  <c r="E568" i="9"/>
  <c r="F568" i="9" s="1"/>
  <c r="D568" i="9"/>
  <c r="C568" i="9"/>
  <c r="E567" i="9"/>
  <c r="A567" i="9" s="1"/>
  <c r="D567" i="9"/>
  <c r="C567" i="9"/>
  <c r="E566" i="9"/>
  <c r="A566" i="9" s="1"/>
  <c r="D566" i="9"/>
  <c r="C566" i="9"/>
  <c r="E565" i="9"/>
  <c r="A565" i="9" s="1"/>
  <c r="D565" i="9"/>
  <c r="C565" i="9"/>
  <c r="E564" i="9"/>
  <c r="A564" i="9" s="1"/>
  <c r="D564" i="9"/>
  <c r="C564" i="9"/>
  <c r="E563" i="9"/>
  <c r="F563" i="9" s="1"/>
  <c r="D563" i="9"/>
  <c r="C563" i="9"/>
  <c r="E562" i="9"/>
  <c r="F562" i="9" s="1"/>
  <c r="D562" i="9"/>
  <c r="C562" i="9"/>
  <c r="E561" i="9"/>
  <c r="F561" i="9" s="1"/>
  <c r="D561" i="9"/>
  <c r="C561" i="9"/>
  <c r="E560" i="9"/>
  <c r="F560" i="9" s="1"/>
  <c r="D560" i="9"/>
  <c r="C560" i="9"/>
  <c r="A560" i="9"/>
  <c r="E559" i="9"/>
  <c r="A559" i="9" s="1"/>
  <c r="D559" i="9"/>
  <c r="C559" i="9"/>
  <c r="E558" i="9"/>
  <c r="F558" i="9" s="1"/>
  <c r="D558" i="9"/>
  <c r="C558" i="9"/>
  <c r="E557" i="9"/>
  <c r="A557" i="9" s="1"/>
  <c r="D557" i="9"/>
  <c r="C557" i="9"/>
  <c r="E556" i="9"/>
  <c r="A556" i="9" s="1"/>
  <c r="D556" i="9"/>
  <c r="C556" i="9"/>
  <c r="E555" i="9"/>
  <c r="F555" i="9" s="1"/>
  <c r="D555" i="9"/>
  <c r="C555" i="9"/>
  <c r="E554" i="9"/>
  <c r="F554" i="9" s="1"/>
  <c r="D554" i="9"/>
  <c r="C554" i="9"/>
  <c r="E553" i="9"/>
  <c r="F553" i="9" s="1"/>
  <c r="D553" i="9"/>
  <c r="C553" i="9"/>
  <c r="E552" i="9"/>
  <c r="F552" i="9" s="1"/>
  <c r="D552" i="9"/>
  <c r="C552" i="9"/>
  <c r="E551" i="9"/>
  <c r="A551" i="9" s="1"/>
  <c r="D551" i="9"/>
  <c r="C551" i="9"/>
  <c r="E550" i="9"/>
  <c r="A550" i="9" s="1"/>
  <c r="D550" i="9"/>
  <c r="C550" i="9"/>
  <c r="E549" i="9"/>
  <c r="F549" i="9" s="1"/>
  <c r="D549" i="9"/>
  <c r="C549" i="9"/>
  <c r="E548" i="9"/>
  <c r="A548" i="9" s="1"/>
  <c r="D548" i="9"/>
  <c r="C548" i="9"/>
  <c r="E547" i="9"/>
  <c r="F547" i="9" s="1"/>
  <c r="D547" i="9"/>
  <c r="C547" i="9"/>
  <c r="E546" i="9"/>
  <c r="A546" i="9" s="1"/>
  <c r="D546" i="9"/>
  <c r="C546" i="9"/>
  <c r="E545" i="9"/>
  <c r="F545" i="9" s="1"/>
  <c r="D545" i="9"/>
  <c r="C545" i="9"/>
  <c r="E544" i="9"/>
  <c r="F544" i="9" s="1"/>
  <c r="D544" i="9"/>
  <c r="C544" i="9"/>
  <c r="E543" i="9"/>
  <c r="A543" i="9" s="1"/>
  <c r="D543" i="9"/>
  <c r="C543" i="9"/>
  <c r="E542" i="9"/>
  <c r="F542" i="9" s="1"/>
  <c r="D542" i="9"/>
  <c r="C542" i="9"/>
  <c r="E541" i="9"/>
  <c r="A541" i="9" s="1"/>
  <c r="D541" i="9"/>
  <c r="C541" i="9"/>
  <c r="E540" i="9"/>
  <c r="A540" i="9" s="1"/>
  <c r="D540" i="9"/>
  <c r="C540" i="9"/>
  <c r="E539" i="9"/>
  <c r="F539" i="9" s="1"/>
  <c r="D539" i="9"/>
  <c r="C539" i="9"/>
  <c r="E538" i="9"/>
  <c r="F538" i="9" s="1"/>
  <c r="D538" i="9"/>
  <c r="C538" i="9"/>
  <c r="E537" i="9"/>
  <c r="F537" i="9" s="1"/>
  <c r="D537" i="9"/>
  <c r="C537" i="9"/>
  <c r="E536" i="9"/>
  <c r="F536" i="9" s="1"/>
  <c r="D536" i="9"/>
  <c r="C536" i="9"/>
  <c r="E535" i="9"/>
  <c r="A535" i="9" s="1"/>
  <c r="D535" i="9"/>
  <c r="C535" i="9"/>
  <c r="E534" i="9"/>
  <c r="A534" i="9" s="1"/>
  <c r="D534" i="9"/>
  <c r="C534" i="9"/>
  <c r="E533" i="9"/>
  <c r="A533" i="9" s="1"/>
  <c r="D533" i="9"/>
  <c r="C533" i="9"/>
  <c r="E532" i="9"/>
  <c r="A532" i="9" s="1"/>
  <c r="D532" i="9"/>
  <c r="C532" i="9"/>
  <c r="E531" i="9"/>
  <c r="F531" i="9" s="1"/>
  <c r="D531" i="9"/>
  <c r="C531" i="9"/>
  <c r="E530" i="9"/>
  <c r="F530" i="9" s="1"/>
  <c r="D530" i="9"/>
  <c r="C530" i="9"/>
  <c r="E529" i="9"/>
  <c r="F529" i="9" s="1"/>
  <c r="D529" i="9"/>
  <c r="C529" i="9"/>
  <c r="E528" i="9"/>
  <c r="F528" i="9" s="1"/>
  <c r="D528" i="9"/>
  <c r="C528" i="9"/>
  <c r="E527" i="9"/>
  <c r="A527" i="9" s="1"/>
  <c r="D527" i="9"/>
  <c r="C527" i="9"/>
  <c r="E526" i="9"/>
  <c r="F526" i="9" s="1"/>
  <c r="D526" i="9"/>
  <c r="C526" i="9"/>
  <c r="E525" i="9"/>
  <c r="A525" i="9" s="1"/>
  <c r="D525" i="9"/>
  <c r="C525" i="9"/>
  <c r="E524" i="9"/>
  <c r="A524" i="9" s="1"/>
  <c r="D524" i="9"/>
  <c r="C524" i="9"/>
  <c r="E523" i="9"/>
  <c r="F523" i="9" s="1"/>
  <c r="D523" i="9"/>
  <c r="C523" i="9"/>
  <c r="E522" i="9"/>
  <c r="F522" i="9" s="1"/>
  <c r="D522" i="9"/>
  <c r="C522" i="9"/>
  <c r="E521" i="9"/>
  <c r="F521" i="9" s="1"/>
  <c r="D521" i="9"/>
  <c r="C521" i="9"/>
  <c r="E520" i="9"/>
  <c r="F520" i="9" s="1"/>
  <c r="D520" i="9"/>
  <c r="C520" i="9"/>
  <c r="A520" i="9"/>
  <c r="E519" i="9"/>
  <c r="A519" i="9" s="1"/>
  <c r="D519" i="9"/>
  <c r="C519" i="9"/>
  <c r="E518" i="9"/>
  <c r="F518" i="9" s="1"/>
  <c r="D518" i="9"/>
  <c r="C518" i="9"/>
  <c r="E517" i="9"/>
  <c r="A517" i="9" s="1"/>
  <c r="D517" i="9"/>
  <c r="C517" i="9"/>
  <c r="E516" i="9"/>
  <c r="A516" i="9" s="1"/>
  <c r="D516" i="9"/>
  <c r="C516" i="9"/>
  <c r="E515" i="9"/>
  <c r="F515" i="9" s="1"/>
  <c r="D515" i="9"/>
  <c r="C515" i="9"/>
  <c r="E514" i="9"/>
  <c r="F514" i="9" s="1"/>
  <c r="D514" i="9"/>
  <c r="C514" i="9"/>
  <c r="E513" i="9"/>
  <c r="F513" i="9" s="1"/>
  <c r="D513" i="9"/>
  <c r="C513" i="9"/>
  <c r="E512" i="9"/>
  <c r="F512" i="9" s="1"/>
  <c r="D512" i="9"/>
  <c r="C512" i="9"/>
  <c r="E511" i="9"/>
  <c r="A511" i="9" s="1"/>
  <c r="D511" i="9"/>
  <c r="C511" i="9"/>
  <c r="E510" i="9"/>
  <c r="A510" i="9" s="1"/>
  <c r="D510" i="9"/>
  <c r="C510" i="9"/>
  <c r="E509" i="9"/>
  <c r="A509" i="9" s="1"/>
  <c r="D509" i="9"/>
  <c r="C509" i="9"/>
  <c r="E508" i="9"/>
  <c r="A508" i="9" s="1"/>
  <c r="D508" i="9"/>
  <c r="C508" i="9"/>
  <c r="E507" i="9"/>
  <c r="F507" i="9" s="1"/>
  <c r="D507" i="9"/>
  <c r="C507" i="9"/>
  <c r="E506" i="9"/>
  <c r="A506" i="9" s="1"/>
  <c r="D506" i="9"/>
  <c r="C506" i="9"/>
  <c r="E505" i="9"/>
  <c r="F505" i="9" s="1"/>
  <c r="D505" i="9"/>
  <c r="C505" i="9"/>
  <c r="E504" i="9"/>
  <c r="F504" i="9" s="1"/>
  <c r="D504" i="9"/>
  <c r="C504" i="9"/>
  <c r="E503" i="9"/>
  <c r="A503" i="9" s="1"/>
  <c r="D503" i="9"/>
  <c r="C503" i="9"/>
  <c r="E502" i="9"/>
  <c r="A502" i="9" s="1"/>
  <c r="D502" i="9"/>
  <c r="C502" i="9"/>
  <c r="E501" i="9"/>
  <c r="A501" i="9" s="1"/>
  <c r="D501" i="9"/>
  <c r="C501" i="9"/>
  <c r="E500" i="9"/>
  <c r="A500" i="9" s="1"/>
  <c r="D500" i="9"/>
  <c r="C500" i="9"/>
  <c r="E499" i="9"/>
  <c r="F499" i="9" s="1"/>
  <c r="D499" i="9"/>
  <c r="C499" i="9"/>
  <c r="E498" i="9"/>
  <c r="A498" i="9" s="1"/>
  <c r="D498" i="9"/>
  <c r="C498" i="9"/>
  <c r="E497" i="9"/>
  <c r="F497" i="9" s="1"/>
  <c r="D497" i="9"/>
  <c r="C497" i="9"/>
  <c r="E496" i="9"/>
  <c r="F496" i="9" s="1"/>
  <c r="D496" i="9"/>
  <c r="C496" i="9"/>
  <c r="A496" i="9"/>
  <c r="E495" i="9"/>
  <c r="A495" i="9" s="1"/>
  <c r="D495" i="9"/>
  <c r="C495" i="9"/>
  <c r="E494" i="9"/>
  <c r="A494" i="9" s="1"/>
  <c r="D494" i="9"/>
  <c r="C494" i="9"/>
  <c r="E493" i="9"/>
  <c r="A493" i="9" s="1"/>
  <c r="D493" i="9"/>
  <c r="C493" i="9"/>
  <c r="E492" i="9"/>
  <c r="A492" i="9" s="1"/>
  <c r="D492" i="9"/>
  <c r="C492" i="9"/>
  <c r="E491" i="9"/>
  <c r="F491" i="9" s="1"/>
  <c r="D491" i="9"/>
  <c r="C491" i="9"/>
  <c r="E490" i="9"/>
  <c r="A490" i="9" s="1"/>
  <c r="D490" i="9"/>
  <c r="C490" i="9"/>
  <c r="E489" i="9"/>
  <c r="F489" i="9" s="1"/>
  <c r="D489" i="9"/>
  <c r="C489" i="9"/>
  <c r="E488" i="9"/>
  <c r="F488" i="9" s="1"/>
  <c r="D488" i="9"/>
  <c r="C488" i="9"/>
  <c r="E487" i="9"/>
  <c r="A487" i="9" s="1"/>
  <c r="D487" i="9"/>
  <c r="C487" i="9"/>
  <c r="E486" i="9"/>
  <c r="A486" i="9" s="1"/>
  <c r="D486" i="9"/>
  <c r="C486" i="9"/>
  <c r="E485" i="9"/>
  <c r="A485" i="9" s="1"/>
  <c r="D485" i="9"/>
  <c r="C485" i="9"/>
  <c r="E484" i="9"/>
  <c r="A484" i="9" s="1"/>
  <c r="D484" i="9"/>
  <c r="C484" i="9"/>
  <c r="E483" i="9"/>
  <c r="F483" i="9" s="1"/>
  <c r="D483" i="9"/>
  <c r="C483" i="9"/>
  <c r="E482" i="9"/>
  <c r="A482" i="9" s="1"/>
  <c r="D482" i="9"/>
  <c r="C482" i="9"/>
  <c r="E481" i="9"/>
  <c r="F481" i="9" s="1"/>
  <c r="D481" i="9"/>
  <c r="C481" i="9"/>
  <c r="E480" i="9"/>
  <c r="A480" i="9" s="1"/>
  <c r="D480" i="9"/>
  <c r="C480" i="9"/>
  <c r="E479" i="9"/>
  <c r="A479" i="9" s="1"/>
  <c r="D479" i="9"/>
  <c r="C479" i="9"/>
  <c r="E478" i="9"/>
  <c r="A478" i="9" s="1"/>
  <c r="D478" i="9"/>
  <c r="C478" i="9"/>
  <c r="E477" i="9"/>
  <c r="A477" i="9" s="1"/>
  <c r="D477" i="9"/>
  <c r="C477" i="9"/>
  <c r="E476" i="9"/>
  <c r="A476" i="9" s="1"/>
  <c r="D476" i="9"/>
  <c r="C476" i="9"/>
  <c r="E475" i="9"/>
  <c r="F475" i="9" s="1"/>
  <c r="D475" i="9"/>
  <c r="C475" i="9"/>
  <c r="E474" i="9"/>
  <c r="F474" i="9" s="1"/>
  <c r="D474" i="9"/>
  <c r="C474" i="9"/>
  <c r="E473" i="9"/>
  <c r="F473" i="9" s="1"/>
  <c r="D473" i="9"/>
  <c r="C473" i="9"/>
  <c r="E472" i="9"/>
  <c r="A472" i="9" s="1"/>
  <c r="D472" i="9"/>
  <c r="C472" i="9"/>
  <c r="E471" i="9"/>
  <c r="A471" i="9" s="1"/>
  <c r="D471" i="9"/>
  <c r="C471" i="9"/>
  <c r="E470" i="9"/>
  <c r="A470" i="9" s="1"/>
  <c r="D470" i="9"/>
  <c r="C470" i="9"/>
  <c r="E469" i="9"/>
  <c r="A469" i="9" s="1"/>
  <c r="D469" i="9"/>
  <c r="C469" i="9"/>
  <c r="E468" i="9"/>
  <c r="A468" i="9" s="1"/>
  <c r="D468" i="9"/>
  <c r="C468" i="9"/>
  <c r="E467" i="9"/>
  <c r="F467" i="9" s="1"/>
  <c r="D467" i="9"/>
  <c r="C467" i="9"/>
  <c r="E466" i="9"/>
  <c r="A466" i="9" s="1"/>
  <c r="D466" i="9"/>
  <c r="C466" i="9"/>
  <c r="E465" i="9"/>
  <c r="F465" i="9" s="1"/>
  <c r="D465" i="9"/>
  <c r="C465" i="9"/>
  <c r="E464" i="9"/>
  <c r="A464" i="9" s="1"/>
  <c r="D464" i="9"/>
  <c r="C464" i="9"/>
  <c r="E463" i="9"/>
  <c r="A463" i="9" s="1"/>
  <c r="D463" i="9"/>
  <c r="C463" i="9"/>
  <c r="E462" i="9"/>
  <c r="A462" i="9" s="1"/>
  <c r="D462" i="9"/>
  <c r="C462" i="9"/>
  <c r="E461" i="9"/>
  <c r="A461" i="9" s="1"/>
  <c r="D461" i="9"/>
  <c r="C461" i="9"/>
  <c r="E460" i="9"/>
  <c r="A460" i="9" s="1"/>
  <c r="D460" i="9"/>
  <c r="C460" i="9"/>
  <c r="E459" i="9"/>
  <c r="F459" i="9" s="1"/>
  <c r="D459" i="9"/>
  <c r="C459" i="9"/>
  <c r="E458" i="9"/>
  <c r="F458" i="9" s="1"/>
  <c r="D458" i="9"/>
  <c r="C458" i="9"/>
  <c r="E457" i="9"/>
  <c r="F457" i="9" s="1"/>
  <c r="D457" i="9"/>
  <c r="C457" i="9"/>
  <c r="E456" i="9"/>
  <c r="F456" i="9" s="1"/>
  <c r="D456" i="9"/>
  <c r="C456" i="9"/>
  <c r="E455" i="9"/>
  <c r="A455" i="9" s="1"/>
  <c r="D455" i="9"/>
  <c r="C455" i="9"/>
  <c r="E454" i="9"/>
  <c r="A454" i="9" s="1"/>
  <c r="D454" i="9"/>
  <c r="C454" i="9"/>
  <c r="E453" i="9"/>
  <c r="A453" i="9" s="1"/>
  <c r="D453" i="9"/>
  <c r="C453" i="9"/>
  <c r="E452" i="9"/>
  <c r="A452" i="9" s="1"/>
  <c r="D452" i="9"/>
  <c r="C452" i="9"/>
  <c r="E451" i="9"/>
  <c r="F451" i="9" s="1"/>
  <c r="D451" i="9"/>
  <c r="C451" i="9"/>
  <c r="E450" i="9"/>
  <c r="A450" i="9" s="1"/>
  <c r="D450" i="9"/>
  <c r="C450" i="9"/>
  <c r="E449" i="9"/>
  <c r="F449" i="9" s="1"/>
  <c r="D449" i="9"/>
  <c r="C449" i="9"/>
  <c r="E448" i="9"/>
  <c r="F448" i="9" s="1"/>
  <c r="D448" i="9"/>
  <c r="C448" i="9"/>
  <c r="E447" i="9"/>
  <c r="A447" i="9" s="1"/>
  <c r="D447" i="9"/>
  <c r="C447" i="9"/>
  <c r="E446" i="9"/>
  <c r="F446" i="9" s="1"/>
  <c r="D446" i="9"/>
  <c r="C446" i="9"/>
  <c r="E445" i="9"/>
  <c r="A445" i="9" s="1"/>
  <c r="D445" i="9"/>
  <c r="C445" i="9"/>
  <c r="E444" i="9"/>
  <c r="A444" i="9" s="1"/>
  <c r="D444" i="9"/>
  <c r="C444" i="9"/>
  <c r="E443" i="9"/>
  <c r="F443" i="9" s="1"/>
  <c r="D443" i="9"/>
  <c r="C443" i="9"/>
  <c r="E442" i="9"/>
  <c r="F442" i="9" s="1"/>
  <c r="D442" i="9"/>
  <c r="C442" i="9"/>
  <c r="E441" i="9"/>
  <c r="F441" i="9" s="1"/>
  <c r="D441" i="9"/>
  <c r="C441" i="9"/>
  <c r="E440" i="9"/>
  <c r="A440" i="9" s="1"/>
  <c r="D440" i="9"/>
  <c r="C440" i="9"/>
  <c r="E439" i="9"/>
  <c r="A439" i="9" s="1"/>
  <c r="D439" i="9"/>
  <c r="C439" i="9"/>
  <c r="E438" i="9"/>
  <c r="F438" i="9" s="1"/>
  <c r="D438" i="9"/>
  <c r="C438" i="9"/>
  <c r="E437" i="9"/>
  <c r="A437" i="9" s="1"/>
  <c r="D437" i="9"/>
  <c r="C437" i="9"/>
  <c r="E436" i="9"/>
  <c r="A436" i="9" s="1"/>
  <c r="D436" i="9"/>
  <c r="C436" i="9"/>
  <c r="E435" i="9"/>
  <c r="F435" i="9" s="1"/>
  <c r="D435" i="9"/>
  <c r="C435" i="9"/>
  <c r="E434" i="9"/>
  <c r="A434" i="9" s="1"/>
  <c r="D434" i="9"/>
  <c r="C434" i="9"/>
  <c r="E433" i="9"/>
  <c r="F433" i="9" s="1"/>
  <c r="D433" i="9"/>
  <c r="C433" i="9"/>
  <c r="E432" i="9"/>
  <c r="A432" i="9" s="1"/>
  <c r="D432" i="9"/>
  <c r="C432" i="9"/>
  <c r="E431" i="9"/>
  <c r="A431" i="9" s="1"/>
  <c r="D431" i="9"/>
  <c r="C431" i="9"/>
  <c r="E430" i="9"/>
  <c r="A430" i="9" s="1"/>
  <c r="D430" i="9"/>
  <c r="C430" i="9"/>
  <c r="E429" i="9"/>
  <c r="A429" i="9" s="1"/>
  <c r="D429" i="9"/>
  <c r="C429" i="9"/>
  <c r="E428" i="9"/>
  <c r="A428" i="9" s="1"/>
  <c r="D428" i="9"/>
  <c r="C428" i="9"/>
  <c r="E427" i="9"/>
  <c r="F427" i="9" s="1"/>
  <c r="D427" i="9"/>
  <c r="C427" i="9"/>
  <c r="E426" i="9"/>
  <c r="F426" i="9" s="1"/>
  <c r="D426" i="9"/>
  <c r="C426" i="9"/>
  <c r="E425" i="9"/>
  <c r="F425" i="9" s="1"/>
  <c r="D425" i="9"/>
  <c r="C425" i="9"/>
  <c r="E424" i="9"/>
  <c r="F424" i="9" s="1"/>
  <c r="D424" i="9"/>
  <c r="C424" i="9"/>
  <c r="E423" i="9"/>
  <c r="A423" i="9" s="1"/>
  <c r="D423" i="9"/>
  <c r="C423" i="9"/>
  <c r="E422" i="9"/>
  <c r="F422" i="9" s="1"/>
  <c r="D422" i="9"/>
  <c r="C422" i="9"/>
  <c r="E421" i="9"/>
  <c r="A421" i="9" s="1"/>
  <c r="D421" i="9"/>
  <c r="C421" i="9"/>
  <c r="E420" i="9"/>
  <c r="A420" i="9" s="1"/>
  <c r="D420" i="9"/>
  <c r="C420" i="9"/>
  <c r="E419" i="9"/>
  <c r="F419" i="9" s="1"/>
  <c r="D419" i="9"/>
  <c r="C419" i="9"/>
  <c r="E418" i="9"/>
  <c r="A418" i="9" s="1"/>
  <c r="D418" i="9"/>
  <c r="C418" i="9"/>
  <c r="E417" i="9"/>
  <c r="F417" i="9" s="1"/>
  <c r="D417" i="9"/>
  <c r="C417" i="9"/>
  <c r="E416" i="9"/>
  <c r="F416" i="9" s="1"/>
  <c r="D416" i="9"/>
  <c r="C416" i="9"/>
  <c r="E415" i="9"/>
  <c r="A415" i="9" s="1"/>
  <c r="D415" i="9"/>
  <c r="C415" i="9"/>
  <c r="E414" i="9"/>
  <c r="F414" i="9" s="1"/>
  <c r="D414" i="9"/>
  <c r="C414" i="9"/>
  <c r="E413" i="9"/>
  <c r="A413" i="9" s="1"/>
  <c r="D413" i="9"/>
  <c r="C413" i="9"/>
  <c r="E412" i="9"/>
  <c r="F412" i="9" s="1"/>
  <c r="D412" i="9"/>
  <c r="C412" i="9"/>
  <c r="E411" i="9"/>
  <c r="F411" i="9" s="1"/>
  <c r="D411" i="9"/>
  <c r="C411" i="9"/>
  <c r="E410" i="9"/>
  <c r="F410" i="9" s="1"/>
  <c r="D410" i="9"/>
  <c r="C410" i="9"/>
  <c r="E409" i="9"/>
  <c r="F409" i="9" s="1"/>
  <c r="D409" i="9"/>
  <c r="C409" i="9"/>
  <c r="E408" i="9"/>
  <c r="A408" i="9" s="1"/>
  <c r="D408" i="9"/>
  <c r="C408" i="9"/>
  <c r="E407" i="9"/>
  <c r="A407" i="9" s="1"/>
  <c r="D407" i="9"/>
  <c r="C407" i="9"/>
  <c r="E406" i="9"/>
  <c r="F406" i="9" s="1"/>
  <c r="D406" i="9"/>
  <c r="C406" i="9"/>
  <c r="E405" i="9"/>
  <c r="A405" i="9" s="1"/>
  <c r="D405" i="9"/>
  <c r="C405" i="9"/>
  <c r="E404" i="9"/>
  <c r="A404" i="9" s="1"/>
  <c r="D404" i="9"/>
  <c r="C404" i="9"/>
  <c r="E403" i="9"/>
  <c r="F403" i="9" s="1"/>
  <c r="D403" i="9"/>
  <c r="C403" i="9"/>
  <c r="E402" i="9"/>
  <c r="A402" i="9" s="1"/>
  <c r="D402" i="9"/>
  <c r="C402" i="9"/>
  <c r="E401" i="9"/>
  <c r="F401" i="9" s="1"/>
  <c r="D401" i="9"/>
  <c r="C401" i="9"/>
  <c r="E400" i="9"/>
  <c r="A400" i="9" s="1"/>
  <c r="D400" i="9"/>
  <c r="C400" i="9"/>
  <c r="E399" i="9"/>
  <c r="A399" i="9" s="1"/>
  <c r="D399" i="9"/>
  <c r="C399" i="9"/>
  <c r="E398" i="9"/>
  <c r="A398" i="9" s="1"/>
  <c r="D398" i="9"/>
  <c r="C398" i="9"/>
  <c r="E397" i="9"/>
  <c r="A397" i="9" s="1"/>
  <c r="D397" i="9"/>
  <c r="C397" i="9"/>
  <c r="E396" i="9"/>
  <c r="A396" i="9" s="1"/>
  <c r="D396" i="9"/>
  <c r="C396" i="9"/>
  <c r="E395" i="9"/>
  <c r="F395" i="9" s="1"/>
  <c r="D395" i="9"/>
  <c r="C395" i="9"/>
  <c r="E394" i="9"/>
  <c r="F394" i="9" s="1"/>
  <c r="D394" i="9"/>
  <c r="C394" i="9"/>
  <c r="E393" i="9"/>
  <c r="F393" i="9" s="1"/>
  <c r="D393" i="9"/>
  <c r="C393" i="9"/>
  <c r="E392" i="9"/>
  <c r="A392" i="9" s="1"/>
  <c r="D392" i="9"/>
  <c r="C392" i="9"/>
  <c r="E391" i="9"/>
  <c r="A391" i="9" s="1"/>
  <c r="D391" i="9"/>
  <c r="C391" i="9"/>
  <c r="E390" i="9"/>
  <c r="A390" i="9" s="1"/>
  <c r="D390" i="9"/>
  <c r="C390" i="9"/>
  <c r="E389" i="9"/>
  <c r="A389" i="9" s="1"/>
  <c r="D389" i="9"/>
  <c r="C389" i="9"/>
  <c r="E388" i="9"/>
  <c r="A388" i="9" s="1"/>
  <c r="D388" i="9"/>
  <c r="C388" i="9"/>
  <c r="E387" i="9"/>
  <c r="F387" i="9" s="1"/>
  <c r="D387" i="9"/>
  <c r="C387" i="9"/>
  <c r="E386" i="9"/>
  <c r="A386" i="9" s="1"/>
  <c r="D386" i="9"/>
  <c r="C386" i="9"/>
  <c r="E385" i="9"/>
  <c r="F385" i="9" s="1"/>
  <c r="D385" i="9"/>
  <c r="C385" i="9"/>
  <c r="E384" i="9"/>
  <c r="A384" i="9" s="1"/>
  <c r="D384" i="9"/>
  <c r="C384" i="9"/>
  <c r="E383" i="9"/>
  <c r="A383" i="9" s="1"/>
  <c r="D383" i="9"/>
  <c r="C383" i="9"/>
  <c r="E382" i="9"/>
  <c r="A382" i="9" s="1"/>
  <c r="D382" i="9"/>
  <c r="C382" i="9"/>
  <c r="E381" i="9"/>
  <c r="A381" i="9" s="1"/>
  <c r="D381" i="9"/>
  <c r="C381" i="9"/>
  <c r="E380" i="9"/>
  <c r="A380" i="9" s="1"/>
  <c r="D380" i="9"/>
  <c r="C380" i="9"/>
  <c r="E379" i="9"/>
  <c r="A379" i="9" s="1"/>
  <c r="D379" i="9"/>
  <c r="C379" i="9"/>
  <c r="E378" i="9"/>
  <c r="A378" i="9" s="1"/>
  <c r="D378" i="9"/>
  <c r="C378" i="9"/>
  <c r="E377" i="9"/>
  <c r="F377" i="9" s="1"/>
  <c r="D377" i="9"/>
  <c r="C377" i="9"/>
  <c r="E376" i="9"/>
  <c r="F376" i="9" s="1"/>
  <c r="D376" i="9"/>
  <c r="C376" i="9"/>
  <c r="E375" i="9"/>
  <c r="A375" i="9" s="1"/>
  <c r="D375" i="9"/>
  <c r="C375" i="9"/>
  <c r="E374" i="9"/>
  <c r="A374" i="9" s="1"/>
  <c r="D374" i="9"/>
  <c r="C374" i="9"/>
  <c r="E373" i="9"/>
  <c r="A373" i="9" s="1"/>
  <c r="D373" i="9"/>
  <c r="C373" i="9"/>
  <c r="E372" i="9"/>
  <c r="F372" i="9" s="1"/>
  <c r="D372" i="9"/>
  <c r="C372" i="9"/>
  <c r="E371" i="9"/>
  <c r="F371" i="9" s="1"/>
  <c r="D371" i="9"/>
  <c r="C371" i="9"/>
  <c r="E370" i="9"/>
  <c r="F370" i="9" s="1"/>
  <c r="D370" i="9"/>
  <c r="C370" i="9"/>
  <c r="E369" i="9"/>
  <c r="F369" i="9" s="1"/>
  <c r="D369" i="9"/>
  <c r="C369" i="9"/>
  <c r="E368" i="9"/>
  <c r="F368" i="9" s="1"/>
  <c r="D368" i="9"/>
  <c r="C368" i="9"/>
  <c r="E367" i="9"/>
  <c r="A367" i="9" s="1"/>
  <c r="D367" i="9"/>
  <c r="C367" i="9"/>
  <c r="E366" i="9"/>
  <c r="F366" i="9" s="1"/>
  <c r="D366" i="9"/>
  <c r="C366" i="9"/>
  <c r="E365" i="9"/>
  <c r="A365" i="9" s="1"/>
  <c r="D365" i="9"/>
  <c r="C365" i="9"/>
  <c r="E364" i="9"/>
  <c r="A364" i="9" s="1"/>
  <c r="D364" i="9"/>
  <c r="C364" i="9"/>
  <c r="E363" i="9"/>
  <c r="F363" i="9" s="1"/>
  <c r="D363" i="9"/>
  <c r="C363" i="9"/>
  <c r="E362" i="9"/>
  <c r="F362" i="9" s="1"/>
  <c r="D362" i="9"/>
  <c r="C362" i="9"/>
  <c r="E361" i="9"/>
  <c r="F361" i="9" s="1"/>
  <c r="D361" i="9"/>
  <c r="C361" i="9"/>
  <c r="E360" i="9"/>
  <c r="A360" i="9" s="1"/>
  <c r="D360" i="9"/>
  <c r="C360" i="9"/>
  <c r="E359" i="9"/>
  <c r="A359" i="9" s="1"/>
  <c r="D359" i="9"/>
  <c r="C359" i="9"/>
  <c r="E358" i="9"/>
  <c r="A358" i="9" s="1"/>
  <c r="D358" i="9"/>
  <c r="C358" i="9"/>
  <c r="E357" i="9"/>
  <c r="A357" i="9" s="1"/>
  <c r="D357" i="9"/>
  <c r="C357" i="9"/>
  <c r="E356" i="9"/>
  <c r="A356" i="9" s="1"/>
  <c r="D356" i="9"/>
  <c r="C356" i="9"/>
  <c r="E355" i="9"/>
  <c r="F355" i="9" s="1"/>
  <c r="D355" i="9"/>
  <c r="C355" i="9"/>
  <c r="E354" i="9"/>
  <c r="A354" i="9" s="1"/>
  <c r="D354" i="9"/>
  <c r="C354" i="9"/>
  <c r="E353" i="9"/>
  <c r="F353" i="9" s="1"/>
  <c r="D353" i="9"/>
  <c r="C353" i="9"/>
  <c r="E352" i="9"/>
  <c r="A352" i="9" s="1"/>
  <c r="D352" i="9"/>
  <c r="C352" i="9"/>
  <c r="E351" i="9"/>
  <c r="F351" i="9" s="1"/>
  <c r="D351" i="9"/>
  <c r="C351" i="9"/>
  <c r="E350" i="9"/>
  <c r="A350" i="9" s="1"/>
  <c r="D350" i="9"/>
  <c r="C350" i="9"/>
  <c r="E349" i="9"/>
  <c r="A349" i="9" s="1"/>
  <c r="D349" i="9"/>
  <c r="C349" i="9"/>
  <c r="E348" i="9"/>
  <c r="A348" i="9" s="1"/>
  <c r="D348" i="9"/>
  <c r="C348" i="9"/>
  <c r="E347" i="9"/>
  <c r="A347" i="9" s="1"/>
  <c r="D347" i="9"/>
  <c r="C347" i="9"/>
  <c r="E346" i="9"/>
  <c r="A346" i="9" s="1"/>
  <c r="D346" i="9"/>
  <c r="C346" i="9"/>
  <c r="E345" i="9"/>
  <c r="F345" i="9" s="1"/>
  <c r="D345" i="9"/>
  <c r="C345" i="9"/>
  <c r="E344" i="9"/>
  <c r="F344" i="9" s="1"/>
  <c r="D344" i="9"/>
  <c r="C344" i="9"/>
  <c r="E343" i="9"/>
  <c r="A343" i="9" s="1"/>
  <c r="D343" i="9"/>
  <c r="C343" i="9"/>
  <c r="E342" i="9"/>
  <c r="F342" i="9" s="1"/>
  <c r="D342" i="9"/>
  <c r="C342" i="9"/>
  <c r="E341" i="9"/>
  <c r="A341" i="9" s="1"/>
  <c r="D341" i="9"/>
  <c r="C341" i="9"/>
  <c r="E340" i="9"/>
  <c r="F340" i="9" s="1"/>
  <c r="D340" i="9"/>
  <c r="C340" i="9"/>
  <c r="E339" i="9"/>
  <c r="F339" i="9" s="1"/>
  <c r="D339" i="9"/>
  <c r="C339" i="9"/>
  <c r="E338" i="9"/>
  <c r="F338" i="9" s="1"/>
  <c r="D338" i="9"/>
  <c r="C338" i="9"/>
  <c r="E337" i="9"/>
  <c r="F337" i="9" s="1"/>
  <c r="D337" i="9"/>
  <c r="C337" i="9"/>
  <c r="E336" i="9"/>
  <c r="F336" i="9" s="1"/>
  <c r="D336" i="9"/>
  <c r="C336" i="9"/>
  <c r="E335" i="9"/>
  <c r="A335" i="9" s="1"/>
  <c r="D335" i="9"/>
  <c r="C335" i="9"/>
  <c r="E334" i="9"/>
  <c r="F334" i="9" s="1"/>
  <c r="D334" i="9"/>
  <c r="C334" i="9"/>
  <c r="E333" i="9"/>
  <c r="A333" i="9" s="1"/>
  <c r="D333" i="9"/>
  <c r="C333" i="9"/>
  <c r="E332" i="9"/>
  <c r="A332" i="9" s="1"/>
  <c r="D332" i="9"/>
  <c r="C332" i="9"/>
  <c r="E331" i="9"/>
  <c r="F331" i="9" s="1"/>
  <c r="D331" i="9"/>
  <c r="C331" i="9"/>
  <c r="E330" i="9"/>
  <c r="F330" i="9" s="1"/>
  <c r="D330" i="9"/>
  <c r="C330" i="9"/>
  <c r="E329" i="9"/>
  <c r="F329" i="9" s="1"/>
  <c r="D329" i="9"/>
  <c r="C329" i="9"/>
  <c r="E328" i="9"/>
  <c r="F328" i="9" s="1"/>
  <c r="D328" i="9"/>
  <c r="C328" i="9"/>
  <c r="E327" i="9"/>
  <c r="A327" i="9" s="1"/>
  <c r="D327" i="9"/>
  <c r="C327" i="9"/>
  <c r="E326" i="9"/>
  <c r="F326" i="9" s="1"/>
  <c r="D326" i="9"/>
  <c r="C326" i="9"/>
  <c r="E325" i="9"/>
  <c r="A325" i="9" s="1"/>
  <c r="D325" i="9"/>
  <c r="C325" i="9"/>
  <c r="E324" i="9"/>
  <c r="A324" i="9" s="1"/>
  <c r="D324" i="9"/>
  <c r="C324" i="9"/>
  <c r="E323" i="9"/>
  <c r="F323" i="9" s="1"/>
  <c r="D323" i="9"/>
  <c r="C323" i="9"/>
  <c r="E322" i="9"/>
  <c r="A322" i="9" s="1"/>
  <c r="D322" i="9"/>
  <c r="C322" i="9"/>
  <c r="E321" i="9"/>
  <c r="F321" i="9" s="1"/>
  <c r="D321" i="9"/>
  <c r="C321" i="9"/>
  <c r="E320" i="9"/>
  <c r="A320" i="9" s="1"/>
  <c r="D320" i="9"/>
  <c r="C320" i="9"/>
  <c r="E319" i="9"/>
  <c r="F319" i="9" s="1"/>
  <c r="D319" i="9"/>
  <c r="C319" i="9"/>
  <c r="E318" i="9"/>
  <c r="A318" i="9" s="1"/>
  <c r="D318" i="9"/>
  <c r="C318" i="9"/>
  <c r="E317" i="9"/>
  <c r="A317" i="9" s="1"/>
  <c r="D317" i="9"/>
  <c r="C317" i="9"/>
  <c r="E316" i="9"/>
  <c r="A316" i="9" s="1"/>
  <c r="D316" i="9"/>
  <c r="C316" i="9"/>
  <c r="E315" i="9"/>
  <c r="A315" i="9" s="1"/>
  <c r="D315" i="9"/>
  <c r="C315" i="9"/>
  <c r="E314" i="9"/>
  <c r="A314" i="9" s="1"/>
  <c r="D314" i="9"/>
  <c r="C314" i="9"/>
  <c r="E313" i="9"/>
  <c r="F313" i="9" s="1"/>
  <c r="D313" i="9"/>
  <c r="C313" i="9"/>
  <c r="E312" i="9"/>
  <c r="F312" i="9" s="1"/>
  <c r="D312" i="9"/>
  <c r="C312" i="9"/>
  <c r="E311" i="9"/>
  <c r="F311" i="9" s="1"/>
  <c r="D311" i="9"/>
  <c r="C311" i="9"/>
  <c r="E310" i="9"/>
  <c r="F310" i="9" s="1"/>
  <c r="D310" i="9"/>
  <c r="C310" i="9"/>
  <c r="E309" i="9"/>
  <c r="A309" i="9" s="1"/>
  <c r="D309" i="9"/>
  <c r="C309" i="9"/>
  <c r="E308" i="9"/>
  <c r="F308" i="9" s="1"/>
  <c r="D308" i="9"/>
  <c r="C308" i="9"/>
  <c r="E307" i="9"/>
  <c r="F307" i="9" s="1"/>
  <c r="D307" i="9"/>
  <c r="C307" i="9"/>
  <c r="E306" i="9"/>
  <c r="F306" i="9" s="1"/>
  <c r="D306" i="9"/>
  <c r="C306" i="9"/>
  <c r="E305" i="9"/>
  <c r="F305" i="9" s="1"/>
  <c r="D305" i="9"/>
  <c r="C305" i="9"/>
  <c r="E304" i="9"/>
  <c r="F304" i="9" s="1"/>
  <c r="D304" i="9"/>
  <c r="C304" i="9"/>
  <c r="E303" i="9"/>
  <c r="A303" i="9" s="1"/>
  <c r="D303" i="9"/>
  <c r="C303" i="9"/>
  <c r="E302" i="9"/>
  <c r="F302" i="9" s="1"/>
  <c r="D302" i="9"/>
  <c r="C302" i="9"/>
  <c r="E301" i="9"/>
  <c r="A301" i="9" s="1"/>
  <c r="D301" i="9"/>
  <c r="C301" i="9"/>
  <c r="E300" i="9"/>
  <c r="A300" i="9" s="1"/>
  <c r="D300" i="9"/>
  <c r="C300" i="9"/>
  <c r="E299" i="9"/>
  <c r="A299" i="9" s="1"/>
  <c r="D299" i="9"/>
  <c r="C299" i="9"/>
  <c r="E298" i="9"/>
  <c r="A298" i="9" s="1"/>
  <c r="D298" i="9"/>
  <c r="C298" i="9"/>
  <c r="E297" i="9"/>
  <c r="A297" i="9" s="1"/>
  <c r="D297" i="9"/>
  <c r="C297" i="9"/>
  <c r="E296" i="9"/>
  <c r="F296" i="9" s="1"/>
  <c r="D296" i="9"/>
  <c r="C296" i="9"/>
  <c r="E295" i="9"/>
  <c r="A295" i="9" s="1"/>
  <c r="D295" i="9"/>
  <c r="C295" i="9"/>
  <c r="E294" i="9"/>
  <c r="F294" i="9" s="1"/>
  <c r="D294" i="9"/>
  <c r="C294" i="9"/>
  <c r="E293" i="9"/>
  <c r="A293" i="9" s="1"/>
  <c r="D293" i="9"/>
  <c r="C293" i="9"/>
  <c r="E292" i="9"/>
  <c r="A292" i="9" s="1"/>
  <c r="D292" i="9"/>
  <c r="C292" i="9"/>
  <c r="E291" i="9"/>
  <c r="A291" i="9" s="1"/>
  <c r="D291" i="9"/>
  <c r="C291" i="9"/>
  <c r="E290" i="9"/>
  <c r="F290" i="9" s="1"/>
  <c r="D290" i="9"/>
  <c r="C290" i="9"/>
  <c r="E289" i="9"/>
  <c r="A289" i="9" s="1"/>
  <c r="D289" i="9"/>
  <c r="C289" i="9"/>
  <c r="E288" i="9"/>
  <c r="F288" i="9" s="1"/>
  <c r="D288" i="9"/>
  <c r="C288" i="9"/>
  <c r="E287" i="9"/>
  <c r="A287" i="9" s="1"/>
  <c r="D287" i="9"/>
  <c r="C287" i="9"/>
  <c r="E286" i="9"/>
  <c r="F286" i="9" s="1"/>
  <c r="D286" i="9"/>
  <c r="C286" i="9"/>
  <c r="E285" i="9"/>
  <c r="A285" i="9" s="1"/>
  <c r="D285" i="9"/>
  <c r="C285" i="9"/>
  <c r="E284" i="9"/>
  <c r="A284" i="9" s="1"/>
  <c r="D284" i="9"/>
  <c r="C284" i="9"/>
  <c r="E283" i="9"/>
  <c r="A283" i="9" s="1"/>
  <c r="D283" i="9"/>
  <c r="C283" i="9"/>
  <c r="E282" i="9"/>
  <c r="F282" i="9" s="1"/>
  <c r="D282" i="9"/>
  <c r="C282" i="9"/>
  <c r="E281" i="9"/>
  <c r="A281" i="9" s="1"/>
  <c r="D281" i="9"/>
  <c r="C281" i="9"/>
  <c r="E280" i="9"/>
  <c r="F280" i="9" s="1"/>
  <c r="D280" i="9"/>
  <c r="C280" i="9"/>
  <c r="E279" i="9"/>
  <c r="A279" i="9" s="1"/>
  <c r="D279" i="9"/>
  <c r="C279" i="9"/>
  <c r="E278" i="9"/>
  <c r="F278" i="9" s="1"/>
  <c r="D278" i="9"/>
  <c r="C278" i="9"/>
  <c r="E277" i="9"/>
  <c r="A277" i="9" s="1"/>
  <c r="D277" i="9"/>
  <c r="C277" i="9"/>
  <c r="E276" i="9"/>
  <c r="A276" i="9" s="1"/>
  <c r="D276" i="9"/>
  <c r="C276" i="9"/>
  <c r="E275" i="9"/>
  <c r="A275" i="9" s="1"/>
  <c r="D275" i="9"/>
  <c r="C275" i="9"/>
  <c r="E274" i="9"/>
  <c r="A274" i="9" s="1"/>
  <c r="D274" i="9"/>
  <c r="C274" i="9"/>
  <c r="E273" i="9"/>
  <c r="A273" i="9" s="1"/>
  <c r="D273" i="9"/>
  <c r="C273" i="9"/>
  <c r="E272" i="9"/>
  <c r="F272" i="9" s="1"/>
  <c r="D272" i="9"/>
  <c r="C272" i="9"/>
  <c r="F271" i="9"/>
  <c r="E271" i="9"/>
  <c r="A271" i="9" s="1"/>
  <c r="D271" i="9"/>
  <c r="C271" i="9"/>
  <c r="E270" i="9"/>
  <c r="F270" i="9" s="1"/>
  <c r="D270" i="9"/>
  <c r="C270" i="9"/>
  <c r="E269" i="9"/>
  <c r="A269" i="9" s="1"/>
  <c r="D269" i="9"/>
  <c r="C269" i="9"/>
  <c r="E268" i="9"/>
  <c r="A268" i="9" s="1"/>
  <c r="D268" i="9"/>
  <c r="C268" i="9"/>
  <c r="E267" i="9"/>
  <c r="A267" i="9" s="1"/>
  <c r="D267" i="9"/>
  <c r="C267" i="9"/>
  <c r="E266" i="9"/>
  <c r="A266" i="9" s="1"/>
  <c r="D266" i="9"/>
  <c r="C266" i="9"/>
  <c r="E265" i="9"/>
  <c r="A265" i="9" s="1"/>
  <c r="D265" i="9"/>
  <c r="C265" i="9"/>
  <c r="E264" i="9"/>
  <c r="F264" i="9" s="1"/>
  <c r="D264" i="9"/>
  <c r="C264" i="9"/>
  <c r="E263" i="9"/>
  <c r="A263" i="9" s="1"/>
  <c r="D263" i="9"/>
  <c r="C263" i="9"/>
  <c r="E262" i="9"/>
  <c r="F262" i="9" s="1"/>
  <c r="D262" i="9"/>
  <c r="C262" i="9"/>
  <c r="E261" i="9"/>
  <c r="A261" i="9" s="1"/>
  <c r="D261" i="9"/>
  <c r="C261" i="9"/>
  <c r="E260" i="9"/>
  <c r="A260" i="9" s="1"/>
  <c r="D260" i="9"/>
  <c r="C260" i="9"/>
  <c r="E259" i="9"/>
  <c r="A259" i="9" s="1"/>
  <c r="D259" i="9"/>
  <c r="C259" i="9"/>
  <c r="E258" i="9"/>
  <c r="A258" i="9" s="1"/>
  <c r="D258" i="9"/>
  <c r="C258" i="9"/>
  <c r="E257" i="9"/>
  <c r="A257" i="9" s="1"/>
  <c r="D257" i="9"/>
  <c r="C257" i="9"/>
  <c r="E256" i="9"/>
  <c r="F256" i="9" s="1"/>
  <c r="D256" i="9"/>
  <c r="C256" i="9"/>
  <c r="E255" i="9"/>
  <c r="F255" i="9" s="1"/>
  <c r="D255" i="9"/>
  <c r="C255" i="9"/>
  <c r="E254" i="9"/>
  <c r="F254" i="9" s="1"/>
  <c r="D254" i="9"/>
  <c r="C254" i="9"/>
  <c r="E253" i="9"/>
  <c r="F253" i="9" s="1"/>
  <c r="D253" i="9"/>
  <c r="C253" i="9"/>
  <c r="E252" i="9"/>
  <c r="A252" i="9" s="1"/>
  <c r="D252" i="9"/>
  <c r="C252" i="9"/>
  <c r="E251" i="9"/>
  <c r="F251" i="9" s="1"/>
  <c r="D251" i="9"/>
  <c r="C251" i="9"/>
  <c r="E250" i="9"/>
  <c r="A250" i="9" s="1"/>
  <c r="D250" i="9"/>
  <c r="C250" i="9"/>
  <c r="E249" i="9"/>
  <c r="A249" i="9" s="1"/>
  <c r="D249" i="9"/>
  <c r="C249" i="9"/>
  <c r="E248" i="9"/>
  <c r="F248" i="9" s="1"/>
  <c r="D248" i="9"/>
  <c r="C248" i="9"/>
  <c r="E247" i="9"/>
  <c r="F247" i="9" s="1"/>
  <c r="D247" i="9"/>
  <c r="C247" i="9"/>
  <c r="E246" i="9"/>
  <c r="F246" i="9" s="1"/>
  <c r="D246" i="9"/>
  <c r="C246" i="9"/>
  <c r="E245" i="9"/>
  <c r="F245" i="9" s="1"/>
  <c r="D245" i="9"/>
  <c r="C245" i="9"/>
  <c r="E244" i="9"/>
  <c r="A244" i="9" s="1"/>
  <c r="D244" i="9"/>
  <c r="C244" i="9"/>
  <c r="Y156" i="9"/>
  <c r="W156" i="9"/>
  <c r="U156" i="9"/>
  <c r="S156" i="9"/>
  <c r="I156" i="9"/>
  <c r="D155" i="9"/>
  <c r="AE154" i="9"/>
  <c r="AE156" i="9" s="1"/>
  <c r="AC154" i="9"/>
  <c r="AC156" i="9" s="1"/>
  <c r="AA154" i="9"/>
  <c r="AA156" i="9" s="1"/>
  <c r="Y154" i="9"/>
  <c r="W154" i="9"/>
  <c r="U154" i="9"/>
  <c r="S154" i="9"/>
  <c r="Q154" i="9"/>
  <c r="Q156" i="9" s="1"/>
  <c r="O154" i="9"/>
  <c r="O156" i="9" s="1"/>
  <c r="M154" i="9"/>
  <c r="M156" i="9" s="1"/>
  <c r="K156" i="9"/>
  <c r="I154" i="9"/>
  <c r="AE149" i="9"/>
  <c r="AC149" i="9"/>
  <c r="AA149" i="9"/>
  <c r="Y149" i="9"/>
  <c r="W149" i="9"/>
  <c r="U149" i="9"/>
  <c r="S149" i="9"/>
  <c r="Q149" i="9"/>
  <c r="O149" i="9"/>
  <c r="M149" i="9"/>
  <c r="K149" i="9"/>
  <c r="I149" i="9"/>
  <c r="C149" i="9"/>
  <c r="AE148" i="9"/>
  <c r="AC148" i="9"/>
  <c r="AA148" i="9"/>
  <c r="Y148" i="9"/>
  <c r="W148" i="9"/>
  <c r="U148" i="9"/>
  <c r="S148" i="9"/>
  <c r="Q148" i="9"/>
  <c r="O148" i="9"/>
  <c r="M148" i="9"/>
  <c r="K148" i="9"/>
  <c r="I148" i="9"/>
  <c r="F148" i="9" s="1"/>
  <c r="E148" i="9" s="1"/>
  <c r="C148" i="9"/>
  <c r="AE147" i="9"/>
  <c r="AC147" i="9"/>
  <c r="AA147" i="9"/>
  <c r="Y147" i="9"/>
  <c r="W147" i="9"/>
  <c r="U147" i="9"/>
  <c r="S147" i="9"/>
  <c r="Q147" i="9"/>
  <c r="O147" i="9"/>
  <c r="M147" i="9"/>
  <c r="K147" i="9"/>
  <c r="I147" i="9"/>
  <c r="F147" i="9"/>
  <c r="E147" i="9" s="1"/>
  <c r="C147" i="9"/>
  <c r="AE146" i="9"/>
  <c r="AC146" i="9"/>
  <c r="AA146" i="9"/>
  <c r="Y146" i="9"/>
  <c r="W146" i="9"/>
  <c r="U146" i="9"/>
  <c r="S146" i="9"/>
  <c r="Q146" i="9"/>
  <c r="O146" i="9"/>
  <c r="M146" i="9"/>
  <c r="K146" i="9"/>
  <c r="F146" i="9" s="1"/>
  <c r="E146" i="9" s="1"/>
  <c r="W182" i="5" s="1"/>
  <c r="I146" i="9"/>
  <c r="C146" i="9"/>
  <c r="AE145" i="9"/>
  <c r="AC145" i="9"/>
  <c r="AA145" i="9"/>
  <c r="Y145" i="9"/>
  <c r="W145" i="9"/>
  <c r="U145" i="9"/>
  <c r="S145" i="9"/>
  <c r="Q145" i="9"/>
  <c r="O145" i="9"/>
  <c r="M145" i="9"/>
  <c r="K145" i="9"/>
  <c r="I145" i="9"/>
  <c r="C145" i="9"/>
  <c r="AE144" i="9"/>
  <c r="AC144" i="9"/>
  <c r="AA144" i="9"/>
  <c r="Y144" i="9"/>
  <c r="W144" i="9"/>
  <c r="U144" i="9"/>
  <c r="S144" i="9"/>
  <c r="Q144" i="9"/>
  <c r="F144" i="9" s="1"/>
  <c r="E144" i="9" s="1"/>
  <c r="O144" i="9"/>
  <c r="M144" i="9"/>
  <c r="K144" i="9"/>
  <c r="I144" i="9"/>
  <c r="C144" i="9"/>
  <c r="AE143" i="9"/>
  <c r="AC143" i="9"/>
  <c r="AA143" i="9"/>
  <c r="Y143" i="9"/>
  <c r="W143" i="9"/>
  <c r="U143" i="9"/>
  <c r="S143" i="9"/>
  <c r="Q143" i="9"/>
  <c r="O143" i="9"/>
  <c r="M143" i="9"/>
  <c r="K143" i="9"/>
  <c r="I143" i="9"/>
  <c r="C143" i="9"/>
  <c r="AE142" i="9"/>
  <c r="AC142" i="9"/>
  <c r="AA142" i="9"/>
  <c r="Y142" i="9"/>
  <c r="W142" i="9"/>
  <c r="U142" i="9"/>
  <c r="S142" i="9"/>
  <c r="Q142" i="9"/>
  <c r="O142" i="9"/>
  <c r="M142" i="9"/>
  <c r="K142" i="9"/>
  <c r="I142" i="9"/>
  <c r="F142" i="9" s="1"/>
  <c r="E142" i="9" s="1"/>
  <c r="C142" i="9"/>
  <c r="AE141" i="9"/>
  <c r="AC141" i="9"/>
  <c r="AA141" i="9"/>
  <c r="Y141" i="9"/>
  <c r="W141" i="9"/>
  <c r="U141" i="9"/>
  <c r="S141" i="9"/>
  <c r="Q141" i="9"/>
  <c r="O141" i="9"/>
  <c r="M141" i="9"/>
  <c r="K141" i="9"/>
  <c r="I141" i="9"/>
  <c r="C141" i="9"/>
  <c r="AE140" i="9"/>
  <c r="AC140" i="9"/>
  <c r="AA140" i="9"/>
  <c r="Y140" i="9"/>
  <c r="W140" i="9"/>
  <c r="U140" i="9"/>
  <c r="S140" i="9"/>
  <c r="Q140" i="9"/>
  <c r="O140" i="9"/>
  <c r="M140" i="9"/>
  <c r="K140" i="9"/>
  <c r="I140" i="9"/>
  <c r="F140" i="9" s="1"/>
  <c r="E140" i="9" s="1"/>
  <c r="C140" i="9"/>
  <c r="AE139" i="9"/>
  <c r="AC139" i="9"/>
  <c r="AA139" i="9"/>
  <c r="Y139" i="9"/>
  <c r="W139" i="9"/>
  <c r="U139" i="9"/>
  <c r="S139" i="9"/>
  <c r="Q139" i="9"/>
  <c r="O139" i="9"/>
  <c r="M139" i="9"/>
  <c r="K139" i="9"/>
  <c r="I139" i="9"/>
  <c r="F139" i="9"/>
  <c r="E139" i="9" s="1"/>
  <c r="C139" i="9"/>
  <c r="AE138" i="9"/>
  <c r="AC138" i="9"/>
  <c r="AA138" i="9"/>
  <c r="Y138" i="9"/>
  <c r="W138" i="9"/>
  <c r="U138" i="9"/>
  <c r="S138" i="9"/>
  <c r="Q138" i="9"/>
  <c r="O138" i="9"/>
  <c r="M138" i="9"/>
  <c r="K138" i="9"/>
  <c r="F138" i="9" s="1"/>
  <c r="E138" i="9" s="1"/>
  <c r="W50" i="5" s="1"/>
  <c r="I138" i="9"/>
  <c r="C138" i="9"/>
  <c r="AE137" i="9"/>
  <c r="AC137" i="9"/>
  <c r="AA137" i="9"/>
  <c r="Y137" i="9"/>
  <c r="W137" i="9"/>
  <c r="U137" i="9"/>
  <c r="S137" i="9"/>
  <c r="Q137" i="9"/>
  <c r="O137" i="9"/>
  <c r="M137" i="9"/>
  <c r="K137" i="9"/>
  <c r="I137" i="9"/>
  <c r="C137" i="9"/>
  <c r="AE136" i="9"/>
  <c r="AC136" i="9"/>
  <c r="AA136" i="9"/>
  <c r="Y136" i="9"/>
  <c r="W136" i="9"/>
  <c r="U136" i="9"/>
  <c r="S136" i="9"/>
  <c r="Q136" i="9"/>
  <c r="F136" i="9" s="1"/>
  <c r="E136" i="9" s="1"/>
  <c r="O136" i="9"/>
  <c r="M136" i="9"/>
  <c r="K136" i="9"/>
  <c r="I136" i="9"/>
  <c r="C136" i="9"/>
  <c r="AE135" i="9"/>
  <c r="AC135" i="9"/>
  <c r="AA135" i="9"/>
  <c r="Y135" i="9"/>
  <c r="W135" i="9"/>
  <c r="U135" i="9"/>
  <c r="S135" i="9"/>
  <c r="Q135" i="9"/>
  <c r="O135" i="9"/>
  <c r="M135" i="9"/>
  <c r="K135" i="9"/>
  <c r="I135" i="9"/>
  <c r="C135" i="9"/>
  <c r="AE134" i="9"/>
  <c r="AC134" i="9"/>
  <c r="AA134" i="9"/>
  <c r="Y134" i="9"/>
  <c r="W134" i="9"/>
  <c r="U134" i="9"/>
  <c r="S134" i="9"/>
  <c r="Q134" i="9"/>
  <c r="O134" i="9"/>
  <c r="M134" i="9"/>
  <c r="K134" i="9"/>
  <c r="I134" i="9"/>
  <c r="C134" i="9"/>
  <c r="AE133" i="9"/>
  <c r="AC133" i="9"/>
  <c r="AA133" i="9"/>
  <c r="Y133" i="9"/>
  <c r="W133" i="9"/>
  <c r="U133" i="9"/>
  <c r="S133" i="9"/>
  <c r="Q133" i="9"/>
  <c r="O133" i="9"/>
  <c r="M133" i="9"/>
  <c r="K133" i="9"/>
  <c r="I133" i="9"/>
  <c r="C133" i="9"/>
  <c r="AE132" i="9"/>
  <c r="AC132" i="9"/>
  <c r="AA132" i="9"/>
  <c r="Y132" i="9"/>
  <c r="W132" i="9"/>
  <c r="U132" i="9"/>
  <c r="S132" i="9"/>
  <c r="Q132" i="9"/>
  <c r="O132" i="9"/>
  <c r="M132" i="9"/>
  <c r="K132" i="9"/>
  <c r="I132" i="9"/>
  <c r="F132" i="9" s="1"/>
  <c r="E132" i="9" s="1"/>
  <c r="C132" i="9"/>
  <c r="AE131" i="9"/>
  <c r="AC131" i="9"/>
  <c r="AA131" i="9"/>
  <c r="Y131" i="9"/>
  <c r="W131" i="9"/>
  <c r="U131" i="9"/>
  <c r="S131" i="9"/>
  <c r="Q131" i="9"/>
  <c r="O131" i="9"/>
  <c r="M131" i="9"/>
  <c r="K131" i="9"/>
  <c r="I131" i="9"/>
  <c r="F131" i="9"/>
  <c r="E131" i="9" s="1"/>
  <c r="C131" i="9"/>
  <c r="AE130" i="9"/>
  <c r="AC130" i="9"/>
  <c r="AA130" i="9"/>
  <c r="Y130" i="9"/>
  <c r="W130" i="9"/>
  <c r="U130" i="9"/>
  <c r="F130" i="9" s="1"/>
  <c r="S130" i="9"/>
  <c r="Q130" i="9"/>
  <c r="O130" i="9"/>
  <c r="M130" i="9"/>
  <c r="K130" i="9"/>
  <c r="I130" i="9"/>
  <c r="E130" i="9"/>
  <c r="C130" i="9"/>
  <c r="AE129" i="9"/>
  <c r="AC129" i="9"/>
  <c r="AA129" i="9"/>
  <c r="Y129" i="9"/>
  <c r="W129" i="9"/>
  <c r="U129" i="9"/>
  <c r="S129" i="9"/>
  <c r="Q129" i="9"/>
  <c r="O129" i="9"/>
  <c r="M129" i="9"/>
  <c r="K129" i="9"/>
  <c r="I129" i="9"/>
  <c r="C129" i="9"/>
  <c r="AE128" i="9"/>
  <c r="AC128" i="9"/>
  <c r="AA128" i="9"/>
  <c r="Y128" i="9"/>
  <c r="W128" i="9"/>
  <c r="U128" i="9"/>
  <c r="S128" i="9"/>
  <c r="Q128" i="9"/>
  <c r="O128" i="9"/>
  <c r="M128" i="9"/>
  <c r="K128" i="9"/>
  <c r="I128" i="9"/>
  <c r="C128" i="9"/>
  <c r="AE127" i="9"/>
  <c r="AC127" i="9"/>
  <c r="AA127" i="9"/>
  <c r="Y127" i="9"/>
  <c r="W127" i="9"/>
  <c r="U127" i="9"/>
  <c r="S127" i="9"/>
  <c r="Q127" i="9"/>
  <c r="O127" i="9"/>
  <c r="M127" i="9"/>
  <c r="K127" i="9"/>
  <c r="I127" i="9"/>
  <c r="C127" i="9"/>
  <c r="AE126" i="9"/>
  <c r="AC126" i="9"/>
  <c r="AA126" i="9"/>
  <c r="Y126" i="9"/>
  <c r="W126" i="9"/>
  <c r="U126" i="9"/>
  <c r="S126" i="9"/>
  <c r="Q126" i="9"/>
  <c r="O126" i="9"/>
  <c r="M126" i="9"/>
  <c r="K126" i="9"/>
  <c r="I126" i="9"/>
  <c r="C126" i="9"/>
  <c r="AE125" i="9"/>
  <c r="AC125" i="9"/>
  <c r="AA125" i="9"/>
  <c r="Y125" i="9"/>
  <c r="W125" i="9"/>
  <c r="U125" i="9"/>
  <c r="S125" i="9"/>
  <c r="Q125" i="9"/>
  <c r="O125" i="9"/>
  <c r="M125" i="9"/>
  <c r="K125" i="9"/>
  <c r="I125" i="9"/>
  <c r="C125" i="9"/>
  <c r="AE124" i="9"/>
  <c r="AC124" i="9"/>
  <c r="AA124" i="9"/>
  <c r="Y124" i="9"/>
  <c r="W124" i="9"/>
  <c r="U124" i="9"/>
  <c r="S124" i="9"/>
  <c r="Q124" i="9"/>
  <c r="O124" i="9"/>
  <c r="M124" i="9"/>
  <c r="K124" i="9"/>
  <c r="I124" i="9"/>
  <c r="F124" i="9" s="1"/>
  <c r="E124" i="9" s="1"/>
  <c r="C124" i="9"/>
  <c r="AE123" i="9"/>
  <c r="AC123" i="9"/>
  <c r="AA123" i="9"/>
  <c r="Y123" i="9"/>
  <c r="W123" i="9"/>
  <c r="U123" i="9"/>
  <c r="S123" i="9"/>
  <c r="Q123" i="9"/>
  <c r="O123" i="9"/>
  <c r="M123" i="9"/>
  <c r="K123" i="9"/>
  <c r="I123" i="9"/>
  <c r="F123" i="9" s="1"/>
  <c r="E123" i="9" s="1"/>
  <c r="C123" i="9"/>
  <c r="AE122" i="9"/>
  <c r="AC122" i="9"/>
  <c r="AA122" i="9"/>
  <c r="Y122" i="9"/>
  <c r="W122" i="9"/>
  <c r="U122" i="9"/>
  <c r="S122" i="9"/>
  <c r="Q122" i="9"/>
  <c r="O122" i="9"/>
  <c r="M122" i="9"/>
  <c r="K122" i="9"/>
  <c r="I122" i="9"/>
  <c r="F122" i="9"/>
  <c r="E122" i="9" s="1"/>
  <c r="W212" i="5" s="1"/>
  <c r="X212" i="5" s="1"/>
  <c r="Y212" i="5" s="1"/>
  <c r="C122" i="9"/>
  <c r="AE121" i="9"/>
  <c r="AC121" i="9"/>
  <c r="AA121" i="9"/>
  <c r="Y121" i="9"/>
  <c r="W121" i="9"/>
  <c r="U121" i="9"/>
  <c r="S121" i="9"/>
  <c r="Q121" i="9"/>
  <c r="F121" i="9" s="1"/>
  <c r="E121" i="9" s="1"/>
  <c r="W283" i="5" s="1"/>
  <c r="X283" i="5" s="1"/>
  <c r="Y283" i="5" s="1"/>
  <c r="O121" i="9"/>
  <c r="M121" i="9"/>
  <c r="K121" i="9"/>
  <c r="I121" i="9"/>
  <c r="C121" i="9"/>
  <c r="AE120" i="9"/>
  <c r="AC120" i="9"/>
  <c r="AA120" i="9"/>
  <c r="Y120" i="9"/>
  <c r="W120" i="9"/>
  <c r="U120" i="9"/>
  <c r="S120" i="9"/>
  <c r="Q120" i="9"/>
  <c r="O120" i="9"/>
  <c r="F120" i="9" s="1"/>
  <c r="E120" i="9" s="1"/>
  <c r="W47" i="5" s="1"/>
  <c r="X47" i="5" s="1"/>
  <c r="Y47" i="5" s="1"/>
  <c r="M120" i="9"/>
  <c r="K120" i="9"/>
  <c r="I120" i="9"/>
  <c r="C120" i="9"/>
  <c r="AE119" i="9"/>
  <c r="AC119" i="9"/>
  <c r="AA119" i="9"/>
  <c r="Y119" i="9"/>
  <c r="W119" i="9"/>
  <c r="U119" i="9"/>
  <c r="S119" i="9"/>
  <c r="Q119" i="9"/>
  <c r="O119" i="9"/>
  <c r="M119" i="9"/>
  <c r="K119" i="9"/>
  <c r="I119" i="9"/>
  <c r="F119" i="9" s="1"/>
  <c r="E119" i="9" s="1"/>
  <c r="C119" i="9"/>
  <c r="AE118" i="9"/>
  <c r="AC118" i="9"/>
  <c r="AA118" i="9"/>
  <c r="Y118" i="9"/>
  <c r="W118" i="9"/>
  <c r="U118" i="9"/>
  <c r="S118" i="9"/>
  <c r="Q118" i="9"/>
  <c r="O118" i="9"/>
  <c r="M118" i="9"/>
  <c r="K118" i="9"/>
  <c r="I118" i="9"/>
  <c r="F118" i="9" s="1"/>
  <c r="E118" i="9" s="1"/>
  <c r="W87" i="5" s="1"/>
  <c r="X87" i="5" s="1"/>
  <c r="Y87" i="5" s="1"/>
  <c r="C118" i="9"/>
  <c r="AE117" i="9"/>
  <c r="AC117" i="9"/>
  <c r="AA117" i="9"/>
  <c r="Y117" i="9"/>
  <c r="Y115" i="9" s="1"/>
  <c r="W117" i="9"/>
  <c r="U117" i="9"/>
  <c r="S117" i="9"/>
  <c r="Q117" i="9"/>
  <c r="O117" i="9"/>
  <c r="M117" i="9"/>
  <c r="K117" i="9"/>
  <c r="I117" i="9"/>
  <c r="F117" i="9" s="1"/>
  <c r="E117" i="9" s="1"/>
  <c r="C117" i="9"/>
  <c r="AF115" i="9"/>
  <c r="AE115" i="9"/>
  <c r="AD115" i="9"/>
  <c r="AF151" i="9" s="1"/>
  <c r="AE151" i="9" s="1"/>
  <c r="AC115" i="9"/>
  <c r="AB115" i="9"/>
  <c r="AD151" i="9" s="1"/>
  <c r="AC151" i="9" s="1"/>
  <c r="AA115" i="9"/>
  <c r="Z115" i="9"/>
  <c r="AB151" i="9" s="1"/>
  <c r="AA151" i="9" s="1"/>
  <c r="X115" i="9"/>
  <c r="Z151" i="9" s="1"/>
  <c r="Y151" i="9" s="1"/>
  <c r="W115" i="9"/>
  <c r="V115" i="9"/>
  <c r="X151" i="9" s="1"/>
  <c r="W151" i="9" s="1"/>
  <c r="U115" i="9"/>
  <c r="T115" i="9"/>
  <c r="V151" i="9" s="1"/>
  <c r="U151" i="9" s="1"/>
  <c r="S115" i="9"/>
  <c r="R115" i="9"/>
  <c r="T151" i="9" s="1"/>
  <c r="S151" i="9" s="1"/>
  <c r="Q115" i="9"/>
  <c r="P115" i="9"/>
  <c r="R151" i="9" s="1"/>
  <c r="Q151" i="9" s="1"/>
  <c r="O115" i="9"/>
  <c r="N115" i="9"/>
  <c r="P151" i="9" s="1"/>
  <c r="O151" i="9" s="1"/>
  <c r="M115" i="9"/>
  <c r="L115" i="9"/>
  <c r="N151" i="9" s="1"/>
  <c r="M151" i="9" s="1"/>
  <c r="K115" i="9"/>
  <c r="J115" i="9"/>
  <c r="L151" i="9" s="1"/>
  <c r="K151" i="9" s="1"/>
  <c r="H115" i="9"/>
  <c r="J151" i="9" s="1"/>
  <c r="I151" i="9" s="1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AC98" i="9"/>
  <c r="U98" i="9"/>
  <c r="O98" i="9"/>
  <c r="M98" i="9"/>
  <c r="AE97" i="9"/>
  <c r="AC97" i="9"/>
  <c r="AA97" i="9"/>
  <c r="Y97" i="9"/>
  <c r="Y98" i="9" s="1"/>
  <c r="W97" i="9"/>
  <c r="U97" i="9"/>
  <c r="S97" i="9"/>
  <c r="Q97" i="9"/>
  <c r="O97" i="9"/>
  <c r="M97" i="9"/>
  <c r="K97" i="9"/>
  <c r="I97" i="9"/>
  <c r="AE96" i="9"/>
  <c r="AC96" i="9"/>
  <c r="AA96" i="9"/>
  <c r="Y96" i="9"/>
  <c r="W96" i="9"/>
  <c r="U96" i="9"/>
  <c r="S96" i="9"/>
  <c r="Q96" i="9"/>
  <c r="O96" i="9"/>
  <c r="M96" i="9"/>
  <c r="K96" i="9"/>
  <c r="I96" i="9"/>
  <c r="AE95" i="9"/>
  <c r="AE98" i="9" s="1"/>
  <c r="AC95" i="9"/>
  <c r="AA95" i="9"/>
  <c r="Y95" i="9"/>
  <c r="W95" i="9"/>
  <c r="W98" i="9" s="1"/>
  <c r="U95" i="9"/>
  <c r="S95" i="9"/>
  <c r="S98" i="9" s="1"/>
  <c r="Q95" i="9"/>
  <c r="O95" i="9"/>
  <c r="M95" i="9"/>
  <c r="K95" i="9"/>
  <c r="I95" i="9"/>
  <c r="I98" i="9" s="1"/>
  <c r="E90" i="9"/>
  <c r="D90" i="9"/>
  <c r="E89" i="9"/>
  <c r="D89" i="9"/>
  <c r="E88" i="9"/>
  <c r="D88" i="9"/>
  <c r="E87" i="9"/>
  <c r="D87" i="9"/>
  <c r="E86" i="9"/>
  <c r="D86" i="9"/>
  <c r="E85" i="9"/>
  <c r="D85" i="9"/>
  <c r="E84" i="9"/>
  <c r="D84" i="9"/>
  <c r="E83" i="9"/>
  <c r="D83" i="9"/>
  <c r="D92" i="9" s="1"/>
  <c r="E82" i="9"/>
  <c r="D82" i="9"/>
  <c r="E81" i="9"/>
  <c r="D81" i="9"/>
  <c r="D80" i="9"/>
  <c r="AE76" i="9"/>
  <c r="AC76" i="9"/>
  <c r="AA76" i="9"/>
  <c r="Y76" i="9"/>
  <c r="W76" i="9"/>
  <c r="U76" i="9"/>
  <c r="S76" i="9"/>
  <c r="Q76" i="9"/>
  <c r="O76" i="9"/>
  <c r="M76" i="9"/>
  <c r="K76" i="9"/>
  <c r="I76" i="9"/>
  <c r="D72" i="9"/>
  <c r="C62" i="9"/>
  <c r="I61" i="9"/>
  <c r="C60" i="9"/>
  <c r="I59" i="9"/>
  <c r="C59" i="9"/>
  <c r="I58" i="9"/>
  <c r="C58" i="9"/>
  <c r="I57" i="9"/>
  <c r="C57" i="9"/>
  <c r="I56" i="9"/>
  <c r="C56" i="9"/>
  <c r="I54" i="9"/>
  <c r="C54" i="9"/>
  <c r="I53" i="9"/>
  <c r="C53" i="9"/>
  <c r="C52" i="9"/>
  <c r="C49" i="9" s="1"/>
  <c r="C63" i="9" s="1"/>
  <c r="I50" i="9"/>
  <c r="K39" i="9"/>
  <c r="I39" i="9"/>
  <c r="O38" i="9"/>
  <c r="O35" i="9" s="1"/>
  <c r="M38" i="9"/>
  <c r="K38" i="9"/>
  <c r="I38" i="9"/>
  <c r="K37" i="9"/>
  <c r="I37" i="9"/>
  <c r="K36" i="9"/>
  <c r="I36" i="9"/>
  <c r="M35" i="9"/>
  <c r="I35" i="9"/>
  <c r="I31" i="9"/>
  <c r="C31" i="9"/>
  <c r="D29" i="9"/>
  <c r="C23" i="9"/>
  <c r="J22" i="9"/>
  <c r="C22" i="9"/>
  <c r="C21" i="9"/>
  <c r="C20" i="9"/>
  <c r="C19" i="9"/>
  <c r="J18" i="9"/>
  <c r="C18" i="9"/>
  <c r="L17" i="9"/>
  <c r="J17" i="9"/>
  <c r="C17" i="9"/>
  <c r="J16" i="9"/>
  <c r="C16" i="9"/>
  <c r="J15" i="9"/>
  <c r="C15" i="9"/>
  <c r="J14" i="9"/>
  <c r="C14" i="9"/>
  <c r="J13" i="9"/>
  <c r="C13" i="9"/>
  <c r="C12" i="9"/>
  <c r="F254" i="5" s="1"/>
  <c r="C11" i="9"/>
  <c r="C10" i="9"/>
  <c r="C9" i="9"/>
  <c r="F131" i="5" s="1"/>
  <c r="C8" i="9"/>
  <c r="L7" i="9"/>
  <c r="C7" i="9"/>
  <c r="K5" i="9"/>
  <c r="I5" i="9"/>
  <c r="G2" i="7"/>
  <c r="F2" i="7"/>
  <c r="N2" i="6"/>
  <c r="AC68" i="9" s="1"/>
  <c r="W290" i="5"/>
  <c r="X290" i="5" s="1"/>
  <c r="Y290" i="5" s="1"/>
  <c r="F290" i="5"/>
  <c r="R290" i="5" s="1"/>
  <c r="S290" i="5" s="1"/>
  <c r="W289" i="5"/>
  <c r="X289" i="5" s="1"/>
  <c r="Y289" i="5" s="1"/>
  <c r="F289" i="5"/>
  <c r="W288" i="5"/>
  <c r="X288" i="5" s="1"/>
  <c r="Y288" i="5" s="1"/>
  <c r="W287" i="5"/>
  <c r="X287" i="5" s="1"/>
  <c r="Y287" i="5" s="1"/>
  <c r="F287" i="5"/>
  <c r="R287" i="5" s="1"/>
  <c r="S287" i="5" s="1"/>
  <c r="W286" i="5"/>
  <c r="X286" i="5" s="1"/>
  <c r="Y286" i="5" s="1"/>
  <c r="F286" i="5"/>
  <c r="R286" i="5" s="1"/>
  <c r="S286" i="5" s="1"/>
  <c r="W285" i="5"/>
  <c r="X285" i="5" s="1"/>
  <c r="Y285" i="5" s="1"/>
  <c r="F285" i="5"/>
  <c r="W284" i="5"/>
  <c r="X284" i="5" s="1"/>
  <c r="Y284" i="5" s="1"/>
  <c r="F284" i="5"/>
  <c r="R284" i="5" s="1"/>
  <c r="S284" i="5" s="1"/>
  <c r="F283" i="5"/>
  <c r="W282" i="5"/>
  <c r="X282" i="5" s="1"/>
  <c r="Y282" i="5" s="1"/>
  <c r="S282" i="5"/>
  <c r="W281" i="5"/>
  <c r="X281" i="5" s="1"/>
  <c r="Y281" i="5" s="1"/>
  <c r="F281" i="5"/>
  <c r="W280" i="5"/>
  <c r="X280" i="5" s="1"/>
  <c r="Y280" i="5" s="1"/>
  <c r="S280" i="5"/>
  <c r="W279" i="5"/>
  <c r="X279" i="5" s="1"/>
  <c r="Y279" i="5" s="1"/>
  <c r="S279" i="5"/>
  <c r="F279" i="5"/>
  <c r="W278" i="5"/>
  <c r="X278" i="5" s="1"/>
  <c r="Y278" i="5" s="1"/>
  <c r="F278" i="5"/>
  <c r="R278" i="5" s="1"/>
  <c r="S278" i="5" s="1"/>
  <c r="W277" i="5"/>
  <c r="X277" i="5" s="1"/>
  <c r="Y277" i="5" s="1"/>
  <c r="F277" i="5"/>
  <c r="R277" i="5" s="1"/>
  <c r="S277" i="5" s="1"/>
  <c r="W276" i="5"/>
  <c r="X276" i="5" s="1"/>
  <c r="Y276" i="5" s="1"/>
  <c r="F276" i="5"/>
  <c r="R276" i="5" s="1"/>
  <c r="S276" i="5" s="1"/>
  <c r="W275" i="5"/>
  <c r="X275" i="5" s="1"/>
  <c r="Y275" i="5" s="1"/>
  <c r="F275" i="5"/>
  <c r="R275" i="5" s="1"/>
  <c r="S275" i="5" s="1"/>
  <c r="W274" i="5"/>
  <c r="X274" i="5" s="1"/>
  <c r="Y274" i="5" s="1"/>
  <c r="F274" i="5"/>
  <c r="W273" i="5"/>
  <c r="X273" i="5" s="1"/>
  <c r="Y273" i="5" s="1"/>
  <c r="F273" i="5"/>
  <c r="R273" i="5" s="1"/>
  <c r="S273" i="5" s="1"/>
  <c r="W272" i="5"/>
  <c r="X272" i="5" s="1"/>
  <c r="Y272" i="5" s="1"/>
  <c r="F272" i="5"/>
  <c r="Y469" i="13" s="1"/>
  <c r="Z469" i="13" s="1"/>
  <c r="W271" i="5"/>
  <c r="X271" i="5" s="1"/>
  <c r="Y271" i="5" s="1"/>
  <c r="F271" i="5"/>
  <c r="W270" i="5"/>
  <c r="X270" i="5" s="1"/>
  <c r="Y270" i="5" s="1"/>
  <c r="F270" i="5"/>
  <c r="W269" i="5"/>
  <c r="X269" i="5" s="1"/>
  <c r="Y269" i="5" s="1"/>
  <c r="F269" i="5"/>
  <c r="R269" i="5" s="1"/>
  <c r="S269" i="5" s="1"/>
  <c r="W268" i="5"/>
  <c r="X268" i="5" s="1"/>
  <c r="Y268" i="5" s="1"/>
  <c r="F268" i="5"/>
  <c r="W267" i="5"/>
  <c r="X267" i="5" s="1"/>
  <c r="Y267" i="5" s="1"/>
  <c r="F267" i="5"/>
  <c r="W266" i="5"/>
  <c r="X266" i="5" s="1"/>
  <c r="Y266" i="5" s="1"/>
  <c r="W265" i="5"/>
  <c r="X265" i="5" s="1"/>
  <c r="Y265" i="5" s="1"/>
  <c r="F265" i="5"/>
  <c r="R265" i="5" s="1"/>
  <c r="S265" i="5" s="1"/>
  <c r="W264" i="5"/>
  <c r="X264" i="5" s="1"/>
  <c r="Y264" i="5" s="1"/>
  <c r="F264" i="5"/>
  <c r="R264" i="5" s="1"/>
  <c r="S264" i="5" s="1"/>
  <c r="W263" i="5"/>
  <c r="X263" i="5" s="1"/>
  <c r="Y263" i="5" s="1"/>
  <c r="F263" i="5"/>
  <c r="R263" i="5" s="1"/>
  <c r="S263" i="5" s="1"/>
  <c r="W262" i="5"/>
  <c r="X262" i="5" s="1"/>
  <c r="Y262" i="5" s="1"/>
  <c r="S262" i="5"/>
  <c r="W261" i="5"/>
  <c r="X261" i="5" s="1"/>
  <c r="Y261" i="5" s="1"/>
  <c r="F261" i="5"/>
  <c r="R261" i="5" s="1"/>
  <c r="S261" i="5" s="1"/>
  <c r="W260" i="5"/>
  <c r="X260" i="5" s="1"/>
  <c r="Y260" i="5" s="1"/>
  <c r="F260" i="5"/>
  <c r="Y321" i="13" s="1"/>
  <c r="Z321" i="13" s="1"/>
  <c r="W259" i="5"/>
  <c r="X259" i="5" s="1"/>
  <c r="Y259" i="5" s="1"/>
  <c r="F259" i="5"/>
  <c r="W257" i="5"/>
  <c r="X257" i="5" s="1"/>
  <c r="Y257" i="5" s="1"/>
  <c r="F257" i="5"/>
  <c r="W256" i="5"/>
  <c r="X256" i="5" s="1"/>
  <c r="Y256" i="5" s="1"/>
  <c r="F256" i="5"/>
  <c r="W255" i="5"/>
  <c r="X255" i="5" s="1"/>
  <c r="Y255" i="5" s="1"/>
  <c r="F255" i="5"/>
  <c r="W254" i="5"/>
  <c r="X254" i="5" s="1"/>
  <c r="Y254" i="5" s="1"/>
  <c r="W253" i="5"/>
  <c r="X253" i="5" s="1"/>
  <c r="Y253" i="5" s="1"/>
  <c r="F253" i="5"/>
  <c r="W252" i="5"/>
  <c r="X252" i="5" s="1"/>
  <c r="Y252" i="5" s="1"/>
  <c r="F252" i="5"/>
  <c r="W251" i="5"/>
  <c r="X251" i="5" s="1"/>
  <c r="Y251" i="5" s="1"/>
  <c r="F251" i="5"/>
  <c r="W249" i="5"/>
  <c r="X249" i="5" s="1"/>
  <c r="Y249" i="5" s="1"/>
  <c r="S249" i="5"/>
  <c r="W248" i="5"/>
  <c r="X248" i="5" s="1"/>
  <c r="Y248" i="5" s="1"/>
  <c r="F248" i="5"/>
  <c r="R248" i="5" s="1"/>
  <c r="S248" i="5" s="1"/>
  <c r="W247" i="5"/>
  <c r="X247" i="5" s="1"/>
  <c r="Y247" i="5" s="1"/>
  <c r="F247" i="5"/>
  <c r="R247" i="5" s="1"/>
  <c r="S247" i="5" s="1"/>
  <c r="W246" i="5"/>
  <c r="X246" i="5" s="1"/>
  <c r="Y246" i="5" s="1"/>
  <c r="W245" i="5"/>
  <c r="X245" i="5" s="1"/>
  <c r="Y245" i="5" s="1"/>
  <c r="F245" i="5"/>
  <c r="R245" i="5" s="1"/>
  <c r="S245" i="5" s="1"/>
  <c r="W244" i="5"/>
  <c r="X244" i="5" s="1"/>
  <c r="Y244" i="5" s="1"/>
  <c r="F244" i="5"/>
  <c r="W243" i="5"/>
  <c r="X243" i="5" s="1"/>
  <c r="Y243" i="5" s="1"/>
  <c r="F243" i="5"/>
  <c r="W242" i="5"/>
  <c r="X242" i="5" s="1"/>
  <c r="Y242" i="5" s="1"/>
  <c r="F242" i="5"/>
  <c r="Y539" i="13" s="1"/>
  <c r="Z539" i="13" s="1"/>
  <c r="W241" i="5"/>
  <c r="X241" i="5" s="1"/>
  <c r="Y241" i="5" s="1"/>
  <c r="F241" i="5"/>
  <c r="W240" i="5"/>
  <c r="X240" i="5" s="1"/>
  <c r="Y240" i="5" s="1"/>
  <c r="F240" i="5"/>
  <c r="R240" i="5" s="1"/>
  <c r="S240" i="5" s="1"/>
  <c r="W239" i="5"/>
  <c r="X239" i="5" s="1"/>
  <c r="Y239" i="5" s="1"/>
  <c r="F239" i="5"/>
  <c r="R239" i="5" s="1"/>
  <c r="S239" i="5" s="1"/>
  <c r="W238" i="5"/>
  <c r="X238" i="5" s="1"/>
  <c r="Y238" i="5" s="1"/>
  <c r="F238" i="5"/>
  <c r="W237" i="5"/>
  <c r="X237" i="5" s="1"/>
  <c r="Y237" i="5" s="1"/>
  <c r="F237" i="5"/>
  <c r="R237" i="5" s="1"/>
  <c r="S237" i="5" s="1"/>
  <c r="W236" i="5"/>
  <c r="X236" i="5" s="1"/>
  <c r="Y236" i="5" s="1"/>
  <c r="F236" i="5"/>
  <c r="Y365" i="13" s="1"/>
  <c r="Z365" i="13" s="1"/>
  <c r="W235" i="5"/>
  <c r="X235" i="5" s="1"/>
  <c r="Y235" i="5" s="1"/>
  <c r="F235" i="5"/>
  <c r="R235" i="5" s="1"/>
  <c r="S235" i="5" s="1"/>
  <c r="W234" i="5"/>
  <c r="X234" i="5" s="1"/>
  <c r="Y234" i="5" s="1"/>
  <c r="F234" i="5"/>
  <c r="Y378" i="13" s="1"/>
  <c r="Z378" i="13" s="1"/>
  <c r="W232" i="5"/>
  <c r="X232" i="5" s="1"/>
  <c r="Y232" i="5" s="1"/>
  <c r="F232" i="5"/>
  <c r="W231" i="5"/>
  <c r="X231" i="5" s="1"/>
  <c r="Y231" i="5" s="1"/>
  <c r="F231" i="5"/>
  <c r="W230" i="5"/>
  <c r="X230" i="5" s="1"/>
  <c r="Y230" i="5" s="1"/>
  <c r="W229" i="5"/>
  <c r="X229" i="5" s="1"/>
  <c r="Y229" i="5" s="1"/>
  <c r="F229" i="5"/>
  <c r="R229" i="5" s="1"/>
  <c r="S229" i="5" s="1"/>
  <c r="W228" i="5"/>
  <c r="X228" i="5" s="1"/>
  <c r="Y228" i="5" s="1"/>
  <c r="F228" i="5"/>
  <c r="R228" i="5" s="1"/>
  <c r="S228" i="5" s="1"/>
  <c r="W227" i="5"/>
  <c r="X227" i="5" s="1"/>
  <c r="Y227" i="5" s="1"/>
  <c r="S227" i="5"/>
  <c r="F227" i="5"/>
  <c r="W226" i="5"/>
  <c r="X226" i="5" s="1"/>
  <c r="Y226" i="5" s="1"/>
  <c r="F226" i="5"/>
  <c r="W225" i="5"/>
  <c r="X225" i="5" s="1"/>
  <c r="Y225" i="5" s="1"/>
  <c r="F225" i="5"/>
  <c r="W224" i="5"/>
  <c r="X224" i="5" s="1"/>
  <c r="Y224" i="5" s="1"/>
  <c r="F224" i="5"/>
  <c r="W223" i="5"/>
  <c r="X223" i="5" s="1"/>
  <c r="Y223" i="5" s="1"/>
  <c r="F223" i="5"/>
  <c r="W222" i="5"/>
  <c r="X222" i="5" s="1"/>
  <c r="Y222" i="5" s="1"/>
  <c r="F222" i="5"/>
  <c r="Y275" i="13" s="1"/>
  <c r="Z275" i="13" s="1"/>
  <c r="W221" i="5"/>
  <c r="X221" i="5" s="1"/>
  <c r="Y221" i="5" s="1"/>
  <c r="F221" i="5"/>
  <c r="W220" i="5"/>
  <c r="X220" i="5" s="1"/>
  <c r="Y220" i="5" s="1"/>
  <c r="F220" i="5"/>
  <c r="W219" i="5"/>
  <c r="X219" i="5" s="1"/>
  <c r="Y219" i="5" s="1"/>
  <c r="F219" i="5"/>
  <c r="W218" i="5"/>
  <c r="X218" i="5" s="1"/>
  <c r="Y218" i="5" s="1"/>
  <c r="F218" i="5"/>
  <c r="W217" i="5"/>
  <c r="X217" i="5" s="1"/>
  <c r="Y217" i="5" s="1"/>
  <c r="F217" i="5"/>
  <c r="X216" i="5"/>
  <c r="Y216" i="5" s="1"/>
  <c r="W216" i="5"/>
  <c r="F216" i="5"/>
  <c r="W215" i="5"/>
  <c r="X215" i="5" s="1"/>
  <c r="Y215" i="5" s="1"/>
  <c r="F215" i="5"/>
  <c r="W214" i="5"/>
  <c r="X214" i="5" s="1"/>
  <c r="Y214" i="5" s="1"/>
  <c r="F214" i="5"/>
  <c r="F212" i="5"/>
  <c r="X211" i="5"/>
  <c r="Y211" i="5" s="1"/>
  <c r="W211" i="5"/>
  <c r="F211" i="5"/>
  <c r="W210" i="5"/>
  <c r="X210" i="5" s="1"/>
  <c r="Y210" i="5" s="1"/>
  <c r="F210" i="5"/>
  <c r="W209" i="5"/>
  <c r="X209" i="5" s="1"/>
  <c r="Y209" i="5" s="1"/>
  <c r="F209" i="5"/>
  <c r="W208" i="5"/>
  <c r="X208" i="5" s="1"/>
  <c r="Y208" i="5" s="1"/>
  <c r="F208" i="5"/>
  <c r="W207" i="5"/>
  <c r="X207" i="5" s="1"/>
  <c r="Y207" i="5" s="1"/>
  <c r="W206" i="5"/>
  <c r="X206" i="5" s="1"/>
  <c r="Y206" i="5" s="1"/>
  <c r="W205" i="5"/>
  <c r="X205" i="5" s="1"/>
  <c r="Y205" i="5" s="1"/>
  <c r="W204" i="5"/>
  <c r="X204" i="5" s="1"/>
  <c r="Y204" i="5" s="1"/>
  <c r="F204" i="5"/>
  <c r="R204" i="5" s="1"/>
  <c r="S204" i="5" s="1"/>
  <c r="W203" i="5"/>
  <c r="X203" i="5" s="1"/>
  <c r="Y203" i="5" s="1"/>
  <c r="W202" i="5"/>
  <c r="X202" i="5" s="1"/>
  <c r="Y202" i="5" s="1"/>
  <c r="F202" i="5"/>
  <c r="R202" i="5" s="1"/>
  <c r="S202" i="5" s="1"/>
  <c r="W201" i="5"/>
  <c r="X201" i="5" s="1"/>
  <c r="Y201" i="5" s="1"/>
  <c r="F201" i="5"/>
  <c r="R201" i="5" s="1"/>
  <c r="S201" i="5" s="1"/>
  <c r="W200" i="5"/>
  <c r="X200" i="5" s="1"/>
  <c r="Y200" i="5" s="1"/>
  <c r="F200" i="5"/>
  <c r="W199" i="5"/>
  <c r="X199" i="5" s="1"/>
  <c r="Y199" i="5" s="1"/>
  <c r="F199" i="5"/>
  <c r="W198" i="5"/>
  <c r="X198" i="5" s="1"/>
  <c r="Y198" i="5" s="1"/>
  <c r="F198" i="5"/>
  <c r="R198" i="5" s="1"/>
  <c r="S198" i="5" s="1"/>
  <c r="W197" i="5"/>
  <c r="X197" i="5" s="1"/>
  <c r="Y197" i="5" s="1"/>
  <c r="F197" i="5"/>
  <c r="W195" i="5"/>
  <c r="X195" i="5" s="1"/>
  <c r="Y195" i="5" s="1"/>
  <c r="W194" i="5"/>
  <c r="X194" i="5" s="1"/>
  <c r="Y194" i="5" s="1"/>
  <c r="W193" i="5"/>
  <c r="X193" i="5" s="1"/>
  <c r="Y193" i="5" s="1"/>
  <c r="W192" i="5"/>
  <c r="X192" i="5" s="1"/>
  <c r="Y192" i="5" s="1"/>
  <c r="F192" i="5"/>
  <c r="R192" i="5" s="1"/>
  <c r="S192" i="5" s="1"/>
  <c r="W191" i="5"/>
  <c r="X191" i="5" s="1"/>
  <c r="Y191" i="5" s="1"/>
  <c r="F191" i="5"/>
  <c r="R191" i="5" s="1"/>
  <c r="S191" i="5" s="1"/>
  <c r="W190" i="5"/>
  <c r="X190" i="5" s="1"/>
  <c r="Y190" i="5" s="1"/>
  <c r="F190" i="5"/>
  <c r="R190" i="5" s="1"/>
  <c r="S190" i="5" s="1"/>
  <c r="W189" i="5"/>
  <c r="X189" i="5" s="1"/>
  <c r="Y189" i="5" s="1"/>
  <c r="F189" i="5"/>
  <c r="W188" i="5"/>
  <c r="X188" i="5" s="1"/>
  <c r="Y188" i="5" s="1"/>
  <c r="S188" i="5"/>
  <c r="F188" i="5"/>
  <c r="W187" i="5"/>
  <c r="X187" i="5" s="1"/>
  <c r="Y187" i="5" s="1"/>
  <c r="F187" i="5"/>
  <c r="W186" i="5"/>
  <c r="X186" i="5" s="1"/>
  <c r="Y186" i="5" s="1"/>
  <c r="F186" i="5"/>
  <c r="W185" i="5"/>
  <c r="X185" i="5" s="1"/>
  <c r="Y185" i="5" s="1"/>
  <c r="F185" i="5"/>
  <c r="W184" i="5"/>
  <c r="X184" i="5" s="1"/>
  <c r="Y184" i="5" s="1"/>
  <c r="F184" i="5"/>
  <c r="W183" i="5"/>
  <c r="X183" i="5" s="1"/>
  <c r="Y183" i="5" s="1"/>
  <c r="F183" i="5"/>
  <c r="X182" i="5"/>
  <c r="Y182" i="5" s="1"/>
  <c r="F182" i="5"/>
  <c r="W181" i="5"/>
  <c r="X181" i="5" s="1"/>
  <c r="Y181" i="5" s="1"/>
  <c r="F181" i="5"/>
  <c r="W179" i="5"/>
  <c r="X179" i="5" s="1"/>
  <c r="Y179" i="5" s="1"/>
  <c r="F179" i="5"/>
  <c r="W178" i="5"/>
  <c r="X178" i="5" s="1"/>
  <c r="Y178" i="5" s="1"/>
  <c r="F178" i="5"/>
  <c r="W177" i="5"/>
  <c r="X177" i="5" s="1"/>
  <c r="Y177" i="5" s="1"/>
  <c r="F177" i="5"/>
  <c r="W176" i="5"/>
  <c r="X176" i="5" s="1"/>
  <c r="Y176" i="5" s="1"/>
  <c r="F176" i="5"/>
  <c r="R176" i="5" s="1"/>
  <c r="S176" i="5" s="1"/>
  <c r="W175" i="5"/>
  <c r="X175" i="5" s="1"/>
  <c r="Y175" i="5" s="1"/>
  <c r="F175" i="5"/>
  <c r="W174" i="5"/>
  <c r="X174" i="5" s="1"/>
  <c r="Y174" i="5" s="1"/>
  <c r="F174" i="5"/>
  <c r="R174" i="5" s="1"/>
  <c r="S174" i="5" s="1"/>
  <c r="W173" i="5"/>
  <c r="X173" i="5" s="1"/>
  <c r="Y173" i="5" s="1"/>
  <c r="S173" i="5"/>
  <c r="F173" i="5"/>
  <c r="W172" i="5"/>
  <c r="X172" i="5" s="1"/>
  <c r="Y172" i="5" s="1"/>
  <c r="F172" i="5"/>
  <c r="W171" i="5"/>
  <c r="X171" i="5" s="1"/>
  <c r="Y171" i="5" s="1"/>
  <c r="F171" i="5"/>
  <c r="R171" i="5" s="1"/>
  <c r="S171" i="5" s="1"/>
  <c r="W170" i="5"/>
  <c r="X170" i="5" s="1"/>
  <c r="Y170" i="5" s="1"/>
  <c r="F170" i="5"/>
  <c r="W169" i="5"/>
  <c r="X169" i="5" s="1"/>
  <c r="Y169" i="5" s="1"/>
  <c r="F169" i="5"/>
  <c r="W168" i="5"/>
  <c r="X168" i="5" s="1"/>
  <c r="Y168" i="5" s="1"/>
  <c r="F168" i="5"/>
  <c r="R168" i="5" s="1"/>
  <c r="S168" i="5" s="1"/>
  <c r="W167" i="5"/>
  <c r="X167" i="5" s="1"/>
  <c r="Y167" i="5" s="1"/>
  <c r="F167" i="5"/>
  <c r="R167" i="5" s="1"/>
  <c r="S167" i="5" s="1"/>
  <c r="W166" i="5"/>
  <c r="X166" i="5" s="1"/>
  <c r="Y166" i="5" s="1"/>
  <c r="F166" i="5"/>
  <c r="W165" i="5"/>
  <c r="X165" i="5" s="1"/>
  <c r="Y165" i="5" s="1"/>
  <c r="F165" i="5"/>
  <c r="W164" i="5"/>
  <c r="X164" i="5" s="1"/>
  <c r="Y164" i="5" s="1"/>
  <c r="F164" i="5"/>
  <c r="R164" i="5" s="1"/>
  <c r="S164" i="5" s="1"/>
  <c r="W163" i="5"/>
  <c r="X163" i="5" s="1"/>
  <c r="Y163" i="5" s="1"/>
  <c r="F163" i="5"/>
  <c r="W162" i="5"/>
  <c r="X162" i="5" s="1"/>
  <c r="Y162" i="5" s="1"/>
  <c r="W161" i="5"/>
  <c r="X161" i="5" s="1"/>
  <c r="Y161" i="5" s="1"/>
  <c r="F161" i="5"/>
  <c r="W160" i="5"/>
  <c r="X160" i="5" s="1"/>
  <c r="Y160" i="5" s="1"/>
  <c r="F160" i="5"/>
  <c r="R160" i="5" s="1"/>
  <c r="S160" i="5" s="1"/>
  <c r="W159" i="5"/>
  <c r="X159" i="5" s="1"/>
  <c r="Y159" i="5" s="1"/>
  <c r="F159" i="5"/>
  <c r="W158" i="5"/>
  <c r="X158" i="5" s="1"/>
  <c r="Y158" i="5" s="1"/>
  <c r="F158" i="5"/>
  <c r="W157" i="5"/>
  <c r="X157" i="5" s="1"/>
  <c r="Y157" i="5" s="1"/>
  <c r="F157" i="5"/>
  <c r="W156" i="5"/>
  <c r="X156" i="5" s="1"/>
  <c r="Y156" i="5" s="1"/>
  <c r="F156" i="5"/>
  <c r="Y417" i="13" s="1"/>
  <c r="Z417" i="13" s="1"/>
  <c r="W155" i="5"/>
  <c r="X155" i="5" s="1"/>
  <c r="Y155" i="5" s="1"/>
  <c r="F155" i="5"/>
  <c r="W154" i="5"/>
  <c r="X154" i="5" s="1"/>
  <c r="Y154" i="5" s="1"/>
  <c r="F154" i="5"/>
  <c r="W152" i="5"/>
  <c r="X152" i="5" s="1"/>
  <c r="Y152" i="5" s="1"/>
  <c r="F152" i="5"/>
  <c r="W151" i="5"/>
  <c r="X151" i="5" s="1"/>
  <c r="Y151" i="5" s="1"/>
  <c r="F151" i="5"/>
  <c r="W150" i="5"/>
  <c r="X150" i="5" s="1"/>
  <c r="Y150" i="5" s="1"/>
  <c r="F150" i="5"/>
  <c r="W149" i="5"/>
  <c r="X149" i="5" s="1"/>
  <c r="Y149" i="5" s="1"/>
  <c r="F149" i="5"/>
  <c r="R149" i="5" s="1"/>
  <c r="S149" i="5" s="1"/>
  <c r="W148" i="5"/>
  <c r="X148" i="5" s="1"/>
  <c r="Y148" i="5" s="1"/>
  <c r="W147" i="5"/>
  <c r="X147" i="5" s="1"/>
  <c r="Y147" i="5" s="1"/>
  <c r="F147" i="5"/>
  <c r="W145" i="5"/>
  <c r="X145" i="5" s="1"/>
  <c r="Y145" i="5" s="1"/>
  <c r="F145" i="5"/>
  <c r="W144" i="5"/>
  <c r="X144" i="5" s="1"/>
  <c r="Y144" i="5" s="1"/>
  <c r="S144" i="5"/>
  <c r="W143" i="5"/>
  <c r="X143" i="5" s="1"/>
  <c r="Y143" i="5" s="1"/>
  <c r="F143" i="5"/>
  <c r="W142" i="5"/>
  <c r="X142" i="5" s="1"/>
  <c r="Y142" i="5" s="1"/>
  <c r="F142" i="5"/>
  <c r="W141" i="5"/>
  <c r="X141" i="5" s="1"/>
  <c r="Y141" i="5" s="1"/>
  <c r="F141" i="5"/>
  <c r="R141" i="5" s="1"/>
  <c r="S141" i="5" s="1"/>
  <c r="W140" i="5"/>
  <c r="X140" i="5" s="1"/>
  <c r="Y140" i="5" s="1"/>
  <c r="F140" i="5"/>
  <c r="R140" i="5" s="1"/>
  <c r="S140" i="5" s="1"/>
  <c r="W139" i="5"/>
  <c r="X139" i="5" s="1"/>
  <c r="Y139" i="5" s="1"/>
  <c r="F139" i="5"/>
  <c r="R139" i="5" s="1"/>
  <c r="S139" i="5" s="1"/>
  <c r="W138" i="5"/>
  <c r="X138" i="5" s="1"/>
  <c r="Y138" i="5" s="1"/>
  <c r="F138" i="5"/>
  <c r="R138" i="5" s="1"/>
  <c r="S138" i="5" s="1"/>
  <c r="W137" i="5"/>
  <c r="X137" i="5" s="1"/>
  <c r="Y137" i="5" s="1"/>
  <c r="F137" i="5"/>
  <c r="W136" i="5"/>
  <c r="X136" i="5" s="1"/>
  <c r="Y136" i="5" s="1"/>
  <c r="F136" i="5"/>
  <c r="W135" i="5"/>
  <c r="X135" i="5" s="1"/>
  <c r="Y135" i="5" s="1"/>
  <c r="F135" i="5"/>
  <c r="W134" i="5"/>
  <c r="X134" i="5" s="1"/>
  <c r="Y134" i="5" s="1"/>
  <c r="F134" i="5"/>
  <c r="W133" i="5"/>
  <c r="X133" i="5" s="1"/>
  <c r="Y133" i="5" s="1"/>
  <c r="F133" i="5"/>
  <c r="W132" i="5"/>
  <c r="X132" i="5" s="1"/>
  <c r="Y132" i="5" s="1"/>
  <c r="F132" i="5"/>
  <c r="W131" i="5"/>
  <c r="X131" i="5" s="1"/>
  <c r="Y131" i="5" s="1"/>
  <c r="W130" i="5"/>
  <c r="X130" i="5" s="1"/>
  <c r="Y130" i="5" s="1"/>
  <c r="S130" i="5"/>
  <c r="W129" i="5"/>
  <c r="X129" i="5" s="1"/>
  <c r="Y129" i="5" s="1"/>
  <c r="F129" i="5"/>
  <c r="W128" i="5"/>
  <c r="X128" i="5" s="1"/>
  <c r="Y128" i="5" s="1"/>
  <c r="W127" i="5"/>
  <c r="X127" i="5" s="1"/>
  <c r="Y127" i="5" s="1"/>
  <c r="S127" i="5"/>
  <c r="F127" i="5"/>
  <c r="W126" i="5"/>
  <c r="X126" i="5" s="1"/>
  <c r="Y126" i="5" s="1"/>
  <c r="F126" i="5"/>
  <c r="R126" i="5" s="1"/>
  <c r="S126" i="5" s="1"/>
  <c r="W125" i="5"/>
  <c r="X125" i="5" s="1"/>
  <c r="Y125" i="5" s="1"/>
  <c r="F125" i="5"/>
  <c r="W123" i="5"/>
  <c r="X123" i="5" s="1"/>
  <c r="Y123" i="5" s="1"/>
  <c r="F123" i="5"/>
  <c r="W122" i="5"/>
  <c r="X122" i="5" s="1"/>
  <c r="Y122" i="5" s="1"/>
  <c r="W121" i="5"/>
  <c r="X121" i="5" s="1"/>
  <c r="Y121" i="5" s="1"/>
  <c r="F121" i="5"/>
  <c r="W120" i="5"/>
  <c r="X120" i="5" s="1"/>
  <c r="Y120" i="5" s="1"/>
  <c r="W119" i="5"/>
  <c r="X119" i="5" s="1"/>
  <c r="Y119" i="5" s="1"/>
  <c r="F119" i="5"/>
  <c r="Y323" i="13" s="1"/>
  <c r="Z323" i="13" s="1"/>
  <c r="W117" i="5"/>
  <c r="X117" i="5" s="1"/>
  <c r="Y117" i="5" s="1"/>
  <c r="F117" i="5"/>
  <c r="W116" i="5"/>
  <c r="X116" i="5" s="1"/>
  <c r="Y116" i="5" s="1"/>
  <c r="F116" i="5"/>
  <c r="Y344" i="13" s="1"/>
  <c r="Z344" i="13" s="1"/>
  <c r="W115" i="5"/>
  <c r="X115" i="5" s="1"/>
  <c r="Y115" i="5" s="1"/>
  <c r="W114" i="5"/>
  <c r="X114" i="5" s="1"/>
  <c r="Y114" i="5" s="1"/>
  <c r="S114" i="5"/>
  <c r="F114" i="5"/>
  <c r="W113" i="5"/>
  <c r="X113" i="5" s="1"/>
  <c r="Y113" i="5" s="1"/>
  <c r="F113" i="5"/>
  <c r="W112" i="5"/>
  <c r="X112" i="5" s="1"/>
  <c r="Y112" i="5" s="1"/>
  <c r="F112" i="5"/>
  <c r="R112" i="5" s="1"/>
  <c r="S112" i="5" s="1"/>
  <c r="W111" i="5"/>
  <c r="X111" i="5" s="1"/>
  <c r="Y111" i="5" s="1"/>
  <c r="F111" i="5"/>
  <c r="R111" i="5" s="1"/>
  <c r="S111" i="5" s="1"/>
  <c r="W110" i="5"/>
  <c r="X110" i="5" s="1"/>
  <c r="Y110" i="5" s="1"/>
  <c r="F110" i="5"/>
  <c r="R110" i="5" s="1"/>
  <c r="S110" i="5" s="1"/>
  <c r="W109" i="5"/>
  <c r="X109" i="5" s="1"/>
  <c r="Y109" i="5" s="1"/>
  <c r="F109" i="5"/>
  <c r="W108" i="5"/>
  <c r="X108" i="5" s="1"/>
  <c r="Y108" i="5" s="1"/>
  <c r="F108" i="5"/>
  <c r="Y302" i="13" s="1"/>
  <c r="Z302" i="13" s="1"/>
  <c r="W107" i="5"/>
  <c r="X107" i="5" s="1"/>
  <c r="Y107" i="5" s="1"/>
  <c r="F107" i="5"/>
  <c r="W106" i="5"/>
  <c r="X106" i="5" s="1"/>
  <c r="Y106" i="5" s="1"/>
  <c r="F106" i="5"/>
  <c r="R106" i="5" s="1"/>
  <c r="S106" i="5" s="1"/>
  <c r="W105" i="5"/>
  <c r="X105" i="5" s="1"/>
  <c r="Y105" i="5" s="1"/>
  <c r="F105" i="5"/>
  <c r="W104" i="5"/>
  <c r="X104" i="5" s="1"/>
  <c r="Y104" i="5" s="1"/>
  <c r="F104" i="5"/>
  <c r="W103" i="5"/>
  <c r="X103" i="5" s="1"/>
  <c r="Y103" i="5" s="1"/>
  <c r="F103" i="5"/>
  <c r="W102" i="5"/>
  <c r="X102" i="5" s="1"/>
  <c r="Y102" i="5" s="1"/>
  <c r="F102" i="5"/>
  <c r="W101" i="5"/>
  <c r="X101" i="5" s="1"/>
  <c r="Y101" i="5" s="1"/>
  <c r="W100" i="5"/>
  <c r="X100" i="5" s="1"/>
  <c r="Y100" i="5" s="1"/>
  <c r="F100" i="5"/>
  <c r="R100" i="5" s="1"/>
  <c r="S100" i="5" s="1"/>
  <c r="W99" i="5"/>
  <c r="X99" i="5" s="1"/>
  <c r="Y99" i="5" s="1"/>
  <c r="F99" i="5"/>
  <c r="Y432" i="13" s="1"/>
  <c r="Z432" i="13" s="1"/>
  <c r="W98" i="5"/>
  <c r="X98" i="5" s="1"/>
  <c r="Y98" i="5" s="1"/>
  <c r="F98" i="5"/>
  <c r="W97" i="5"/>
  <c r="X97" i="5" s="1"/>
  <c r="Y97" i="5" s="1"/>
  <c r="F97" i="5"/>
  <c r="W96" i="5"/>
  <c r="X96" i="5" s="1"/>
  <c r="Y96" i="5" s="1"/>
  <c r="F96" i="5"/>
  <c r="R96" i="5" s="1"/>
  <c r="S96" i="5" s="1"/>
  <c r="W95" i="5"/>
  <c r="X95" i="5" s="1"/>
  <c r="Y95" i="5" s="1"/>
  <c r="F95" i="5"/>
  <c r="W94" i="5"/>
  <c r="X94" i="5" s="1"/>
  <c r="Y94" i="5" s="1"/>
  <c r="W93" i="5"/>
  <c r="X93" i="5" s="1"/>
  <c r="Y93" i="5" s="1"/>
  <c r="F93" i="5"/>
  <c r="W92" i="5"/>
  <c r="X92" i="5" s="1"/>
  <c r="Y92" i="5" s="1"/>
  <c r="F92" i="5"/>
  <c r="Y363" i="13" s="1"/>
  <c r="Z363" i="13" s="1"/>
  <c r="W91" i="5"/>
  <c r="X91" i="5" s="1"/>
  <c r="Y91" i="5" s="1"/>
  <c r="F91" i="5"/>
  <c r="W90" i="5"/>
  <c r="X90" i="5" s="1"/>
  <c r="Y90" i="5" s="1"/>
  <c r="F90" i="5"/>
  <c r="W89" i="5"/>
  <c r="X89" i="5" s="1"/>
  <c r="Y89" i="5" s="1"/>
  <c r="F89" i="5"/>
  <c r="W88" i="5"/>
  <c r="X88" i="5" s="1"/>
  <c r="Y88" i="5" s="1"/>
  <c r="F88" i="5"/>
  <c r="F87" i="5"/>
  <c r="Y231" i="13" s="1"/>
  <c r="Z231" i="13" s="1"/>
  <c r="W86" i="5"/>
  <c r="X86" i="5" s="1"/>
  <c r="Y86" i="5" s="1"/>
  <c r="F86" i="5"/>
  <c r="W85" i="5"/>
  <c r="X85" i="5" s="1"/>
  <c r="Y85" i="5" s="1"/>
  <c r="F85" i="5"/>
  <c r="W84" i="5"/>
  <c r="X84" i="5" s="1"/>
  <c r="Y84" i="5" s="1"/>
  <c r="F84" i="5"/>
  <c r="W83" i="5"/>
  <c r="X83" i="5" s="1"/>
  <c r="Y83" i="5" s="1"/>
  <c r="W82" i="5"/>
  <c r="X82" i="5" s="1"/>
  <c r="Y82" i="5" s="1"/>
  <c r="F82" i="5"/>
  <c r="R82" i="5" s="1"/>
  <c r="S82" i="5" s="1"/>
  <c r="W81" i="5"/>
  <c r="X81" i="5" s="1"/>
  <c r="Y81" i="5" s="1"/>
  <c r="F81" i="5"/>
  <c r="R81" i="5" s="1"/>
  <c r="S81" i="5" s="1"/>
  <c r="W80" i="5"/>
  <c r="X80" i="5" s="1"/>
  <c r="Y80" i="5" s="1"/>
  <c r="F80" i="5"/>
  <c r="R80" i="5" s="1"/>
  <c r="S80" i="5" s="1"/>
  <c r="W79" i="5"/>
  <c r="X79" i="5" s="1"/>
  <c r="Y79" i="5" s="1"/>
  <c r="F79" i="5"/>
  <c r="R79" i="5" s="1"/>
  <c r="S79" i="5" s="1"/>
  <c r="W78" i="5"/>
  <c r="X78" i="5" s="1"/>
  <c r="Y78" i="5" s="1"/>
  <c r="F78" i="5"/>
  <c r="R78" i="5" s="1"/>
  <c r="S78" i="5" s="1"/>
  <c r="W77" i="5"/>
  <c r="X77" i="5" s="1"/>
  <c r="Y77" i="5" s="1"/>
  <c r="F77" i="5"/>
  <c r="W76" i="5"/>
  <c r="X76" i="5" s="1"/>
  <c r="Y76" i="5" s="1"/>
  <c r="F76" i="5"/>
  <c r="R76" i="5" s="1"/>
  <c r="S76" i="5" s="1"/>
  <c r="W75" i="5"/>
  <c r="X75" i="5" s="1"/>
  <c r="Y75" i="5" s="1"/>
  <c r="F75" i="5"/>
  <c r="R75" i="5" s="1"/>
  <c r="S75" i="5" s="1"/>
  <c r="W74" i="5"/>
  <c r="X74" i="5" s="1"/>
  <c r="Y74" i="5" s="1"/>
  <c r="F74" i="5"/>
  <c r="R74" i="5" s="1"/>
  <c r="S74" i="5" s="1"/>
  <c r="W73" i="5"/>
  <c r="X73" i="5" s="1"/>
  <c r="Y73" i="5" s="1"/>
  <c r="F73" i="5"/>
  <c r="W72" i="5"/>
  <c r="X72" i="5" s="1"/>
  <c r="Y72" i="5" s="1"/>
  <c r="W71" i="5"/>
  <c r="X71" i="5" s="1"/>
  <c r="Y71" i="5" s="1"/>
  <c r="F71" i="5"/>
  <c r="R71" i="5" s="1"/>
  <c r="S71" i="5" s="1"/>
  <c r="W70" i="5"/>
  <c r="X70" i="5" s="1"/>
  <c r="Y70" i="5" s="1"/>
  <c r="F70" i="5"/>
  <c r="W69" i="5"/>
  <c r="X69" i="5" s="1"/>
  <c r="Y69" i="5" s="1"/>
  <c r="F69" i="5"/>
  <c r="W68" i="5"/>
  <c r="X68" i="5" s="1"/>
  <c r="Y68" i="5" s="1"/>
  <c r="F68" i="5"/>
  <c r="Y279" i="13" s="1"/>
  <c r="Z279" i="13" s="1"/>
  <c r="W67" i="5"/>
  <c r="X67" i="5" s="1"/>
  <c r="Y67" i="5" s="1"/>
  <c r="F67" i="5"/>
  <c r="R67" i="5" s="1"/>
  <c r="S67" i="5" s="1"/>
  <c r="W66" i="5"/>
  <c r="X66" i="5" s="1"/>
  <c r="Y66" i="5" s="1"/>
  <c r="F66" i="5"/>
  <c r="W65" i="5"/>
  <c r="X65" i="5" s="1"/>
  <c r="Y65" i="5" s="1"/>
  <c r="F65" i="5"/>
  <c r="R65" i="5" s="1"/>
  <c r="S65" i="5" s="1"/>
  <c r="W64" i="5"/>
  <c r="X64" i="5" s="1"/>
  <c r="Y64" i="5" s="1"/>
  <c r="F64" i="5"/>
  <c r="W63" i="5"/>
  <c r="X63" i="5" s="1"/>
  <c r="Y63" i="5" s="1"/>
  <c r="F63" i="5"/>
  <c r="W62" i="5"/>
  <c r="X62" i="5" s="1"/>
  <c r="Y62" i="5" s="1"/>
  <c r="F62" i="5"/>
  <c r="W61" i="5"/>
  <c r="X61" i="5" s="1"/>
  <c r="Y61" i="5" s="1"/>
  <c r="F61" i="5"/>
  <c r="W60" i="5"/>
  <c r="X60" i="5" s="1"/>
  <c r="Y60" i="5" s="1"/>
  <c r="F60" i="5"/>
  <c r="W59" i="5"/>
  <c r="X59" i="5" s="1"/>
  <c r="Y59" i="5" s="1"/>
  <c r="W58" i="5"/>
  <c r="X58" i="5" s="1"/>
  <c r="Y58" i="5" s="1"/>
  <c r="F58" i="5"/>
  <c r="W57" i="5"/>
  <c r="X57" i="5" s="1"/>
  <c r="Y57" i="5" s="1"/>
  <c r="W56" i="5"/>
  <c r="X56" i="5" s="1"/>
  <c r="Y56" i="5" s="1"/>
  <c r="F56" i="5"/>
  <c r="R56" i="5" s="1"/>
  <c r="S56" i="5" s="1"/>
  <c r="W55" i="5"/>
  <c r="X55" i="5" s="1"/>
  <c r="Y55" i="5" s="1"/>
  <c r="F55" i="5"/>
  <c r="R55" i="5" s="1"/>
  <c r="S55" i="5" s="1"/>
  <c r="W54" i="5"/>
  <c r="X54" i="5" s="1"/>
  <c r="Y54" i="5" s="1"/>
  <c r="F54" i="5"/>
  <c r="W53" i="5"/>
  <c r="X53" i="5" s="1"/>
  <c r="Y53" i="5" s="1"/>
  <c r="F53" i="5"/>
  <c r="W52" i="5"/>
  <c r="X52" i="5" s="1"/>
  <c r="Y52" i="5" s="1"/>
  <c r="F52" i="5"/>
  <c r="W51" i="5"/>
  <c r="X51" i="5" s="1"/>
  <c r="Y51" i="5" s="1"/>
  <c r="F51" i="5"/>
  <c r="X50" i="5"/>
  <c r="Y50" i="5" s="1"/>
  <c r="F50" i="5"/>
  <c r="R50" i="5" s="1"/>
  <c r="S50" i="5" s="1"/>
  <c r="W49" i="5"/>
  <c r="X49" i="5" s="1"/>
  <c r="Y49" i="5" s="1"/>
  <c r="F49" i="5"/>
  <c r="F47" i="5"/>
  <c r="W46" i="5"/>
  <c r="X46" i="5" s="1"/>
  <c r="Y46" i="5" s="1"/>
  <c r="F46" i="5"/>
  <c r="W45" i="5"/>
  <c r="X45" i="5" s="1"/>
  <c r="Y45" i="5" s="1"/>
  <c r="F45" i="5"/>
  <c r="R45" i="5" s="1"/>
  <c r="S45" i="5" s="1"/>
  <c r="W44" i="5"/>
  <c r="X44" i="5" s="1"/>
  <c r="Y44" i="5" s="1"/>
  <c r="F44" i="5"/>
  <c r="R44" i="5" s="1"/>
  <c r="S44" i="5" s="1"/>
  <c r="W43" i="5"/>
  <c r="X43" i="5" s="1"/>
  <c r="Y43" i="5" s="1"/>
  <c r="F43" i="5"/>
  <c r="R43" i="5" s="1"/>
  <c r="S43" i="5" s="1"/>
  <c r="W42" i="5"/>
  <c r="X42" i="5" s="1"/>
  <c r="Y42" i="5" s="1"/>
  <c r="F42" i="5"/>
  <c r="R42" i="5" s="1"/>
  <c r="S42" i="5" s="1"/>
  <c r="W41" i="5"/>
  <c r="X41" i="5" s="1"/>
  <c r="Y41" i="5" s="1"/>
  <c r="F41" i="5"/>
  <c r="R41" i="5" s="1"/>
  <c r="S41" i="5" s="1"/>
  <c r="W40" i="5"/>
  <c r="X40" i="5" s="1"/>
  <c r="Y40" i="5" s="1"/>
  <c r="F40" i="5"/>
  <c r="R40" i="5" s="1"/>
  <c r="S40" i="5" s="1"/>
  <c r="W39" i="5"/>
  <c r="X39" i="5" s="1"/>
  <c r="Y39" i="5" s="1"/>
  <c r="F39" i="5"/>
  <c r="W38" i="5"/>
  <c r="X38" i="5" s="1"/>
  <c r="Y38" i="5" s="1"/>
  <c r="S38" i="5"/>
  <c r="F38" i="5"/>
  <c r="W37" i="5"/>
  <c r="X37" i="5" s="1"/>
  <c r="Y37" i="5" s="1"/>
  <c r="F37" i="5"/>
  <c r="W36" i="5"/>
  <c r="X36" i="5" s="1"/>
  <c r="Y36" i="5" s="1"/>
  <c r="F36" i="5"/>
  <c r="W35" i="5"/>
  <c r="X35" i="5" s="1"/>
  <c r="Y35" i="5" s="1"/>
  <c r="F35" i="5"/>
  <c r="W34" i="5"/>
  <c r="X34" i="5" s="1"/>
  <c r="Y34" i="5" s="1"/>
  <c r="F34" i="5"/>
  <c r="W33" i="5"/>
  <c r="X33" i="5" s="1"/>
  <c r="Y33" i="5" s="1"/>
  <c r="F33" i="5"/>
  <c r="W32" i="5"/>
  <c r="X32" i="5" s="1"/>
  <c r="Y32" i="5" s="1"/>
  <c r="F32" i="5"/>
  <c r="R32" i="5" s="1"/>
  <c r="S32" i="5" s="1"/>
  <c r="W31" i="5"/>
  <c r="X31" i="5" s="1"/>
  <c r="Y31" i="5" s="1"/>
  <c r="F31" i="5"/>
  <c r="W30" i="5"/>
  <c r="X30" i="5" s="1"/>
  <c r="Y30" i="5" s="1"/>
  <c r="F30" i="5"/>
  <c r="R30" i="5" s="1"/>
  <c r="S30" i="5" s="1"/>
  <c r="W28" i="5"/>
  <c r="X28" i="5" s="1"/>
  <c r="Y28" i="5" s="1"/>
  <c r="F28" i="5"/>
  <c r="R28" i="5" s="1"/>
  <c r="S28" i="5" s="1"/>
  <c r="W27" i="5"/>
  <c r="X27" i="5" s="1"/>
  <c r="Y27" i="5" s="1"/>
  <c r="F27" i="5"/>
  <c r="W23" i="5"/>
  <c r="X23" i="5" s="1"/>
  <c r="Y23" i="5" s="1"/>
  <c r="F23" i="5"/>
  <c r="W22" i="5"/>
  <c r="X22" i="5" s="1"/>
  <c r="Y22" i="5" s="1"/>
  <c r="F22" i="5"/>
  <c r="W21" i="5"/>
  <c r="X21" i="5" s="1"/>
  <c r="Y21" i="5" s="1"/>
  <c r="F21" i="5"/>
  <c r="W20" i="5"/>
  <c r="X20" i="5" s="1"/>
  <c r="Y20" i="5" s="1"/>
  <c r="W19" i="5"/>
  <c r="X19" i="5" s="1"/>
  <c r="Y19" i="5" s="1"/>
  <c r="F19" i="5"/>
  <c r="R19" i="5" s="1"/>
  <c r="S19" i="5" s="1"/>
  <c r="W18" i="5"/>
  <c r="X18" i="5" s="1"/>
  <c r="Y18" i="5" s="1"/>
  <c r="F18" i="5"/>
  <c r="R18" i="5" s="1"/>
  <c r="S18" i="5" s="1"/>
  <c r="W17" i="5"/>
  <c r="X17" i="5" s="1"/>
  <c r="Y17" i="5" s="1"/>
  <c r="F17" i="5"/>
  <c r="R17" i="5" s="1"/>
  <c r="S17" i="5" s="1"/>
  <c r="W16" i="5"/>
  <c r="X16" i="5" s="1"/>
  <c r="Y16" i="5" s="1"/>
  <c r="F16" i="5"/>
  <c r="R16" i="5" s="1"/>
  <c r="S16" i="5" s="1"/>
  <c r="W15" i="5"/>
  <c r="X15" i="5" s="1"/>
  <c r="Y15" i="5" s="1"/>
  <c r="S15" i="5"/>
  <c r="F15" i="5"/>
  <c r="W14" i="5"/>
  <c r="X14" i="5" s="1"/>
  <c r="Y14" i="5" s="1"/>
  <c r="F14" i="5"/>
  <c r="W13" i="5"/>
  <c r="X13" i="5" s="1"/>
  <c r="Y13" i="5" s="1"/>
  <c r="F13" i="5"/>
  <c r="W12" i="5"/>
  <c r="X12" i="5" s="1"/>
  <c r="Y12" i="5" s="1"/>
  <c r="F12" i="5"/>
  <c r="W11" i="5"/>
  <c r="X11" i="5" s="1"/>
  <c r="Y11" i="5" s="1"/>
  <c r="S11" i="5"/>
  <c r="F11" i="5"/>
  <c r="W10" i="5"/>
  <c r="X10" i="5" s="1"/>
  <c r="Y10" i="5" s="1"/>
  <c r="S10" i="5"/>
  <c r="F10" i="5"/>
  <c r="W9" i="5"/>
  <c r="X9" i="5" s="1"/>
  <c r="Y9" i="5" s="1"/>
  <c r="F9" i="5"/>
  <c r="R9" i="5" s="1"/>
  <c r="S9" i="5" s="1"/>
  <c r="W8" i="5"/>
  <c r="X8" i="5" s="1"/>
  <c r="Y8" i="5" s="1"/>
  <c r="F8" i="5"/>
  <c r="R8" i="5" s="1"/>
  <c r="S8" i="5" s="1"/>
  <c r="W7" i="5"/>
  <c r="X7" i="5" s="1"/>
  <c r="Y7" i="5" s="1"/>
  <c r="F7" i="5"/>
  <c r="W6" i="5"/>
  <c r="X6" i="5" s="1"/>
  <c r="Y6" i="5" s="1"/>
  <c r="S6" i="5"/>
  <c r="F6" i="5"/>
  <c r="W5" i="5"/>
  <c r="X5" i="5" s="1"/>
  <c r="Y5" i="5" s="1"/>
  <c r="F5" i="5"/>
  <c r="Q2" i="5"/>
  <c r="P2" i="5"/>
  <c r="O2" i="5"/>
  <c r="N2" i="5"/>
  <c r="M2" i="5"/>
  <c r="L2" i="5"/>
  <c r="K2" i="5"/>
  <c r="J2" i="5"/>
  <c r="I2" i="5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T2" i="3"/>
  <c r="S2" i="3"/>
  <c r="R2" i="3"/>
  <c r="Q2" i="3"/>
  <c r="P2" i="3"/>
  <c r="O2" i="3"/>
  <c r="N2" i="3"/>
  <c r="M2" i="3"/>
  <c r="L2" i="3"/>
  <c r="K2" i="3"/>
  <c r="J2" i="3"/>
  <c r="I2" i="3"/>
  <c r="H3" i="2"/>
  <c r="E3" i="2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2" i="1" s="1"/>
  <c r="S2" i="1"/>
  <c r="R2" i="1"/>
  <c r="Q2" i="1"/>
  <c r="M2" i="1"/>
  <c r="AK29" i="11" l="1"/>
  <c r="Z331" i="13"/>
  <c r="W146" i="5"/>
  <c r="X146" i="5" s="1"/>
  <c r="Y146" i="5" s="1"/>
  <c r="M29" i="11"/>
  <c r="U29" i="11"/>
  <c r="AC29" i="11"/>
  <c r="F29" i="11"/>
  <c r="N29" i="11"/>
  <c r="V29" i="11"/>
  <c r="AD29" i="11"/>
  <c r="AL29" i="11"/>
  <c r="Z487" i="13"/>
  <c r="Y29" i="11"/>
  <c r="AG29" i="11"/>
  <c r="AO29" i="11"/>
  <c r="Z314" i="13"/>
  <c r="Z480" i="13"/>
  <c r="Z508" i="13"/>
  <c r="E29" i="11"/>
  <c r="Z83" i="13"/>
  <c r="Z67" i="13"/>
  <c r="H29" i="11"/>
  <c r="P29" i="11"/>
  <c r="X29" i="11"/>
  <c r="AF29" i="11"/>
  <c r="AN29" i="11"/>
  <c r="R260" i="5"/>
  <c r="S260" i="5" s="1"/>
  <c r="Z311" i="13"/>
  <c r="J29" i="11"/>
  <c r="R29" i="11"/>
  <c r="Z29" i="11"/>
  <c r="AH29" i="11"/>
  <c r="AP29" i="11"/>
  <c r="Z479" i="13"/>
  <c r="K29" i="11"/>
  <c r="AI29" i="11"/>
  <c r="AQ29" i="11"/>
  <c r="Z78" i="13"/>
  <c r="Z194" i="13"/>
  <c r="AB29" i="11"/>
  <c r="AJ29" i="11"/>
  <c r="AR29" i="11"/>
  <c r="S29" i="11"/>
  <c r="AA29" i="11"/>
  <c r="Z111" i="13"/>
  <c r="Z82" i="13"/>
  <c r="Z95" i="13"/>
  <c r="F283" i="9"/>
  <c r="F493" i="9"/>
  <c r="A538" i="9"/>
  <c r="A558" i="9"/>
  <c r="A323" i="9"/>
  <c r="F348" i="9"/>
  <c r="F551" i="9"/>
  <c r="F556" i="9"/>
  <c r="F299" i="9"/>
  <c r="F341" i="9"/>
  <c r="F359" i="9"/>
  <c r="F364" i="9"/>
  <c r="F502" i="9"/>
  <c r="A542" i="9"/>
  <c r="A586" i="9"/>
  <c r="F289" i="9"/>
  <c r="A253" i="9"/>
  <c r="F273" i="9"/>
  <c r="A340" i="9"/>
  <c r="A342" i="9"/>
  <c r="F408" i="9"/>
  <c r="A414" i="9"/>
  <c r="A416" i="9"/>
  <c r="F430" i="9"/>
  <c r="F432" i="9"/>
  <c r="F437" i="9"/>
  <c r="A467" i="9"/>
  <c r="F487" i="9"/>
  <c r="A308" i="9"/>
  <c r="F388" i="9"/>
  <c r="F582" i="9"/>
  <c r="A306" i="9"/>
  <c r="A326" i="9"/>
  <c r="F378" i="9"/>
  <c r="A319" i="9"/>
  <c r="F333" i="9"/>
  <c r="A351" i="9"/>
  <c r="F550" i="9"/>
  <c r="A571" i="9"/>
  <c r="F517" i="9"/>
  <c r="F269" i="9"/>
  <c r="F298" i="9"/>
  <c r="A255" i="9"/>
  <c r="F267" i="9"/>
  <c r="A321" i="9"/>
  <c r="A328" i="9"/>
  <c r="A338" i="9"/>
  <c r="F360" i="9"/>
  <c r="F374" i="9"/>
  <c r="F396" i="9"/>
  <c r="A412" i="9"/>
  <c r="F420" i="9"/>
  <c r="F439" i="9"/>
  <c r="F469" i="9"/>
  <c r="F471" i="9"/>
  <c r="F525" i="9"/>
  <c r="A573" i="9"/>
  <c r="F484" i="9"/>
  <c r="A504" i="9"/>
  <c r="F533" i="9"/>
  <c r="F281" i="9"/>
  <c r="A251" i="9"/>
  <c r="F277" i="9"/>
  <c r="A290" i="9"/>
  <c r="F365" i="9"/>
  <c r="F382" i="9"/>
  <c r="F392" i="9"/>
  <c r="A448" i="9"/>
  <c r="F452" i="9"/>
  <c r="A512" i="9"/>
  <c r="A569" i="9"/>
  <c r="A355" i="9"/>
  <c r="A366" i="9"/>
  <c r="A446" i="9"/>
  <c r="A584" i="9"/>
  <c r="A310" i="9"/>
  <c r="F314" i="9"/>
  <c r="F350" i="9"/>
  <c r="A353" i="9"/>
  <c r="A362" i="9"/>
  <c r="F373" i="9"/>
  <c r="A406" i="9"/>
  <c r="F429" i="9"/>
  <c r="F455" i="9"/>
  <c r="F470" i="9"/>
  <c r="F480" i="9"/>
  <c r="F588" i="9"/>
  <c r="A483" i="9"/>
  <c r="A526" i="9"/>
  <c r="A528" i="9"/>
  <c r="F534" i="9"/>
  <c r="F541" i="9"/>
  <c r="A544" i="9"/>
  <c r="A549" i="9"/>
  <c r="F570" i="9"/>
  <c r="F572" i="9"/>
  <c r="F400" i="9"/>
  <c r="F405" i="9"/>
  <c r="F287" i="9"/>
  <c r="F303" i="9"/>
  <c r="F318" i="9"/>
  <c r="F322" i="9"/>
  <c r="F346" i="9"/>
  <c r="F357" i="9"/>
  <c r="F250" i="9"/>
  <c r="F259" i="9"/>
  <c r="F261" i="9"/>
  <c r="F263" i="9"/>
  <c r="F285" i="9"/>
  <c r="F297" i="9"/>
  <c r="F301" i="9"/>
  <c r="F316" i="9"/>
  <c r="F324" i="9"/>
  <c r="F384" i="9"/>
  <c r="F398" i="9"/>
  <c r="F440" i="9"/>
  <c r="F445" i="9"/>
  <c r="F478" i="9"/>
  <c r="F501" i="9"/>
  <c r="F510" i="9"/>
  <c r="A522" i="9"/>
  <c r="F559" i="9"/>
  <c r="A562" i="9"/>
  <c r="F566" i="9"/>
  <c r="F279" i="9"/>
  <c r="A282" i="9"/>
  <c r="A313" i="9"/>
  <c r="A334" i="9"/>
  <c r="A372" i="9"/>
  <c r="F380" i="9"/>
  <c r="F421" i="9"/>
  <c r="F423" i="9"/>
  <c r="A451" i="9"/>
  <c r="F490" i="9"/>
  <c r="A518" i="9"/>
  <c r="A536" i="9"/>
  <c r="A247" i="9"/>
  <c r="A311" i="9"/>
  <c r="A370" i="9"/>
  <c r="A422" i="9"/>
  <c r="A424" i="9"/>
  <c r="A489" i="9"/>
  <c r="A554" i="9"/>
  <c r="A245" i="9"/>
  <c r="F275" i="9"/>
  <c r="F325" i="9"/>
  <c r="F327" i="9"/>
  <c r="A330" i="9"/>
  <c r="F354" i="9"/>
  <c r="F390" i="9"/>
  <c r="F413" i="9"/>
  <c r="A438" i="9"/>
  <c r="A456" i="9"/>
  <c r="F460" i="9"/>
  <c r="F477" i="9"/>
  <c r="F495" i="9"/>
  <c r="F511" i="9"/>
  <c r="A552" i="9"/>
  <c r="F581" i="9"/>
  <c r="F468" i="9"/>
  <c r="F476" i="9"/>
  <c r="F486" i="9"/>
  <c r="F492" i="9"/>
  <c r="F509" i="9"/>
  <c r="F527" i="9"/>
  <c r="F543" i="9"/>
  <c r="F557" i="9"/>
  <c r="F574" i="9"/>
  <c r="A593" i="9"/>
  <c r="F266" i="9"/>
  <c r="F291" i="9"/>
  <c r="F293" i="9"/>
  <c r="F295" i="9"/>
  <c r="F309" i="9"/>
  <c r="F335" i="9"/>
  <c r="F356" i="9"/>
  <c r="F367" i="9"/>
  <c r="F389" i="9"/>
  <c r="F397" i="9"/>
  <c r="F407" i="9"/>
  <c r="F436" i="9"/>
  <c r="F444" i="9"/>
  <c r="F454" i="9"/>
  <c r="F462" i="9"/>
  <c r="F464" i="9"/>
  <c r="F472" i="9"/>
  <c r="F494" i="9"/>
  <c r="F498" i="9"/>
  <c r="F500" i="9"/>
  <c r="F524" i="9"/>
  <c r="F540" i="9"/>
  <c r="F565" i="9"/>
  <c r="F589" i="9"/>
  <c r="F343" i="9"/>
  <c r="F349" i="9"/>
  <c r="F358" i="9"/>
  <c r="F375" i="9"/>
  <c r="F381" i="9"/>
  <c r="F391" i="9"/>
  <c r="F428" i="9"/>
  <c r="A435" i="9"/>
  <c r="F485" i="9"/>
  <c r="A499" i="9"/>
  <c r="F506" i="9"/>
  <c r="F508" i="9"/>
  <c r="A521" i="9"/>
  <c r="A547" i="9"/>
  <c r="A568" i="9"/>
  <c r="A590" i="9"/>
  <c r="F591" i="9"/>
  <c r="F317" i="9"/>
  <c r="F332" i="9"/>
  <c r="A505" i="9"/>
  <c r="A507" i="9"/>
  <c r="A531" i="9"/>
  <c r="A553" i="9"/>
  <c r="F575" i="9"/>
  <c r="A592" i="9"/>
  <c r="F249" i="9"/>
  <c r="F265" i="9"/>
  <c r="A361" i="9"/>
  <c r="F404" i="9"/>
  <c r="A419" i="9"/>
  <c r="F453" i="9"/>
  <c r="F461" i="9"/>
  <c r="A488" i="9"/>
  <c r="A529" i="9"/>
  <c r="F564" i="9"/>
  <c r="A576" i="9"/>
  <c r="F274" i="9"/>
  <c r="A403" i="9"/>
  <c r="A563" i="9"/>
  <c r="A585" i="9"/>
  <c r="A345" i="9"/>
  <c r="A377" i="9"/>
  <c r="A387" i="9"/>
  <c r="U68" i="9"/>
  <c r="W250" i="5"/>
  <c r="X250" i="5" s="1"/>
  <c r="Y250" i="5" s="1"/>
  <c r="F250" i="5"/>
  <c r="Y413" i="13"/>
  <c r="Z413" i="13" s="1"/>
  <c r="R53" i="5"/>
  <c r="S53" i="5" s="1"/>
  <c r="Y328" i="13"/>
  <c r="Z328" i="13" s="1"/>
  <c r="R69" i="5"/>
  <c r="S69" i="5" s="1"/>
  <c r="Y325" i="13"/>
  <c r="Z325" i="13" s="1"/>
  <c r="R90" i="5"/>
  <c r="S90" i="5" s="1"/>
  <c r="Y421" i="13"/>
  <c r="Z421" i="13" s="1"/>
  <c r="R98" i="5"/>
  <c r="S98" i="5" s="1"/>
  <c r="Y447" i="13"/>
  <c r="Z447" i="13" s="1"/>
  <c r="R150" i="5"/>
  <c r="S150" i="5" s="1"/>
  <c r="Y241" i="13"/>
  <c r="Z241" i="13" s="1"/>
  <c r="Y239" i="13"/>
  <c r="Z239" i="13" s="1"/>
  <c r="R157" i="5"/>
  <c r="S157" i="5" s="1"/>
  <c r="Y386" i="13"/>
  <c r="Z386" i="13" s="1"/>
  <c r="Y385" i="13"/>
  <c r="Z385" i="13" s="1"/>
  <c r="Y295" i="13"/>
  <c r="Z295" i="13" s="1"/>
  <c r="R66" i="5"/>
  <c r="S66" i="5" s="1"/>
  <c r="Y245" i="13"/>
  <c r="Z245" i="13" s="1"/>
  <c r="Y244" i="13"/>
  <c r="Z244" i="13" s="1"/>
  <c r="Y409" i="13"/>
  <c r="Z409" i="13" s="1"/>
  <c r="Y408" i="13"/>
  <c r="Z408" i="13" s="1"/>
  <c r="R119" i="5"/>
  <c r="S119" i="5" s="1"/>
  <c r="F57" i="5"/>
  <c r="R68" i="5"/>
  <c r="S68" i="5" s="1"/>
  <c r="Y418" i="13"/>
  <c r="Z418" i="13" s="1"/>
  <c r="Y419" i="13"/>
  <c r="Z419" i="13" s="1"/>
  <c r="Y391" i="13"/>
  <c r="Z391" i="13" s="1"/>
  <c r="R158" i="5"/>
  <c r="S158" i="5" s="1"/>
  <c r="Y442" i="13"/>
  <c r="Z442" i="13" s="1"/>
  <c r="R185" i="5"/>
  <c r="S185" i="5" s="1"/>
  <c r="Y306" i="13"/>
  <c r="Z306" i="13" s="1"/>
  <c r="Y307" i="13"/>
  <c r="Z307" i="13" s="1"/>
  <c r="Y294" i="13"/>
  <c r="Z294" i="13" s="1"/>
  <c r="Y291" i="13"/>
  <c r="Z291" i="13" s="1"/>
  <c r="R257" i="5"/>
  <c r="S257" i="5" s="1"/>
  <c r="K60" i="9"/>
  <c r="K56" i="9"/>
  <c r="L21" i="9"/>
  <c r="L13" i="9"/>
  <c r="K61" i="9"/>
  <c r="K59" i="9"/>
  <c r="K57" i="9"/>
  <c r="K53" i="9"/>
  <c r="L23" i="9"/>
  <c r="L20" i="9"/>
  <c r="L19" i="9"/>
  <c r="K55" i="9"/>
  <c r="K51" i="9"/>
  <c r="L22" i="9"/>
  <c r="L9" i="9"/>
  <c r="M5" i="9"/>
  <c r="K58" i="9"/>
  <c r="K54" i="9"/>
  <c r="K50" i="9"/>
  <c r="K52" i="9"/>
  <c r="L8" i="9"/>
  <c r="M66" i="9"/>
  <c r="L15" i="9"/>
  <c r="L12" i="9"/>
  <c r="L11" i="9"/>
  <c r="J12" i="9"/>
  <c r="K62" i="9"/>
  <c r="Y463" i="13"/>
  <c r="Z463" i="13" s="1"/>
  <c r="R166" i="5"/>
  <c r="S166" i="5" s="1"/>
  <c r="Y354" i="13"/>
  <c r="Z354" i="13" s="1"/>
  <c r="R211" i="5"/>
  <c r="S211" i="5" s="1"/>
  <c r="Y445" i="13"/>
  <c r="Z445" i="13" s="1"/>
  <c r="R219" i="5"/>
  <c r="S219" i="5" s="1"/>
  <c r="Y448" i="13"/>
  <c r="Z448" i="13" s="1"/>
  <c r="Y453" i="13"/>
  <c r="Z453" i="13" s="1"/>
  <c r="Y450" i="13"/>
  <c r="Z450" i="13" s="1"/>
  <c r="R221" i="5"/>
  <c r="S221" i="5" s="1"/>
  <c r="Y299" i="13"/>
  <c r="Z299" i="13" s="1"/>
  <c r="R241" i="5"/>
  <c r="S241" i="5" s="1"/>
  <c r="AE68" i="9"/>
  <c r="O68" i="9"/>
  <c r="S68" i="9"/>
  <c r="Q68" i="9"/>
  <c r="M68" i="9"/>
  <c r="AA68" i="9"/>
  <c r="I68" i="9"/>
  <c r="Y68" i="9"/>
  <c r="W68" i="9"/>
  <c r="AK109" i="11"/>
  <c r="AC109" i="11"/>
  <c r="U109" i="11"/>
  <c r="U117" i="11" s="1"/>
  <c r="U120" i="11" s="1"/>
  <c r="M109" i="11"/>
  <c r="E109" i="11"/>
  <c r="AP109" i="11"/>
  <c r="AH109" i="11"/>
  <c r="Z109" i="11"/>
  <c r="Z117" i="11" s="1"/>
  <c r="Z120" i="11" s="1"/>
  <c r="R109" i="11"/>
  <c r="J109" i="11"/>
  <c r="AO109" i="11"/>
  <c r="AG109" i="11"/>
  <c r="Y109" i="11"/>
  <c r="Q109" i="11"/>
  <c r="I109" i="11"/>
  <c r="AN109" i="11"/>
  <c r="AF109" i="11"/>
  <c r="X109" i="11"/>
  <c r="P109" i="11"/>
  <c r="H109" i="11"/>
  <c r="AE109" i="11"/>
  <c r="AE117" i="11" s="1"/>
  <c r="O109" i="11"/>
  <c r="AD109" i="11"/>
  <c r="N109" i="11"/>
  <c r="AR109" i="11"/>
  <c r="AB109" i="11"/>
  <c r="L109" i="11"/>
  <c r="AQ109" i="11"/>
  <c r="AA109" i="11"/>
  <c r="K109" i="11"/>
  <c r="AM109" i="11"/>
  <c r="W109" i="11"/>
  <c r="G109" i="11"/>
  <c r="AL109" i="11"/>
  <c r="V109" i="11"/>
  <c r="V117" i="11" s="1"/>
  <c r="V120" i="11" s="1"/>
  <c r="F109" i="11"/>
  <c r="F117" i="11" s="1"/>
  <c r="F120" i="11" s="1"/>
  <c r="AJ109" i="11"/>
  <c r="T109" i="11"/>
  <c r="T117" i="11" s="1"/>
  <c r="D109" i="11"/>
  <c r="AI109" i="11"/>
  <c r="S109" i="11"/>
  <c r="B7" i="10"/>
  <c r="Y459" i="13"/>
  <c r="Z459" i="13" s="1"/>
  <c r="R137" i="5"/>
  <c r="S137" i="5" s="1"/>
  <c r="Y288" i="13"/>
  <c r="Z288" i="13" s="1"/>
  <c r="Y290" i="13"/>
  <c r="Z290" i="13" s="1"/>
  <c r="Y289" i="13"/>
  <c r="Z289" i="13" s="1"/>
  <c r="R154" i="5"/>
  <c r="S154" i="5" s="1"/>
  <c r="Y243" i="13"/>
  <c r="Z243" i="13" s="1"/>
  <c r="R254" i="5"/>
  <c r="S254" i="5" s="1"/>
  <c r="Y429" i="13"/>
  <c r="Z429" i="13" s="1"/>
  <c r="Y428" i="13"/>
  <c r="Z428" i="13" s="1"/>
  <c r="Y427" i="13"/>
  <c r="Z427" i="13" s="1"/>
  <c r="Y426" i="13"/>
  <c r="Z426" i="13" s="1"/>
  <c r="Y423" i="13"/>
  <c r="Z423" i="13" s="1"/>
  <c r="R34" i="5"/>
  <c r="S34" i="5" s="1"/>
  <c r="R92" i="5"/>
  <c r="S92" i="5" s="1"/>
  <c r="Y373" i="13"/>
  <c r="Z373" i="13" s="1"/>
  <c r="R97" i="5"/>
  <c r="S97" i="5" s="1"/>
  <c r="Y439" i="13"/>
  <c r="Z439" i="13" s="1"/>
  <c r="Y438" i="13"/>
  <c r="Z438" i="13" s="1"/>
  <c r="R105" i="5"/>
  <c r="S105" i="5" s="1"/>
  <c r="R108" i="5"/>
  <c r="S108" i="5" s="1"/>
  <c r="R116" i="5"/>
  <c r="S116" i="5" s="1"/>
  <c r="Y404" i="13"/>
  <c r="Z404" i="13" s="1"/>
  <c r="Y405" i="13"/>
  <c r="Z405" i="13" s="1"/>
  <c r="R183" i="5"/>
  <c r="S183" i="5" s="1"/>
  <c r="Y434" i="13"/>
  <c r="Z434" i="13" s="1"/>
  <c r="R259" i="5"/>
  <c r="S259" i="5" s="1"/>
  <c r="Y360" i="13"/>
  <c r="Z360" i="13" s="1"/>
  <c r="Y359" i="13"/>
  <c r="Z359" i="13" s="1"/>
  <c r="F288" i="5"/>
  <c r="R288" i="5" s="1"/>
  <c r="S288" i="5" s="1"/>
  <c r="L18" i="9"/>
  <c r="K35" i="9"/>
  <c r="F282" i="5"/>
  <c r="Y130" i="13" s="1"/>
  <c r="Z130" i="13" s="1"/>
  <c r="F266" i="5"/>
  <c r="F230" i="5"/>
  <c r="F206" i="5"/>
  <c r="F194" i="5"/>
  <c r="J10" i="9"/>
  <c r="F115" i="5"/>
  <c r="F120" i="5"/>
  <c r="R123" i="5"/>
  <c r="S123" i="5" s="1"/>
  <c r="F128" i="5"/>
  <c r="F144" i="5"/>
  <c r="Y304" i="13"/>
  <c r="Z304" i="13" s="1"/>
  <c r="R151" i="5"/>
  <c r="S151" i="5" s="1"/>
  <c r="Y541" i="13"/>
  <c r="Z541" i="13" s="1"/>
  <c r="Y543" i="13"/>
  <c r="Z543" i="13" s="1"/>
  <c r="R197" i="5"/>
  <c r="S197" i="5" s="1"/>
  <c r="R232" i="5"/>
  <c r="S232" i="5" s="1"/>
  <c r="R236" i="5"/>
  <c r="S236" i="5" s="1"/>
  <c r="Y277" i="13"/>
  <c r="Z277" i="13" s="1"/>
  <c r="R253" i="5"/>
  <c r="S253" i="5" s="1"/>
  <c r="Y382" i="13"/>
  <c r="Z382" i="13" s="1"/>
  <c r="Y380" i="13"/>
  <c r="Z380" i="13" s="1"/>
  <c r="R255" i="5"/>
  <c r="S255" i="5" s="1"/>
  <c r="R272" i="5"/>
  <c r="S272" i="5" s="1"/>
  <c r="F280" i="5"/>
  <c r="F262" i="5"/>
  <c r="F246" i="5"/>
  <c r="L10" i="9"/>
  <c r="F20" i="5"/>
  <c r="Y388" i="13"/>
  <c r="Z388" i="13" s="1"/>
  <c r="R33" i="5"/>
  <c r="S33" i="5" s="1"/>
  <c r="F59" i="5"/>
  <c r="Y395" i="13"/>
  <c r="Z395" i="13" s="1"/>
  <c r="Y394" i="13"/>
  <c r="Z394" i="13" s="1"/>
  <c r="F83" i="5"/>
  <c r="R99" i="5"/>
  <c r="S99" i="5" s="1"/>
  <c r="Y169" i="13"/>
  <c r="Z169" i="13" s="1"/>
  <c r="Y171" i="13"/>
  <c r="Z171" i="13" s="1"/>
  <c r="F162" i="5"/>
  <c r="Y455" i="13"/>
  <c r="Z455" i="13" s="1"/>
  <c r="R199" i="5"/>
  <c r="S199" i="5" s="1"/>
  <c r="D76" i="9"/>
  <c r="F94" i="5"/>
  <c r="R94" i="5" s="1"/>
  <c r="S94" i="5" s="1"/>
  <c r="Y262" i="13"/>
  <c r="Z262" i="13" s="1"/>
  <c r="Y263" i="13"/>
  <c r="Z263" i="13" s="1"/>
  <c r="R102" i="5"/>
  <c r="S102" i="5" s="1"/>
  <c r="R156" i="5"/>
  <c r="S156" i="5" s="1"/>
  <c r="Y347" i="13"/>
  <c r="Z347" i="13" s="1"/>
  <c r="Y346" i="13"/>
  <c r="Z346" i="13" s="1"/>
  <c r="R49" i="5"/>
  <c r="S49" i="5" s="1"/>
  <c r="Y536" i="13"/>
  <c r="Z536" i="13" s="1"/>
  <c r="Y535" i="13"/>
  <c r="Z535" i="13" s="1"/>
  <c r="R70" i="5"/>
  <c r="S70" i="5" s="1"/>
  <c r="F72" i="5"/>
  <c r="Y253" i="13" s="1"/>
  <c r="Z253" i="13" s="1"/>
  <c r="F101" i="5"/>
  <c r="R101" i="5" s="1"/>
  <c r="S101" i="5" s="1"/>
  <c r="Y371" i="13"/>
  <c r="Z371" i="13" s="1"/>
  <c r="R109" i="5"/>
  <c r="S109" i="5" s="1"/>
  <c r="Y287" i="13"/>
  <c r="Z287" i="13" s="1"/>
  <c r="Y286" i="13"/>
  <c r="Z286" i="13" s="1"/>
  <c r="R117" i="5"/>
  <c r="S117" i="5" s="1"/>
  <c r="F122" i="5"/>
  <c r="R122" i="5" s="1"/>
  <c r="S122" i="5" s="1"/>
  <c r="F130" i="5"/>
  <c r="F146" i="5"/>
  <c r="Y227" i="13" s="1"/>
  <c r="Z227" i="13" s="1"/>
  <c r="F148" i="5"/>
  <c r="Y397" i="13"/>
  <c r="Z397" i="13" s="1"/>
  <c r="Y400" i="13"/>
  <c r="Z400" i="13" s="1"/>
  <c r="Y396" i="13"/>
  <c r="Z396" i="13" s="1"/>
  <c r="R155" i="5"/>
  <c r="S155" i="5" s="1"/>
  <c r="Y467" i="13"/>
  <c r="Z467" i="13" s="1"/>
  <c r="R182" i="5"/>
  <c r="S182" i="5" s="1"/>
  <c r="F193" i="5"/>
  <c r="F195" i="5"/>
  <c r="F203" i="5"/>
  <c r="F205" i="5"/>
  <c r="F207" i="5"/>
  <c r="Y271" i="13"/>
  <c r="Z271" i="13" s="1"/>
  <c r="Y272" i="13"/>
  <c r="Z272" i="13" s="1"/>
  <c r="R215" i="5"/>
  <c r="S215" i="5" s="1"/>
  <c r="Y318" i="13"/>
  <c r="Z318" i="13" s="1"/>
  <c r="R217" i="5"/>
  <c r="S217" i="5" s="1"/>
  <c r="F249" i="5"/>
  <c r="Y280" i="13"/>
  <c r="Z280" i="13" s="1"/>
  <c r="R289" i="5"/>
  <c r="S289" i="5" s="1"/>
  <c r="L14" i="9"/>
  <c r="K66" i="9"/>
  <c r="Q98" i="9"/>
  <c r="D97" i="9"/>
  <c r="I115" i="9"/>
  <c r="F115" i="9" s="1"/>
  <c r="K98" i="9"/>
  <c r="D95" i="9"/>
  <c r="AA98" i="9"/>
  <c r="L16" i="9"/>
  <c r="R256" i="5"/>
  <c r="S256" i="5" s="1"/>
  <c r="Y489" i="13"/>
  <c r="Z489" i="13" s="1"/>
  <c r="B32" i="12"/>
  <c r="R95" i="5"/>
  <c r="S95" i="5" s="1"/>
  <c r="R103" i="5"/>
  <c r="S103" i="5" s="1"/>
  <c r="Y235" i="13"/>
  <c r="Z235" i="13" s="1"/>
  <c r="Y237" i="13"/>
  <c r="Z237" i="13" s="1"/>
  <c r="R121" i="5"/>
  <c r="S121" i="5" s="1"/>
  <c r="K68" i="9"/>
  <c r="E115" i="9"/>
  <c r="F126" i="9"/>
  <c r="E126" i="9" s="1"/>
  <c r="F258" i="9" s="1"/>
  <c r="F135" i="9"/>
  <c r="E135" i="9" s="1"/>
  <c r="F137" i="9"/>
  <c r="E137" i="9" s="1"/>
  <c r="F149" i="9"/>
  <c r="E149" i="9" s="1"/>
  <c r="Y256" i="13"/>
  <c r="Z256" i="13" s="1"/>
  <c r="Y258" i="13"/>
  <c r="Z258" i="13" s="1"/>
  <c r="Y370" i="13"/>
  <c r="Z370" i="13" s="1"/>
  <c r="Y368" i="13"/>
  <c r="Z368" i="13" s="1"/>
  <c r="Y264" i="13"/>
  <c r="Z264" i="13" s="1"/>
  <c r="Y267" i="13"/>
  <c r="Z267" i="13" s="1"/>
  <c r="R214" i="5"/>
  <c r="S214" i="5" s="1"/>
  <c r="R218" i="5"/>
  <c r="S218" i="5" s="1"/>
  <c r="R222" i="5"/>
  <c r="S222" i="5" s="1"/>
  <c r="R234" i="5"/>
  <c r="S234" i="5" s="1"/>
  <c r="R242" i="5"/>
  <c r="S242" i="5" s="1"/>
  <c r="R274" i="5"/>
  <c r="S274" i="5" s="1"/>
  <c r="I66" i="9"/>
  <c r="I52" i="9"/>
  <c r="J19" i="9"/>
  <c r="J11" i="9"/>
  <c r="I60" i="9"/>
  <c r="I62" i="9"/>
  <c r="D151" i="9"/>
  <c r="F125" i="9"/>
  <c r="E125" i="9" s="1"/>
  <c r="F134" i="9"/>
  <c r="E134" i="9" s="1"/>
  <c r="F143" i="9"/>
  <c r="E143" i="9" s="1"/>
  <c r="F145" i="9"/>
  <c r="E145" i="9" s="1"/>
  <c r="J7" i="9"/>
  <c r="J20" i="9"/>
  <c r="J21" i="9"/>
  <c r="J23" i="9"/>
  <c r="I51" i="9"/>
  <c r="I49" i="9" s="1"/>
  <c r="I70" i="9" s="1"/>
  <c r="I55" i="9"/>
  <c r="F127" i="9"/>
  <c r="E127" i="9" s="1"/>
  <c r="F128" i="9"/>
  <c r="E128" i="9" s="1"/>
  <c r="F133" i="9"/>
  <c r="E133" i="9" s="1"/>
  <c r="D156" i="9"/>
  <c r="D96" i="9"/>
  <c r="F129" i="9"/>
  <c r="E129" i="9" s="1"/>
  <c r="F141" i="9"/>
  <c r="E141" i="9" s="1"/>
  <c r="D154" i="9"/>
  <c r="A305" i="9"/>
  <c r="A337" i="9"/>
  <c r="A369" i="9"/>
  <c r="A395" i="9"/>
  <c r="A411" i="9"/>
  <c r="A427" i="9"/>
  <c r="A443" i="9"/>
  <c r="A459" i="9"/>
  <c r="A475" i="9"/>
  <c r="A515" i="9"/>
  <c r="A537" i="9"/>
  <c r="A579" i="9"/>
  <c r="D29" i="11"/>
  <c r="L29" i="11"/>
  <c r="T29" i="11"/>
  <c r="A246" i="9"/>
  <c r="A254" i="9"/>
  <c r="A262" i="9"/>
  <c r="A270" i="9"/>
  <c r="A278" i="9"/>
  <c r="A286" i="9"/>
  <c r="A294" i="9"/>
  <c r="A302" i="9"/>
  <c r="A307" i="9"/>
  <c r="A312" i="9"/>
  <c r="A339" i="9"/>
  <c r="A344" i="9"/>
  <c r="A371" i="9"/>
  <c r="A376" i="9"/>
  <c r="A497" i="9"/>
  <c r="A530" i="9"/>
  <c r="A539" i="9"/>
  <c r="A561" i="9"/>
  <c r="A329" i="9"/>
  <c r="F244" i="9"/>
  <c r="A248" i="9"/>
  <c r="F252" i="9"/>
  <c r="A256" i="9"/>
  <c r="F260" i="9"/>
  <c r="A264" i="9"/>
  <c r="F268" i="9"/>
  <c r="A272" i="9"/>
  <c r="F276" i="9"/>
  <c r="A280" i="9"/>
  <c r="F284" i="9"/>
  <c r="A288" i="9"/>
  <c r="F292" i="9"/>
  <c r="A296" i="9"/>
  <c r="F300" i="9"/>
  <c r="A304" i="9"/>
  <c r="F315" i="9"/>
  <c r="F320" i="9"/>
  <c r="A331" i="9"/>
  <c r="A336" i="9"/>
  <c r="F347" i="9"/>
  <c r="F352" i="9"/>
  <c r="A363" i="9"/>
  <c r="A368" i="9"/>
  <c r="F379" i="9"/>
  <c r="A385" i="9"/>
  <c r="F386" i="9"/>
  <c r="A394" i="9"/>
  <c r="A401" i="9"/>
  <c r="F402" i="9"/>
  <c r="A410" i="9"/>
  <c r="A417" i="9"/>
  <c r="F418" i="9"/>
  <c r="A426" i="9"/>
  <c r="A433" i="9"/>
  <c r="F434" i="9"/>
  <c r="A442" i="9"/>
  <c r="A449" i="9"/>
  <c r="F450" i="9"/>
  <c r="A458" i="9"/>
  <c r="A465" i="9"/>
  <c r="F466" i="9"/>
  <c r="A474" i="9"/>
  <c r="A481" i="9"/>
  <c r="F482" i="9"/>
  <c r="A514" i="9"/>
  <c r="A523" i="9"/>
  <c r="F535" i="9"/>
  <c r="A545" i="9"/>
  <c r="F546" i="9"/>
  <c r="F548" i="9"/>
  <c r="A578" i="9"/>
  <c r="A587" i="9"/>
  <c r="G29" i="11"/>
  <c r="O29" i="11"/>
  <c r="W29" i="11"/>
  <c r="AE29" i="11"/>
  <c r="AM29" i="11"/>
  <c r="C243" i="9"/>
  <c r="D10" i="15"/>
  <c r="C14" i="15"/>
  <c r="B35" i="12"/>
  <c r="AS115" i="11"/>
  <c r="AS113" i="11"/>
  <c r="AS111" i="11"/>
  <c r="AS109" i="11"/>
  <c r="AS107" i="11"/>
  <c r="AS105" i="11"/>
  <c r="AS103" i="11"/>
  <c r="AS114" i="11"/>
  <c r="AS112" i="11"/>
  <c r="AS110" i="11"/>
  <c r="AS108" i="11"/>
  <c r="AS106" i="11"/>
  <c r="AS104" i="11"/>
  <c r="AS101" i="11"/>
  <c r="AS99" i="11"/>
  <c r="AS97" i="11"/>
  <c r="AS95" i="11"/>
  <c r="AS93" i="11"/>
  <c r="AS91" i="11"/>
  <c r="AS89" i="11"/>
  <c r="AS87" i="11"/>
  <c r="AS85" i="11"/>
  <c r="AS83" i="11"/>
  <c r="AS81" i="11"/>
  <c r="AS79" i="11"/>
  <c r="AS77" i="11"/>
  <c r="AS75" i="11"/>
  <c r="AS73" i="11"/>
  <c r="AS71" i="11"/>
  <c r="AS69" i="11"/>
  <c r="AS67" i="11"/>
  <c r="AS65" i="11"/>
  <c r="AS63" i="11"/>
  <c r="AS61" i="11"/>
  <c r="AS59" i="11"/>
  <c r="AS57" i="11"/>
  <c r="AS55" i="11"/>
  <c r="AS53" i="11"/>
  <c r="AS102" i="11"/>
  <c r="AS100" i="11"/>
  <c r="AS98" i="11"/>
  <c r="AS96" i="11"/>
  <c r="AS94" i="11"/>
  <c r="AS92" i="11"/>
  <c r="AS90" i="11"/>
  <c r="AS88" i="11"/>
  <c r="AS86" i="11"/>
  <c r="AS84" i="11"/>
  <c r="AS82" i="11"/>
  <c r="AS80" i="11"/>
  <c r="AS78" i="11"/>
  <c r="AS76" i="11"/>
  <c r="AS74" i="11"/>
  <c r="AS72" i="11"/>
  <c r="AS70" i="11"/>
  <c r="AS68" i="11"/>
  <c r="AS66" i="11"/>
  <c r="AS64" i="11"/>
  <c r="AS62" i="11"/>
  <c r="AS60" i="11"/>
  <c r="AS58" i="11"/>
  <c r="AS56" i="11"/>
  <c r="AS52" i="11"/>
  <c r="AS51" i="11"/>
  <c r="AS43" i="11"/>
  <c r="AS41" i="11"/>
  <c r="AS39" i="11"/>
  <c r="AS37" i="11"/>
  <c r="AS35" i="11"/>
  <c r="AS33" i="11"/>
  <c r="AS46" i="11"/>
  <c r="AS27" i="11"/>
  <c r="AS25" i="11"/>
  <c r="AS23" i="11"/>
  <c r="AS21" i="11"/>
  <c r="AS19" i="11"/>
  <c r="AS17" i="11"/>
  <c r="AS15" i="11"/>
  <c r="AS47" i="11"/>
  <c r="AS45" i="11"/>
  <c r="AS48" i="11"/>
  <c r="AS49" i="11"/>
  <c r="AS42" i="11"/>
  <c r="AS40" i="11"/>
  <c r="AS38" i="11"/>
  <c r="AS36" i="11"/>
  <c r="AS34" i="11"/>
  <c r="AS50" i="11"/>
  <c r="AS26" i="11"/>
  <c r="AS22" i="11"/>
  <c r="AS20" i="11"/>
  <c r="AS18" i="11"/>
  <c r="AS16" i="11"/>
  <c r="AS14" i="11"/>
  <c r="D243" i="9"/>
  <c r="F383" i="9"/>
  <c r="F399" i="9"/>
  <c r="F415" i="9"/>
  <c r="F431" i="9"/>
  <c r="F447" i="9"/>
  <c r="F463" i="9"/>
  <c r="F479" i="9"/>
  <c r="F519" i="9"/>
  <c r="F532" i="9"/>
  <c r="F583" i="9"/>
  <c r="AT9" i="11"/>
  <c r="I29" i="11"/>
  <c r="Q29" i="11"/>
  <c r="N117" i="11"/>
  <c r="N120" i="11" s="1"/>
  <c r="AD117" i="11"/>
  <c r="AD120" i="11" s="1"/>
  <c r="AL117" i="11"/>
  <c r="AL120" i="11" s="1"/>
  <c r="A393" i="9"/>
  <c r="A409" i="9"/>
  <c r="A425" i="9"/>
  <c r="A441" i="9"/>
  <c r="A457" i="9"/>
  <c r="A473" i="9"/>
  <c r="A491" i="9"/>
  <c r="F503" i="9"/>
  <c r="A513" i="9"/>
  <c r="F516" i="9"/>
  <c r="A555" i="9"/>
  <c r="F567" i="9"/>
  <c r="A577" i="9"/>
  <c r="F580" i="9"/>
  <c r="H117" i="11"/>
  <c r="H120" i="11" s="1"/>
  <c r="P117" i="11"/>
  <c r="P120" i="11" s="1"/>
  <c r="X117" i="11"/>
  <c r="X120" i="11" s="1"/>
  <c r="AF117" i="11"/>
  <c r="AF120" i="11" s="1"/>
  <c r="AN117" i="11"/>
  <c r="AN120" i="11" s="1"/>
  <c r="I117" i="11"/>
  <c r="Q117" i="11"/>
  <c r="Y117" i="11"/>
  <c r="Y120" i="11" s="1"/>
  <c r="AG117" i="11"/>
  <c r="AG120" i="11" s="1"/>
  <c r="AO117" i="11"/>
  <c r="AO120" i="11" s="1"/>
  <c r="J117" i="11"/>
  <c r="J120" i="11" s="1"/>
  <c r="R117" i="11"/>
  <c r="R120" i="11" s="1"/>
  <c r="AH117" i="11"/>
  <c r="AH120" i="11" s="1"/>
  <c r="AP117" i="11"/>
  <c r="AP120" i="11" s="1"/>
  <c r="K117" i="11"/>
  <c r="K120" i="11" s="1"/>
  <c r="S117" i="11"/>
  <c r="S120" i="11" s="1"/>
  <c r="AA117" i="11"/>
  <c r="AA120" i="11" s="1"/>
  <c r="AI117" i="11"/>
  <c r="AI120" i="11" s="1"/>
  <c r="AQ117" i="11"/>
  <c r="AQ120" i="11" s="1"/>
  <c r="D117" i="11"/>
  <c r="L117" i="11"/>
  <c r="AB117" i="11"/>
  <c r="AB120" i="11" s="1"/>
  <c r="AJ117" i="11"/>
  <c r="AJ120" i="11" s="1"/>
  <c r="AR117" i="11"/>
  <c r="AR120" i="11" s="1"/>
  <c r="E117" i="11"/>
  <c r="E120" i="11" s="1"/>
  <c r="M117" i="11"/>
  <c r="M120" i="11" s="1"/>
  <c r="AC117" i="11"/>
  <c r="AC120" i="11" s="1"/>
  <c r="AK117" i="11"/>
  <c r="AK120" i="11" s="1"/>
  <c r="B61" i="14"/>
  <c r="B58" i="14"/>
  <c r="B9" i="12"/>
  <c r="D7" i="15" s="1"/>
  <c r="G117" i="11"/>
  <c r="O117" i="11"/>
  <c r="W117" i="11"/>
  <c r="AM117" i="11"/>
  <c r="E27" i="12"/>
  <c r="O38" i="13"/>
  <c r="P38" i="13"/>
  <c r="P41" i="13"/>
  <c r="O41" i="13"/>
  <c r="P56" i="13"/>
  <c r="O56" i="13"/>
  <c r="O69" i="13"/>
  <c r="P69" i="13"/>
  <c r="P9" i="13"/>
  <c r="O9" i="13"/>
  <c r="P48" i="13"/>
  <c r="O48" i="13"/>
  <c r="O54" i="13"/>
  <c r="P54" i="13"/>
  <c r="E50" i="12"/>
  <c r="O6" i="13"/>
  <c r="P6" i="13"/>
  <c r="P11" i="13"/>
  <c r="O11" i="13"/>
  <c r="P16" i="13"/>
  <c r="O16" i="13"/>
  <c r="P59" i="13"/>
  <c r="O59" i="13"/>
  <c r="P73" i="13"/>
  <c r="O73" i="13"/>
  <c r="P24" i="13"/>
  <c r="O24" i="13"/>
  <c r="P32" i="13"/>
  <c r="O32" i="13"/>
  <c r="P57" i="13"/>
  <c r="O57" i="13"/>
  <c r="V60" i="13"/>
  <c r="P74" i="13"/>
  <c r="O74" i="13"/>
  <c r="E49" i="12"/>
  <c r="E46" i="12"/>
  <c r="E52" i="12"/>
  <c r="E51" i="12"/>
  <c r="B43" i="12"/>
  <c r="B45" i="12" s="1"/>
  <c r="P17" i="13"/>
  <c r="O17" i="13"/>
  <c r="P19" i="13"/>
  <c r="O19" i="13"/>
  <c r="O46" i="13"/>
  <c r="P46" i="13"/>
  <c r="P49" i="13"/>
  <c r="O49" i="13"/>
  <c r="P51" i="13"/>
  <c r="O51" i="13"/>
  <c r="P64" i="13"/>
  <c r="O64" i="13"/>
  <c r="P82" i="13"/>
  <c r="O82" i="13"/>
  <c r="B27" i="12"/>
  <c r="E47" i="12"/>
  <c r="O14" i="13"/>
  <c r="P14" i="13"/>
  <c r="V20" i="13"/>
  <c r="P25" i="13"/>
  <c r="O25" i="13"/>
  <c r="P27" i="13"/>
  <c r="O27" i="13"/>
  <c r="P33" i="13"/>
  <c r="O33" i="13"/>
  <c r="P35" i="13"/>
  <c r="O35" i="13"/>
  <c r="P40" i="13"/>
  <c r="O40" i="13"/>
  <c r="P89" i="13"/>
  <c r="O89" i="13"/>
  <c r="B33" i="12"/>
  <c r="E48" i="12"/>
  <c r="O22" i="13"/>
  <c r="P22" i="13"/>
  <c r="V28" i="13"/>
  <c r="O62" i="13"/>
  <c r="P62" i="13"/>
  <c r="D12" i="15"/>
  <c r="C12" i="15"/>
  <c r="E12" i="15" s="1"/>
  <c r="B26" i="12"/>
  <c r="E53" i="12"/>
  <c r="D53" i="12"/>
  <c r="P8" i="13"/>
  <c r="O8" i="13"/>
  <c r="O30" i="13"/>
  <c r="P30" i="13"/>
  <c r="P43" i="13"/>
  <c r="O43" i="13"/>
  <c r="P65" i="13"/>
  <c r="O65" i="13"/>
  <c r="C11" i="15"/>
  <c r="E11" i="15" s="1"/>
  <c r="Y4" i="13"/>
  <c r="Z4" i="13" s="1"/>
  <c r="R8" i="13"/>
  <c r="Y12" i="13"/>
  <c r="Z12" i="13" s="1"/>
  <c r="R16" i="13"/>
  <c r="Y20" i="13"/>
  <c r="Z20" i="13" s="1"/>
  <c r="R24" i="13"/>
  <c r="Y28" i="13"/>
  <c r="Z28" i="13" s="1"/>
  <c r="R32" i="13"/>
  <c r="Y36" i="13"/>
  <c r="Z36" i="13" s="1"/>
  <c r="AA38" i="13"/>
  <c r="R40" i="13"/>
  <c r="AA46" i="13"/>
  <c r="R48" i="13"/>
  <c r="AA54" i="13"/>
  <c r="R56" i="13"/>
  <c r="R64" i="13"/>
  <c r="R73" i="13"/>
  <c r="Y92" i="13"/>
  <c r="Z92" i="13" s="1"/>
  <c r="R92" i="13"/>
  <c r="R96" i="13"/>
  <c r="Y96" i="13"/>
  <c r="Z96" i="13" s="1"/>
  <c r="R101" i="13"/>
  <c r="P113" i="13"/>
  <c r="O113" i="13"/>
  <c r="P137" i="13"/>
  <c r="O137" i="13"/>
  <c r="P156" i="13"/>
  <c r="O156" i="13"/>
  <c r="AA9" i="13"/>
  <c r="R11" i="13"/>
  <c r="R19" i="13"/>
  <c r="R27" i="13"/>
  <c r="R35" i="13"/>
  <c r="R43" i="13"/>
  <c r="R51" i="13"/>
  <c r="R59" i="13"/>
  <c r="R69" i="13"/>
  <c r="R74" i="13"/>
  <c r="R75" i="13"/>
  <c r="V75" i="13"/>
  <c r="Z80" i="13"/>
  <c r="T83" i="13"/>
  <c r="Z85" i="13"/>
  <c r="N88" i="13"/>
  <c r="K88" i="13"/>
  <c r="V90" i="13"/>
  <c r="Y90" i="13"/>
  <c r="Z90" i="13" s="1"/>
  <c r="V92" i="13"/>
  <c r="P93" i="13"/>
  <c r="O99" i="13"/>
  <c r="P109" i="13"/>
  <c r="O109" i="13"/>
  <c r="AA111" i="13"/>
  <c r="E9" i="15"/>
  <c r="AA566" i="13"/>
  <c r="AA558" i="13"/>
  <c r="AA550" i="13"/>
  <c r="AA542" i="13"/>
  <c r="AA563" i="13"/>
  <c r="AA555" i="13"/>
  <c r="AA547" i="13"/>
  <c r="AA539" i="13"/>
  <c r="AA531" i="13"/>
  <c r="AA560" i="13"/>
  <c r="AA552" i="13"/>
  <c r="AA544" i="13"/>
  <c r="AA536" i="13"/>
  <c r="AA528" i="13"/>
  <c r="AA520" i="13"/>
  <c r="AA512" i="13"/>
  <c r="AA504" i="13"/>
  <c r="AA565" i="13"/>
  <c r="AA557" i="13"/>
  <c r="AA549" i="13"/>
  <c r="AA541" i="13"/>
  <c r="AA562" i="13"/>
  <c r="AA567" i="13"/>
  <c r="AA559" i="13"/>
  <c r="AA564" i="13"/>
  <c r="AA556" i="13"/>
  <c r="AA548" i="13"/>
  <c r="AA540" i="13"/>
  <c r="AA561" i="13"/>
  <c r="AA529" i="13"/>
  <c r="AA516" i="13"/>
  <c r="AA507" i="13"/>
  <c r="AA506" i="13"/>
  <c r="AA502" i="13"/>
  <c r="AA499" i="13"/>
  <c r="AA545" i="13"/>
  <c r="AA543" i="13"/>
  <c r="AA519" i="13"/>
  <c r="AA496" i="13"/>
  <c r="AA527" i="13"/>
  <c r="AA509" i="13"/>
  <c r="AA498" i="13"/>
  <c r="AA490" i="13"/>
  <c r="AA482" i="13"/>
  <c r="AA474" i="13"/>
  <c r="AA538" i="13"/>
  <c r="AA537" i="13"/>
  <c r="AA523" i="13"/>
  <c r="AA522" i="13"/>
  <c r="AA518" i="13"/>
  <c r="AA513" i="13"/>
  <c r="AA535" i="13"/>
  <c r="AA533" i="13"/>
  <c r="AA517" i="13"/>
  <c r="AA525" i="13"/>
  <c r="AA497" i="13"/>
  <c r="AA485" i="13"/>
  <c r="AA484" i="13"/>
  <c r="AA480" i="13"/>
  <c r="AA475" i="13"/>
  <c r="AA465" i="13"/>
  <c r="AA551" i="13"/>
  <c r="AA479" i="13"/>
  <c r="AA462" i="13"/>
  <c r="AA454" i="13"/>
  <c r="AA510" i="13"/>
  <c r="AA500" i="13"/>
  <c r="AA494" i="13"/>
  <c r="AA493" i="13"/>
  <c r="AA492" i="13"/>
  <c r="AA488" i="13"/>
  <c r="AA483" i="13"/>
  <c r="AA470" i="13"/>
  <c r="AA467" i="13"/>
  <c r="AA459" i="13"/>
  <c r="AA451" i="13"/>
  <c r="AA443" i="13"/>
  <c r="AA534" i="13"/>
  <c r="AA530" i="13"/>
  <c r="AA521" i="13"/>
  <c r="AA515" i="13"/>
  <c r="AA508" i="13"/>
  <c r="AA501" i="13"/>
  <c r="AA487" i="13"/>
  <c r="AA473" i="13"/>
  <c r="AA464" i="13"/>
  <c r="AA456" i="13"/>
  <c r="AA448" i="13"/>
  <c r="AA554" i="13"/>
  <c r="AA553" i="13"/>
  <c r="AA546" i="13"/>
  <c r="AA532" i="13"/>
  <c r="AA526" i="13"/>
  <c r="AA505" i="13"/>
  <c r="AA491" i="13"/>
  <c r="AA478" i="13"/>
  <c r="AA524" i="13"/>
  <c r="AA511" i="13"/>
  <c r="AA481" i="13"/>
  <c r="AA466" i="13"/>
  <c r="AA458" i="13"/>
  <c r="AA450" i="13"/>
  <c r="AA442" i="13"/>
  <c r="AA503" i="13"/>
  <c r="AA486" i="13"/>
  <c r="AA477" i="13"/>
  <c r="AA514" i="13"/>
  <c r="AA452" i="13"/>
  <c r="AA439" i="13"/>
  <c r="AA432" i="13"/>
  <c r="AA424" i="13"/>
  <c r="AA416" i="13"/>
  <c r="AA408" i="13"/>
  <c r="AA400" i="13"/>
  <c r="AA392" i="13"/>
  <c r="AA472" i="13"/>
  <c r="AA463" i="13"/>
  <c r="AA457" i="13"/>
  <c r="AA495" i="13"/>
  <c r="AA471" i="13"/>
  <c r="AA469" i="13"/>
  <c r="AA445" i="13"/>
  <c r="AA429" i="13"/>
  <c r="AA415" i="13"/>
  <c r="AA397" i="13"/>
  <c r="AA460" i="13"/>
  <c r="AA433" i="13"/>
  <c r="AA420" i="13"/>
  <c r="AA411" i="13"/>
  <c r="AA410" i="13"/>
  <c r="AA406" i="13"/>
  <c r="AA401" i="13"/>
  <c r="AA388" i="13"/>
  <c r="AA380" i="13"/>
  <c r="AA461" i="13"/>
  <c r="AA423" i="13"/>
  <c r="AA405" i="13"/>
  <c r="AA391" i="13"/>
  <c r="AA385" i="13"/>
  <c r="AA377" i="13"/>
  <c r="AA476" i="13"/>
  <c r="AA455" i="13"/>
  <c r="AA447" i="13"/>
  <c r="AA428" i="13"/>
  <c r="AA419" i="13"/>
  <c r="AA418" i="13"/>
  <c r="AA414" i="13"/>
  <c r="AA409" i="13"/>
  <c r="AA489" i="13"/>
  <c r="AA446" i="13"/>
  <c r="AA449" i="13"/>
  <c r="AA438" i="13"/>
  <c r="AA427" i="13"/>
  <c r="AA426" i="13"/>
  <c r="AA422" i="13"/>
  <c r="AA417" i="13"/>
  <c r="AA404" i="13"/>
  <c r="AA468" i="13"/>
  <c r="AA453" i="13"/>
  <c r="AA440" i="13"/>
  <c r="AA421" i="13"/>
  <c r="AA407" i="13"/>
  <c r="AA389" i="13"/>
  <c r="AA381" i="13"/>
  <c r="AA444" i="13"/>
  <c r="AA441" i="13"/>
  <c r="AA437" i="13"/>
  <c r="AA436" i="13"/>
  <c r="AA435" i="13"/>
  <c r="AA434" i="13"/>
  <c r="AA430" i="13"/>
  <c r="AA425" i="13"/>
  <c r="AA412" i="13"/>
  <c r="AA431" i="13"/>
  <c r="AA402" i="13"/>
  <c r="AA390" i="13"/>
  <c r="AA374" i="13"/>
  <c r="AA366" i="13"/>
  <c r="AA358" i="13"/>
  <c r="AA350" i="13"/>
  <c r="AA342" i="13"/>
  <c r="AA334" i="13"/>
  <c r="AA326" i="13"/>
  <c r="AA318" i="13"/>
  <c r="AA310" i="13"/>
  <c r="AA302" i="13"/>
  <c r="AA294" i="13"/>
  <c r="AA286" i="13"/>
  <c r="AA393" i="13"/>
  <c r="AA383" i="13"/>
  <c r="AA371" i="13"/>
  <c r="AA363" i="13"/>
  <c r="AA355" i="13"/>
  <c r="AA347" i="13"/>
  <c r="AA339" i="13"/>
  <c r="AA331" i="13"/>
  <c r="AA323" i="13"/>
  <c r="AA394" i="13"/>
  <c r="AA387" i="13"/>
  <c r="AA386" i="13"/>
  <c r="AA384" i="13"/>
  <c r="AA368" i="13"/>
  <c r="AA360" i="13"/>
  <c r="AA352" i="13"/>
  <c r="AA370" i="13"/>
  <c r="AA359" i="13"/>
  <c r="AA338" i="13"/>
  <c r="AA336" i="13"/>
  <c r="AA322" i="13"/>
  <c r="AA313" i="13"/>
  <c r="AA312" i="13"/>
  <c r="AA308" i="13"/>
  <c r="AA303" i="13"/>
  <c r="AA403" i="13"/>
  <c r="AA382" i="13"/>
  <c r="AA373" i="13"/>
  <c r="AA369" i="13"/>
  <c r="AA349" i="13"/>
  <c r="AA333" i="13"/>
  <c r="AA307" i="13"/>
  <c r="AA396" i="13"/>
  <c r="AA372" i="13"/>
  <c r="AA365" i="13"/>
  <c r="AA361" i="13"/>
  <c r="AA348" i="13"/>
  <c r="AA332" i="13"/>
  <c r="AA354" i="13"/>
  <c r="AA346" i="13"/>
  <c r="AA344" i="13"/>
  <c r="AA330" i="13"/>
  <c r="AA328" i="13"/>
  <c r="AA319" i="13"/>
  <c r="AA306" i="13"/>
  <c r="AA297" i="13"/>
  <c r="AA296" i="13"/>
  <c r="AA292" i="13"/>
  <c r="AA398" i="13"/>
  <c r="AA375" i="13"/>
  <c r="AA364" i="13"/>
  <c r="AA357" i="13"/>
  <c r="AA353" i="13"/>
  <c r="AA341" i="13"/>
  <c r="AA325" i="13"/>
  <c r="AA309" i="13"/>
  <c r="AA291" i="13"/>
  <c r="AA283" i="13"/>
  <c r="AA275" i="13"/>
  <c r="AA267" i="13"/>
  <c r="AA259" i="13"/>
  <c r="AA251" i="13"/>
  <c r="AA395" i="13"/>
  <c r="AA356" i="13"/>
  <c r="AA315" i="13"/>
  <c r="AA298" i="13"/>
  <c r="AA284" i="13"/>
  <c r="AA271" i="13"/>
  <c r="AA367" i="13"/>
  <c r="AA337" i="13"/>
  <c r="AA321" i="13"/>
  <c r="AA301" i="13"/>
  <c r="AA274" i="13"/>
  <c r="AA256" i="13"/>
  <c r="AA248" i="13"/>
  <c r="AA240" i="13"/>
  <c r="AA232" i="13"/>
  <c r="AA224" i="13"/>
  <c r="AA216" i="13"/>
  <c r="AA208" i="13"/>
  <c r="AA200" i="13"/>
  <c r="AA379" i="13"/>
  <c r="AA335" i="13"/>
  <c r="AA311" i="13"/>
  <c r="AA295" i="13"/>
  <c r="AA279" i="13"/>
  <c r="AA399" i="13"/>
  <c r="AA329" i="13"/>
  <c r="AA324" i="13"/>
  <c r="AA316" i="13"/>
  <c r="AA293" i="13"/>
  <c r="AA282" i="13"/>
  <c r="AA264" i="13"/>
  <c r="AA250" i="13"/>
  <c r="AA242" i="13"/>
  <c r="AA234" i="13"/>
  <c r="AA226" i="13"/>
  <c r="AA218" i="13"/>
  <c r="AA351" i="13"/>
  <c r="AA345" i="13"/>
  <c r="AA340" i="13"/>
  <c r="AA304" i="13"/>
  <c r="AA290" i="13"/>
  <c r="AA278" i="13"/>
  <c r="AA277" i="13"/>
  <c r="AA273" i="13"/>
  <c r="AA268" i="13"/>
  <c r="AA376" i="13"/>
  <c r="AA362" i="13"/>
  <c r="AA327" i="13"/>
  <c r="AA272" i="13"/>
  <c r="AA258" i="13"/>
  <c r="AA244" i="13"/>
  <c r="AA236" i="13"/>
  <c r="AA228" i="13"/>
  <c r="AA220" i="13"/>
  <c r="AA212" i="13"/>
  <c r="AA204" i="13"/>
  <c r="AA196" i="13"/>
  <c r="AA188" i="13"/>
  <c r="AA378" i="13"/>
  <c r="AA413" i="13"/>
  <c r="AA287" i="13"/>
  <c r="AA281" i="13"/>
  <c r="AA257" i="13"/>
  <c r="AA215" i="13"/>
  <c r="AA214" i="13"/>
  <c r="AA193" i="13"/>
  <c r="AA343" i="13"/>
  <c r="AA300" i="13"/>
  <c r="AA260" i="13"/>
  <c r="AA235" i="13"/>
  <c r="AA217" i="13"/>
  <c r="AA213" i="13"/>
  <c r="AA288" i="13"/>
  <c r="AA270" i="13"/>
  <c r="AA261" i="13"/>
  <c r="AA241" i="13"/>
  <c r="AA227" i="13"/>
  <c r="AA211" i="13"/>
  <c r="AA210" i="13"/>
  <c r="AA209" i="13"/>
  <c r="AA320" i="13"/>
  <c r="AA314" i="13"/>
  <c r="AA253" i="13"/>
  <c r="AA252" i="13"/>
  <c r="AA239" i="13"/>
  <c r="AA238" i="13"/>
  <c r="AA237" i="13"/>
  <c r="AA207" i="13"/>
  <c r="AA206" i="13"/>
  <c r="AA192" i="13"/>
  <c r="AA183" i="13"/>
  <c r="AA180" i="13"/>
  <c r="AA172" i="13"/>
  <c r="AA164" i="13"/>
  <c r="AA156" i="13"/>
  <c r="AA148" i="13"/>
  <c r="AA140" i="13"/>
  <c r="AA132" i="13"/>
  <c r="AA124" i="13"/>
  <c r="AA299" i="13"/>
  <c r="AA280" i="13"/>
  <c r="AA266" i="13"/>
  <c r="AA265" i="13"/>
  <c r="AA263" i="13"/>
  <c r="AA262" i="13"/>
  <c r="AA219" i="13"/>
  <c r="AA205" i="13"/>
  <c r="AA195" i="13"/>
  <c r="AA177" i="13"/>
  <c r="AA169" i="13"/>
  <c r="AA161" i="13"/>
  <c r="AA153" i="13"/>
  <c r="AA145" i="13"/>
  <c r="AA137" i="13"/>
  <c r="AA129" i="13"/>
  <c r="AA121" i="13"/>
  <c r="AA276" i="13"/>
  <c r="AA255" i="13"/>
  <c r="AA254" i="13"/>
  <c r="AA243" i="13"/>
  <c r="AA231" i="13"/>
  <c r="AA230" i="13"/>
  <c r="AA229" i="13"/>
  <c r="AA203" i="13"/>
  <c r="AA202" i="13"/>
  <c r="AA201" i="13"/>
  <c r="AA191" i="13"/>
  <c r="AA190" i="13"/>
  <c r="AA186" i="13"/>
  <c r="AA182" i="13"/>
  <c r="AA174" i="13"/>
  <c r="AA166" i="13"/>
  <c r="AA158" i="13"/>
  <c r="AA305" i="13"/>
  <c r="AA289" i="13"/>
  <c r="AA285" i="13"/>
  <c r="AA269" i="13"/>
  <c r="AA233" i="13"/>
  <c r="AA317" i="13"/>
  <c r="AA249" i="13"/>
  <c r="AA247" i="13"/>
  <c r="AA246" i="13"/>
  <c r="AA245" i="13"/>
  <c r="AA198" i="13"/>
  <c r="AA176" i="13"/>
  <c r="AA165" i="13"/>
  <c r="AA144" i="13"/>
  <c r="AA142" i="13"/>
  <c r="AA139" i="13"/>
  <c r="AA118" i="13"/>
  <c r="AA113" i="13"/>
  <c r="AA105" i="13"/>
  <c r="AA97" i="13"/>
  <c r="AA89" i="13"/>
  <c r="AA81" i="13"/>
  <c r="AA73" i="13"/>
  <c r="AA194" i="13"/>
  <c r="AA184" i="13"/>
  <c r="AA179" i="13"/>
  <c r="AA175" i="13"/>
  <c r="AA155" i="13"/>
  <c r="AA127" i="13"/>
  <c r="AA125" i="13"/>
  <c r="AA122" i="13"/>
  <c r="AA110" i="13"/>
  <c r="AA102" i="13"/>
  <c r="AA94" i="13"/>
  <c r="AA221" i="13"/>
  <c r="AA199" i="13"/>
  <c r="AA168" i="13"/>
  <c r="AA157" i="13"/>
  <c r="AA143" i="13"/>
  <c r="AA141" i="13"/>
  <c r="AA138" i="13"/>
  <c r="AA222" i="13"/>
  <c r="AA178" i="13"/>
  <c r="AA171" i="13"/>
  <c r="AA167" i="13"/>
  <c r="AA154" i="13"/>
  <c r="AA136" i="13"/>
  <c r="AA134" i="13"/>
  <c r="AA181" i="13"/>
  <c r="AA160" i="13"/>
  <c r="AA152" i="13"/>
  <c r="AA150" i="13"/>
  <c r="AA131" i="13"/>
  <c r="AA120" i="13"/>
  <c r="AA116" i="13"/>
  <c r="AA115" i="13"/>
  <c r="AA109" i="13"/>
  <c r="AA189" i="13"/>
  <c r="AA187" i="13"/>
  <c r="AA170" i="13"/>
  <c r="AA163" i="13"/>
  <c r="AA159" i="13"/>
  <c r="AA147" i="13"/>
  <c r="AA135" i="13"/>
  <c r="AA133" i="13"/>
  <c r="AA106" i="13"/>
  <c r="AA98" i="13"/>
  <c r="AA90" i="13"/>
  <c r="AA82" i="13"/>
  <c r="AA74" i="13"/>
  <c r="AA66" i="13"/>
  <c r="AA225" i="13"/>
  <c r="AA173" i="13"/>
  <c r="AA151" i="13"/>
  <c r="AA149" i="13"/>
  <c r="AA130" i="13"/>
  <c r="AA223" i="13"/>
  <c r="AA197" i="13"/>
  <c r="AA185" i="13"/>
  <c r="AA162" i="13"/>
  <c r="AA146" i="13"/>
  <c r="AA128" i="13"/>
  <c r="AA126" i="13"/>
  <c r="AA123" i="13"/>
  <c r="AA119" i="13"/>
  <c r="AA108" i="13"/>
  <c r="AA100" i="13"/>
  <c r="AA92" i="13"/>
  <c r="AA4" i="13"/>
  <c r="R6" i="13"/>
  <c r="O7" i="13"/>
  <c r="K8" i="13"/>
  <c r="V8" i="13" s="1"/>
  <c r="AA12" i="13"/>
  <c r="R14" i="13"/>
  <c r="O15" i="13"/>
  <c r="K16" i="13"/>
  <c r="V16" i="13" s="1"/>
  <c r="AA20" i="13"/>
  <c r="R22" i="13"/>
  <c r="O23" i="13"/>
  <c r="K24" i="13"/>
  <c r="V24" i="13" s="1"/>
  <c r="AA28" i="13"/>
  <c r="R30" i="13"/>
  <c r="O31" i="13"/>
  <c r="K32" i="13"/>
  <c r="V32" i="13" s="1"/>
  <c r="AA36" i="13"/>
  <c r="R38" i="13"/>
  <c r="O39" i="13"/>
  <c r="K40" i="13"/>
  <c r="V40" i="13" s="1"/>
  <c r="AA44" i="13"/>
  <c r="R46" i="13"/>
  <c r="O47" i="13"/>
  <c r="K48" i="13"/>
  <c r="V48" i="13" s="1"/>
  <c r="AA52" i="13"/>
  <c r="R54" i="13"/>
  <c r="O55" i="13"/>
  <c r="K56" i="13"/>
  <c r="V56" i="13" s="1"/>
  <c r="AA60" i="13"/>
  <c r="R62" i="13"/>
  <c r="O63" i="13"/>
  <c r="K64" i="13"/>
  <c r="V64" i="13" s="1"/>
  <c r="R70" i="13"/>
  <c r="O71" i="13"/>
  <c r="K72" i="13"/>
  <c r="V72" i="13" s="1"/>
  <c r="K77" i="13"/>
  <c r="K78" i="13"/>
  <c r="V78" i="13" s="1"/>
  <c r="AA80" i="13"/>
  <c r="K82" i="13"/>
  <c r="K83" i="13"/>
  <c r="V83" i="13" s="1"/>
  <c r="V84" i="13"/>
  <c r="AA85" i="13"/>
  <c r="V88" i="13"/>
  <c r="T95" i="13"/>
  <c r="V96" i="13"/>
  <c r="K97" i="13"/>
  <c r="V97" i="13" s="1"/>
  <c r="Z97" i="13"/>
  <c r="AA104" i="13"/>
  <c r="P105" i="13"/>
  <c r="O105" i="13"/>
  <c r="Y108" i="13"/>
  <c r="Z108" i="13" s="1"/>
  <c r="R108" i="13"/>
  <c r="V108" i="13"/>
  <c r="K111" i="13"/>
  <c r="O121" i="13"/>
  <c r="N127" i="13"/>
  <c r="K127" i="13"/>
  <c r="V127" i="13" s="1"/>
  <c r="R9" i="13"/>
  <c r="R17" i="13"/>
  <c r="Z18" i="13"/>
  <c r="K19" i="13"/>
  <c r="R25" i="13"/>
  <c r="Z26" i="13"/>
  <c r="K27" i="13"/>
  <c r="R33" i="13"/>
  <c r="Z34" i="13"/>
  <c r="K35" i="13"/>
  <c r="V35" i="13" s="1"/>
  <c r="R41" i="13"/>
  <c r="Z42" i="13"/>
  <c r="K43" i="13"/>
  <c r="V43" i="13" s="1"/>
  <c r="R49" i="13"/>
  <c r="Z50" i="13"/>
  <c r="K51" i="13"/>
  <c r="R57" i="13"/>
  <c r="Z58" i="13"/>
  <c r="K59" i="13"/>
  <c r="AA63" i="13"/>
  <c r="R65" i="13"/>
  <c r="V68" i="13"/>
  <c r="AA71" i="13"/>
  <c r="Z72" i="13"/>
  <c r="K73" i="13"/>
  <c r="V73" i="13"/>
  <c r="V77" i="13"/>
  <c r="Y84" i="13"/>
  <c r="Z84" i="13" s="1"/>
  <c r="N85" i="13"/>
  <c r="Z86" i="13"/>
  <c r="K87" i="13"/>
  <c r="V87" i="13" s="1"/>
  <c r="K89" i="13"/>
  <c r="V89" i="13" s="1"/>
  <c r="Y101" i="13"/>
  <c r="Z101" i="13" s="1"/>
  <c r="Z102" i="13"/>
  <c r="O108" i="13"/>
  <c r="P108" i="13"/>
  <c r="V110" i="13"/>
  <c r="K114" i="13"/>
  <c r="N114" i="13"/>
  <c r="AA114" i="13"/>
  <c r="P140" i="13"/>
  <c r="O140" i="13"/>
  <c r="D51" i="12"/>
  <c r="R4" i="13"/>
  <c r="O5" i="13"/>
  <c r="K6" i="13"/>
  <c r="AA10" i="13"/>
  <c r="V11" i="13"/>
  <c r="R12" i="13"/>
  <c r="O13" i="13"/>
  <c r="K14" i="13"/>
  <c r="AA18" i="13"/>
  <c r="V19" i="13"/>
  <c r="R20" i="13"/>
  <c r="O21" i="13"/>
  <c r="K22" i="13"/>
  <c r="AA26" i="13"/>
  <c r="V27" i="13"/>
  <c r="R28" i="13"/>
  <c r="O29" i="13"/>
  <c r="K30" i="13"/>
  <c r="AA34" i="13"/>
  <c r="R36" i="13"/>
  <c r="O37" i="13"/>
  <c r="K38" i="13"/>
  <c r="V38" i="13" s="1"/>
  <c r="AA42" i="13"/>
  <c r="R44" i="13"/>
  <c r="O45" i="13"/>
  <c r="K46" i="13"/>
  <c r="V46" i="13" s="1"/>
  <c r="AA50" i="13"/>
  <c r="V51" i="13"/>
  <c r="R52" i="13"/>
  <c r="O53" i="13"/>
  <c r="K54" i="13"/>
  <c r="V54" i="13" s="1"/>
  <c r="AA58" i="13"/>
  <c r="V59" i="13"/>
  <c r="R60" i="13"/>
  <c r="O61" i="13"/>
  <c r="K62" i="13"/>
  <c r="O67" i="13"/>
  <c r="AA67" i="13"/>
  <c r="Y68" i="13"/>
  <c r="Z68" i="13" s="1"/>
  <c r="K69" i="13"/>
  <c r="V69" i="13" s="1"/>
  <c r="O72" i="13"/>
  <c r="AA72" i="13"/>
  <c r="K74" i="13"/>
  <c r="V74" i="13" s="1"/>
  <c r="Y74" i="13"/>
  <c r="Z74" i="13" s="1"/>
  <c r="Y75" i="13"/>
  <c r="Z75" i="13" s="1"/>
  <c r="V76" i="13"/>
  <c r="O81" i="13"/>
  <c r="AA83" i="13"/>
  <c r="AA84" i="13"/>
  <c r="AA86" i="13"/>
  <c r="Z87" i="13"/>
  <c r="AA87" i="13"/>
  <c r="AA88" i="13"/>
  <c r="K90" i="13"/>
  <c r="AA91" i="13"/>
  <c r="K95" i="13"/>
  <c r="V95" i="13" s="1"/>
  <c r="AA95" i="13"/>
  <c r="AA96" i="13"/>
  <c r="N97" i="13"/>
  <c r="Y100" i="13"/>
  <c r="Z100" i="13" s="1"/>
  <c r="R100" i="13"/>
  <c r="AA101" i="13"/>
  <c r="Y106" i="13"/>
  <c r="Z106" i="13" s="1"/>
  <c r="P111" i="13"/>
  <c r="N118" i="13"/>
  <c r="N120" i="13"/>
  <c r="AA5" i="13"/>
  <c r="V6" i="13"/>
  <c r="K9" i="13"/>
  <c r="AA13" i="13"/>
  <c r="V14" i="13"/>
  <c r="K17" i="13"/>
  <c r="V17" i="13" s="1"/>
  <c r="AA21" i="13"/>
  <c r="V22" i="13"/>
  <c r="K25" i="13"/>
  <c r="AA29" i="13"/>
  <c r="V30" i="13"/>
  <c r="K33" i="13"/>
  <c r="AA37" i="13"/>
  <c r="K41" i="13"/>
  <c r="AA45" i="13"/>
  <c r="K49" i="13"/>
  <c r="V49" i="13" s="1"/>
  <c r="AA53" i="13"/>
  <c r="K57" i="13"/>
  <c r="AA61" i="13"/>
  <c r="V62" i="13"/>
  <c r="K65" i="13"/>
  <c r="V65" i="13" s="1"/>
  <c r="V70" i="13"/>
  <c r="Y76" i="13"/>
  <c r="Z76" i="13" s="1"/>
  <c r="N77" i="13"/>
  <c r="AA77" i="13"/>
  <c r="N78" i="13"/>
  <c r="R80" i="13"/>
  <c r="O83" i="13"/>
  <c r="P87" i="13"/>
  <c r="O91" i="13"/>
  <c r="O96" i="13"/>
  <c r="N101" i="13"/>
  <c r="O102" i="13"/>
  <c r="R104" i="13"/>
  <c r="Y104" i="13"/>
  <c r="Z104" i="13" s="1"/>
  <c r="K106" i="13"/>
  <c r="V106" i="13" s="1"/>
  <c r="N106" i="13"/>
  <c r="R112" i="13"/>
  <c r="Y112" i="13"/>
  <c r="Z112" i="13" s="1"/>
  <c r="AA117" i="13"/>
  <c r="N122" i="13"/>
  <c r="Z124" i="13"/>
  <c r="AA8" i="13"/>
  <c r="V9" i="13"/>
  <c r="AA16" i="13"/>
  <c r="AA24" i="13"/>
  <c r="V25" i="13"/>
  <c r="AA32" i="13"/>
  <c r="V33" i="13"/>
  <c r="AA40" i="13"/>
  <c r="V41" i="13"/>
  <c r="AA48" i="13"/>
  <c r="AA56" i="13"/>
  <c r="V57" i="13"/>
  <c r="AA64" i="13"/>
  <c r="V67" i="13"/>
  <c r="AA68" i="13"/>
  <c r="AA69" i="13"/>
  <c r="N70" i="13"/>
  <c r="AA75" i="13"/>
  <c r="AA76" i="13"/>
  <c r="K79" i="13"/>
  <c r="V79" i="13" s="1"/>
  <c r="P84" i="13"/>
  <c r="AC87" i="13"/>
  <c r="O90" i="13"/>
  <c r="Y93" i="13"/>
  <c r="Z93" i="13" s="1"/>
  <c r="P95" i="13"/>
  <c r="V98" i="13"/>
  <c r="Y98" i="13"/>
  <c r="Z98" i="13" s="1"/>
  <c r="V100" i="13"/>
  <c r="V103" i="13"/>
  <c r="AA107" i="13"/>
  <c r="Y109" i="13"/>
  <c r="Z109" i="13" s="1"/>
  <c r="Z113" i="13"/>
  <c r="R118" i="13"/>
  <c r="Z119" i="13"/>
  <c r="R120" i="13"/>
  <c r="K124" i="13"/>
  <c r="V124" i="13" s="1"/>
  <c r="N124" i="13"/>
  <c r="AA11" i="13"/>
  <c r="AA19" i="13"/>
  <c r="AA27" i="13"/>
  <c r="AA35" i="13"/>
  <c r="AA43" i="13"/>
  <c r="AA51" i="13"/>
  <c r="AA59" i="13"/>
  <c r="R72" i="13"/>
  <c r="AA78" i="13"/>
  <c r="V82" i="13"/>
  <c r="R82" i="13"/>
  <c r="R83" i="13"/>
  <c r="K86" i="13"/>
  <c r="V86" i="13" s="1"/>
  <c r="R87" i="13"/>
  <c r="R88" i="13"/>
  <c r="R91" i="13"/>
  <c r="V91" i="13"/>
  <c r="AA93" i="13"/>
  <c r="K98" i="13"/>
  <c r="N98" i="13"/>
  <c r="V111" i="13"/>
  <c r="R115" i="13"/>
  <c r="V115" i="13"/>
  <c r="N119" i="13"/>
  <c r="K119" i="13"/>
  <c r="V119" i="13" s="1"/>
  <c r="R122" i="13"/>
  <c r="K129" i="13"/>
  <c r="V129" i="13" s="1"/>
  <c r="N129" i="13"/>
  <c r="P92" i="13"/>
  <c r="R94" i="13"/>
  <c r="R102" i="13"/>
  <c r="R110" i="13"/>
  <c r="K117" i="13"/>
  <c r="V117" i="13" s="1"/>
  <c r="V122" i="13"/>
  <c r="V131" i="13"/>
  <c r="R137" i="13"/>
  <c r="N145" i="13"/>
  <c r="Y147" i="13"/>
  <c r="Z147" i="13" s="1"/>
  <c r="Y148" i="13"/>
  <c r="Z148" i="13" s="1"/>
  <c r="N149" i="13"/>
  <c r="V152" i="13"/>
  <c r="Y154" i="13"/>
  <c r="Z154" i="13" s="1"/>
  <c r="R154" i="13"/>
  <c r="R156" i="13"/>
  <c r="V157" i="13"/>
  <c r="R157" i="13"/>
  <c r="Y159" i="13"/>
  <c r="N170" i="13"/>
  <c r="K170" i="13"/>
  <c r="P172" i="13"/>
  <c r="O172" i="13"/>
  <c r="Y187" i="13"/>
  <c r="Z187" i="13" s="1"/>
  <c r="V187" i="13"/>
  <c r="N197" i="13"/>
  <c r="K197" i="13"/>
  <c r="V197" i="13" s="1"/>
  <c r="AC198" i="13"/>
  <c r="N198" i="13"/>
  <c r="N211" i="13"/>
  <c r="K211" i="13"/>
  <c r="V211" i="13" s="1"/>
  <c r="Y131" i="13"/>
  <c r="Z131" i="13" s="1"/>
  <c r="Y138" i="13"/>
  <c r="Z138" i="13" s="1"/>
  <c r="V138" i="13"/>
  <c r="R138" i="13"/>
  <c r="V141" i="13"/>
  <c r="R141" i="13"/>
  <c r="R144" i="13"/>
  <c r="Z174" i="13"/>
  <c r="V178" i="13"/>
  <c r="Z188" i="13"/>
  <c r="V192" i="13"/>
  <c r="P201" i="13"/>
  <c r="O201" i="13"/>
  <c r="V204" i="13"/>
  <c r="R204" i="13"/>
  <c r="N209" i="13"/>
  <c r="K209" i="13"/>
  <c r="V209" i="13" s="1"/>
  <c r="O254" i="13"/>
  <c r="P254" i="13"/>
  <c r="V99" i="13"/>
  <c r="Z116" i="13"/>
  <c r="Y117" i="13"/>
  <c r="Z117" i="13" s="1"/>
  <c r="V121" i="13"/>
  <c r="R124" i="13"/>
  <c r="V125" i="13"/>
  <c r="R125" i="13"/>
  <c r="R128" i="13"/>
  <c r="O133" i="13"/>
  <c r="K135" i="13"/>
  <c r="V135" i="13" s="1"/>
  <c r="N136" i="13"/>
  <c r="K141" i="13"/>
  <c r="Z143" i="13"/>
  <c r="O147" i="13"/>
  <c r="P148" i="13"/>
  <c r="O148" i="13"/>
  <c r="O152" i="13"/>
  <c r="O163" i="13"/>
  <c r="V165" i="13"/>
  <c r="R165" i="13"/>
  <c r="Y167" i="13"/>
  <c r="V167" i="13"/>
  <c r="V168" i="13"/>
  <c r="K172" i="13"/>
  <c r="V172" i="13" s="1"/>
  <c r="N178" i="13"/>
  <c r="K178" i="13"/>
  <c r="P180" i="13"/>
  <c r="O180" i="13"/>
  <c r="V180" i="13"/>
  <c r="K192" i="13"/>
  <c r="N192" i="13"/>
  <c r="R202" i="13"/>
  <c r="Y202" i="13"/>
  <c r="Z202" i="13" s="1"/>
  <c r="P204" i="13"/>
  <c r="O204" i="13"/>
  <c r="Y212" i="13"/>
  <c r="Z212" i="13" s="1"/>
  <c r="V212" i="13"/>
  <c r="R228" i="13"/>
  <c r="O243" i="13"/>
  <c r="P243" i="13"/>
  <c r="R111" i="13"/>
  <c r="V114" i="13"/>
  <c r="R119" i="13"/>
  <c r="Y127" i="13"/>
  <c r="Z127" i="13" s="1"/>
  <c r="P132" i="13"/>
  <c r="O132" i="13"/>
  <c r="Z136" i="13"/>
  <c r="K137" i="13"/>
  <c r="V137" i="13" s="1"/>
  <c r="T140" i="13"/>
  <c r="Y141" i="13"/>
  <c r="Z141" i="13" s="1"/>
  <c r="R145" i="13"/>
  <c r="P151" i="13"/>
  <c r="K154" i="13"/>
  <c r="V154" i="13" s="1"/>
  <c r="V156" i="13"/>
  <c r="K159" i="13"/>
  <c r="V159" i="13" s="1"/>
  <c r="P161" i="13"/>
  <c r="O161" i="13"/>
  <c r="R164" i="13"/>
  <c r="Y168" i="13"/>
  <c r="Z168" i="13" s="1"/>
  <c r="K169" i="13"/>
  <c r="V169" i="13" s="1"/>
  <c r="N171" i="13"/>
  <c r="O174" i="13"/>
  <c r="O181" i="13"/>
  <c r="P183" i="13"/>
  <c r="Y184" i="13"/>
  <c r="Z184" i="13" s="1"/>
  <c r="K187" i="13"/>
  <c r="O188" i="13"/>
  <c r="O189" i="13"/>
  <c r="N190" i="13"/>
  <c r="O223" i="13"/>
  <c r="P223" i="13"/>
  <c r="Z224" i="13"/>
  <c r="O231" i="13"/>
  <c r="P231" i="13"/>
  <c r="V139" i="13"/>
  <c r="V144" i="13"/>
  <c r="Y146" i="13"/>
  <c r="Z146" i="13" s="1"/>
  <c r="V146" i="13"/>
  <c r="R146" i="13"/>
  <c r="R148" i="13"/>
  <c r="V149" i="13"/>
  <c r="R149" i="13"/>
  <c r="N157" i="13"/>
  <c r="R173" i="13"/>
  <c r="Y175" i="13"/>
  <c r="Z175" i="13" s="1"/>
  <c r="V175" i="13"/>
  <c r="V176" i="13"/>
  <c r="K180" i="13"/>
  <c r="K184" i="13"/>
  <c r="V184" i="13" s="1"/>
  <c r="N184" i="13"/>
  <c r="N186" i="13"/>
  <c r="P205" i="13"/>
  <c r="O205" i="13"/>
  <c r="R207" i="13"/>
  <c r="R210" i="13"/>
  <c r="Y210" i="13"/>
  <c r="Z210" i="13" s="1"/>
  <c r="V210" i="13"/>
  <c r="O221" i="13"/>
  <c r="P221" i="13"/>
  <c r="O237" i="13"/>
  <c r="P237" i="13"/>
  <c r="V130" i="13"/>
  <c r="R130" i="13"/>
  <c r="R133" i="13"/>
  <c r="Y139" i="13"/>
  <c r="Z139" i="13" s="1"/>
  <c r="Z140" i="13"/>
  <c r="O154" i="13"/>
  <c r="Z158" i="13"/>
  <c r="P159" i="13"/>
  <c r="Y162" i="13"/>
  <c r="Z162" i="13" s="1"/>
  <c r="Z164" i="13"/>
  <c r="N169" i="13"/>
  <c r="N179" i="13"/>
  <c r="O182" i="13"/>
  <c r="P187" i="13"/>
  <c r="O191" i="13"/>
  <c r="P191" i="13"/>
  <c r="N195" i="13"/>
  <c r="R196" i="13"/>
  <c r="N207" i="13"/>
  <c r="K207" i="13"/>
  <c r="V207" i="13" s="1"/>
  <c r="R209" i="13"/>
  <c r="O229" i="13"/>
  <c r="P229" i="13"/>
  <c r="Y123" i="13"/>
  <c r="Z123" i="13" s="1"/>
  <c r="N125" i="13"/>
  <c r="N128" i="13"/>
  <c r="K133" i="13"/>
  <c r="V133" i="13" s="1"/>
  <c r="R135" i="13"/>
  <c r="O141" i="13"/>
  <c r="O144" i="13"/>
  <c r="Z151" i="13"/>
  <c r="O155" i="13"/>
  <c r="N162" i="13"/>
  <c r="K162" i="13"/>
  <c r="V162" i="13" s="1"/>
  <c r="P164" i="13"/>
  <c r="O164" i="13"/>
  <c r="V164" i="13"/>
  <c r="N165" i="13"/>
  <c r="V181" i="13"/>
  <c r="R181" i="13"/>
  <c r="Y183" i="13"/>
  <c r="Z183" i="13" s="1"/>
  <c r="V183" i="13"/>
  <c r="K186" i="13"/>
  <c r="V186" i="13" s="1"/>
  <c r="V188" i="13"/>
  <c r="Z191" i="13"/>
  <c r="R192" i="13"/>
  <c r="N193" i="13"/>
  <c r="K193" i="13"/>
  <c r="V193" i="13" s="1"/>
  <c r="N196" i="13"/>
  <c r="K196" i="13"/>
  <c r="V196" i="13" s="1"/>
  <c r="K201" i="13"/>
  <c r="V201" i="13" s="1"/>
  <c r="O203" i="13"/>
  <c r="P203" i="13"/>
  <c r="Z203" i="13"/>
  <c r="K205" i="13"/>
  <c r="V205" i="13" s="1"/>
  <c r="R208" i="13"/>
  <c r="Y208" i="13"/>
  <c r="Z208" i="13" s="1"/>
  <c r="V213" i="13"/>
  <c r="V227" i="13"/>
  <c r="P241" i="13"/>
  <c r="O241" i="13"/>
  <c r="Y114" i="13"/>
  <c r="Z114" i="13" s="1"/>
  <c r="Z135" i="13"/>
  <c r="P143" i="13"/>
  <c r="K146" i="13"/>
  <c r="V147" i="13"/>
  <c r="Y149" i="13"/>
  <c r="Z149" i="13" s="1"/>
  <c r="R159" i="13"/>
  <c r="Z166" i="13"/>
  <c r="Y170" i="13"/>
  <c r="Z170" i="13" s="1"/>
  <c r="V170" i="13"/>
  <c r="Y172" i="13"/>
  <c r="Z172" i="13" s="1"/>
  <c r="Y173" i="13"/>
  <c r="Z173" i="13" s="1"/>
  <c r="P177" i="13"/>
  <c r="O177" i="13"/>
  <c r="R180" i="13"/>
  <c r="R187" i="13"/>
  <c r="Y204" i="13"/>
  <c r="Z204" i="13" s="1"/>
  <c r="K208" i="13"/>
  <c r="V208" i="13" s="1"/>
  <c r="N208" i="13"/>
  <c r="Y211" i="13"/>
  <c r="Z211" i="13" s="1"/>
  <c r="N213" i="13"/>
  <c r="K213" i="13"/>
  <c r="N217" i="13"/>
  <c r="K217" i="13"/>
  <c r="V217" i="13" s="1"/>
  <c r="N219" i="13"/>
  <c r="K219" i="13"/>
  <c r="V219" i="13" s="1"/>
  <c r="Z223" i="13"/>
  <c r="R237" i="13"/>
  <c r="Y238" i="13"/>
  <c r="Z238" i="13" s="1"/>
  <c r="R238" i="13"/>
  <c r="Y240" i="13"/>
  <c r="Z240" i="13" s="1"/>
  <c r="R241" i="13"/>
  <c r="N246" i="13"/>
  <c r="AC246" i="13"/>
  <c r="V252" i="13"/>
  <c r="R252" i="13"/>
  <c r="R253" i="13"/>
  <c r="V253" i="13"/>
  <c r="R269" i="13"/>
  <c r="Y269" i="13"/>
  <c r="Z269" i="13" s="1"/>
  <c r="V269" i="13"/>
  <c r="O270" i="13"/>
  <c r="P270" i="13"/>
  <c r="K279" i="13"/>
  <c r="N279" i="13"/>
  <c r="V284" i="13"/>
  <c r="Y284" i="13"/>
  <c r="Z284" i="13" s="1"/>
  <c r="R284" i="13"/>
  <c r="P286" i="13"/>
  <c r="O286" i="13"/>
  <c r="P288" i="13"/>
  <c r="O288" i="13"/>
  <c r="P290" i="13"/>
  <c r="O290" i="13"/>
  <c r="V303" i="13"/>
  <c r="R303" i="13"/>
  <c r="Y303" i="13"/>
  <c r="Z303" i="13" s="1"/>
  <c r="K327" i="13"/>
  <c r="V327" i="13" s="1"/>
  <c r="N327" i="13"/>
  <c r="R330" i="13"/>
  <c r="Y330" i="13"/>
  <c r="Z330" i="13" s="1"/>
  <c r="V330" i="13"/>
  <c r="R242" i="13"/>
  <c r="Y242" i="13"/>
  <c r="Z242" i="13" s="1"/>
  <c r="Y251" i="13"/>
  <c r="Z251" i="13" s="1"/>
  <c r="Y255" i="13"/>
  <c r="Z255" i="13" s="1"/>
  <c r="O257" i="13"/>
  <c r="R259" i="13"/>
  <c r="Y274" i="13"/>
  <c r="Z274" i="13" s="1"/>
  <c r="O275" i="13"/>
  <c r="R291" i="13"/>
  <c r="N291" i="13"/>
  <c r="K291" i="13"/>
  <c r="V291" i="13" s="1"/>
  <c r="R322" i="13"/>
  <c r="Y322" i="13"/>
  <c r="Z322" i="13" s="1"/>
  <c r="V322" i="13"/>
  <c r="R325" i="13"/>
  <c r="V325" i="13"/>
  <c r="AC326" i="13"/>
  <c r="N326" i="13"/>
  <c r="V189" i="13"/>
  <c r="AC194" i="13"/>
  <c r="Y214" i="13"/>
  <c r="Z214" i="13" s="1"/>
  <c r="R214" i="13"/>
  <c r="R218" i="13"/>
  <c r="Y218" i="13"/>
  <c r="N230" i="13"/>
  <c r="AC230" i="13"/>
  <c r="V235" i="13"/>
  <c r="R235" i="13"/>
  <c r="V238" i="13"/>
  <c r="K239" i="13"/>
  <c r="V239" i="13" s="1"/>
  <c r="V240" i="13"/>
  <c r="K241" i="13"/>
  <c r="V241" i="13" s="1"/>
  <c r="N242" i="13"/>
  <c r="V242" i="13"/>
  <c r="N244" i="13"/>
  <c r="P245" i="13"/>
  <c r="K254" i="13"/>
  <c r="V254" i="13" s="1"/>
  <c r="P259" i="13"/>
  <c r="O259" i="13"/>
  <c r="R261" i="13"/>
  <c r="V261" i="13"/>
  <c r="Y265" i="13"/>
  <c r="Z265" i="13" s="1"/>
  <c r="R270" i="13"/>
  <c r="N274" i="13"/>
  <c r="K274" i="13"/>
  <c r="V274" i="13" s="1"/>
  <c r="AC277" i="13"/>
  <c r="N277" i="13"/>
  <c r="Y292" i="13"/>
  <c r="Z292" i="13" s="1"/>
  <c r="R312" i="13"/>
  <c r="Y312" i="13"/>
  <c r="Z312" i="13" s="1"/>
  <c r="V312" i="13"/>
  <c r="R189" i="13"/>
  <c r="R194" i="13"/>
  <c r="R200" i="13"/>
  <c r="O202" i="13"/>
  <c r="Y207" i="13"/>
  <c r="Z207" i="13" s="1"/>
  <c r="V216" i="13"/>
  <c r="V218" i="13"/>
  <c r="N220" i="13"/>
  <c r="R224" i="13"/>
  <c r="V236" i="13"/>
  <c r="K237" i="13"/>
  <c r="V237" i="13" s="1"/>
  <c r="V251" i="13"/>
  <c r="Y252" i="13"/>
  <c r="Z252" i="13" s="1"/>
  <c r="P255" i="13"/>
  <c r="N265" i="13"/>
  <c r="K265" i="13"/>
  <c r="V265" i="13" s="1"/>
  <c r="N266" i="13"/>
  <c r="AC266" i="13"/>
  <c r="N267" i="13"/>
  <c r="N282" i="13"/>
  <c r="N292" i="13"/>
  <c r="K292" i="13"/>
  <c r="V292" i="13" s="1"/>
  <c r="N295" i="13"/>
  <c r="K295" i="13"/>
  <c r="O321" i="13"/>
  <c r="P321" i="13"/>
  <c r="Y334" i="13"/>
  <c r="Z334" i="13" s="1"/>
  <c r="V334" i="13"/>
  <c r="R334" i="13"/>
  <c r="V384" i="13"/>
  <c r="N216" i="13"/>
  <c r="K216" i="13"/>
  <c r="R223" i="13"/>
  <c r="R226" i="13"/>
  <c r="Y226" i="13"/>
  <c r="Z226" i="13" s="1"/>
  <c r="T226" i="13"/>
  <c r="Y236" i="13"/>
  <c r="Z236" i="13" s="1"/>
  <c r="N238" i="13"/>
  <c r="AC238" i="13"/>
  <c r="N239" i="13"/>
  <c r="V245" i="13"/>
  <c r="R245" i="13"/>
  <c r="R246" i="13"/>
  <c r="Y248" i="13"/>
  <c r="Z248" i="13" s="1"/>
  <c r="R250" i="13"/>
  <c r="V258" i="13"/>
  <c r="K259" i="13"/>
  <c r="V259" i="13" s="1"/>
  <c r="Y261" i="13"/>
  <c r="Z261" i="13" s="1"/>
  <c r="V268" i="13"/>
  <c r="R268" i="13"/>
  <c r="Y268" i="13"/>
  <c r="Z268" i="13" s="1"/>
  <c r="Y270" i="13"/>
  <c r="Z270" i="13" s="1"/>
  <c r="V270" i="13"/>
  <c r="O272" i="13"/>
  <c r="O285" i="13"/>
  <c r="V286" i="13"/>
  <c r="N289" i="13"/>
  <c r="AC315" i="13"/>
  <c r="Z315" i="13"/>
  <c r="R195" i="13"/>
  <c r="R201" i="13"/>
  <c r="V221" i="13"/>
  <c r="Y222" i="13"/>
  <c r="Z222" i="13" s="1"/>
  <c r="R222" i="13"/>
  <c r="R234" i="13"/>
  <c r="Y234" i="13"/>
  <c r="Z234" i="13" s="1"/>
  <c r="N248" i="13"/>
  <c r="K248" i="13"/>
  <c r="V248" i="13" s="1"/>
  <c r="N250" i="13"/>
  <c r="V260" i="13"/>
  <c r="Y260" i="13"/>
  <c r="Z260" i="13" s="1"/>
  <c r="P268" i="13"/>
  <c r="O268" i="13"/>
  <c r="Y283" i="13"/>
  <c r="Z283" i="13" s="1"/>
  <c r="Y293" i="13"/>
  <c r="Z293" i="13" s="1"/>
  <c r="R296" i="13"/>
  <c r="Y296" i="13"/>
  <c r="Z296" i="13" s="1"/>
  <c r="V296" i="13"/>
  <c r="V319" i="13"/>
  <c r="R319" i="13"/>
  <c r="Y319" i="13"/>
  <c r="Z319" i="13" s="1"/>
  <c r="K323" i="13"/>
  <c r="V323" i="13" s="1"/>
  <c r="R323" i="13"/>
  <c r="N323" i="13"/>
  <c r="Z215" i="13"/>
  <c r="N224" i="13"/>
  <c r="K224" i="13"/>
  <c r="V224" i="13" s="1"/>
  <c r="O228" i="13"/>
  <c r="V229" i="13"/>
  <c r="Y230" i="13"/>
  <c r="Z230" i="13" s="1"/>
  <c r="R230" i="13"/>
  <c r="Y232" i="13"/>
  <c r="Z232" i="13" s="1"/>
  <c r="V232" i="13"/>
  <c r="N234" i="13"/>
  <c r="V243" i="13"/>
  <c r="R243" i="13"/>
  <c r="P251" i="13"/>
  <c r="O251" i="13"/>
  <c r="N260" i="13"/>
  <c r="K260" i="13"/>
  <c r="AC261" i="13"/>
  <c r="N261" i="13"/>
  <c r="N283" i="13"/>
  <c r="K283" i="13"/>
  <c r="V283" i="13" s="1"/>
  <c r="K293" i="13"/>
  <c r="V293" i="13" s="1"/>
  <c r="N293" i="13"/>
  <c r="Y332" i="13"/>
  <c r="Z332" i="13" s="1"/>
  <c r="V332" i="13"/>
  <c r="R332" i="13"/>
  <c r="AC344" i="13"/>
  <c r="N344" i="13"/>
  <c r="K204" i="13"/>
  <c r="Y206" i="13"/>
  <c r="Z206" i="13" s="1"/>
  <c r="R206" i="13"/>
  <c r="R219" i="13"/>
  <c r="R220" i="13"/>
  <c r="V222" i="13"/>
  <c r="P227" i="13"/>
  <c r="N232" i="13"/>
  <c r="K232" i="13"/>
  <c r="O236" i="13"/>
  <c r="R240" i="13"/>
  <c r="V244" i="13"/>
  <c r="R254" i="13"/>
  <c r="N256" i="13"/>
  <c r="K256" i="13"/>
  <c r="V256" i="13" s="1"/>
  <c r="K257" i="13"/>
  <c r="V257" i="13" s="1"/>
  <c r="N258" i="13"/>
  <c r="Y266" i="13"/>
  <c r="Z266" i="13" s="1"/>
  <c r="R266" i="13"/>
  <c r="R279" i="13"/>
  <c r="R292" i="13"/>
  <c r="R295" i="13"/>
  <c r="P318" i="13"/>
  <c r="O318" i="13"/>
  <c r="AC342" i="13"/>
  <c r="N342" i="13"/>
  <c r="N348" i="13"/>
  <c r="K348" i="13"/>
  <c r="V348" i="13" s="1"/>
  <c r="P349" i="13"/>
  <c r="O349" i="13"/>
  <c r="P350" i="13"/>
  <c r="O350" i="13"/>
  <c r="AC354" i="13"/>
  <c r="N354" i="13"/>
  <c r="P357" i="13"/>
  <c r="O357" i="13"/>
  <c r="V358" i="13"/>
  <c r="R358" i="13"/>
  <c r="R364" i="13"/>
  <c r="Y403" i="13"/>
  <c r="Z403" i="13" s="1"/>
  <c r="V403" i="13"/>
  <c r="R403" i="13"/>
  <c r="P409" i="13"/>
  <c r="O409" i="13"/>
  <c r="R362" i="13"/>
  <c r="Y362" i="13"/>
  <c r="Z362" i="13" s="1"/>
  <c r="V362" i="13"/>
  <c r="P363" i="13"/>
  <c r="O363" i="13"/>
  <c r="N364" i="13"/>
  <c r="K364" i="13"/>
  <c r="AC379" i="13"/>
  <c r="N379" i="13"/>
  <c r="P424" i="13"/>
  <c r="O424" i="13"/>
  <c r="Y257" i="13"/>
  <c r="Z257" i="13" s="1"/>
  <c r="R257" i="13"/>
  <c r="Y259" i="13"/>
  <c r="Z259" i="13" s="1"/>
  <c r="N264" i="13"/>
  <c r="Y278" i="13"/>
  <c r="Z278" i="13" s="1"/>
  <c r="V279" i="13"/>
  <c r="AC280" i="13"/>
  <c r="Y282" i="13"/>
  <c r="Z282" i="13" s="1"/>
  <c r="V302" i="13"/>
  <c r="N305" i="13"/>
  <c r="N309" i="13"/>
  <c r="O310" i="13"/>
  <c r="Y316" i="13"/>
  <c r="Z316" i="13" s="1"/>
  <c r="V316" i="13"/>
  <c r="AC328" i="13"/>
  <c r="N328" i="13"/>
  <c r="N332" i="13"/>
  <c r="K332" i="13"/>
  <c r="P333" i="13"/>
  <c r="O333" i="13"/>
  <c r="N334" i="13"/>
  <c r="Z336" i="13"/>
  <c r="R353" i="13"/>
  <c r="N366" i="13"/>
  <c r="K366" i="13"/>
  <c r="V366" i="13" s="1"/>
  <c r="V376" i="13"/>
  <c r="Y376" i="13"/>
  <c r="Z376" i="13" s="1"/>
  <c r="R376" i="13"/>
  <c r="O377" i="13"/>
  <c r="R263" i="13"/>
  <c r="V276" i="13"/>
  <c r="R286" i="13"/>
  <c r="P297" i="13"/>
  <c r="Y301" i="13"/>
  <c r="Z301" i="13" s="1"/>
  <c r="N316" i="13"/>
  <c r="K316" i="13"/>
  <c r="N317" i="13"/>
  <c r="AC317" i="13"/>
  <c r="Y324" i="13"/>
  <c r="Z324" i="13" s="1"/>
  <c r="V324" i="13"/>
  <c r="N343" i="13"/>
  <c r="P346" i="13"/>
  <c r="O346" i="13"/>
  <c r="R349" i="13"/>
  <c r="V349" i="13"/>
  <c r="K351" i="13"/>
  <c r="V351" i="13" s="1"/>
  <c r="N351" i="13"/>
  <c r="AC352" i="13"/>
  <c r="N352" i="13"/>
  <c r="N353" i="13"/>
  <c r="K353" i="13"/>
  <c r="V353" i="13" s="1"/>
  <c r="Y372" i="13"/>
  <c r="Z372" i="13" s="1"/>
  <c r="Y374" i="13"/>
  <c r="Z374" i="13" s="1"/>
  <c r="R374" i="13"/>
  <c r="V374" i="13"/>
  <c r="N269" i="13"/>
  <c r="R272" i="13"/>
  <c r="R276" i="13"/>
  <c r="P278" i="13"/>
  <c r="Y281" i="13"/>
  <c r="Z281" i="13" s="1"/>
  <c r="R281" i="13"/>
  <c r="V287" i="13"/>
  <c r="R287" i="13"/>
  <c r="R288" i="13"/>
  <c r="V288" i="13"/>
  <c r="Y298" i="13"/>
  <c r="Z298" i="13" s="1"/>
  <c r="Y300" i="13"/>
  <c r="Z300" i="13" s="1"/>
  <c r="N301" i="13"/>
  <c r="V318" i="13"/>
  <c r="V321" i="13"/>
  <c r="N324" i="13"/>
  <c r="K324" i="13"/>
  <c r="P330" i="13"/>
  <c r="O330" i="13"/>
  <c r="Y335" i="13"/>
  <c r="Z335" i="13" s="1"/>
  <c r="N340" i="13"/>
  <c r="K340" i="13"/>
  <c r="V340" i="13" s="1"/>
  <c r="P341" i="13"/>
  <c r="O341" i="13"/>
  <c r="V342" i="13"/>
  <c r="R342" i="13"/>
  <c r="Y342" i="13"/>
  <c r="Z342" i="13" s="1"/>
  <c r="AC370" i="13"/>
  <c r="N370" i="13"/>
  <c r="P373" i="13"/>
  <c r="O373" i="13"/>
  <c r="N425" i="13"/>
  <c r="K425" i="13"/>
  <c r="R425" i="13"/>
  <c r="N281" i="13"/>
  <c r="AC296" i="13"/>
  <c r="N296" i="13"/>
  <c r="K298" i="13"/>
  <c r="V298" i="13" s="1"/>
  <c r="N298" i="13"/>
  <c r="N300" i="13"/>
  <c r="AC312" i="13"/>
  <c r="N312" i="13"/>
  <c r="P322" i="13"/>
  <c r="O322" i="13"/>
  <c r="P325" i="13"/>
  <c r="O325" i="13"/>
  <c r="V326" i="13"/>
  <c r="R326" i="13"/>
  <c r="Y326" i="13"/>
  <c r="Z326" i="13" s="1"/>
  <c r="R333" i="13"/>
  <c r="Y333" i="13"/>
  <c r="Z333" i="13" s="1"/>
  <c r="V333" i="13"/>
  <c r="K335" i="13"/>
  <c r="V335" i="13" s="1"/>
  <c r="N335" i="13"/>
  <c r="AC336" i="13"/>
  <c r="N336" i="13"/>
  <c r="R348" i="13"/>
  <c r="P378" i="13"/>
  <c r="O378" i="13"/>
  <c r="P380" i="13"/>
  <c r="O380" i="13"/>
  <c r="Y273" i="13"/>
  <c r="Z273" i="13" s="1"/>
  <c r="R273" i="13"/>
  <c r="V285" i="13"/>
  <c r="O294" i="13"/>
  <c r="Y297" i="13"/>
  <c r="Z297" i="13" s="1"/>
  <c r="V300" i="13"/>
  <c r="N302" i="13"/>
  <c r="P303" i="13"/>
  <c r="O307" i="13"/>
  <c r="N311" i="13"/>
  <c r="R313" i="13"/>
  <c r="K314" i="13"/>
  <c r="V314" i="13" s="1"/>
  <c r="N314" i="13"/>
  <c r="P338" i="13"/>
  <c r="O338" i="13"/>
  <c r="R347" i="13"/>
  <c r="N347" i="13"/>
  <c r="K347" i="13"/>
  <c r="V347" i="13" s="1"/>
  <c r="R363" i="13"/>
  <c r="K363" i="13"/>
  <c r="V363" i="13" s="1"/>
  <c r="AC368" i="13"/>
  <c r="N368" i="13"/>
  <c r="O376" i="13"/>
  <c r="P376" i="13"/>
  <c r="O382" i="13"/>
  <c r="N392" i="13"/>
  <c r="K392" i="13"/>
  <c r="V392" i="13" s="1"/>
  <c r="Y416" i="13"/>
  <c r="Z416" i="13" s="1"/>
  <c r="V416" i="13"/>
  <c r="R416" i="13"/>
  <c r="Y276" i="13"/>
  <c r="Z276" i="13" s="1"/>
  <c r="K281" i="13"/>
  <c r="V281" i="13" s="1"/>
  <c r="Y285" i="13"/>
  <c r="Z285" i="13" s="1"/>
  <c r="K287" i="13"/>
  <c r="R293" i="13"/>
  <c r="K300" i="13"/>
  <c r="Y305" i="13"/>
  <c r="Z305" i="13" s="1"/>
  <c r="N306" i="13"/>
  <c r="Y317" i="13"/>
  <c r="Z317" i="13" s="1"/>
  <c r="R317" i="13"/>
  <c r="R331" i="13"/>
  <c r="N331" i="13"/>
  <c r="K331" i="13"/>
  <c r="V331" i="13" s="1"/>
  <c r="V350" i="13"/>
  <c r="R356" i="13"/>
  <c r="N369" i="13"/>
  <c r="K369" i="13"/>
  <c r="Y384" i="13"/>
  <c r="Z384" i="13" s="1"/>
  <c r="R384" i="13"/>
  <c r="P396" i="13"/>
  <c r="O396" i="13"/>
  <c r="P397" i="13"/>
  <c r="O397" i="13"/>
  <c r="R410" i="13"/>
  <c r="Y410" i="13"/>
  <c r="Z410" i="13" s="1"/>
  <c r="V410" i="13"/>
  <c r="O427" i="13"/>
  <c r="P427" i="13"/>
  <c r="N420" i="13"/>
  <c r="AC420" i="13"/>
  <c r="N421" i="13"/>
  <c r="K421" i="13"/>
  <c r="V421" i="13" s="1"/>
  <c r="R308" i="13"/>
  <c r="Y310" i="13"/>
  <c r="Z310" i="13" s="1"/>
  <c r="N315" i="13"/>
  <c r="V320" i="13"/>
  <c r="R359" i="13"/>
  <c r="Y361" i="13"/>
  <c r="Z361" i="13" s="1"/>
  <c r="V361" i="13"/>
  <c r="N372" i="13"/>
  <c r="K372" i="13"/>
  <c r="V372" i="13" s="1"/>
  <c r="N374" i="13"/>
  <c r="Y383" i="13"/>
  <c r="Z383" i="13" s="1"/>
  <c r="R383" i="13"/>
  <c r="V383" i="13"/>
  <c r="K385" i="13"/>
  <c r="V385" i="13" s="1"/>
  <c r="N385" i="13"/>
  <c r="R387" i="13"/>
  <c r="Y387" i="13"/>
  <c r="Z387" i="13" s="1"/>
  <c r="V387" i="13"/>
  <c r="Y398" i="13"/>
  <c r="Z398" i="13" s="1"/>
  <c r="V398" i="13"/>
  <c r="AC399" i="13"/>
  <c r="N399" i="13"/>
  <c r="Y435" i="13"/>
  <c r="Z435" i="13" s="1"/>
  <c r="V435" i="13"/>
  <c r="R435" i="13"/>
  <c r="V295" i="13"/>
  <c r="R314" i="13"/>
  <c r="Y320" i="13"/>
  <c r="Z320" i="13" s="1"/>
  <c r="P329" i="13"/>
  <c r="R339" i="13"/>
  <c r="P345" i="13"/>
  <c r="P355" i="13"/>
  <c r="O355" i="13"/>
  <c r="O381" i="13"/>
  <c r="N389" i="13"/>
  <c r="K389" i="13"/>
  <c r="V389" i="13" s="1"/>
  <c r="R389" i="13"/>
  <c r="N398" i="13"/>
  <c r="K398" i="13"/>
  <c r="Y407" i="13"/>
  <c r="Z407" i="13" s="1"/>
  <c r="Y411" i="13"/>
  <c r="Z411" i="13" s="1"/>
  <c r="P429" i="13"/>
  <c r="O429" i="13"/>
  <c r="V454" i="13"/>
  <c r="R327" i="13"/>
  <c r="Y340" i="13"/>
  <c r="Z340" i="13" s="1"/>
  <c r="R340" i="13"/>
  <c r="V343" i="13"/>
  <c r="R343" i="13"/>
  <c r="V367" i="13"/>
  <c r="R367" i="13"/>
  <c r="Y369" i="13"/>
  <c r="Z369" i="13" s="1"/>
  <c r="V369" i="13"/>
  <c r="Y377" i="13"/>
  <c r="Z377" i="13" s="1"/>
  <c r="N407" i="13"/>
  <c r="K407" i="13"/>
  <c r="V407" i="13" s="1"/>
  <c r="R407" i="13"/>
  <c r="O411" i="13"/>
  <c r="P411" i="13"/>
  <c r="Y430" i="13"/>
  <c r="Z430" i="13" s="1"/>
  <c r="V430" i="13"/>
  <c r="P432" i="13"/>
  <c r="O432" i="13"/>
  <c r="Z313" i="13"/>
  <c r="Y329" i="13"/>
  <c r="Z329" i="13" s="1"/>
  <c r="Y345" i="13"/>
  <c r="Z345" i="13" s="1"/>
  <c r="N356" i="13"/>
  <c r="K356" i="13"/>
  <c r="V356" i="13" s="1"/>
  <c r="N358" i="13"/>
  <c r="N359" i="13"/>
  <c r="Y375" i="13"/>
  <c r="Z375" i="13" s="1"/>
  <c r="V375" i="13"/>
  <c r="R375" i="13"/>
  <c r="V381" i="13"/>
  <c r="Y381" i="13"/>
  <c r="Z381" i="13" s="1"/>
  <c r="K384" i="13"/>
  <c r="N384" i="13"/>
  <c r="R385" i="13"/>
  <c r="P386" i="13"/>
  <c r="O386" i="13"/>
  <c r="R388" i="13"/>
  <c r="V388" i="13"/>
  <c r="V401" i="13"/>
  <c r="Y401" i="13"/>
  <c r="Z401" i="13" s="1"/>
  <c r="R401" i="13"/>
  <c r="P404" i="13"/>
  <c r="O404" i="13"/>
  <c r="P418" i="13"/>
  <c r="O418" i="13"/>
  <c r="N419" i="13"/>
  <c r="Y420" i="13"/>
  <c r="Z420" i="13" s="1"/>
  <c r="V311" i="13"/>
  <c r="Y327" i="13"/>
  <c r="Z327" i="13" s="1"/>
  <c r="P337" i="13"/>
  <c r="V341" i="13"/>
  <c r="Y343" i="13"/>
  <c r="Z343" i="13" s="1"/>
  <c r="Y364" i="13"/>
  <c r="Z364" i="13" s="1"/>
  <c r="V364" i="13"/>
  <c r="Y366" i="13"/>
  <c r="Z366" i="13" s="1"/>
  <c r="Y367" i="13"/>
  <c r="Z367" i="13" s="1"/>
  <c r="P371" i="13"/>
  <c r="O371" i="13"/>
  <c r="N388" i="13"/>
  <c r="Y392" i="13"/>
  <c r="Z392" i="13" s="1"/>
  <c r="R394" i="13"/>
  <c r="V394" i="13"/>
  <c r="R398" i="13"/>
  <c r="P401" i="13"/>
  <c r="O401" i="13"/>
  <c r="P415" i="13"/>
  <c r="O415" i="13"/>
  <c r="R378" i="13"/>
  <c r="N383" i="13"/>
  <c r="AC387" i="13"/>
  <c r="N387" i="13"/>
  <c r="Y393" i="13"/>
  <c r="Z393" i="13" s="1"/>
  <c r="R402" i="13"/>
  <c r="Y402" i="13"/>
  <c r="Z402" i="13" s="1"/>
  <c r="V402" i="13"/>
  <c r="P433" i="13"/>
  <c r="O433" i="13"/>
  <c r="V377" i="13"/>
  <c r="R379" i="13"/>
  <c r="Y379" i="13"/>
  <c r="Z379" i="13" s="1"/>
  <c r="N393" i="13"/>
  <c r="K393" i="13"/>
  <c r="V393" i="13" s="1"/>
  <c r="AC394" i="13"/>
  <c r="N394" i="13"/>
  <c r="P395" i="13"/>
  <c r="O403" i="13"/>
  <c r="P403" i="13"/>
  <c r="Y412" i="13"/>
  <c r="Z412" i="13" s="1"/>
  <c r="Y437" i="13"/>
  <c r="Z437" i="13" s="1"/>
  <c r="Y389" i="13"/>
  <c r="Z389" i="13" s="1"/>
  <c r="N391" i="13"/>
  <c r="R399" i="13"/>
  <c r="Y399" i="13"/>
  <c r="Z399" i="13" s="1"/>
  <c r="N400" i="13"/>
  <c r="P405" i="13"/>
  <c r="O405" i="13"/>
  <c r="K412" i="13"/>
  <c r="N412" i="13"/>
  <c r="Y415" i="13"/>
  <c r="Z415" i="13" s="1"/>
  <c r="P423" i="13"/>
  <c r="O423" i="13"/>
  <c r="Y424" i="13"/>
  <c r="Z424" i="13" s="1"/>
  <c r="N414" i="13"/>
  <c r="R420" i="13"/>
  <c r="V433" i="13"/>
  <c r="P451" i="13"/>
  <c r="O451" i="13"/>
  <c r="Y474" i="13"/>
  <c r="Z474" i="13" s="1"/>
  <c r="K391" i="13"/>
  <c r="V391" i="13" s="1"/>
  <c r="R392" i="13"/>
  <c r="V396" i="13"/>
  <c r="R397" i="13"/>
  <c r="K405" i="13"/>
  <c r="V405" i="13" s="1"/>
  <c r="Y406" i="13"/>
  <c r="Z406" i="13" s="1"/>
  <c r="R406" i="13"/>
  <c r="R411" i="13"/>
  <c r="N413" i="13"/>
  <c r="R415" i="13"/>
  <c r="O416" i="13"/>
  <c r="R424" i="13"/>
  <c r="N426" i="13"/>
  <c r="R429" i="13"/>
  <c r="N431" i="13"/>
  <c r="Y431" i="13"/>
  <c r="Z431" i="13" s="1"/>
  <c r="R433" i="13"/>
  <c r="P435" i="13"/>
  <c r="O436" i="13"/>
  <c r="P437" i="13"/>
  <c r="O438" i="13"/>
  <c r="N442" i="13"/>
  <c r="N445" i="13"/>
  <c r="V452" i="13"/>
  <c r="R452" i="13"/>
  <c r="Y452" i="13"/>
  <c r="Z452" i="13" s="1"/>
  <c r="R458" i="13"/>
  <c r="Y458" i="13"/>
  <c r="Z458" i="13" s="1"/>
  <c r="N469" i="13"/>
  <c r="R412" i="13"/>
  <c r="K414" i="13"/>
  <c r="V414" i="13" s="1"/>
  <c r="K419" i="13"/>
  <c r="V419" i="13" s="1"/>
  <c r="V425" i="13"/>
  <c r="N428" i="13"/>
  <c r="K432" i="13"/>
  <c r="V432" i="13"/>
  <c r="O443" i="13"/>
  <c r="O444" i="13"/>
  <c r="Y446" i="13"/>
  <c r="Z446" i="13" s="1"/>
  <c r="K449" i="13"/>
  <c r="R451" i="13"/>
  <c r="V458" i="13"/>
  <c r="R470" i="13"/>
  <c r="N519" i="13"/>
  <c r="K519" i="13"/>
  <c r="V519" i="13" s="1"/>
  <c r="R519" i="13"/>
  <c r="R437" i="13"/>
  <c r="AC453" i="13"/>
  <c r="N453" i="13"/>
  <c r="K463" i="13"/>
  <c r="V463" i="13" s="1"/>
  <c r="N463" i="13"/>
  <c r="N465" i="13"/>
  <c r="R465" i="13"/>
  <c r="K470" i="13"/>
  <c r="V470" i="13" s="1"/>
  <c r="N470" i="13"/>
  <c r="O523" i="13"/>
  <c r="P523" i="13"/>
  <c r="R404" i="13"/>
  <c r="V415" i="13"/>
  <c r="Y433" i="13"/>
  <c r="Z433" i="13" s="1"/>
  <c r="R436" i="13"/>
  <c r="V436" i="13"/>
  <c r="R438" i="13"/>
  <c r="R443" i="13"/>
  <c r="V444" i="13"/>
  <c r="R444" i="13"/>
  <c r="O447" i="13"/>
  <c r="O449" i="13"/>
  <c r="O450" i="13"/>
  <c r="Y454" i="13"/>
  <c r="Z454" i="13" s="1"/>
  <c r="R454" i="13"/>
  <c r="O477" i="13"/>
  <c r="P477" i="13"/>
  <c r="P482" i="13"/>
  <c r="O482" i="13"/>
  <c r="V486" i="13"/>
  <c r="V516" i="13"/>
  <c r="R516" i="13"/>
  <c r="Y516" i="13"/>
  <c r="Z516" i="13" s="1"/>
  <c r="R522" i="13"/>
  <c r="Y522" i="13"/>
  <c r="Z522" i="13" s="1"/>
  <c r="V522" i="13"/>
  <c r="Y390" i="13"/>
  <c r="Z390" i="13" s="1"/>
  <c r="R390" i="13"/>
  <c r="N410" i="13"/>
  <c r="V412" i="13"/>
  <c r="R417" i="13"/>
  <c r="Y422" i="13"/>
  <c r="Z422" i="13" s="1"/>
  <c r="R422" i="13"/>
  <c r="V434" i="13"/>
  <c r="R439" i="13"/>
  <c r="Y440" i="13"/>
  <c r="Z440" i="13" s="1"/>
  <c r="R440" i="13"/>
  <c r="Y441" i="13"/>
  <c r="Z441" i="13" s="1"/>
  <c r="Y451" i="13"/>
  <c r="Z451" i="13" s="1"/>
  <c r="N454" i="13"/>
  <c r="K454" i="13"/>
  <c r="Y457" i="13"/>
  <c r="Z457" i="13" s="1"/>
  <c r="V457" i="13"/>
  <c r="V459" i="13"/>
  <c r="K465" i="13"/>
  <c r="V465" i="13" s="1"/>
  <c r="V466" i="13"/>
  <c r="R466" i="13"/>
  <c r="R474" i="13"/>
  <c r="N483" i="13"/>
  <c r="K483" i="13"/>
  <c r="V483" i="13" s="1"/>
  <c r="R483" i="13"/>
  <c r="Z496" i="13"/>
  <c r="AC496" i="13"/>
  <c r="P499" i="13"/>
  <c r="O499" i="13"/>
  <c r="O406" i="13"/>
  <c r="V409" i="13"/>
  <c r="N422" i="13"/>
  <c r="Y425" i="13"/>
  <c r="Z425" i="13" s="1"/>
  <c r="K430" i="13"/>
  <c r="Y436" i="13"/>
  <c r="Z436" i="13" s="1"/>
  <c r="V437" i="13"/>
  <c r="Y444" i="13"/>
  <c r="Z444" i="13" s="1"/>
  <c r="P459" i="13"/>
  <c r="O459" i="13"/>
  <c r="N461" i="13"/>
  <c r="Y464" i="13"/>
  <c r="Z464" i="13" s="1"/>
  <c r="AC472" i="13"/>
  <c r="Z472" i="13"/>
  <c r="O476" i="13"/>
  <c r="Y488" i="13"/>
  <c r="Z488" i="13" s="1"/>
  <c r="V488" i="13"/>
  <c r="P498" i="13"/>
  <c r="O498" i="13"/>
  <c r="V500" i="13"/>
  <c r="R500" i="13"/>
  <c r="Y500" i="13"/>
  <c r="Z500" i="13" s="1"/>
  <c r="N502" i="13"/>
  <c r="K502" i="13"/>
  <c r="V502" i="13" s="1"/>
  <c r="R502" i="13"/>
  <c r="R409" i="13"/>
  <c r="Y414" i="13"/>
  <c r="Z414" i="13" s="1"/>
  <c r="R414" i="13"/>
  <c r="V426" i="13"/>
  <c r="N434" i="13"/>
  <c r="Y443" i="13"/>
  <c r="Z443" i="13" s="1"/>
  <c r="R463" i="13"/>
  <c r="P490" i="13"/>
  <c r="O490" i="13"/>
  <c r="Y493" i="13"/>
  <c r="Z493" i="13" s="1"/>
  <c r="V493" i="13"/>
  <c r="N441" i="13"/>
  <c r="Y449" i="13"/>
  <c r="Z449" i="13" s="1"/>
  <c r="V449" i="13"/>
  <c r="R449" i="13"/>
  <c r="V462" i="13"/>
  <c r="N474" i="13"/>
  <c r="K474" i="13"/>
  <c r="V474" i="13" s="1"/>
  <c r="N479" i="13"/>
  <c r="K479" i="13"/>
  <c r="V479" i="13" s="1"/>
  <c r="N462" i="13"/>
  <c r="K462" i="13"/>
  <c r="P467" i="13"/>
  <c r="O467" i="13"/>
  <c r="Y468" i="13"/>
  <c r="Z468" i="13" s="1"/>
  <c r="V468" i="13"/>
  <c r="R468" i="13"/>
  <c r="Z512" i="13"/>
  <c r="K441" i="13"/>
  <c r="V441" i="13" s="1"/>
  <c r="N446" i="13"/>
  <c r="K446" i="13"/>
  <c r="V446" i="13" s="1"/>
  <c r="N448" i="13"/>
  <c r="V450" i="13"/>
  <c r="Y456" i="13"/>
  <c r="Z456" i="13" s="1"/>
  <c r="K457" i="13"/>
  <c r="N458" i="13"/>
  <c r="V460" i="13"/>
  <c r="R460" i="13"/>
  <c r="Y465" i="13"/>
  <c r="Z465" i="13" s="1"/>
  <c r="V475" i="13"/>
  <c r="Y475" i="13"/>
  <c r="Z475" i="13" s="1"/>
  <c r="R475" i="13"/>
  <c r="P481" i="13"/>
  <c r="O481" i="13"/>
  <c r="P491" i="13"/>
  <c r="O491" i="13"/>
  <c r="K531" i="13"/>
  <c r="V531" i="13" s="1"/>
  <c r="R531" i="13"/>
  <c r="AC480" i="13"/>
  <c r="K482" i="13"/>
  <c r="V482" i="13"/>
  <c r="R499" i="13"/>
  <c r="Z505" i="13"/>
  <c r="Y511" i="13"/>
  <c r="Z511" i="13" s="1"/>
  <c r="R511" i="13"/>
  <c r="V511" i="13"/>
  <c r="N512" i="13"/>
  <c r="V513" i="13"/>
  <c r="R513" i="13"/>
  <c r="V514" i="13"/>
  <c r="O520" i="13"/>
  <c r="R524" i="13"/>
  <c r="Z524" i="13"/>
  <c r="V528" i="13"/>
  <c r="P529" i="13"/>
  <c r="P536" i="13"/>
  <c r="O536" i="13"/>
  <c r="N456" i="13"/>
  <c r="N464" i="13"/>
  <c r="R471" i="13"/>
  <c r="N473" i="13"/>
  <c r="R480" i="13"/>
  <c r="Y482" i="13"/>
  <c r="Z482" i="13" s="1"/>
  <c r="R485" i="13"/>
  <c r="N487" i="13"/>
  <c r="R489" i="13"/>
  <c r="AC489" i="13"/>
  <c r="N494" i="13"/>
  <c r="K494" i="13"/>
  <c r="V494" i="13" s="1"/>
  <c r="R495" i="13"/>
  <c r="AC495" i="13"/>
  <c r="R507" i="13"/>
  <c r="K524" i="13"/>
  <c r="V524" i="13" s="1"/>
  <c r="N524" i="13"/>
  <c r="AC527" i="13"/>
  <c r="N527" i="13"/>
  <c r="V533" i="13"/>
  <c r="P544" i="13"/>
  <c r="O544" i="13"/>
  <c r="Y548" i="13"/>
  <c r="Z548" i="13" s="1"/>
  <c r="V548" i="13"/>
  <c r="R548" i="13"/>
  <c r="N556" i="13"/>
  <c r="K556" i="13"/>
  <c r="R556" i="13"/>
  <c r="P558" i="13"/>
  <c r="O558" i="13"/>
  <c r="T484" i="13"/>
  <c r="R486" i="13"/>
  <c r="Y497" i="13"/>
  <c r="Z497" i="13" s="1"/>
  <c r="V497" i="13"/>
  <c r="R497" i="13"/>
  <c r="AC506" i="13"/>
  <c r="N506" i="13"/>
  <c r="Y515" i="13"/>
  <c r="Z515" i="13" s="1"/>
  <c r="V515" i="13"/>
  <c r="N526" i="13"/>
  <c r="K526" i="13"/>
  <c r="V526" i="13" s="1"/>
  <c r="N531" i="13"/>
  <c r="N535" i="13"/>
  <c r="N537" i="13"/>
  <c r="K537" i="13"/>
  <c r="N548" i="13"/>
  <c r="K548" i="13"/>
  <c r="AC554" i="13"/>
  <c r="N554" i="13"/>
  <c r="R472" i="13"/>
  <c r="V484" i="13"/>
  <c r="K486" i="13"/>
  <c r="N492" i="13"/>
  <c r="Y499" i="13"/>
  <c r="Z499" i="13" s="1"/>
  <c r="V503" i="13"/>
  <c r="R503" i="13"/>
  <c r="R504" i="13"/>
  <c r="K505" i="13"/>
  <c r="V505" i="13" s="1"/>
  <c r="AC509" i="13"/>
  <c r="N509" i="13"/>
  <c r="Y510" i="13"/>
  <c r="Z510" i="13" s="1"/>
  <c r="P516" i="13"/>
  <c r="O516" i="13"/>
  <c r="AC522" i="13"/>
  <c r="N522" i="13"/>
  <c r="R523" i="13"/>
  <c r="N533" i="13"/>
  <c r="Y534" i="13"/>
  <c r="Z534" i="13" s="1"/>
  <c r="V534" i="13"/>
  <c r="R534" i="13"/>
  <c r="N553" i="13"/>
  <c r="K553" i="13"/>
  <c r="K480" i="13"/>
  <c r="V480" i="13" s="1"/>
  <c r="Y484" i="13"/>
  <c r="Z484" i="13" s="1"/>
  <c r="V491" i="13"/>
  <c r="N496" i="13"/>
  <c r="V498" i="13"/>
  <c r="K499" i="13"/>
  <c r="V499" i="13" s="1"/>
  <c r="N504" i="13"/>
  <c r="Z504" i="13"/>
  <c r="V507" i="13"/>
  <c r="N510" i="13"/>
  <c r="K510" i="13"/>
  <c r="V510" i="13" s="1"/>
  <c r="N528" i="13"/>
  <c r="R529" i="13"/>
  <c r="Y529" i="13"/>
  <c r="Z529" i="13" s="1"/>
  <c r="V476" i="13"/>
  <c r="K478" i="13"/>
  <c r="V478" i="13" s="1"/>
  <c r="R491" i="13"/>
  <c r="P493" i="13"/>
  <c r="Y498" i="13"/>
  <c r="Z498" i="13" s="1"/>
  <c r="O500" i="13"/>
  <c r="P501" i="13"/>
  <c r="V512" i="13"/>
  <c r="N525" i="13"/>
  <c r="Z525" i="13"/>
  <c r="R527" i="13"/>
  <c r="V527" i="13"/>
  <c r="Y540" i="13"/>
  <c r="Z540" i="13" s="1"/>
  <c r="V540" i="13"/>
  <c r="R540" i="13"/>
  <c r="Y542" i="13"/>
  <c r="Z542" i="13" s="1"/>
  <c r="V542" i="13"/>
  <c r="R542" i="13"/>
  <c r="K496" i="13"/>
  <c r="V496" i="13" s="1"/>
  <c r="Z502" i="13"/>
  <c r="R506" i="13"/>
  <c r="V506" i="13"/>
  <c r="Z514" i="13"/>
  <c r="N515" i="13"/>
  <c r="Z518" i="13"/>
  <c r="O521" i="13"/>
  <c r="R528" i="13"/>
  <c r="O530" i="13"/>
  <c r="Z531" i="13"/>
  <c r="V535" i="13"/>
  <c r="P542" i="13"/>
  <c r="O542" i="13"/>
  <c r="P543" i="13"/>
  <c r="N555" i="13"/>
  <c r="R520" i="13"/>
  <c r="Z523" i="13"/>
  <c r="R525" i="13"/>
  <c r="Z544" i="13"/>
  <c r="Y561" i="13"/>
  <c r="Z561" i="13" s="1"/>
  <c r="P563" i="13"/>
  <c r="O563" i="13"/>
  <c r="E6" i="15"/>
  <c r="R508" i="13"/>
  <c r="O513" i="13"/>
  <c r="V521" i="13"/>
  <c r="R532" i="13"/>
  <c r="AC538" i="13"/>
  <c r="N538" i="13"/>
  <c r="N539" i="13"/>
  <c r="V543" i="13"/>
  <c r="R543" i="13"/>
  <c r="Y550" i="13"/>
  <c r="Z550" i="13" s="1"/>
  <c r="V550" i="13"/>
  <c r="R550" i="13"/>
  <c r="V559" i="13"/>
  <c r="R559" i="13"/>
  <c r="Y559" i="13"/>
  <c r="Z559" i="13" s="1"/>
  <c r="O561" i="13"/>
  <c r="P561" i="13"/>
  <c r="B59" i="14"/>
  <c r="K511" i="13"/>
  <c r="N514" i="13"/>
  <c r="R521" i="13"/>
  <c r="K525" i="13"/>
  <c r="V525" i="13" s="1"/>
  <c r="R526" i="13"/>
  <c r="K529" i="13"/>
  <c r="V529" i="13" s="1"/>
  <c r="R535" i="13"/>
  <c r="P547" i="13"/>
  <c r="O547" i="13"/>
  <c r="P550" i="13"/>
  <c r="O550" i="13"/>
  <c r="Z552" i="13"/>
  <c r="Z555" i="13"/>
  <c r="V508" i="13"/>
  <c r="R518" i="13"/>
  <c r="V530" i="13"/>
  <c r="Y532" i="13"/>
  <c r="Z532" i="13" s="1"/>
  <c r="N534" i="13"/>
  <c r="N540" i="13"/>
  <c r="K540" i="13"/>
  <c r="N545" i="13"/>
  <c r="K545" i="13"/>
  <c r="V551" i="13"/>
  <c r="R551" i="13"/>
  <c r="N518" i="13"/>
  <c r="Y521" i="13"/>
  <c r="Z521" i="13" s="1"/>
  <c r="Y530" i="13"/>
  <c r="Z530" i="13" s="1"/>
  <c r="N532" i="13"/>
  <c r="Y537" i="13"/>
  <c r="Z537" i="13" s="1"/>
  <c r="V537" i="13"/>
  <c r="R537" i="13"/>
  <c r="R538" i="13"/>
  <c r="Y538" i="13"/>
  <c r="Z538" i="13" s="1"/>
  <c r="Z546" i="13"/>
  <c r="Y551" i="13"/>
  <c r="Z551" i="13" s="1"/>
  <c r="N552" i="13"/>
  <c r="Z553" i="13"/>
  <c r="Y556" i="13"/>
  <c r="Z556" i="13" s="1"/>
  <c r="V556" i="13"/>
  <c r="R555" i="13"/>
  <c r="R563" i="13"/>
  <c r="O564" i="13"/>
  <c r="N567" i="13"/>
  <c r="Y567" i="13"/>
  <c r="Z567" i="13" s="1"/>
  <c r="K544" i="13"/>
  <c r="V544" i="13" s="1"/>
  <c r="K552" i="13"/>
  <c r="V552" i="13" s="1"/>
  <c r="R558" i="13"/>
  <c r="K560" i="13"/>
  <c r="V560" i="13" s="1"/>
  <c r="V565" i="13"/>
  <c r="R566" i="13"/>
  <c r="B43" i="14"/>
  <c r="R561" i="13"/>
  <c r="O562" i="13"/>
  <c r="N560" i="13"/>
  <c r="V563" i="13"/>
  <c r="R564" i="13"/>
  <c r="O565" i="13"/>
  <c r="V558" i="13"/>
  <c r="K561" i="13"/>
  <c r="V566" i="13"/>
  <c r="R567" i="13"/>
  <c r="V545" i="13"/>
  <c r="V553" i="13"/>
  <c r="V561" i="13"/>
  <c r="B47" i="14"/>
  <c r="AM120" i="11" l="1"/>
  <c r="R262" i="5"/>
  <c r="R279" i="5"/>
  <c r="R131" i="5"/>
  <c r="S131" i="5" s="1"/>
  <c r="R46" i="5"/>
  <c r="S46" i="5" s="1"/>
  <c r="R145" i="5"/>
  <c r="S145" i="5" s="1"/>
  <c r="R285" i="5"/>
  <c r="S285" i="5" s="1"/>
  <c r="R170" i="5"/>
  <c r="S170" i="5" s="1"/>
  <c r="R208" i="5"/>
  <c r="S208" i="5" s="1"/>
  <c r="R270" i="5"/>
  <c r="S270" i="5" s="1"/>
  <c r="R21" i="5"/>
  <c r="S21" i="5" s="1"/>
  <c r="R226" i="5"/>
  <c r="S226" i="5" s="1"/>
  <c r="R73" i="5"/>
  <c r="S73" i="5" s="1"/>
  <c r="R15" i="5"/>
  <c r="R179" i="5"/>
  <c r="S179" i="5" s="1"/>
  <c r="R10" i="5"/>
  <c r="R243" i="5"/>
  <c r="S243" i="5" s="1"/>
  <c r="R136" i="5"/>
  <c r="S136" i="5" s="1"/>
  <c r="R125" i="5"/>
  <c r="S125" i="5" s="1"/>
  <c r="R224" i="5"/>
  <c r="S224" i="5" s="1"/>
  <c r="R35" i="5"/>
  <c r="S35" i="5" s="1"/>
  <c r="R64" i="5"/>
  <c r="S64" i="5" s="1"/>
  <c r="R189" i="5"/>
  <c r="S189" i="5" s="1"/>
  <c r="R172" i="5"/>
  <c r="S172" i="5" s="1"/>
  <c r="R5" i="5"/>
  <c r="S5" i="5" s="1"/>
  <c r="R135" i="5"/>
  <c r="S135" i="5" s="1"/>
  <c r="R227" i="5"/>
  <c r="R12" i="5"/>
  <c r="S12" i="5" s="1"/>
  <c r="R152" i="5"/>
  <c r="S152" i="5" s="1"/>
  <c r="R39" i="5"/>
  <c r="S39" i="5" s="1"/>
  <c r="I17" i="9"/>
  <c r="R27" i="5"/>
  <c r="S27" i="5" s="1"/>
  <c r="Q120" i="11"/>
  <c r="Y228" i="13"/>
  <c r="Z228" i="13" s="1"/>
  <c r="Y246" i="13"/>
  <c r="Z246" i="13" s="1"/>
  <c r="R31" i="5"/>
  <c r="S31" i="5" s="1"/>
  <c r="Y128" i="13"/>
  <c r="Z128" i="13" s="1"/>
  <c r="R161" i="5"/>
  <c r="S161" i="5" s="1"/>
  <c r="I14" i="9"/>
  <c r="L6" i="9"/>
  <c r="AS44" i="11"/>
  <c r="R209" i="5"/>
  <c r="S209" i="5" s="1"/>
  <c r="R163" i="5"/>
  <c r="S163" i="5" s="1"/>
  <c r="Y250" i="13"/>
  <c r="Z250" i="13" s="1"/>
  <c r="I18" i="9"/>
  <c r="K18" i="9"/>
  <c r="F257" i="9"/>
  <c r="H157" i="9" s="1" a="1"/>
  <c r="H157" i="9" s="1"/>
  <c r="R86" i="5"/>
  <c r="S86" i="5" s="1"/>
  <c r="I8" i="9"/>
  <c r="AD157" i="9" a="1"/>
  <c r="AD157" i="9" s="1"/>
  <c r="AB157" i="9" a="1"/>
  <c r="AB157" i="9" s="1"/>
  <c r="Z157" i="9" a="1"/>
  <c r="Z157" i="9" s="1"/>
  <c r="X157" i="9" a="1"/>
  <c r="X157" i="9" s="1"/>
  <c r="V157" i="9" a="1"/>
  <c r="V157" i="9" s="1"/>
  <c r="T157" i="9" a="1"/>
  <c r="T157" i="9" s="1"/>
  <c r="R157" i="9" a="1"/>
  <c r="R157" i="9" s="1"/>
  <c r="V3" i="13"/>
  <c r="O534" i="13"/>
  <c r="P534" i="13"/>
  <c r="O538" i="13"/>
  <c r="P538" i="13"/>
  <c r="P494" i="13"/>
  <c r="O494" i="13"/>
  <c r="O445" i="13"/>
  <c r="P445" i="13"/>
  <c r="O525" i="13"/>
  <c r="P525" i="13"/>
  <c r="P474" i="13"/>
  <c r="O474" i="13"/>
  <c r="O422" i="13"/>
  <c r="P422" i="13"/>
  <c r="P410" i="13"/>
  <c r="O410" i="13"/>
  <c r="O394" i="13"/>
  <c r="P394" i="13"/>
  <c r="P514" i="13"/>
  <c r="O514" i="13"/>
  <c r="O553" i="13"/>
  <c r="P553" i="13"/>
  <c r="P526" i="13"/>
  <c r="O526" i="13"/>
  <c r="P448" i="13"/>
  <c r="O448" i="13"/>
  <c r="P519" i="13"/>
  <c r="O519" i="13"/>
  <c r="O469" i="13"/>
  <c r="P469" i="13"/>
  <c r="O412" i="13"/>
  <c r="P412" i="13"/>
  <c r="O315" i="13"/>
  <c r="P315" i="13"/>
  <c r="P302" i="13"/>
  <c r="O302" i="13"/>
  <c r="O296" i="13"/>
  <c r="P296" i="13"/>
  <c r="O370" i="13"/>
  <c r="P370" i="13"/>
  <c r="P340" i="13"/>
  <c r="O340" i="13"/>
  <c r="P351" i="13"/>
  <c r="O351" i="13"/>
  <c r="P366" i="13"/>
  <c r="O366" i="13"/>
  <c r="P264" i="13"/>
  <c r="O264" i="13"/>
  <c r="P323" i="13"/>
  <c r="O323" i="13"/>
  <c r="P250" i="13"/>
  <c r="O250" i="13"/>
  <c r="P266" i="13"/>
  <c r="O266" i="13"/>
  <c r="Z218" i="13"/>
  <c r="R88" i="5" s="1"/>
  <c r="S88" i="5" s="1"/>
  <c r="I11" i="9" s="1"/>
  <c r="P326" i="13"/>
  <c r="O326" i="13"/>
  <c r="P291" i="13"/>
  <c r="O291" i="13"/>
  <c r="O219" i="13"/>
  <c r="P219" i="13"/>
  <c r="P118" i="13"/>
  <c r="O118" i="13"/>
  <c r="O545" i="13"/>
  <c r="P545" i="13"/>
  <c r="O506" i="13"/>
  <c r="P506" i="13"/>
  <c r="O369" i="13"/>
  <c r="P369" i="13"/>
  <c r="O312" i="13"/>
  <c r="P312" i="13"/>
  <c r="P193" i="13"/>
  <c r="O193" i="13"/>
  <c r="P145" i="13"/>
  <c r="O145" i="13"/>
  <c r="O101" i="13"/>
  <c r="P101" i="13"/>
  <c r="O77" i="13"/>
  <c r="P77" i="13"/>
  <c r="O85" i="13"/>
  <c r="P85" i="13"/>
  <c r="G120" i="11"/>
  <c r="L120" i="11"/>
  <c r="W196" i="5"/>
  <c r="X196" i="5" s="1"/>
  <c r="Y196" i="5" s="1"/>
  <c r="F196" i="5"/>
  <c r="R196" i="5" s="1"/>
  <c r="S196" i="5" s="1"/>
  <c r="R271" i="5"/>
  <c r="S271" i="5" s="1"/>
  <c r="Y129" i="13"/>
  <c r="Z129" i="13" s="1"/>
  <c r="R249" i="5" s="1"/>
  <c r="R205" i="5"/>
  <c r="S205" i="5" s="1"/>
  <c r="K12" i="9"/>
  <c r="I12" i="9"/>
  <c r="R142" i="5"/>
  <c r="S142" i="5" s="1"/>
  <c r="R165" i="5"/>
  <c r="S165" i="5" s="1"/>
  <c r="I13" i="9"/>
  <c r="Y233" i="13"/>
  <c r="Z233" i="13" s="1"/>
  <c r="R63" i="5"/>
  <c r="S63" i="5" s="1"/>
  <c r="P464" i="13"/>
  <c r="O464" i="13"/>
  <c r="P496" i="13"/>
  <c r="O496" i="13"/>
  <c r="P88" i="13"/>
  <c r="O88" i="13"/>
  <c r="P509" i="13"/>
  <c r="O509" i="13"/>
  <c r="O537" i="13"/>
  <c r="P537" i="13"/>
  <c r="P458" i="13"/>
  <c r="O458" i="13"/>
  <c r="P213" i="13"/>
  <c r="O213" i="13"/>
  <c r="O165" i="13"/>
  <c r="P165" i="13"/>
  <c r="O211" i="13"/>
  <c r="P211" i="13"/>
  <c r="P129" i="13"/>
  <c r="O129" i="13"/>
  <c r="P98" i="13"/>
  <c r="O98" i="13"/>
  <c r="AS24" i="11"/>
  <c r="D120" i="11"/>
  <c r="W24" i="5"/>
  <c r="X24" i="5" s="1"/>
  <c r="Y24" i="5" s="1"/>
  <c r="F24" i="5"/>
  <c r="K22" i="9"/>
  <c r="R60" i="5"/>
  <c r="S60" i="5" s="1"/>
  <c r="P567" i="13"/>
  <c r="O567" i="13"/>
  <c r="P528" i="13"/>
  <c r="O528" i="13"/>
  <c r="P492" i="13"/>
  <c r="O492" i="13"/>
  <c r="P462" i="13"/>
  <c r="O462" i="13"/>
  <c r="O502" i="13"/>
  <c r="P502" i="13"/>
  <c r="O454" i="13"/>
  <c r="P454" i="13"/>
  <c r="O453" i="13"/>
  <c r="P453" i="13"/>
  <c r="P428" i="13"/>
  <c r="O428" i="13"/>
  <c r="P414" i="13"/>
  <c r="O414" i="13"/>
  <c r="O384" i="13"/>
  <c r="P384" i="13"/>
  <c r="P358" i="13"/>
  <c r="O358" i="13"/>
  <c r="P385" i="13"/>
  <c r="O385" i="13"/>
  <c r="O317" i="13"/>
  <c r="P317" i="13"/>
  <c r="P332" i="13"/>
  <c r="O332" i="13"/>
  <c r="P258" i="13"/>
  <c r="O258" i="13"/>
  <c r="P238" i="13"/>
  <c r="O238" i="13"/>
  <c r="P279" i="13"/>
  <c r="O279" i="13"/>
  <c r="P136" i="13"/>
  <c r="O136" i="13"/>
  <c r="C7" i="15"/>
  <c r="E7" i="15" s="1"/>
  <c r="B63" i="14"/>
  <c r="B70" i="14" s="1"/>
  <c r="B69" i="14" s="1"/>
  <c r="D8" i="15"/>
  <c r="E8" i="15" s="1"/>
  <c r="AT114" i="11"/>
  <c r="AT112" i="11"/>
  <c r="AT110" i="11"/>
  <c r="AT108" i="11"/>
  <c r="AT106" i="11"/>
  <c r="AT104" i="11"/>
  <c r="AT102" i="11"/>
  <c r="AT115" i="11"/>
  <c r="AT113" i="11"/>
  <c r="AT111" i="11"/>
  <c r="AT109" i="11"/>
  <c r="AT105" i="11"/>
  <c r="AT101" i="11"/>
  <c r="AT99" i="11"/>
  <c r="AT97" i="11"/>
  <c r="AT95" i="11"/>
  <c r="AT93" i="11"/>
  <c r="AT91" i="11"/>
  <c r="AT89" i="11"/>
  <c r="AT87" i="11"/>
  <c r="AT85" i="11"/>
  <c r="AT83" i="11"/>
  <c r="AT81" i="11"/>
  <c r="AT79" i="11"/>
  <c r="AT77" i="11"/>
  <c r="AT75" i="11"/>
  <c r="AT73" i="11"/>
  <c r="AT71" i="11"/>
  <c r="AT69" i="11"/>
  <c r="AT67" i="11"/>
  <c r="AT65" i="11"/>
  <c r="AT63" i="11"/>
  <c r="AT61" i="11"/>
  <c r="AT59" i="11"/>
  <c r="AT57" i="11"/>
  <c r="AT55" i="11"/>
  <c r="AT53" i="11"/>
  <c r="AT51" i="11"/>
  <c r="AT49" i="11"/>
  <c r="AT47" i="11"/>
  <c r="AT45" i="11"/>
  <c r="AT107" i="11"/>
  <c r="AT100" i="11"/>
  <c r="AT98" i="11"/>
  <c r="AT96" i="11"/>
  <c r="AT94" i="11"/>
  <c r="AT92" i="11"/>
  <c r="AT90" i="11"/>
  <c r="AT88" i="11"/>
  <c r="AT86" i="11"/>
  <c r="AT84" i="11"/>
  <c r="AT82" i="11"/>
  <c r="AT80" i="11"/>
  <c r="AT78" i="11"/>
  <c r="AT76" i="11"/>
  <c r="AT74" i="11"/>
  <c r="AT72" i="11"/>
  <c r="AT70" i="11"/>
  <c r="AT68" i="11"/>
  <c r="AT66" i="11"/>
  <c r="AT64" i="11"/>
  <c r="AT62" i="11"/>
  <c r="AT60" i="11"/>
  <c r="AT58" i="11"/>
  <c r="AT56" i="11"/>
  <c r="AT103" i="11"/>
  <c r="AT54" i="11"/>
  <c r="AT52" i="11"/>
  <c r="AT43" i="11"/>
  <c r="AT41" i="11"/>
  <c r="AT39" i="11"/>
  <c r="AT46" i="11"/>
  <c r="AT27" i="11"/>
  <c r="AT25" i="11"/>
  <c r="AT23" i="11"/>
  <c r="AT21" i="11"/>
  <c r="AT19" i="11"/>
  <c r="AT17" i="11"/>
  <c r="AT15" i="11"/>
  <c r="AT13" i="11"/>
  <c r="AT48" i="11"/>
  <c r="AT44" i="11"/>
  <c r="AT42" i="11"/>
  <c r="AT40" i="11"/>
  <c r="AT38" i="11"/>
  <c r="AT36" i="11"/>
  <c r="AT34" i="11"/>
  <c r="AT50" i="11"/>
  <c r="AT26" i="11"/>
  <c r="AT24" i="11"/>
  <c r="AT22" i="11"/>
  <c r="AT20" i="11"/>
  <c r="AT18" i="11"/>
  <c r="AT14" i="11"/>
  <c r="AU9" i="11"/>
  <c r="AT16" i="11"/>
  <c r="AT33" i="11"/>
  <c r="AT35" i="11"/>
  <c r="AT37" i="11"/>
  <c r="P555" i="13"/>
  <c r="O555" i="13"/>
  <c r="P533" i="13"/>
  <c r="O533" i="13"/>
  <c r="P434" i="13"/>
  <c r="O434" i="13"/>
  <c r="O413" i="13"/>
  <c r="P413" i="13"/>
  <c r="P400" i="13"/>
  <c r="O400" i="13"/>
  <c r="P398" i="13"/>
  <c r="O398" i="13"/>
  <c r="P399" i="13"/>
  <c r="O399" i="13"/>
  <c r="P421" i="13"/>
  <c r="O421" i="13"/>
  <c r="P331" i="13"/>
  <c r="O331" i="13"/>
  <c r="O336" i="13"/>
  <c r="P336" i="13"/>
  <c r="P328" i="13"/>
  <c r="O328" i="13"/>
  <c r="P232" i="13"/>
  <c r="O232" i="13"/>
  <c r="P292" i="13"/>
  <c r="O292" i="13"/>
  <c r="R3" i="13"/>
  <c r="F25" i="5"/>
  <c r="W25" i="5"/>
  <c r="X25" i="5" s="1"/>
  <c r="Y25" i="5" s="1"/>
  <c r="I20" i="9"/>
  <c r="R267" i="5"/>
  <c r="S267" i="5" s="1"/>
  <c r="D98" i="9"/>
  <c r="R203" i="5"/>
  <c r="S203" i="5" s="1"/>
  <c r="P540" i="13"/>
  <c r="O540" i="13"/>
  <c r="P539" i="13"/>
  <c r="O539" i="13"/>
  <c r="P510" i="13"/>
  <c r="O510" i="13"/>
  <c r="P535" i="13"/>
  <c r="O535" i="13"/>
  <c r="P527" i="13"/>
  <c r="O527" i="13"/>
  <c r="P473" i="13"/>
  <c r="O473" i="13"/>
  <c r="P512" i="13"/>
  <c r="O512" i="13"/>
  <c r="P479" i="13"/>
  <c r="O479" i="13"/>
  <c r="P441" i="13"/>
  <c r="O441" i="13"/>
  <c r="P470" i="13"/>
  <c r="O470" i="13"/>
  <c r="P387" i="13"/>
  <c r="O387" i="13"/>
  <c r="P356" i="13"/>
  <c r="O356" i="13"/>
  <c r="P392" i="13"/>
  <c r="O392" i="13"/>
  <c r="P311" i="13"/>
  <c r="O311" i="13"/>
  <c r="P300" i="13"/>
  <c r="O300" i="13"/>
  <c r="P425" i="13"/>
  <c r="O425" i="13"/>
  <c r="O353" i="13"/>
  <c r="P353" i="13"/>
  <c r="P316" i="13"/>
  <c r="O316" i="13"/>
  <c r="P344" i="13"/>
  <c r="O344" i="13"/>
  <c r="P283" i="13"/>
  <c r="O283" i="13"/>
  <c r="P282" i="13"/>
  <c r="O282" i="13"/>
  <c r="P244" i="13"/>
  <c r="O244" i="13"/>
  <c r="P327" i="13"/>
  <c r="O327" i="13"/>
  <c r="P178" i="13"/>
  <c r="O178" i="13"/>
  <c r="P198" i="13"/>
  <c r="O198" i="13"/>
  <c r="O70" i="13"/>
  <c r="P70" i="13"/>
  <c r="P3" i="13" s="1"/>
  <c r="F213" i="5"/>
  <c r="W213" i="5"/>
  <c r="X213" i="5" s="1"/>
  <c r="Y213" i="5" s="1"/>
  <c r="I19" i="9"/>
  <c r="J9" i="9"/>
  <c r="W180" i="5"/>
  <c r="X180" i="5" s="1"/>
  <c r="Y180" i="5" s="1"/>
  <c r="F180" i="5"/>
  <c r="K11" i="9"/>
  <c r="I23" i="9"/>
  <c r="Y247" i="13"/>
  <c r="Z247" i="13" s="1"/>
  <c r="R148" i="5"/>
  <c r="S148" i="5" s="1"/>
  <c r="R178" i="5"/>
  <c r="S178" i="5" s="1"/>
  <c r="K9" i="9"/>
  <c r="R194" i="5"/>
  <c r="S194" i="5" s="1"/>
  <c r="I15" i="9"/>
  <c r="K10" i="9"/>
  <c r="K19" i="9"/>
  <c r="K17" i="9"/>
  <c r="J8" i="9"/>
  <c r="R114" i="5"/>
  <c r="R61" i="5"/>
  <c r="S61" i="5" s="1"/>
  <c r="R23" i="5"/>
  <c r="S23" i="5" s="1"/>
  <c r="P518" i="13"/>
  <c r="O518" i="13"/>
  <c r="O515" i="13"/>
  <c r="P515" i="13"/>
  <c r="P522" i="13"/>
  <c r="O522" i="13"/>
  <c r="P531" i="13"/>
  <c r="O531" i="13"/>
  <c r="P556" i="13"/>
  <c r="O556" i="13"/>
  <c r="O419" i="13"/>
  <c r="P419" i="13"/>
  <c r="P420" i="13"/>
  <c r="O420" i="13"/>
  <c r="P347" i="13"/>
  <c r="O347" i="13"/>
  <c r="P335" i="13"/>
  <c r="O335" i="13"/>
  <c r="P298" i="13"/>
  <c r="O298" i="13"/>
  <c r="P324" i="13"/>
  <c r="O324" i="13"/>
  <c r="P269" i="13"/>
  <c r="O269" i="13"/>
  <c r="P352" i="13"/>
  <c r="O352" i="13"/>
  <c r="P379" i="13"/>
  <c r="O379" i="13"/>
  <c r="P170" i="13"/>
  <c r="O170" i="13"/>
  <c r="P106" i="13"/>
  <c r="O106" i="13"/>
  <c r="W26" i="5"/>
  <c r="X26" i="5" s="1"/>
  <c r="Y26" i="5" s="1"/>
  <c r="F26" i="5"/>
  <c r="F153" i="5"/>
  <c r="W153" i="5"/>
  <c r="X153" i="5" s="1"/>
  <c r="Y153" i="5" s="1"/>
  <c r="W258" i="5"/>
  <c r="X258" i="5" s="1"/>
  <c r="Y258" i="5" s="1"/>
  <c r="F258" i="5"/>
  <c r="E116" i="9"/>
  <c r="I7" i="9"/>
  <c r="I16" i="9"/>
  <c r="R193" i="5"/>
  <c r="S193" i="5" s="1"/>
  <c r="Y229" i="13"/>
  <c r="Z229" i="13" s="1"/>
  <c r="R146" i="5"/>
  <c r="S146" i="5" s="1"/>
  <c r="R169" i="5"/>
  <c r="S169" i="5" s="1"/>
  <c r="R206" i="5"/>
  <c r="S206" i="5" s="1"/>
  <c r="R113" i="5"/>
  <c r="S113" i="5" s="1"/>
  <c r="R87" i="5"/>
  <c r="S87" i="5" s="1"/>
  <c r="K13" i="9"/>
  <c r="D68" i="9"/>
  <c r="K8" i="9"/>
  <c r="K20" i="9"/>
  <c r="R107" i="5"/>
  <c r="S107" i="5" s="1"/>
  <c r="O461" i="13"/>
  <c r="P461" i="13"/>
  <c r="P442" i="13"/>
  <c r="O442" i="13"/>
  <c r="P389" i="13"/>
  <c r="O389" i="13"/>
  <c r="P242" i="13"/>
  <c r="O242" i="13"/>
  <c r="P246" i="13"/>
  <c r="O246" i="13"/>
  <c r="P208" i="13"/>
  <c r="O208" i="13"/>
  <c r="P179" i="13"/>
  <c r="O179" i="13"/>
  <c r="P190" i="13"/>
  <c r="O190" i="13"/>
  <c r="P192" i="13"/>
  <c r="O192" i="13"/>
  <c r="P120" i="13"/>
  <c r="O120" i="13"/>
  <c r="P97" i="13"/>
  <c r="O97" i="13"/>
  <c r="W124" i="5"/>
  <c r="X124" i="5" s="1"/>
  <c r="Y124" i="5" s="1"/>
  <c r="F124" i="5"/>
  <c r="M21" i="9" s="1"/>
  <c r="W118" i="5"/>
  <c r="X118" i="5" s="1"/>
  <c r="Y118" i="5" s="1"/>
  <c r="F118" i="5"/>
  <c r="R283" i="5"/>
  <c r="S283" i="5" s="1"/>
  <c r="Y126" i="13"/>
  <c r="Z126" i="13" s="1"/>
  <c r="Y125" i="13"/>
  <c r="Z125" i="13" s="1"/>
  <c r="R93" i="5"/>
  <c r="S93" i="5" s="1"/>
  <c r="R162" i="5"/>
  <c r="S162" i="5" s="1"/>
  <c r="R128" i="5"/>
  <c r="S128" i="5" s="1"/>
  <c r="R230" i="5"/>
  <c r="S230" i="5" s="1"/>
  <c r="K49" i="9"/>
  <c r="K16" i="9"/>
  <c r="Y254" i="13"/>
  <c r="Z254" i="13" s="1"/>
  <c r="R72" i="5"/>
  <c r="S72" i="5" s="1"/>
  <c r="R133" i="5"/>
  <c r="S133" i="5" s="1"/>
  <c r="Y121" i="13"/>
  <c r="Z121" i="13" s="1"/>
  <c r="R266" i="5"/>
  <c r="S266" i="5" s="1"/>
  <c r="R181" i="5"/>
  <c r="S181" i="5" s="1"/>
  <c r="R22" i="5"/>
  <c r="S22" i="5" s="1"/>
  <c r="R220" i="5"/>
  <c r="S220" i="5" s="1"/>
  <c r="R200" i="5"/>
  <c r="S200" i="5" s="1"/>
  <c r="R91" i="5"/>
  <c r="S91" i="5" s="1"/>
  <c r="O431" i="13"/>
  <c r="P431" i="13"/>
  <c r="P256" i="13"/>
  <c r="O256" i="13"/>
  <c r="O261" i="13"/>
  <c r="P261" i="13"/>
  <c r="P234" i="13"/>
  <c r="O234" i="13"/>
  <c r="P224" i="13"/>
  <c r="O224" i="13"/>
  <c r="O289" i="13"/>
  <c r="P289" i="13"/>
  <c r="P267" i="13"/>
  <c r="O267" i="13"/>
  <c r="P554" i="13"/>
  <c r="O554" i="13"/>
  <c r="O524" i="13"/>
  <c r="P524" i="13"/>
  <c r="P391" i="13"/>
  <c r="O391" i="13"/>
  <c r="O383" i="13"/>
  <c r="P383" i="13"/>
  <c r="P343" i="13"/>
  <c r="O343" i="13"/>
  <c r="P334" i="13"/>
  <c r="O334" i="13"/>
  <c r="P277" i="13"/>
  <c r="O277" i="13"/>
  <c r="P230" i="13"/>
  <c r="O230" i="13"/>
  <c r="P560" i="13"/>
  <c r="O560" i="13"/>
  <c r="P504" i="13"/>
  <c r="O504" i="13"/>
  <c r="P465" i="13"/>
  <c r="O465" i="13"/>
  <c r="O426" i="13"/>
  <c r="P426" i="13"/>
  <c r="P374" i="13"/>
  <c r="O374" i="13"/>
  <c r="P306" i="13"/>
  <c r="O306" i="13"/>
  <c r="O128" i="13"/>
  <c r="P128" i="13"/>
  <c r="O207" i="13"/>
  <c r="P207" i="13"/>
  <c r="P171" i="13"/>
  <c r="O171" i="13"/>
  <c r="P197" i="13"/>
  <c r="O197" i="13"/>
  <c r="Z159" i="13"/>
  <c r="R51" i="5" s="1"/>
  <c r="S51" i="5" s="1"/>
  <c r="P149" i="13"/>
  <c r="O149" i="13"/>
  <c r="O119" i="13"/>
  <c r="P119" i="13"/>
  <c r="AE120" i="11"/>
  <c r="W48" i="5"/>
  <c r="X48" i="5" s="1"/>
  <c r="Y48" i="5" s="1"/>
  <c r="F48" i="5"/>
  <c r="P487" i="13"/>
  <c r="O487" i="13"/>
  <c r="P456" i="13"/>
  <c r="O456" i="13"/>
  <c r="P483" i="13"/>
  <c r="O483" i="13"/>
  <c r="P463" i="13"/>
  <c r="O463" i="13"/>
  <c r="P388" i="13"/>
  <c r="O388" i="13"/>
  <c r="P407" i="13"/>
  <c r="O407" i="13"/>
  <c r="P368" i="13"/>
  <c r="O368" i="13"/>
  <c r="O301" i="13"/>
  <c r="P301" i="13"/>
  <c r="P309" i="13"/>
  <c r="O309" i="13"/>
  <c r="P364" i="13"/>
  <c r="O364" i="13"/>
  <c r="P348" i="13"/>
  <c r="O348" i="13"/>
  <c r="P260" i="13"/>
  <c r="O260" i="13"/>
  <c r="O239" i="13"/>
  <c r="P239" i="13"/>
  <c r="P220" i="13"/>
  <c r="O220" i="13"/>
  <c r="P196" i="13"/>
  <c r="O196" i="13"/>
  <c r="P162" i="13"/>
  <c r="O162" i="13"/>
  <c r="O125" i="13"/>
  <c r="P125" i="13"/>
  <c r="P169" i="13"/>
  <c r="O169" i="13"/>
  <c r="P186" i="13"/>
  <c r="O186" i="13"/>
  <c r="P157" i="13"/>
  <c r="O157" i="13"/>
  <c r="Z167" i="13"/>
  <c r="R104" i="5" s="1"/>
  <c r="S104" i="5" s="1"/>
  <c r="P209" i="13"/>
  <c r="O209" i="13"/>
  <c r="P124" i="13"/>
  <c r="O124" i="13"/>
  <c r="P78" i="13"/>
  <c r="O78" i="13"/>
  <c r="P114" i="13"/>
  <c r="O114" i="13"/>
  <c r="O127" i="13"/>
  <c r="P127" i="13"/>
  <c r="F29" i="5"/>
  <c r="W29" i="5"/>
  <c r="X29" i="5" s="1"/>
  <c r="Y29" i="5" s="1"/>
  <c r="I22" i="9"/>
  <c r="R281" i="5"/>
  <c r="S281" i="5" s="1"/>
  <c r="K14" i="9"/>
  <c r="Y249" i="13"/>
  <c r="Z249" i="13" s="1"/>
  <c r="R120" i="5"/>
  <c r="S120" i="5" s="1"/>
  <c r="R282" i="5"/>
  <c r="K7" i="9"/>
  <c r="R175" i="5"/>
  <c r="S175" i="5" s="1"/>
  <c r="R57" i="5"/>
  <c r="S57" i="5" s="1"/>
  <c r="R47" i="5"/>
  <c r="S47" i="5" s="1"/>
  <c r="I21" i="9" s="1"/>
  <c r="R143" i="5"/>
  <c r="S143" i="5" s="1"/>
  <c r="Y120" i="13"/>
  <c r="Z120" i="13" s="1"/>
  <c r="AS117" i="11"/>
  <c r="AS54" i="11"/>
  <c r="W120" i="11"/>
  <c r="P552" i="13"/>
  <c r="O552" i="13"/>
  <c r="P532" i="13"/>
  <c r="O532" i="13"/>
  <c r="P548" i="13"/>
  <c r="O548" i="13"/>
  <c r="O446" i="13"/>
  <c r="P446" i="13"/>
  <c r="P393" i="13"/>
  <c r="O393" i="13"/>
  <c r="O359" i="13"/>
  <c r="P359" i="13"/>
  <c r="P372" i="13"/>
  <c r="O372" i="13"/>
  <c r="P314" i="13"/>
  <c r="O314" i="13"/>
  <c r="P281" i="13"/>
  <c r="O281" i="13"/>
  <c r="O305" i="13"/>
  <c r="P305" i="13"/>
  <c r="P354" i="13"/>
  <c r="O354" i="13"/>
  <c r="P342" i="13"/>
  <c r="O342" i="13"/>
  <c r="P293" i="13"/>
  <c r="O293" i="13"/>
  <c r="P248" i="13"/>
  <c r="O248" i="13"/>
  <c r="P216" i="13"/>
  <c r="O216" i="13"/>
  <c r="P295" i="13"/>
  <c r="O295" i="13"/>
  <c r="P265" i="13"/>
  <c r="O265" i="13"/>
  <c r="P274" i="13"/>
  <c r="O274" i="13"/>
  <c r="P217" i="13"/>
  <c r="O217" i="13"/>
  <c r="P195" i="13"/>
  <c r="O195" i="13"/>
  <c r="O184" i="13"/>
  <c r="P184" i="13"/>
  <c r="P122" i="13"/>
  <c r="O122" i="13"/>
  <c r="I120" i="11"/>
  <c r="O120" i="11"/>
  <c r="T120" i="11"/>
  <c r="W233" i="5"/>
  <c r="X233" i="5" s="1"/>
  <c r="Y233" i="5" s="1"/>
  <c r="F233" i="5"/>
  <c r="R207" i="5"/>
  <c r="S207" i="5" s="1"/>
  <c r="R251" i="5"/>
  <c r="S251" i="5" s="1"/>
  <c r="R20" i="5"/>
  <c r="S20" i="5" s="1"/>
  <c r="R115" i="5"/>
  <c r="S115" i="5" s="1"/>
  <c r="I9" i="9"/>
  <c r="R147" i="5"/>
  <c r="S147" i="5" s="1"/>
  <c r="I10" i="9" s="1"/>
  <c r="K31" i="9"/>
  <c r="M53" i="9"/>
  <c r="N23" i="9"/>
  <c r="N15" i="9"/>
  <c r="M55" i="9"/>
  <c r="M51" i="9"/>
  <c r="M62" i="9"/>
  <c r="M56" i="9"/>
  <c r="M52" i="9"/>
  <c r="N12" i="9"/>
  <c r="N11" i="9"/>
  <c r="M31" i="9"/>
  <c r="N17" i="9"/>
  <c r="N16" i="9"/>
  <c r="N14" i="9"/>
  <c r="N13" i="9"/>
  <c r="N10" i="9"/>
  <c r="N20" i="9"/>
  <c r="N19" i="9"/>
  <c r="N18" i="9"/>
  <c r="M14" i="9"/>
  <c r="N7" i="9"/>
  <c r="N21" i="9"/>
  <c r="N8" i="9"/>
  <c r="M61" i="9"/>
  <c r="M59" i="9"/>
  <c r="M57" i="9"/>
  <c r="N9" i="9"/>
  <c r="M50" i="9"/>
  <c r="O5" i="9"/>
  <c r="O66" i="9" s="1"/>
  <c r="M60" i="9"/>
  <c r="M54" i="9"/>
  <c r="M58" i="9"/>
  <c r="R85" i="5"/>
  <c r="S85" i="5" s="1"/>
  <c r="R212" i="5"/>
  <c r="S212" i="5" s="1"/>
  <c r="R268" i="5" l="1"/>
  <c r="S268" i="5" s="1"/>
  <c r="R38" i="5"/>
  <c r="R188" i="5"/>
  <c r="R144" i="5"/>
  <c r="R223" i="5"/>
  <c r="S223" i="5" s="1"/>
  <c r="R225" i="5"/>
  <c r="S225" i="5" s="1"/>
  <c r="R13" i="5"/>
  <c r="S13" i="5" s="1"/>
  <c r="R36" i="5"/>
  <c r="S36" i="5" s="1"/>
  <c r="R84" i="5"/>
  <c r="S84" i="5" s="1"/>
  <c r="R83" i="5"/>
  <c r="S83" i="5" s="1"/>
  <c r="R173" i="5"/>
  <c r="R54" i="5"/>
  <c r="S54" i="5" s="1"/>
  <c r="R195" i="5"/>
  <c r="S195" i="5" s="1"/>
  <c r="R186" i="5"/>
  <c r="S186" i="5" s="1"/>
  <c r="R210" i="5"/>
  <c r="S210" i="5" s="1"/>
  <c r="R184" i="5"/>
  <c r="S184" i="5" s="1"/>
  <c r="R89" i="5"/>
  <c r="S89" i="5" s="1"/>
  <c r="R187" i="5"/>
  <c r="S187" i="5" s="1"/>
  <c r="R52" i="5"/>
  <c r="S52" i="5" s="1"/>
  <c r="R127" i="5"/>
  <c r="R231" i="5"/>
  <c r="S231" i="5" s="1"/>
  <c r="M7" i="9"/>
  <c r="M23" i="9"/>
  <c r="M10" i="9"/>
  <c r="M13" i="9"/>
  <c r="M19" i="9"/>
  <c r="J157" i="9" a="1"/>
  <c r="J157" i="9" s="1"/>
  <c r="L157" i="9" a="1"/>
  <c r="L157" i="9" s="1"/>
  <c r="N157" i="9" a="1"/>
  <c r="N157" i="9" s="1"/>
  <c r="P157" i="9" a="1"/>
  <c r="P157" i="9" s="1"/>
  <c r="M9" i="9"/>
  <c r="M20" i="9"/>
  <c r="M11" i="9"/>
  <c r="M18" i="9"/>
  <c r="M26" i="9"/>
  <c r="M16" i="9"/>
  <c r="N22" i="9"/>
  <c r="N6" i="9" s="1"/>
  <c r="M17" i="9"/>
  <c r="M15" i="9"/>
  <c r="M33" i="9"/>
  <c r="M46" i="9" s="1"/>
  <c r="AT117" i="11"/>
  <c r="Y339" i="13"/>
  <c r="Z339" i="13" s="1"/>
  <c r="Y338" i="13"/>
  <c r="Z338" i="13" s="1"/>
  <c r="R48" i="5"/>
  <c r="S48" i="5" s="1"/>
  <c r="Y337" i="13"/>
  <c r="Z337" i="13" s="1"/>
  <c r="Y471" i="13"/>
  <c r="Z471" i="13" s="1"/>
  <c r="Y470" i="13"/>
  <c r="Z470" i="13" s="1"/>
  <c r="R233" i="5"/>
  <c r="S233" i="5" s="1"/>
  <c r="Y177" i="13"/>
  <c r="Z177" i="13" s="1"/>
  <c r="Y179" i="13"/>
  <c r="Z179" i="13" s="1"/>
  <c r="Y181" i="13"/>
  <c r="Z181" i="13" s="1"/>
  <c r="Y178" i="13"/>
  <c r="Z178" i="13" s="1"/>
  <c r="Y180" i="13"/>
  <c r="Z180" i="13" s="1"/>
  <c r="Y176" i="13"/>
  <c r="Z176" i="13" s="1"/>
  <c r="B25" i="10"/>
  <c r="C25" i="10"/>
  <c r="M12" i="9"/>
  <c r="M8" i="9"/>
  <c r="K70" i="9"/>
  <c r="J6" i="9"/>
  <c r="AT29" i="11"/>
  <c r="AS29" i="11"/>
  <c r="AS120" i="11" s="1"/>
  <c r="Y461" i="13"/>
  <c r="Z461" i="13" s="1"/>
  <c r="R118" i="5"/>
  <c r="S118" i="5" s="1"/>
  <c r="Y462" i="13"/>
  <c r="Z462" i="13" s="1"/>
  <c r="Y460" i="13"/>
  <c r="Z460" i="13" s="1"/>
  <c r="Y195" i="13"/>
  <c r="Z195" i="13" s="1"/>
  <c r="Y200" i="13"/>
  <c r="Z200" i="13" s="1"/>
  <c r="Y199" i="13"/>
  <c r="Z199" i="13" s="1"/>
  <c r="Y198" i="13"/>
  <c r="Z198" i="13" s="1"/>
  <c r="Y197" i="13"/>
  <c r="Z197" i="13" s="1"/>
  <c r="Y196" i="13"/>
  <c r="Z196" i="13" s="1"/>
  <c r="AU114" i="11"/>
  <c r="AU112" i="11"/>
  <c r="AU110" i="11"/>
  <c r="AU109" i="11"/>
  <c r="AU105" i="11"/>
  <c r="AU101" i="11"/>
  <c r="AU99" i="11"/>
  <c r="AU97" i="11"/>
  <c r="AU95" i="11"/>
  <c r="AU93" i="11"/>
  <c r="AU91" i="11"/>
  <c r="AU89" i="11"/>
  <c r="AU87" i="11"/>
  <c r="AU85" i="11"/>
  <c r="AU83" i="11"/>
  <c r="AU81" i="11"/>
  <c r="AU79" i="11"/>
  <c r="AU77" i="11"/>
  <c r="AU75" i="11"/>
  <c r="AU73" i="11"/>
  <c r="AU71" i="11"/>
  <c r="AU69" i="11"/>
  <c r="AU67" i="11"/>
  <c r="AU65" i="11"/>
  <c r="AU63" i="11"/>
  <c r="AU61" i="11"/>
  <c r="AU59" i="11"/>
  <c r="AU57" i="11"/>
  <c r="AU55" i="11"/>
  <c r="AU53" i="11"/>
  <c r="AU115" i="11"/>
  <c r="AU107" i="11"/>
  <c r="AU113" i="11"/>
  <c r="AU106" i="11"/>
  <c r="AU100" i="11"/>
  <c r="AU98" i="11"/>
  <c r="AU96" i="11"/>
  <c r="AU94" i="11"/>
  <c r="AU92" i="11"/>
  <c r="AU90" i="11"/>
  <c r="AU88" i="11"/>
  <c r="AU86" i="11"/>
  <c r="AU84" i="11"/>
  <c r="AU82" i="11"/>
  <c r="AU80" i="11"/>
  <c r="AU78" i="11"/>
  <c r="AU76" i="11"/>
  <c r="AU74" i="11"/>
  <c r="AU72" i="11"/>
  <c r="AU70" i="11"/>
  <c r="AU68" i="11"/>
  <c r="AU66" i="11"/>
  <c r="AU64" i="11"/>
  <c r="AU62" i="11"/>
  <c r="AU60" i="11"/>
  <c r="AU58" i="11"/>
  <c r="AU56" i="11"/>
  <c r="AU54" i="11"/>
  <c r="AU52" i="11"/>
  <c r="AU50" i="11"/>
  <c r="AU48" i="11"/>
  <c r="AU46" i="11"/>
  <c r="AU102" i="11"/>
  <c r="AU103" i="11"/>
  <c r="AU111" i="11"/>
  <c r="AU108" i="11"/>
  <c r="AU104" i="11"/>
  <c r="AU43" i="11"/>
  <c r="AU41" i="11"/>
  <c r="AU39" i="11"/>
  <c r="AU37" i="11"/>
  <c r="AU35" i="11"/>
  <c r="AU33" i="11"/>
  <c r="AU47" i="11"/>
  <c r="AU45" i="11"/>
  <c r="AU44" i="11"/>
  <c r="AU42" i="11"/>
  <c r="AU40" i="11"/>
  <c r="AU38" i="11"/>
  <c r="AU36" i="11"/>
  <c r="AU34" i="11"/>
  <c r="AU49" i="11"/>
  <c r="AU26" i="11"/>
  <c r="AU24" i="11"/>
  <c r="AU22" i="11"/>
  <c r="AU20" i="11"/>
  <c r="AU51" i="11"/>
  <c r="AU14" i="11"/>
  <c r="AV9" i="11"/>
  <c r="AU16" i="11"/>
  <c r="AU21" i="11"/>
  <c r="AU15" i="11"/>
  <c r="AU23" i="11"/>
  <c r="AU19" i="11"/>
  <c r="AU18" i="11"/>
  <c r="AU13" i="11"/>
  <c r="AU25" i="11"/>
  <c r="AU27" i="11"/>
  <c r="AU17" i="11"/>
  <c r="I6" i="9"/>
  <c r="Y357" i="13"/>
  <c r="Z357" i="13" s="1"/>
  <c r="Y355" i="13"/>
  <c r="Z355" i="13" s="1"/>
  <c r="R26" i="5"/>
  <c r="S26" i="5" s="1"/>
  <c r="Y358" i="13"/>
  <c r="Z358" i="13" s="1"/>
  <c r="Y356" i="13"/>
  <c r="Z356" i="13" s="1"/>
  <c r="O57" i="9"/>
  <c r="O50" i="9"/>
  <c r="O20" i="9"/>
  <c r="P17" i="9"/>
  <c r="O12" i="9"/>
  <c r="O62" i="9"/>
  <c r="O33" i="9"/>
  <c r="O46" i="9" s="1"/>
  <c r="O60" i="9"/>
  <c r="O58" i="9"/>
  <c r="O54" i="9"/>
  <c r="O26" i="9"/>
  <c r="P11" i="9"/>
  <c r="O8" i="9"/>
  <c r="O31" i="9"/>
  <c r="P19" i="9"/>
  <c r="P18" i="9"/>
  <c r="O16" i="9"/>
  <c r="O15" i="9"/>
  <c r="O14" i="9"/>
  <c r="O13" i="9"/>
  <c r="O10" i="9"/>
  <c r="P7" i="9"/>
  <c r="P23" i="9"/>
  <c r="P22" i="9"/>
  <c r="P21" i="9"/>
  <c r="P20" i="9"/>
  <c r="O19" i="9"/>
  <c r="O18" i="9"/>
  <c r="O7" i="9"/>
  <c r="O61" i="9"/>
  <c r="O59" i="9"/>
  <c r="O23" i="9"/>
  <c r="O22" i="9"/>
  <c r="O21" i="9"/>
  <c r="P9" i="9"/>
  <c r="O51" i="9"/>
  <c r="O53" i="9"/>
  <c r="O55" i="9"/>
  <c r="P12" i="9"/>
  <c r="P10" i="9"/>
  <c r="Q5" i="9"/>
  <c r="P13" i="9"/>
  <c r="P15" i="9"/>
  <c r="P16" i="9"/>
  <c r="O11" i="9"/>
  <c r="P8" i="9"/>
  <c r="O52" i="9"/>
  <c r="P14" i="9"/>
  <c r="O9" i="9"/>
  <c r="O56" i="9"/>
  <c r="R24" i="5"/>
  <c r="I33" i="9"/>
  <c r="Y348" i="13"/>
  <c r="Z348" i="13" s="1"/>
  <c r="I26" i="9"/>
  <c r="Y349" i="13"/>
  <c r="Z349" i="13" s="1"/>
  <c r="M49" i="9"/>
  <c r="M70" i="9" s="1"/>
  <c r="M72" i="9" s="1"/>
  <c r="R124" i="5"/>
  <c r="S124" i="5" s="1"/>
  <c r="M22" i="9" s="1"/>
  <c r="Y528" i="13"/>
  <c r="Z528" i="13" s="1"/>
  <c r="Y527" i="13"/>
  <c r="Z527" i="13" s="1"/>
  <c r="K21" i="9"/>
  <c r="Y190" i="13"/>
  <c r="Z190" i="13" s="1"/>
  <c r="Y189" i="13"/>
  <c r="Z189" i="13" s="1"/>
  <c r="R258" i="5"/>
  <c r="S258" i="5" s="1"/>
  <c r="Y466" i="13"/>
  <c r="Z466" i="13" s="1"/>
  <c r="Y352" i="13"/>
  <c r="Z352" i="13" s="1"/>
  <c r="R25" i="5"/>
  <c r="S25" i="5" s="1"/>
  <c r="Y350" i="13"/>
  <c r="Z350" i="13" s="1"/>
  <c r="Y351" i="13"/>
  <c r="Z351" i="13" s="1"/>
  <c r="Y353" i="13"/>
  <c r="Z353" i="13" s="1"/>
  <c r="R159" i="5" l="1"/>
  <c r="S159" i="5" s="1"/>
  <c r="R244" i="5"/>
  <c r="S244" i="5" s="1"/>
  <c r="R37" i="5"/>
  <c r="S37" i="5" s="1"/>
  <c r="R14" i="5"/>
  <c r="S14" i="5" s="1"/>
  <c r="R238" i="5"/>
  <c r="S238" i="5" s="1"/>
  <c r="R11" i="5"/>
  <c r="R216" i="5"/>
  <c r="S216" i="5" s="1"/>
  <c r="R58" i="5"/>
  <c r="S58" i="5" s="1"/>
  <c r="R177" i="5"/>
  <c r="S177" i="5" s="1"/>
  <c r="R62" i="5"/>
  <c r="S62" i="5" s="1"/>
  <c r="R59" i="5"/>
  <c r="S59" i="5" s="1"/>
  <c r="R252" i="5"/>
  <c r="S252" i="5" s="1"/>
  <c r="K23" i="9" s="1"/>
  <c r="R77" i="5"/>
  <c r="S77" i="5" s="1"/>
  <c r="R134" i="5"/>
  <c r="S134" i="5" s="1"/>
  <c r="R6" i="5"/>
  <c r="R132" i="5"/>
  <c r="S132" i="5" s="1"/>
  <c r="R246" i="5"/>
  <c r="S246" i="5" s="1"/>
  <c r="R129" i="5"/>
  <c r="S129" i="5" s="1"/>
  <c r="R7" i="5"/>
  <c r="S7" i="5" s="1"/>
  <c r="R250" i="5"/>
  <c r="S250" i="5" s="1"/>
  <c r="I74" i="9"/>
  <c r="D74" i="9" s="1"/>
  <c r="R153" i="5"/>
  <c r="S153" i="5" s="1"/>
  <c r="R280" i="5"/>
  <c r="R130" i="5"/>
  <c r="K74" i="9"/>
  <c r="AT120" i="11"/>
  <c r="O74" i="9"/>
  <c r="Q38" i="9" s="1"/>
  <c r="Q35" i="9" s="1"/>
  <c r="M6" i="9"/>
  <c r="R29" i="5"/>
  <c r="S29" i="5" s="1"/>
  <c r="O49" i="9"/>
  <c r="M74" i="9"/>
  <c r="AV115" i="11"/>
  <c r="AV113" i="11"/>
  <c r="AV111" i="11"/>
  <c r="AV109" i="11"/>
  <c r="AV107" i="11"/>
  <c r="AV105" i="11"/>
  <c r="AV112" i="11"/>
  <c r="AV106" i="11"/>
  <c r="AV100" i="11"/>
  <c r="AV98" i="11"/>
  <c r="AV96" i="11"/>
  <c r="AV94" i="11"/>
  <c r="AV92" i="11"/>
  <c r="AV90" i="11"/>
  <c r="AV88" i="11"/>
  <c r="AV86" i="11"/>
  <c r="AV84" i="11"/>
  <c r="AV82" i="11"/>
  <c r="AV80" i="11"/>
  <c r="AV78" i="11"/>
  <c r="AV76" i="11"/>
  <c r="AV74" i="11"/>
  <c r="AV72" i="11"/>
  <c r="AV70" i="11"/>
  <c r="AV68" i="11"/>
  <c r="AV66" i="11"/>
  <c r="AV64" i="11"/>
  <c r="AV62" i="11"/>
  <c r="AV102" i="11"/>
  <c r="AV103" i="11"/>
  <c r="AV114" i="11"/>
  <c r="AV110" i="11"/>
  <c r="AV108" i="11"/>
  <c r="AV104" i="11"/>
  <c r="AV101" i="11"/>
  <c r="AV99" i="11"/>
  <c r="AV97" i="11"/>
  <c r="AV95" i="11"/>
  <c r="AV93" i="11"/>
  <c r="AV91" i="11"/>
  <c r="AV89" i="11"/>
  <c r="AV87" i="11"/>
  <c r="AV85" i="11"/>
  <c r="AV83" i="11"/>
  <c r="AV81" i="11"/>
  <c r="AV79" i="11"/>
  <c r="AV77" i="11"/>
  <c r="AV75" i="11"/>
  <c r="AV73" i="11"/>
  <c r="AV71" i="11"/>
  <c r="AV69" i="11"/>
  <c r="AV67" i="11"/>
  <c r="AV65" i="11"/>
  <c r="AV63" i="11"/>
  <c r="AV61" i="11"/>
  <c r="AV55" i="11"/>
  <c r="AV52" i="11"/>
  <c r="AV27" i="11"/>
  <c r="AV25" i="11"/>
  <c r="AV23" i="11"/>
  <c r="AV21" i="11"/>
  <c r="AV19" i="11"/>
  <c r="AV17" i="11"/>
  <c r="AV15" i="11"/>
  <c r="AV13" i="11"/>
  <c r="AV56" i="11"/>
  <c r="AV46" i="11"/>
  <c r="AV59" i="11"/>
  <c r="AV47" i="11"/>
  <c r="AV45" i="11"/>
  <c r="AW9" i="11"/>
  <c r="AV48" i="11"/>
  <c r="AV44" i="11"/>
  <c r="AV42" i="11"/>
  <c r="AV40" i="11"/>
  <c r="AV38" i="11"/>
  <c r="AV36" i="11"/>
  <c r="AV34" i="11"/>
  <c r="AV57" i="11"/>
  <c r="AV49" i="11"/>
  <c r="AV26" i="11"/>
  <c r="AV24" i="11"/>
  <c r="AV22" i="11"/>
  <c r="AV20" i="11"/>
  <c r="AV60" i="11"/>
  <c r="AV50" i="11"/>
  <c r="AV51" i="11"/>
  <c r="AV58" i="11"/>
  <c r="AV54" i="11"/>
  <c r="AV53" i="11"/>
  <c r="AV43" i="11"/>
  <c r="AV41" i="11"/>
  <c r="AV39" i="11"/>
  <c r="AV37" i="11"/>
  <c r="AV35" i="11"/>
  <c r="AV33" i="11"/>
  <c r="AV16" i="11"/>
  <c r="AV18" i="11"/>
  <c r="AV14" i="11"/>
  <c r="AU117" i="11"/>
  <c r="Q74" i="9"/>
  <c r="S38" i="9" s="1"/>
  <c r="S35" i="9" s="1"/>
  <c r="Q61" i="9"/>
  <c r="Q54" i="9"/>
  <c r="Q26" i="9"/>
  <c r="Q22" i="9"/>
  <c r="R19" i="9"/>
  <c r="Q14" i="9"/>
  <c r="R11" i="9"/>
  <c r="Q62" i="9"/>
  <c r="Q33" i="9"/>
  <c r="Q46" i="9" s="1"/>
  <c r="Q60" i="9"/>
  <c r="Q58" i="9"/>
  <c r="Q56" i="9"/>
  <c r="Q52" i="9"/>
  <c r="Q50" i="9"/>
  <c r="R18" i="9"/>
  <c r="R17" i="9"/>
  <c r="Q16" i="9"/>
  <c r="Q15" i="9"/>
  <c r="R14" i="9"/>
  <c r="Q13" i="9"/>
  <c r="Q12" i="9"/>
  <c r="Q10" i="9"/>
  <c r="R7" i="9"/>
  <c r="Q23" i="9"/>
  <c r="R22" i="9"/>
  <c r="Q21" i="9"/>
  <c r="Q20" i="9"/>
  <c r="R9" i="9"/>
  <c r="Q59" i="9"/>
  <c r="Q9" i="9"/>
  <c r="Q57" i="9"/>
  <c r="Q55" i="9"/>
  <c r="Q53" i="9"/>
  <c r="Q51" i="9"/>
  <c r="R23" i="9"/>
  <c r="R12" i="9"/>
  <c r="R10" i="9"/>
  <c r="S5" i="9"/>
  <c r="R16" i="9"/>
  <c r="Q18" i="9"/>
  <c r="R15" i="9"/>
  <c r="Q7" i="9"/>
  <c r="Q11" i="9"/>
  <c r="Q8" i="9"/>
  <c r="Q19" i="9"/>
  <c r="R20" i="9"/>
  <c r="Q17" i="9"/>
  <c r="R13" i="9"/>
  <c r="R8" i="9"/>
  <c r="Q31" i="9"/>
  <c r="R21" i="9"/>
  <c r="P6" i="9"/>
  <c r="I46" i="9"/>
  <c r="I72" i="9" s="1"/>
  <c r="O70" i="9"/>
  <c r="O72" i="9" s="1"/>
  <c r="AU29" i="11"/>
  <c r="AU120" i="11" s="1"/>
  <c r="R180" i="5"/>
  <c r="S180" i="5" s="1"/>
  <c r="S24" i="5"/>
  <c r="Q66" i="9"/>
  <c r="R213" i="5"/>
  <c r="S213" i="5" s="1"/>
  <c r="C6" i="10" l="1"/>
  <c r="C11" i="10" s="1"/>
  <c r="C22" i="10" s="1"/>
  <c r="K26" i="9"/>
  <c r="K15" i="9"/>
  <c r="K6" i="9" s="1"/>
  <c r="K33" i="9"/>
  <c r="K46" i="9" s="1"/>
  <c r="K72" i="9" s="1"/>
  <c r="B6" i="10"/>
  <c r="R2" i="5"/>
  <c r="AV29" i="11"/>
  <c r="AV117" i="11"/>
  <c r="S2" i="5"/>
  <c r="O17" i="9"/>
  <c r="AW114" i="11"/>
  <c r="AW112" i="11"/>
  <c r="AW110" i="11"/>
  <c r="AW108" i="11"/>
  <c r="AW106" i="11"/>
  <c r="AW104" i="11"/>
  <c r="AW102" i="11"/>
  <c r="AW115" i="11"/>
  <c r="AW113" i="11"/>
  <c r="AW111" i="11"/>
  <c r="AW109" i="11"/>
  <c r="AW107" i="11"/>
  <c r="AW100" i="11"/>
  <c r="AW98" i="11"/>
  <c r="AW96" i="11"/>
  <c r="AW94" i="11"/>
  <c r="AW92" i="11"/>
  <c r="AW90" i="11"/>
  <c r="AW88" i="11"/>
  <c r="AW86" i="11"/>
  <c r="AW84" i="11"/>
  <c r="AW82" i="11"/>
  <c r="AW80" i="11"/>
  <c r="AW78" i="11"/>
  <c r="AW76" i="11"/>
  <c r="AW74" i="11"/>
  <c r="AW72" i="11"/>
  <c r="AW70" i="11"/>
  <c r="AW68" i="11"/>
  <c r="AW66" i="11"/>
  <c r="AW64" i="11"/>
  <c r="AW62" i="11"/>
  <c r="AW60" i="11"/>
  <c r="AW58" i="11"/>
  <c r="AW56" i="11"/>
  <c r="AW54" i="11"/>
  <c r="AW103" i="11"/>
  <c r="AW101" i="11"/>
  <c r="AW99" i="11"/>
  <c r="AW97" i="11"/>
  <c r="AW95" i="11"/>
  <c r="AW93" i="11"/>
  <c r="AW91" i="11"/>
  <c r="AW89" i="11"/>
  <c r="AW87" i="11"/>
  <c r="AW85" i="11"/>
  <c r="AW83" i="11"/>
  <c r="AW81" i="11"/>
  <c r="AW79" i="11"/>
  <c r="AW77" i="11"/>
  <c r="AW75" i="11"/>
  <c r="AW73" i="11"/>
  <c r="AW71" i="11"/>
  <c r="AW69" i="11"/>
  <c r="AW67" i="11"/>
  <c r="AW65" i="11"/>
  <c r="AW63" i="11"/>
  <c r="AW61" i="11"/>
  <c r="AW59" i="11"/>
  <c r="AW57" i="11"/>
  <c r="AW55" i="11"/>
  <c r="AW53" i="11"/>
  <c r="AW105" i="11"/>
  <c r="AW46" i="11"/>
  <c r="AW47" i="11"/>
  <c r="AW45" i="11"/>
  <c r="AW48" i="11"/>
  <c r="AW44" i="11"/>
  <c r="AW42" i="11"/>
  <c r="AW40" i="11"/>
  <c r="AW38" i="11"/>
  <c r="AW36" i="11"/>
  <c r="AW34" i="11"/>
  <c r="AW49" i="11"/>
  <c r="AW26" i="11"/>
  <c r="AW24" i="11"/>
  <c r="AW22" i="11"/>
  <c r="AW20" i="11"/>
  <c r="AW18" i="11"/>
  <c r="AW16" i="11"/>
  <c r="AW50" i="11"/>
  <c r="AW51" i="11"/>
  <c r="AW43" i="11"/>
  <c r="AW41" i="11"/>
  <c r="AW39" i="11"/>
  <c r="AW37" i="11"/>
  <c r="AW35" i="11"/>
  <c r="AW33" i="11"/>
  <c r="AW52" i="11"/>
  <c r="AW27" i="11"/>
  <c r="AW25" i="11"/>
  <c r="AW23" i="11"/>
  <c r="AW21" i="11"/>
  <c r="AW19" i="11"/>
  <c r="AW17" i="11"/>
  <c r="AW15" i="11"/>
  <c r="AW13" i="11"/>
  <c r="AW14" i="11"/>
  <c r="AX9" i="11"/>
  <c r="R6" i="9"/>
  <c r="B8" i="10"/>
  <c r="Q49" i="9"/>
  <c r="S58" i="9"/>
  <c r="S31" i="9"/>
  <c r="T21" i="9"/>
  <c r="S16" i="9"/>
  <c r="T13" i="9"/>
  <c r="S60" i="9"/>
  <c r="T18" i="9"/>
  <c r="T17" i="9"/>
  <c r="T16" i="9"/>
  <c r="S56" i="9"/>
  <c r="S54" i="9"/>
  <c r="S52" i="9"/>
  <c r="S50" i="9"/>
  <c r="S26" i="9"/>
  <c r="T23" i="9"/>
  <c r="T20" i="9"/>
  <c r="T19" i="9"/>
  <c r="S18" i="9"/>
  <c r="S23" i="9"/>
  <c r="T22" i="9"/>
  <c r="S21" i="9"/>
  <c r="S20" i="9"/>
  <c r="S19" i="9"/>
  <c r="T9" i="9"/>
  <c r="S59" i="9"/>
  <c r="S61" i="9"/>
  <c r="S57" i="9"/>
  <c r="S55" i="9"/>
  <c r="S53" i="9"/>
  <c r="S51" i="9"/>
  <c r="T8" i="9"/>
  <c r="S74" i="9"/>
  <c r="U38" i="9" s="1"/>
  <c r="U35" i="9" s="1"/>
  <c r="S8" i="9"/>
  <c r="U5" i="9"/>
  <c r="S22" i="9"/>
  <c r="T12" i="9"/>
  <c r="T10" i="9"/>
  <c r="S9" i="9"/>
  <c r="S14" i="9"/>
  <c r="S15" i="9"/>
  <c r="T7" i="9"/>
  <c r="S33" i="9"/>
  <c r="S7" i="9"/>
  <c r="S13" i="9"/>
  <c r="T11" i="9"/>
  <c r="S62" i="9"/>
  <c r="S17" i="9"/>
  <c r="T14" i="9"/>
  <c r="S11" i="9"/>
  <c r="T15" i="9"/>
  <c r="S12" i="9"/>
  <c r="S10" i="9"/>
  <c r="S66" i="9"/>
  <c r="Q70" i="9"/>
  <c r="Q72" i="9" s="1"/>
  <c r="Q6" i="9"/>
  <c r="AW117" i="11" l="1"/>
  <c r="AV120" i="11"/>
  <c r="S49" i="9"/>
  <c r="O6" i="9"/>
  <c r="S6" i="9"/>
  <c r="U62" i="9"/>
  <c r="U51" i="9"/>
  <c r="V23" i="9"/>
  <c r="U18" i="9"/>
  <c r="V15" i="9"/>
  <c r="U58" i="9"/>
  <c r="U56" i="9"/>
  <c r="U54" i="9"/>
  <c r="U52" i="9"/>
  <c r="U50" i="9"/>
  <c r="U26" i="9"/>
  <c r="U23" i="9"/>
  <c r="V22" i="9"/>
  <c r="V21" i="9"/>
  <c r="U20" i="9"/>
  <c r="U19" i="9"/>
  <c r="U22" i="9"/>
  <c r="U21" i="9"/>
  <c r="U31" i="9"/>
  <c r="U61" i="9"/>
  <c r="U57" i="9"/>
  <c r="U55" i="9"/>
  <c r="U53" i="9"/>
  <c r="U8" i="9"/>
  <c r="U74" i="9"/>
  <c r="W38" i="9" s="1"/>
  <c r="W35" i="9" s="1"/>
  <c r="V12" i="9"/>
  <c r="V11" i="9"/>
  <c r="V10" i="9"/>
  <c r="W5" i="9"/>
  <c r="W66" i="9" s="1"/>
  <c r="U33" i="9"/>
  <c r="V17" i="9"/>
  <c r="V16" i="9"/>
  <c r="U15" i="9"/>
  <c r="V14" i="9"/>
  <c r="V13" i="9"/>
  <c r="U12" i="9"/>
  <c r="U11" i="9"/>
  <c r="U10" i="9"/>
  <c r="V7" i="9"/>
  <c r="U59" i="9"/>
  <c r="V18" i="9"/>
  <c r="V19" i="9"/>
  <c r="U17" i="9"/>
  <c r="U13" i="9"/>
  <c r="V8" i="9"/>
  <c r="U14" i="9"/>
  <c r="V9" i="9"/>
  <c r="U60" i="9"/>
  <c r="V20" i="9"/>
  <c r="U9" i="9"/>
  <c r="U7" i="9"/>
  <c r="U16" i="9"/>
  <c r="U66" i="9"/>
  <c r="AX115" i="11"/>
  <c r="AX113" i="11"/>
  <c r="AX111" i="11"/>
  <c r="AX109" i="11"/>
  <c r="AX107" i="11"/>
  <c r="AX105" i="11"/>
  <c r="AX103" i="11"/>
  <c r="AX114" i="11"/>
  <c r="AX112" i="11"/>
  <c r="AX100" i="11"/>
  <c r="AX98" i="11"/>
  <c r="AX96" i="11"/>
  <c r="AX94" i="11"/>
  <c r="AX92" i="11"/>
  <c r="AX90" i="11"/>
  <c r="AX88" i="11"/>
  <c r="AX86" i="11"/>
  <c r="AX84" i="11"/>
  <c r="AX82" i="11"/>
  <c r="AX80" i="11"/>
  <c r="AX78" i="11"/>
  <c r="AX76" i="11"/>
  <c r="AX74" i="11"/>
  <c r="AX72" i="11"/>
  <c r="AX70" i="11"/>
  <c r="AX68" i="11"/>
  <c r="AX66" i="11"/>
  <c r="AX64" i="11"/>
  <c r="AX62" i="11"/>
  <c r="AX60" i="11"/>
  <c r="AX58" i="11"/>
  <c r="AX56" i="11"/>
  <c r="AX54" i="11"/>
  <c r="AX52" i="11"/>
  <c r="AX50" i="11"/>
  <c r="AX48" i="11"/>
  <c r="AX46" i="11"/>
  <c r="AX44" i="11"/>
  <c r="AX106" i="11"/>
  <c r="AX102" i="11"/>
  <c r="AX110" i="11"/>
  <c r="AX108" i="11"/>
  <c r="AX104" i="11"/>
  <c r="AX101" i="11"/>
  <c r="AX99" i="11"/>
  <c r="AX97" i="11"/>
  <c r="AX95" i="11"/>
  <c r="AX93" i="11"/>
  <c r="AX91" i="11"/>
  <c r="AX89" i="11"/>
  <c r="AX87" i="11"/>
  <c r="AX85" i="11"/>
  <c r="AX83" i="11"/>
  <c r="AX81" i="11"/>
  <c r="AX79" i="11"/>
  <c r="AX77" i="11"/>
  <c r="AX75" i="11"/>
  <c r="AX73" i="11"/>
  <c r="AX71" i="11"/>
  <c r="AX69" i="11"/>
  <c r="AX67" i="11"/>
  <c r="AX65" i="11"/>
  <c r="AX63" i="11"/>
  <c r="AX61" i="11"/>
  <c r="AX59" i="11"/>
  <c r="AX57" i="11"/>
  <c r="AX47" i="11"/>
  <c r="AX45" i="11"/>
  <c r="AY9" i="11"/>
  <c r="AX42" i="11"/>
  <c r="AX40" i="11"/>
  <c r="AX49" i="11"/>
  <c r="AX26" i="11"/>
  <c r="AX24" i="11"/>
  <c r="AX22" i="11"/>
  <c r="AX20" i="11"/>
  <c r="AX18" i="11"/>
  <c r="AX16" i="11"/>
  <c r="AX14" i="11"/>
  <c r="AX51" i="11"/>
  <c r="AX43" i="11"/>
  <c r="AX41" i="11"/>
  <c r="AX39" i="11"/>
  <c r="AX37" i="11"/>
  <c r="AX35" i="11"/>
  <c r="AX33" i="11"/>
  <c r="AX53" i="11"/>
  <c r="AX27" i="11"/>
  <c r="AX25" i="11"/>
  <c r="AX23" i="11"/>
  <c r="AX21" i="11"/>
  <c r="AX19" i="11"/>
  <c r="AX55" i="11"/>
  <c r="AX36" i="11"/>
  <c r="AX38" i="11"/>
  <c r="AX15" i="11"/>
  <c r="AX13" i="11"/>
  <c r="AX17" i="11"/>
  <c r="AX34" i="11"/>
  <c r="T6" i="9"/>
  <c r="S70" i="9"/>
  <c r="AW29" i="11"/>
  <c r="AW120" i="11" s="1"/>
  <c r="U46" i="9"/>
  <c r="S46" i="9"/>
  <c r="U6" i="9" l="1"/>
  <c r="S72" i="9"/>
  <c r="U49" i="9"/>
  <c r="U70" i="9" s="1"/>
  <c r="AX29" i="11"/>
  <c r="V6" i="9"/>
  <c r="W59" i="9"/>
  <c r="W55" i="9"/>
  <c r="W20" i="9"/>
  <c r="X17" i="9"/>
  <c r="W12" i="9"/>
  <c r="W31" i="9"/>
  <c r="W8" i="9"/>
  <c r="W74" i="9"/>
  <c r="Y38" i="9" s="1"/>
  <c r="Y35" i="9" s="1"/>
  <c r="W51" i="9"/>
  <c r="X16" i="9"/>
  <c r="X15" i="9"/>
  <c r="X14" i="9"/>
  <c r="X13" i="9"/>
  <c r="X12" i="9"/>
  <c r="W11" i="9"/>
  <c r="W10" i="9"/>
  <c r="X7" i="9"/>
  <c r="Y5" i="9"/>
  <c r="W33" i="9"/>
  <c r="X19" i="9"/>
  <c r="X18" i="9"/>
  <c r="W17" i="9"/>
  <c r="W16" i="9"/>
  <c r="W15" i="9"/>
  <c r="W14" i="9"/>
  <c r="W13" i="9"/>
  <c r="W7" i="9"/>
  <c r="W62" i="9"/>
  <c r="W60" i="9"/>
  <c r="X23" i="9"/>
  <c r="X22" i="9"/>
  <c r="X21" i="9"/>
  <c r="X20" i="9"/>
  <c r="W19" i="9"/>
  <c r="W18" i="9"/>
  <c r="X9" i="9"/>
  <c r="W23" i="9"/>
  <c r="W61" i="9"/>
  <c r="W53" i="9"/>
  <c r="W57" i="9"/>
  <c r="W50" i="9"/>
  <c r="W56" i="9"/>
  <c r="W26" i="9"/>
  <c r="X11" i="9"/>
  <c r="X8" i="9"/>
  <c r="W54" i="9"/>
  <c r="W52" i="9"/>
  <c r="X10" i="9"/>
  <c r="W58" i="9"/>
  <c r="W21" i="9"/>
  <c r="W9" i="9"/>
  <c r="W22" i="9"/>
  <c r="AX117" i="11"/>
  <c r="AY115" i="11"/>
  <c r="AY113" i="11"/>
  <c r="AY111" i="11"/>
  <c r="AY112" i="11"/>
  <c r="AY107" i="11"/>
  <c r="AY100" i="11"/>
  <c r="AY98" i="11"/>
  <c r="AY96" i="11"/>
  <c r="AY94" i="11"/>
  <c r="AY92" i="11"/>
  <c r="AY90" i="11"/>
  <c r="AY88" i="11"/>
  <c r="AY86" i="11"/>
  <c r="AY84" i="11"/>
  <c r="AY82" i="11"/>
  <c r="AY80" i="11"/>
  <c r="AY78" i="11"/>
  <c r="AY76" i="11"/>
  <c r="AY74" i="11"/>
  <c r="AY72" i="11"/>
  <c r="AY70" i="11"/>
  <c r="AY68" i="11"/>
  <c r="AY66" i="11"/>
  <c r="AY64" i="11"/>
  <c r="AY62" i="11"/>
  <c r="AY60" i="11"/>
  <c r="AY58" i="11"/>
  <c r="AY56" i="11"/>
  <c r="AY54" i="11"/>
  <c r="AY52" i="11"/>
  <c r="AY106" i="11"/>
  <c r="AY102" i="11"/>
  <c r="AY103" i="11"/>
  <c r="AY110" i="11"/>
  <c r="AY108" i="11"/>
  <c r="AY104" i="11"/>
  <c r="AY101" i="11"/>
  <c r="AY99" i="11"/>
  <c r="AY97" i="11"/>
  <c r="AY95" i="11"/>
  <c r="AY93" i="11"/>
  <c r="AY91" i="11"/>
  <c r="AY89" i="11"/>
  <c r="AY87" i="11"/>
  <c r="AY85" i="11"/>
  <c r="AY83" i="11"/>
  <c r="AY81" i="11"/>
  <c r="AY79" i="11"/>
  <c r="AY77" i="11"/>
  <c r="AY75" i="11"/>
  <c r="AY73" i="11"/>
  <c r="AY71" i="11"/>
  <c r="AY69" i="11"/>
  <c r="AY67" i="11"/>
  <c r="AY65" i="11"/>
  <c r="AY63" i="11"/>
  <c r="AY61" i="11"/>
  <c r="AY59" i="11"/>
  <c r="AY57" i="11"/>
  <c r="AY55" i="11"/>
  <c r="AY53" i="11"/>
  <c r="AY51" i="11"/>
  <c r="AY49" i="11"/>
  <c r="AY47" i="11"/>
  <c r="AY114" i="11"/>
  <c r="AY105" i="11"/>
  <c r="AY109" i="11"/>
  <c r="AY42" i="11"/>
  <c r="AY40" i="11"/>
  <c r="AY38" i="11"/>
  <c r="AY36" i="11"/>
  <c r="AY34" i="11"/>
  <c r="AY48" i="11"/>
  <c r="AY44" i="11"/>
  <c r="AY50" i="11"/>
  <c r="AY43" i="11"/>
  <c r="AY41" i="11"/>
  <c r="AY39" i="11"/>
  <c r="AY37" i="11"/>
  <c r="AY35" i="11"/>
  <c r="AY33" i="11"/>
  <c r="AY27" i="11"/>
  <c r="AY25" i="11"/>
  <c r="AY23" i="11"/>
  <c r="AY21" i="11"/>
  <c r="AY46" i="11"/>
  <c r="AY45" i="11"/>
  <c r="AZ9" i="11"/>
  <c r="AY22" i="11"/>
  <c r="AY24" i="11"/>
  <c r="AY26" i="11"/>
  <c r="AY15" i="11"/>
  <c r="AY18" i="11"/>
  <c r="AY13" i="11"/>
  <c r="AY19" i="11"/>
  <c r="AY17" i="11"/>
  <c r="AY14" i="11"/>
  <c r="AY20" i="11"/>
  <c r="AY16" i="11"/>
  <c r="AY29" i="11" l="1"/>
  <c r="U72" i="9"/>
  <c r="AX120" i="11"/>
  <c r="X6" i="9"/>
  <c r="W46" i="9"/>
  <c r="W6" i="9"/>
  <c r="Y52" i="9"/>
  <c r="Y33" i="9"/>
  <c r="Y22" i="9"/>
  <c r="Z19" i="9"/>
  <c r="Y14" i="9"/>
  <c r="Z11" i="9"/>
  <c r="Y31" i="9"/>
  <c r="Y61" i="9"/>
  <c r="Y59" i="9"/>
  <c r="Y57" i="9"/>
  <c r="Y53" i="9"/>
  <c r="Z16" i="9"/>
  <c r="Z15" i="9"/>
  <c r="Z13" i="9"/>
  <c r="Z12" i="9"/>
  <c r="Y11" i="9"/>
  <c r="Y10" i="9"/>
  <c r="Z7" i="9"/>
  <c r="Z23" i="9"/>
  <c r="Z21" i="9"/>
  <c r="Z20" i="9"/>
  <c r="Y19" i="9"/>
  <c r="Y18" i="9"/>
  <c r="Y17" i="9"/>
  <c r="Z9" i="9"/>
  <c r="Y62" i="9"/>
  <c r="Y60" i="9"/>
  <c r="Y23" i="9"/>
  <c r="Z22" i="9"/>
  <c r="Y21" i="9"/>
  <c r="Y20" i="9"/>
  <c r="Y9" i="9"/>
  <c r="Y58" i="9"/>
  <c r="Y56" i="9"/>
  <c r="Y54" i="9"/>
  <c r="Y50" i="9"/>
  <c r="Y26" i="9"/>
  <c r="Y51" i="9"/>
  <c r="Y7" i="9"/>
  <c r="Y15" i="9"/>
  <c r="Y55" i="9"/>
  <c r="Z17" i="9"/>
  <c r="Y13" i="9"/>
  <c r="Y8" i="9"/>
  <c r="Z10" i="9"/>
  <c r="Y74" i="9"/>
  <c r="AA38" i="9" s="1"/>
  <c r="AA35" i="9" s="1"/>
  <c r="Y16" i="9"/>
  <c r="Y12" i="9"/>
  <c r="AA5" i="9"/>
  <c r="AA66" i="9" s="1"/>
  <c r="Z14" i="9"/>
  <c r="Z18" i="9"/>
  <c r="Z8" i="9"/>
  <c r="W49" i="9"/>
  <c r="W70" i="9" s="1"/>
  <c r="AY117" i="11"/>
  <c r="AY120" i="11" s="1"/>
  <c r="Y46" i="9"/>
  <c r="Y66" i="9"/>
  <c r="AZ114" i="11"/>
  <c r="AZ112" i="11"/>
  <c r="AZ110" i="11"/>
  <c r="AZ108" i="11"/>
  <c r="AZ106" i="11"/>
  <c r="AZ115" i="11"/>
  <c r="AZ102" i="11"/>
  <c r="AZ103" i="11"/>
  <c r="AZ113" i="11"/>
  <c r="AZ104" i="11"/>
  <c r="AZ101" i="11"/>
  <c r="AZ99" i="11"/>
  <c r="AZ97" i="11"/>
  <c r="AZ95" i="11"/>
  <c r="AZ93" i="11"/>
  <c r="AZ91" i="11"/>
  <c r="AZ89" i="11"/>
  <c r="AZ87" i="11"/>
  <c r="AZ85" i="11"/>
  <c r="AZ83" i="11"/>
  <c r="AZ81" i="11"/>
  <c r="AZ79" i="11"/>
  <c r="AZ77" i="11"/>
  <c r="AZ75" i="11"/>
  <c r="AZ73" i="11"/>
  <c r="AZ71" i="11"/>
  <c r="AZ69" i="11"/>
  <c r="AZ67" i="11"/>
  <c r="AZ65" i="11"/>
  <c r="AZ63" i="11"/>
  <c r="AZ61" i="11"/>
  <c r="AZ105" i="11"/>
  <c r="AZ111" i="11"/>
  <c r="AZ109" i="11"/>
  <c r="AZ107" i="11"/>
  <c r="AZ100" i="11"/>
  <c r="AZ98" i="11"/>
  <c r="AZ96" i="11"/>
  <c r="AZ94" i="11"/>
  <c r="AZ92" i="11"/>
  <c r="AZ90" i="11"/>
  <c r="AZ88" i="11"/>
  <c r="AZ86" i="11"/>
  <c r="AZ84" i="11"/>
  <c r="AZ82" i="11"/>
  <c r="AZ80" i="11"/>
  <c r="AZ78" i="11"/>
  <c r="AZ76" i="11"/>
  <c r="AZ74" i="11"/>
  <c r="AZ72" i="11"/>
  <c r="AZ70" i="11"/>
  <c r="AZ68" i="11"/>
  <c r="AZ66" i="11"/>
  <c r="AZ64" i="11"/>
  <c r="AZ62" i="11"/>
  <c r="AZ56" i="11"/>
  <c r="AZ48" i="11"/>
  <c r="AZ44" i="11"/>
  <c r="AZ26" i="11"/>
  <c r="AZ24" i="11"/>
  <c r="AZ22" i="11"/>
  <c r="AZ20" i="11"/>
  <c r="AZ18" i="11"/>
  <c r="AZ16" i="11"/>
  <c r="AZ14" i="11"/>
  <c r="AZ59" i="11"/>
  <c r="AZ49" i="11"/>
  <c r="AZ50" i="11"/>
  <c r="AZ57" i="11"/>
  <c r="AZ51" i="11"/>
  <c r="AZ43" i="11"/>
  <c r="AZ41" i="11"/>
  <c r="AZ39" i="11"/>
  <c r="AZ37" i="11"/>
  <c r="AZ35" i="11"/>
  <c r="AZ33" i="11"/>
  <c r="AZ60" i="11"/>
  <c r="AZ27" i="11"/>
  <c r="AZ25" i="11"/>
  <c r="AZ23" i="11"/>
  <c r="AZ21" i="11"/>
  <c r="AZ19" i="11"/>
  <c r="AZ53" i="11"/>
  <c r="AZ58" i="11"/>
  <c r="AZ55" i="11"/>
  <c r="AZ54" i="11"/>
  <c r="AZ52" i="11"/>
  <c r="AZ46" i="11"/>
  <c r="AZ45" i="11"/>
  <c r="AZ47" i="11"/>
  <c r="AZ42" i="11"/>
  <c r="AZ40" i="11"/>
  <c r="AZ38" i="11"/>
  <c r="AZ36" i="11"/>
  <c r="AZ34" i="11"/>
  <c r="AZ15" i="11"/>
  <c r="AZ13" i="11"/>
  <c r="AZ17" i="11"/>
  <c r="BA9" i="11"/>
  <c r="W72" i="9" l="1"/>
  <c r="BA115" i="11"/>
  <c r="BA113" i="11"/>
  <c r="BA111" i="11"/>
  <c r="BA109" i="11"/>
  <c r="BA107" i="11"/>
  <c r="BA105" i="11"/>
  <c r="BA103" i="11"/>
  <c r="BA114" i="11"/>
  <c r="BA112" i="11"/>
  <c r="BA110" i="11"/>
  <c r="BA108" i="11"/>
  <c r="BA106" i="11"/>
  <c r="BA102" i="11"/>
  <c r="BA104" i="11"/>
  <c r="BA101" i="11"/>
  <c r="BA99" i="11"/>
  <c r="BA97" i="11"/>
  <c r="BA95" i="11"/>
  <c r="BA93" i="11"/>
  <c r="BA91" i="11"/>
  <c r="BA89" i="11"/>
  <c r="BA87" i="11"/>
  <c r="BA85" i="11"/>
  <c r="BA83" i="11"/>
  <c r="BA81" i="11"/>
  <c r="BA79" i="11"/>
  <c r="BA77" i="11"/>
  <c r="BA75" i="11"/>
  <c r="BA73" i="11"/>
  <c r="BA71" i="11"/>
  <c r="BA69" i="11"/>
  <c r="BA67" i="11"/>
  <c r="BA65" i="11"/>
  <c r="BA63" i="11"/>
  <c r="BA61" i="11"/>
  <c r="BA59" i="11"/>
  <c r="BA57" i="11"/>
  <c r="BA55" i="11"/>
  <c r="BA53" i="11"/>
  <c r="BA100" i="11"/>
  <c r="BA98" i="11"/>
  <c r="BA96" i="11"/>
  <c r="BA94" i="11"/>
  <c r="BA92" i="11"/>
  <c r="BA90" i="11"/>
  <c r="BA88" i="11"/>
  <c r="BA86" i="11"/>
  <c r="BA84" i="11"/>
  <c r="BA82" i="11"/>
  <c r="BA80" i="11"/>
  <c r="BA78" i="11"/>
  <c r="BA76" i="11"/>
  <c r="BA74" i="11"/>
  <c r="BA72" i="11"/>
  <c r="BA70" i="11"/>
  <c r="BA68" i="11"/>
  <c r="BA66" i="11"/>
  <c r="BA64" i="11"/>
  <c r="BA62" i="11"/>
  <c r="BA60" i="11"/>
  <c r="BA58" i="11"/>
  <c r="BA56" i="11"/>
  <c r="BA54" i="11"/>
  <c r="BA52" i="11"/>
  <c r="BA49" i="11"/>
  <c r="BA50" i="11"/>
  <c r="BA51" i="11"/>
  <c r="BA43" i="11"/>
  <c r="BA41" i="11"/>
  <c r="BA39" i="11"/>
  <c r="BA37" i="11"/>
  <c r="BA35" i="11"/>
  <c r="BA33" i="11"/>
  <c r="BA27" i="11"/>
  <c r="BA25" i="11"/>
  <c r="BA23" i="11"/>
  <c r="BA21" i="11"/>
  <c r="BA19" i="11"/>
  <c r="BA17" i="11"/>
  <c r="BA15" i="11"/>
  <c r="BA46" i="11"/>
  <c r="BA45" i="11"/>
  <c r="BA47" i="11"/>
  <c r="BA42" i="11"/>
  <c r="BA40" i="11"/>
  <c r="BA38" i="11"/>
  <c r="BA36" i="11"/>
  <c r="BA34" i="11"/>
  <c r="BA48" i="11"/>
  <c r="BA44" i="11"/>
  <c r="BA26" i="11"/>
  <c r="BA24" i="11"/>
  <c r="BA22" i="11"/>
  <c r="BA20" i="11"/>
  <c r="BA18" i="11"/>
  <c r="BA16" i="11"/>
  <c r="BA14" i="11"/>
  <c r="BA13" i="11"/>
  <c r="BB9" i="11"/>
  <c r="AZ117" i="11"/>
  <c r="Y6" i="9"/>
  <c r="Y70" i="9"/>
  <c r="Y72" i="9" s="1"/>
  <c r="AZ29" i="11"/>
  <c r="AZ120" i="11" s="1"/>
  <c r="Z6" i="9"/>
  <c r="Y49" i="9"/>
  <c r="AA60" i="9"/>
  <c r="AA56" i="9"/>
  <c r="AB21" i="9"/>
  <c r="AA16" i="9"/>
  <c r="AB13" i="9"/>
  <c r="AA61" i="9"/>
  <c r="AA59" i="9"/>
  <c r="AA57" i="9"/>
  <c r="AA53" i="9"/>
  <c r="AB18" i="9"/>
  <c r="AA74" i="9"/>
  <c r="AC38" i="9" s="1"/>
  <c r="AC35" i="9" s="1"/>
  <c r="AA55" i="9"/>
  <c r="AA51" i="9"/>
  <c r="AB23" i="9"/>
  <c r="AB20" i="9"/>
  <c r="AB19" i="9"/>
  <c r="AA18" i="9"/>
  <c r="AA17" i="9"/>
  <c r="AA14" i="9"/>
  <c r="AB9" i="9"/>
  <c r="AC5" i="9"/>
  <c r="AC66" i="9" s="1"/>
  <c r="AA62" i="9"/>
  <c r="AA33" i="9"/>
  <c r="AA46" i="9" s="1"/>
  <c r="AA22" i="9"/>
  <c r="AA58" i="9"/>
  <c r="AA54" i="9"/>
  <c r="AA50" i="9"/>
  <c r="AA26" i="9"/>
  <c r="AB8" i="9"/>
  <c r="AA52" i="9"/>
  <c r="AA8" i="9"/>
  <c r="AA19" i="9"/>
  <c r="AA11" i="9"/>
  <c r="AB15" i="9"/>
  <c r="AA20" i="9"/>
  <c r="AB16" i="9"/>
  <c r="AB10" i="9"/>
  <c r="AA9" i="9"/>
  <c r="AA12" i="9"/>
  <c r="AB7" i="9"/>
  <c r="AA21" i="9"/>
  <c r="AB14" i="9"/>
  <c r="AA15" i="9"/>
  <c r="AA7" i="9"/>
  <c r="AA31" i="9"/>
  <c r="AB22" i="9"/>
  <c r="AB12" i="9"/>
  <c r="AA10" i="9"/>
  <c r="AB17" i="9"/>
  <c r="AA13" i="9"/>
  <c r="AB11" i="9"/>
  <c r="AA23" i="9"/>
  <c r="AA6" i="9" l="1"/>
  <c r="AB6" i="9"/>
  <c r="BB114" i="11"/>
  <c r="BB112" i="11"/>
  <c r="BB110" i="11"/>
  <c r="BB108" i="11"/>
  <c r="BB106" i="11"/>
  <c r="BB104" i="11"/>
  <c r="BB102" i="11"/>
  <c r="BB115" i="11"/>
  <c r="BB113" i="11"/>
  <c r="BB111" i="11"/>
  <c r="BB103" i="11"/>
  <c r="BB101" i="11"/>
  <c r="BB99" i="11"/>
  <c r="BB97" i="11"/>
  <c r="BB95" i="11"/>
  <c r="BB93" i="11"/>
  <c r="BB91" i="11"/>
  <c r="BB89" i="11"/>
  <c r="BB87" i="11"/>
  <c r="BB85" i="11"/>
  <c r="BB83" i="11"/>
  <c r="BB81" i="11"/>
  <c r="BB79" i="11"/>
  <c r="BB77" i="11"/>
  <c r="BB75" i="11"/>
  <c r="BB73" i="11"/>
  <c r="BB71" i="11"/>
  <c r="BB69" i="11"/>
  <c r="BB67" i="11"/>
  <c r="BB65" i="11"/>
  <c r="BB63" i="11"/>
  <c r="BB61" i="11"/>
  <c r="BB59" i="11"/>
  <c r="BB57" i="11"/>
  <c r="BB55" i="11"/>
  <c r="BB53" i="11"/>
  <c r="BB51" i="11"/>
  <c r="BB49" i="11"/>
  <c r="BB47" i="11"/>
  <c r="BB45" i="11"/>
  <c r="BB105" i="11"/>
  <c r="BB109" i="11"/>
  <c r="BB100" i="11"/>
  <c r="BB98" i="11"/>
  <c r="BB96" i="11"/>
  <c r="BB94" i="11"/>
  <c r="BB92" i="11"/>
  <c r="BB90" i="11"/>
  <c r="BB88" i="11"/>
  <c r="BB86" i="11"/>
  <c r="BB84" i="11"/>
  <c r="BB82" i="11"/>
  <c r="BB80" i="11"/>
  <c r="BB78" i="11"/>
  <c r="BB76" i="11"/>
  <c r="BB74" i="11"/>
  <c r="BB72" i="11"/>
  <c r="BB70" i="11"/>
  <c r="BB68" i="11"/>
  <c r="BB66" i="11"/>
  <c r="BB64" i="11"/>
  <c r="BB62" i="11"/>
  <c r="BB60" i="11"/>
  <c r="BB58" i="11"/>
  <c r="BB56" i="11"/>
  <c r="BB107" i="11"/>
  <c r="BB50" i="11"/>
  <c r="BB43" i="11"/>
  <c r="BB41" i="11"/>
  <c r="BB39" i="11"/>
  <c r="BB27" i="11"/>
  <c r="BB25" i="11"/>
  <c r="BB23" i="11"/>
  <c r="BB21" i="11"/>
  <c r="BB19" i="11"/>
  <c r="BB17" i="11"/>
  <c r="BB15" i="11"/>
  <c r="BB13" i="11"/>
  <c r="BB46" i="11"/>
  <c r="BB54" i="11"/>
  <c r="BB52" i="11"/>
  <c r="BB42" i="11"/>
  <c r="BB40" i="11"/>
  <c r="BB38" i="11"/>
  <c r="BB36" i="11"/>
  <c r="BB34" i="11"/>
  <c r="BB48" i="11"/>
  <c r="BB44" i="11"/>
  <c r="BB26" i="11"/>
  <c r="BB24" i="11"/>
  <c r="BB22" i="11"/>
  <c r="BB20" i="11"/>
  <c r="BB18" i="11"/>
  <c r="BB33" i="11"/>
  <c r="BB35" i="11"/>
  <c r="BB37" i="11"/>
  <c r="BB14" i="11"/>
  <c r="BC9" i="11"/>
  <c r="BB16" i="11"/>
  <c r="AC53" i="9"/>
  <c r="AD23" i="9"/>
  <c r="AC18" i="9"/>
  <c r="AD15" i="9"/>
  <c r="AC10" i="9"/>
  <c r="AC61" i="9"/>
  <c r="AC59" i="9"/>
  <c r="AC57" i="9"/>
  <c r="AD20" i="9"/>
  <c r="AD19" i="9"/>
  <c r="AD18" i="9"/>
  <c r="AC17" i="9"/>
  <c r="AC16" i="9"/>
  <c r="AC74" i="9"/>
  <c r="AE38" i="9" s="1"/>
  <c r="AE35" i="9" s="1"/>
  <c r="AC55" i="9"/>
  <c r="AC51" i="9"/>
  <c r="AC23" i="9"/>
  <c r="AD22" i="9"/>
  <c r="AD21" i="9"/>
  <c r="AC20" i="9"/>
  <c r="AC19" i="9"/>
  <c r="AC22" i="9"/>
  <c r="AC21" i="9"/>
  <c r="AC60" i="9"/>
  <c r="AC58" i="9"/>
  <c r="AC54" i="9"/>
  <c r="AC50" i="9"/>
  <c r="AC26" i="9"/>
  <c r="AC8" i="9"/>
  <c r="AC56" i="9"/>
  <c r="AC52" i="9"/>
  <c r="AE66" i="9"/>
  <c r="D66" i="9" s="1"/>
  <c r="AC31" i="9"/>
  <c r="AD12" i="9"/>
  <c r="AD11" i="9"/>
  <c r="AD10" i="9"/>
  <c r="AD7" i="9"/>
  <c r="AD8" i="9"/>
  <c r="AE5" i="9"/>
  <c r="AD17" i="9"/>
  <c r="AC13" i="9"/>
  <c r="AC33" i="9"/>
  <c r="AC46" i="9" s="1"/>
  <c r="AD16" i="9"/>
  <c r="AD14" i="9"/>
  <c r="AD9" i="9"/>
  <c r="AC62" i="9"/>
  <c r="AC14" i="9"/>
  <c r="AC9" i="9"/>
  <c r="AC12" i="9"/>
  <c r="AD13" i="9"/>
  <c r="AC11" i="9"/>
  <c r="AC15" i="9"/>
  <c r="AC7" i="9"/>
  <c r="BA29" i="11"/>
  <c r="AA49" i="9"/>
  <c r="AA70" i="9" s="1"/>
  <c r="BA117" i="11"/>
  <c r="AC6" i="9" l="1"/>
  <c r="AA72" i="9"/>
  <c r="AD6" i="9"/>
  <c r="BB117" i="11"/>
  <c r="BB29" i="11"/>
  <c r="AC49" i="9"/>
  <c r="AC70" i="9"/>
  <c r="AC72" i="9" s="1"/>
  <c r="BA120" i="11"/>
  <c r="AE57" i="9"/>
  <c r="D57" i="9" s="1"/>
  <c r="AE50" i="9"/>
  <c r="D50" i="9" s="1"/>
  <c r="AE20" i="9"/>
  <c r="D20" i="9" s="1"/>
  <c r="AF17" i="9"/>
  <c r="E17" i="9" s="1"/>
  <c r="AE12" i="9"/>
  <c r="D12" i="9" s="1"/>
  <c r="AE74" i="9"/>
  <c r="AE55" i="9"/>
  <c r="D55" i="9" s="1"/>
  <c r="AE53" i="9"/>
  <c r="D53" i="9" s="1"/>
  <c r="AE51" i="9"/>
  <c r="D51" i="9" s="1"/>
  <c r="AE23" i="9"/>
  <c r="D23" i="9" s="1"/>
  <c r="AE22" i="9"/>
  <c r="D22" i="9" s="1"/>
  <c r="AE21" i="9"/>
  <c r="D21" i="9" s="1"/>
  <c r="AE62" i="9"/>
  <c r="D62" i="9" s="1"/>
  <c r="AE33" i="9"/>
  <c r="D33" i="9" s="1"/>
  <c r="B9" i="10" s="1"/>
  <c r="B11" i="10" s="1"/>
  <c r="AE8" i="9"/>
  <c r="D8" i="9" s="1"/>
  <c r="AE56" i="9"/>
  <c r="D56" i="9" s="1"/>
  <c r="AE52" i="9"/>
  <c r="D52" i="9" s="1"/>
  <c r="AF11" i="9"/>
  <c r="E11" i="9" s="1"/>
  <c r="AF10" i="9"/>
  <c r="E10" i="9" s="1"/>
  <c r="AF7" i="9"/>
  <c r="AE31" i="9"/>
  <c r="AF16" i="9"/>
  <c r="E16" i="9" s="1"/>
  <c r="AF15" i="9"/>
  <c r="E15" i="9" s="1"/>
  <c r="AF14" i="9"/>
  <c r="E14" i="9" s="1"/>
  <c r="AF13" i="9"/>
  <c r="E13" i="9" s="1"/>
  <c r="AF12" i="9"/>
  <c r="E12" i="9" s="1"/>
  <c r="AE11" i="9"/>
  <c r="D11" i="9" s="1"/>
  <c r="AE10" i="9"/>
  <c r="D10" i="9" s="1"/>
  <c r="AE7" i="9"/>
  <c r="AF19" i="9"/>
  <c r="E19" i="9" s="1"/>
  <c r="AF18" i="9"/>
  <c r="E18" i="9" s="1"/>
  <c r="AE17" i="9"/>
  <c r="D17" i="9" s="1"/>
  <c r="AE16" i="9"/>
  <c r="D16" i="9" s="1"/>
  <c r="AE15" i="9"/>
  <c r="D15" i="9" s="1"/>
  <c r="AE14" i="9"/>
  <c r="D14" i="9" s="1"/>
  <c r="AE13" i="9"/>
  <c r="D13" i="9" s="1"/>
  <c r="AF9" i="9"/>
  <c r="E9" i="9" s="1"/>
  <c r="AE61" i="9"/>
  <c r="D61" i="9" s="1"/>
  <c r="AE59" i="9"/>
  <c r="D59" i="9" s="1"/>
  <c r="AE18" i="9"/>
  <c r="D18" i="9" s="1"/>
  <c r="AE26" i="9"/>
  <c r="D26" i="9" s="1"/>
  <c r="AF20" i="9"/>
  <c r="E20" i="9" s="1"/>
  <c r="AE60" i="9"/>
  <c r="D60" i="9" s="1"/>
  <c r="AE54" i="9"/>
  <c r="D54" i="9" s="1"/>
  <c r="AF21" i="9"/>
  <c r="E21" i="9" s="1"/>
  <c r="AE58" i="9"/>
  <c r="D58" i="9" s="1"/>
  <c r="AF22" i="9"/>
  <c r="E22" i="9" s="1"/>
  <c r="AF8" i="9"/>
  <c r="E8" i="9" s="1"/>
  <c r="AE19" i="9"/>
  <c r="D19" i="9" s="1"/>
  <c r="AF23" i="9"/>
  <c r="E23" i="9" s="1"/>
  <c r="AE9" i="9"/>
  <c r="D9" i="9" s="1"/>
  <c r="BC114" i="11"/>
  <c r="BC112" i="11"/>
  <c r="BC110" i="11"/>
  <c r="BC106" i="11"/>
  <c r="BC103" i="11"/>
  <c r="BC101" i="11"/>
  <c r="BC99" i="11"/>
  <c r="BC97" i="11"/>
  <c r="BC95" i="11"/>
  <c r="BC93" i="11"/>
  <c r="BC91" i="11"/>
  <c r="BC89" i="11"/>
  <c r="BC87" i="11"/>
  <c r="BC85" i="11"/>
  <c r="BC83" i="11"/>
  <c r="BC81" i="11"/>
  <c r="BC79" i="11"/>
  <c r="BC77" i="11"/>
  <c r="BC75" i="11"/>
  <c r="BC73" i="11"/>
  <c r="BC71" i="11"/>
  <c r="BC69" i="11"/>
  <c r="BC67" i="11"/>
  <c r="BC65" i="11"/>
  <c r="BC63" i="11"/>
  <c r="BC61" i="11"/>
  <c r="BC59" i="11"/>
  <c r="BC57" i="11"/>
  <c r="BC55" i="11"/>
  <c r="BC53" i="11"/>
  <c r="BC104" i="11"/>
  <c r="BC113" i="11"/>
  <c r="BC108" i="11"/>
  <c r="BC105" i="11"/>
  <c r="BC109" i="11"/>
  <c r="BC100" i="11"/>
  <c r="BC98" i="11"/>
  <c r="BC96" i="11"/>
  <c r="BC94" i="11"/>
  <c r="BC92" i="11"/>
  <c r="BC90" i="11"/>
  <c r="BC88" i="11"/>
  <c r="BC86" i="11"/>
  <c r="BC84" i="11"/>
  <c r="BC82" i="11"/>
  <c r="BC80" i="11"/>
  <c r="BC78" i="11"/>
  <c r="BC76" i="11"/>
  <c r="BC74" i="11"/>
  <c r="BC72" i="11"/>
  <c r="BC70" i="11"/>
  <c r="BC68" i="11"/>
  <c r="BC66" i="11"/>
  <c r="BC64" i="11"/>
  <c r="BC62" i="11"/>
  <c r="BC60" i="11"/>
  <c r="BC58" i="11"/>
  <c r="BC56" i="11"/>
  <c r="BC54" i="11"/>
  <c r="BC52" i="11"/>
  <c r="BC50" i="11"/>
  <c r="BC48" i="11"/>
  <c r="BC46" i="11"/>
  <c r="BC111" i="11"/>
  <c r="BC107" i="11"/>
  <c r="BC115" i="11"/>
  <c r="BC102" i="11"/>
  <c r="BC43" i="11"/>
  <c r="BC41" i="11"/>
  <c r="BC39" i="11"/>
  <c r="BC37" i="11"/>
  <c r="BC35" i="11"/>
  <c r="BC33" i="11"/>
  <c r="BC51" i="11"/>
  <c r="BC45" i="11"/>
  <c r="BC42" i="11"/>
  <c r="BC40" i="11"/>
  <c r="BC38" i="11"/>
  <c r="BC36" i="11"/>
  <c r="BC34" i="11"/>
  <c r="BC47" i="11"/>
  <c r="BC44" i="11"/>
  <c r="BC26" i="11"/>
  <c r="BC24" i="11"/>
  <c r="BC22" i="11"/>
  <c r="BC20" i="11"/>
  <c r="BC49" i="11"/>
  <c r="BC15" i="11"/>
  <c r="BC13" i="11"/>
  <c r="BC18" i="11"/>
  <c r="BC21" i="11"/>
  <c r="BC19" i="11"/>
  <c r="BC17" i="11"/>
  <c r="BC14" i="11"/>
  <c r="BD9" i="11"/>
  <c r="BC23" i="11"/>
  <c r="BC25" i="11"/>
  <c r="BC16" i="11"/>
  <c r="BC27" i="11"/>
  <c r="D7" i="9"/>
  <c r="AE46" i="9" l="1"/>
  <c r="C10" i="15"/>
  <c r="E10" i="15" s="1"/>
  <c r="D14" i="15"/>
  <c r="E14" i="15" s="1"/>
  <c r="C13" i="15"/>
  <c r="B36" i="12"/>
  <c r="B37" i="12" s="1"/>
  <c r="B22" i="10"/>
  <c r="D49" i="9"/>
  <c r="D18" i="15"/>
  <c r="D17" i="15"/>
  <c r="C26" i="10"/>
  <c r="B26" i="10"/>
  <c r="C17" i="15" s="1"/>
  <c r="BB120" i="11"/>
  <c r="BD115" i="11"/>
  <c r="BD113" i="11"/>
  <c r="BD111" i="11"/>
  <c r="BD109" i="11"/>
  <c r="BD107" i="11"/>
  <c r="BD105" i="11"/>
  <c r="BD104" i="11"/>
  <c r="BD108" i="11"/>
  <c r="BD110" i="11"/>
  <c r="BD100" i="11"/>
  <c r="BD98" i="11"/>
  <c r="BD96" i="11"/>
  <c r="BD94" i="11"/>
  <c r="BD92" i="11"/>
  <c r="BD90" i="11"/>
  <c r="BD88" i="11"/>
  <c r="BD86" i="11"/>
  <c r="BD84" i="11"/>
  <c r="BD82" i="11"/>
  <c r="BD80" i="11"/>
  <c r="BD78" i="11"/>
  <c r="BD76" i="11"/>
  <c r="BD74" i="11"/>
  <c r="BD72" i="11"/>
  <c r="BD70" i="11"/>
  <c r="BD68" i="11"/>
  <c r="BD66" i="11"/>
  <c r="BD64" i="11"/>
  <c r="BD62" i="11"/>
  <c r="BD114" i="11"/>
  <c r="BD102" i="11"/>
  <c r="BD112" i="11"/>
  <c r="BD106" i="11"/>
  <c r="BD103" i="11"/>
  <c r="BD101" i="11"/>
  <c r="BD99" i="11"/>
  <c r="BD97" i="11"/>
  <c r="BD95" i="11"/>
  <c r="BD93" i="11"/>
  <c r="BD91" i="11"/>
  <c r="BD89" i="11"/>
  <c r="BD87" i="11"/>
  <c r="BD85" i="11"/>
  <c r="BD83" i="11"/>
  <c r="BD81" i="11"/>
  <c r="BD79" i="11"/>
  <c r="BD77" i="11"/>
  <c r="BD75" i="11"/>
  <c r="BD73" i="11"/>
  <c r="BD71" i="11"/>
  <c r="BD69" i="11"/>
  <c r="BD67" i="11"/>
  <c r="BD65" i="11"/>
  <c r="BD63" i="11"/>
  <c r="BD61" i="11"/>
  <c r="BD59" i="11"/>
  <c r="BD51" i="11"/>
  <c r="BD27" i="11"/>
  <c r="BD25" i="11"/>
  <c r="BD23" i="11"/>
  <c r="BD21" i="11"/>
  <c r="BD19" i="11"/>
  <c r="BD17" i="11"/>
  <c r="BD15" i="11"/>
  <c r="BD13" i="11"/>
  <c r="BD57" i="11"/>
  <c r="BE9" i="11"/>
  <c r="BD60" i="11"/>
  <c r="BD46" i="11"/>
  <c r="BD45" i="11"/>
  <c r="BD42" i="11"/>
  <c r="BD40" i="11"/>
  <c r="BD38" i="11"/>
  <c r="BD36" i="11"/>
  <c r="BD34" i="11"/>
  <c r="BD54" i="11"/>
  <c r="BD53" i="11"/>
  <c r="BD52" i="11"/>
  <c r="BD47" i="11"/>
  <c r="BD44" i="11"/>
  <c r="BD26" i="11"/>
  <c r="BD24" i="11"/>
  <c r="BD22" i="11"/>
  <c r="BD20" i="11"/>
  <c r="BD58" i="11"/>
  <c r="BD55" i="11"/>
  <c r="BD48" i="11"/>
  <c r="BD49" i="11"/>
  <c r="BD56" i="11"/>
  <c r="BD50" i="11"/>
  <c r="BD43" i="11"/>
  <c r="BD41" i="11"/>
  <c r="BD39" i="11"/>
  <c r="BD37" i="11"/>
  <c r="BD35" i="11"/>
  <c r="BD33" i="11"/>
  <c r="BD18" i="11"/>
  <c r="BD14" i="11"/>
  <c r="BD16" i="11"/>
  <c r="AE6" i="9"/>
  <c r="AE70" i="9"/>
  <c r="AE72" i="9" s="1"/>
  <c r="D31" i="9"/>
  <c r="D6" i="9"/>
  <c r="D13" i="15" s="1"/>
  <c r="AF6" i="9"/>
  <c r="BC29" i="11"/>
  <c r="BC117" i="11"/>
  <c r="AE49" i="9"/>
  <c r="E7" i="9"/>
  <c r="E6" i="9" s="1"/>
  <c r="BE114" i="11" l="1"/>
  <c r="BE112" i="11"/>
  <c r="BE110" i="11"/>
  <c r="BE108" i="11"/>
  <c r="BE106" i="11"/>
  <c r="BE104" i="11"/>
  <c r="BE102" i="11"/>
  <c r="BE115" i="11"/>
  <c r="BE113" i="11"/>
  <c r="BE111" i="11"/>
  <c r="BE109" i="11"/>
  <c r="BE107" i="11"/>
  <c r="BE105" i="11"/>
  <c r="BE100" i="11"/>
  <c r="BE98" i="11"/>
  <c r="BE96" i="11"/>
  <c r="BE94" i="11"/>
  <c r="BE92" i="11"/>
  <c r="BE90" i="11"/>
  <c r="BE88" i="11"/>
  <c r="BE86" i="11"/>
  <c r="BE84" i="11"/>
  <c r="BE82" i="11"/>
  <c r="BE80" i="11"/>
  <c r="BE78" i="11"/>
  <c r="BE76" i="11"/>
  <c r="BE74" i="11"/>
  <c r="BE72" i="11"/>
  <c r="BE70" i="11"/>
  <c r="BE68" i="11"/>
  <c r="BE66" i="11"/>
  <c r="BE64" i="11"/>
  <c r="BE62" i="11"/>
  <c r="BE60" i="11"/>
  <c r="BE58" i="11"/>
  <c r="BE56" i="11"/>
  <c r="BE54" i="11"/>
  <c r="BE103" i="11"/>
  <c r="BE101" i="11"/>
  <c r="BE99" i="11"/>
  <c r="BE97" i="11"/>
  <c r="BE95" i="11"/>
  <c r="BE93" i="11"/>
  <c r="BE91" i="11"/>
  <c r="BE89" i="11"/>
  <c r="BE87" i="11"/>
  <c r="BE85" i="11"/>
  <c r="BE83" i="11"/>
  <c r="BE81" i="11"/>
  <c r="BE79" i="11"/>
  <c r="BE77" i="11"/>
  <c r="BE75" i="11"/>
  <c r="BE73" i="11"/>
  <c r="BE71" i="11"/>
  <c r="BE69" i="11"/>
  <c r="BE67" i="11"/>
  <c r="BE65" i="11"/>
  <c r="BE63" i="11"/>
  <c r="BE61" i="11"/>
  <c r="BE59" i="11"/>
  <c r="BE57" i="11"/>
  <c r="BE55" i="11"/>
  <c r="BE53" i="11"/>
  <c r="BE46" i="11"/>
  <c r="BE45" i="11"/>
  <c r="BE42" i="11"/>
  <c r="BE40" i="11"/>
  <c r="BE38" i="11"/>
  <c r="BE36" i="11"/>
  <c r="BE34" i="11"/>
  <c r="BE52" i="11"/>
  <c r="BE47" i="11"/>
  <c r="BE44" i="11"/>
  <c r="BE26" i="11"/>
  <c r="BE24" i="11"/>
  <c r="BE22" i="11"/>
  <c r="BE20" i="11"/>
  <c r="BE18" i="11"/>
  <c r="BE16" i="11"/>
  <c r="BE48" i="11"/>
  <c r="BE49" i="11"/>
  <c r="BE50" i="11"/>
  <c r="BE43" i="11"/>
  <c r="BE41" i="11"/>
  <c r="BE39" i="11"/>
  <c r="BE37" i="11"/>
  <c r="BE35" i="11"/>
  <c r="BE33" i="11"/>
  <c r="BE51" i="11"/>
  <c r="BE27" i="11"/>
  <c r="BE25" i="11"/>
  <c r="BE23" i="11"/>
  <c r="BE21" i="11"/>
  <c r="BE19" i="11"/>
  <c r="BE17" i="11"/>
  <c r="BE15" i="11"/>
  <c r="BE13" i="11"/>
  <c r="BE14" i="11"/>
  <c r="BF9" i="11"/>
  <c r="BD117" i="11"/>
  <c r="E13" i="15"/>
  <c r="BD29" i="11"/>
  <c r="D70" i="9"/>
  <c r="E17" i="15"/>
  <c r="B24" i="10"/>
  <c r="C24" i="10"/>
  <c r="C28" i="10" s="1"/>
  <c r="C30" i="10" s="1"/>
  <c r="BC120" i="11"/>
  <c r="BD120" i="11" l="1"/>
  <c r="BF115" i="11"/>
  <c r="BF113" i="11"/>
  <c r="BF111" i="11"/>
  <c r="BF109" i="11"/>
  <c r="BF107" i="11"/>
  <c r="BF105" i="11"/>
  <c r="BF103" i="11"/>
  <c r="BF114" i="11"/>
  <c r="BF112" i="11"/>
  <c r="BF108" i="11"/>
  <c r="BF100" i="11"/>
  <c r="BF98" i="11"/>
  <c r="BF96" i="11"/>
  <c r="BF94" i="11"/>
  <c r="BF92" i="11"/>
  <c r="BF90" i="11"/>
  <c r="BF88" i="11"/>
  <c r="BF86" i="11"/>
  <c r="BF84" i="11"/>
  <c r="BF82" i="11"/>
  <c r="BF80" i="11"/>
  <c r="BF78" i="11"/>
  <c r="BF76" i="11"/>
  <c r="BF74" i="11"/>
  <c r="BF72" i="11"/>
  <c r="BF70" i="11"/>
  <c r="BF68" i="11"/>
  <c r="BF66" i="11"/>
  <c r="BF64" i="11"/>
  <c r="BF62" i="11"/>
  <c r="BF60" i="11"/>
  <c r="BF58" i="11"/>
  <c r="BF56" i="11"/>
  <c r="BF54" i="11"/>
  <c r="BF52" i="11"/>
  <c r="BF50" i="11"/>
  <c r="BF48" i="11"/>
  <c r="BF46" i="11"/>
  <c r="BF44" i="11"/>
  <c r="BF110" i="11"/>
  <c r="BF102" i="11"/>
  <c r="BF101" i="11"/>
  <c r="BF99" i="11"/>
  <c r="BF97" i="11"/>
  <c r="BF95" i="11"/>
  <c r="BF93" i="11"/>
  <c r="BF91" i="11"/>
  <c r="BF89" i="11"/>
  <c r="BF87" i="11"/>
  <c r="BF85" i="11"/>
  <c r="BF83" i="11"/>
  <c r="BF81" i="11"/>
  <c r="BF79" i="11"/>
  <c r="BF77" i="11"/>
  <c r="BF75" i="11"/>
  <c r="BF73" i="11"/>
  <c r="BF71" i="11"/>
  <c r="BF69" i="11"/>
  <c r="BF67" i="11"/>
  <c r="BF65" i="11"/>
  <c r="BF63" i="11"/>
  <c r="BF61" i="11"/>
  <c r="BF59" i="11"/>
  <c r="BF57" i="11"/>
  <c r="BF106" i="11"/>
  <c r="BF104" i="11"/>
  <c r="BG9" i="11"/>
  <c r="BF45" i="11"/>
  <c r="BF42" i="11"/>
  <c r="BF40" i="11"/>
  <c r="BF47" i="11"/>
  <c r="BF26" i="11"/>
  <c r="BF24" i="11"/>
  <c r="BF22" i="11"/>
  <c r="BF20" i="11"/>
  <c r="BF18" i="11"/>
  <c r="BF16" i="11"/>
  <c r="BF14" i="11"/>
  <c r="BF53" i="11"/>
  <c r="BF55" i="11"/>
  <c r="BF49" i="11"/>
  <c r="BF43" i="11"/>
  <c r="BF41" i="11"/>
  <c r="BF39" i="11"/>
  <c r="BF37" i="11"/>
  <c r="BF35" i="11"/>
  <c r="BF33" i="11"/>
  <c r="BF51" i="11"/>
  <c r="BF27" i="11"/>
  <c r="BF25" i="11"/>
  <c r="BF23" i="11"/>
  <c r="BF21" i="11"/>
  <c r="BF19" i="11"/>
  <c r="BF38" i="11"/>
  <c r="BF17" i="11"/>
  <c r="BF34" i="11"/>
  <c r="BF36" i="11"/>
  <c r="BF15" i="11"/>
  <c r="BF13" i="11"/>
  <c r="BE29" i="11"/>
  <c r="C16" i="15"/>
  <c r="E16" i="15" s="1"/>
  <c r="C15" i="15"/>
  <c r="E15" i="15" s="1"/>
  <c r="B28" i="10"/>
  <c r="BE117" i="11"/>
  <c r="B38" i="12" l="1"/>
  <c r="B39" i="12" s="1"/>
  <c r="B30" i="10"/>
  <c r="C18" i="15" s="1"/>
  <c r="E18" i="15" s="1"/>
  <c r="BF117" i="11"/>
  <c r="BG115" i="11"/>
  <c r="BG113" i="11"/>
  <c r="BG111" i="11"/>
  <c r="BG108" i="11"/>
  <c r="BG100" i="11"/>
  <c r="BG98" i="11"/>
  <c r="BG96" i="11"/>
  <c r="BG94" i="11"/>
  <c r="BG92" i="11"/>
  <c r="BG90" i="11"/>
  <c r="BG88" i="11"/>
  <c r="BG86" i="11"/>
  <c r="BG84" i="11"/>
  <c r="BG82" i="11"/>
  <c r="BG80" i="11"/>
  <c r="BG78" i="11"/>
  <c r="BG76" i="11"/>
  <c r="BG74" i="11"/>
  <c r="BG72" i="11"/>
  <c r="BG70" i="11"/>
  <c r="BG68" i="11"/>
  <c r="BG66" i="11"/>
  <c r="BG64" i="11"/>
  <c r="BG62" i="11"/>
  <c r="BG60" i="11"/>
  <c r="BG58" i="11"/>
  <c r="BG56" i="11"/>
  <c r="BG54" i="11"/>
  <c r="BG52" i="11"/>
  <c r="BG110" i="11"/>
  <c r="BG105" i="11"/>
  <c r="BG114" i="11"/>
  <c r="BG109" i="11"/>
  <c r="BG107" i="11"/>
  <c r="BG102" i="11"/>
  <c r="BG101" i="11"/>
  <c r="BG99" i="11"/>
  <c r="BG97" i="11"/>
  <c r="BG95" i="11"/>
  <c r="BG93" i="11"/>
  <c r="BG91" i="11"/>
  <c r="BG89" i="11"/>
  <c r="BG87" i="11"/>
  <c r="BG85" i="11"/>
  <c r="BG83" i="11"/>
  <c r="BG81" i="11"/>
  <c r="BG79" i="11"/>
  <c r="BG77" i="11"/>
  <c r="BG75" i="11"/>
  <c r="BG73" i="11"/>
  <c r="BG71" i="11"/>
  <c r="BG69" i="11"/>
  <c r="BG67" i="11"/>
  <c r="BG65" i="11"/>
  <c r="BG63" i="11"/>
  <c r="BG61" i="11"/>
  <c r="BG59" i="11"/>
  <c r="BG57" i="11"/>
  <c r="BG55" i="11"/>
  <c r="BG53" i="11"/>
  <c r="BG51" i="11"/>
  <c r="BG49" i="11"/>
  <c r="BG47" i="11"/>
  <c r="BG106" i="11"/>
  <c r="BG103" i="11"/>
  <c r="BG112" i="11"/>
  <c r="BG104" i="11"/>
  <c r="BG45" i="11"/>
  <c r="BG42" i="11"/>
  <c r="BG40" i="11"/>
  <c r="BG38" i="11"/>
  <c r="BG36" i="11"/>
  <c r="BG34" i="11"/>
  <c r="BG46" i="11"/>
  <c r="BG44" i="11"/>
  <c r="BG48" i="11"/>
  <c r="BG43" i="11"/>
  <c r="BG41" i="11"/>
  <c r="BG39" i="11"/>
  <c r="BG37" i="11"/>
  <c r="BG35" i="11"/>
  <c r="BG33" i="11"/>
  <c r="BG50" i="11"/>
  <c r="BG27" i="11"/>
  <c r="BG25" i="11"/>
  <c r="BG23" i="11"/>
  <c r="BG21" i="11"/>
  <c r="BH9" i="11"/>
  <c r="BG24" i="11"/>
  <c r="BG18" i="11"/>
  <c r="BG14" i="11"/>
  <c r="BG26" i="11"/>
  <c r="BG17" i="11"/>
  <c r="BG19" i="11"/>
  <c r="BG16" i="11"/>
  <c r="BG20" i="11"/>
  <c r="BG15" i="11"/>
  <c r="BG13" i="11"/>
  <c r="BG22" i="11"/>
  <c r="BE120" i="11"/>
  <c r="BF29" i="11"/>
  <c r="BF120" i="11" s="1"/>
  <c r="BG29" i="11" l="1"/>
  <c r="BG117" i="11"/>
  <c r="BH114" i="11"/>
  <c r="BH112" i="11"/>
  <c r="BH110" i="11"/>
  <c r="BH108" i="11"/>
  <c r="BH106" i="11"/>
  <c r="BH105" i="11"/>
  <c r="BH113" i="11"/>
  <c r="BH109" i="11"/>
  <c r="BH107" i="11"/>
  <c r="BH102" i="11"/>
  <c r="BH101" i="11"/>
  <c r="BH99" i="11"/>
  <c r="BH97" i="11"/>
  <c r="BH95" i="11"/>
  <c r="BH93" i="11"/>
  <c r="BH91" i="11"/>
  <c r="BH89" i="11"/>
  <c r="BH87" i="11"/>
  <c r="BH85" i="11"/>
  <c r="BH83" i="11"/>
  <c r="BH81" i="11"/>
  <c r="BH79" i="11"/>
  <c r="BH77" i="11"/>
  <c r="BH75" i="11"/>
  <c r="BH73" i="11"/>
  <c r="BH71" i="11"/>
  <c r="BH69" i="11"/>
  <c r="BH67" i="11"/>
  <c r="BH65" i="11"/>
  <c r="BH63" i="11"/>
  <c r="BH61" i="11"/>
  <c r="BH111" i="11"/>
  <c r="BH103" i="11"/>
  <c r="BH104" i="11"/>
  <c r="BH115" i="11"/>
  <c r="BH100" i="11"/>
  <c r="BH98" i="11"/>
  <c r="BH96" i="11"/>
  <c r="BH94" i="11"/>
  <c r="BH92" i="11"/>
  <c r="BH90" i="11"/>
  <c r="BH88" i="11"/>
  <c r="BH86" i="11"/>
  <c r="BH84" i="11"/>
  <c r="BH82" i="11"/>
  <c r="BH80" i="11"/>
  <c r="BH78" i="11"/>
  <c r="BH76" i="11"/>
  <c r="BH74" i="11"/>
  <c r="BH72" i="11"/>
  <c r="BH70" i="11"/>
  <c r="BH68" i="11"/>
  <c r="BH66" i="11"/>
  <c r="BH64" i="11"/>
  <c r="BH62" i="11"/>
  <c r="BH46" i="11"/>
  <c r="BH26" i="11"/>
  <c r="BH24" i="11"/>
  <c r="BH22" i="11"/>
  <c r="BH20" i="11"/>
  <c r="BH18" i="11"/>
  <c r="BH16" i="11"/>
  <c r="BH14" i="11"/>
  <c r="BH57" i="11"/>
  <c r="BH47" i="11"/>
  <c r="BH44" i="11"/>
  <c r="BH60" i="11"/>
  <c r="BH53" i="11"/>
  <c r="BH52" i="11"/>
  <c r="BH48" i="11"/>
  <c r="BH55" i="11"/>
  <c r="BH54" i="11"/>
  <c r="BH49" i="11"/>
  <c r="BH43" i="11"/>
  <c r="BH41" i="11"/>
  <c r="BH39" i="11"/>
  <c r="BH37" i="11"/>
  <c r="BH35" i="11"/>
  <c r="BH33" i="11"/>
  <c r="BH58" i="11"/>
  <c r="BH50" i="11"/>
  <c r="BH27" i="11"/>
  <c r="BH25" i="11"/>
  <c r="BH23" i="11"/>
  <c r="BH21" i="11"/>
  <c r="BH19" i="11"/>
  <c r="BH51" i="11"/>
  <c r="BH56" i="11"/>
  <c r="BH59" i="11"/>
  <c r="BH45" i="11"/>
  <c r="BH42" i="11"/>
  <c r="BH40" i="11"/>
  <c r="BH38" i="11"/>
  <c r="BH36" i="11"/>
  <c r="BH34" i="11"/>
  <c r="BH17" i="11"/>
  <c r="BI9" i="11"/>
  <c r="BH15" i="11"/>
  <c r="BH13" i="11"/>
  <c r="BG120" i="11" l="1"/>
  <c r="BH29" i="11"/>
  <c r="BI115" i="11"/>
  <c r="BI113" i="11"/>
  <c r="BI111" i="11"/>
  <c r="BI109" i="11"/>
  <c r="BI107" i="11"/>
  <c r="BI105" i="11"/>
  <c r="BI103" i="11"/>
  <c r="BI114" i="11"/>
  <c r="BI112" i="11"/>
  <c r="BI110" i="11"/>
  <c r="BI108" i="11"/>
  <c r="BI106" i="11"/>
  <c r="BI102" i="11"/>
  <c r="BI101" i="11"/>
  <c r="BI99" i="11"/>
  <c r="BI97" i="11"/>
  <c r="BI95" i="11"/>
  <c r="BI93" i="11"/>
  <c r="BI91" i="11"/>
  <c r="BI89" i="11"/>
  <c r="BI87" i="11"/>
  <c r="BI85" i="11"/>
  <c r="BI83" i="11"/>
  <c r="BI81" i="11"/>
  <c r="BI79" i="11"/>
  <c r="BI77" i="11"/>
  <c r="BI75" i="11"/>
  <c r="BI73" i="11"/>
  <c r="BI71" i="11"/>
  <c r="BI69" i="11"/>
  <c r="BI67" i="11"/>
  <c r="BI65" i="11"/>
  <c r="BI63" i="11"/>
  <c r="BI61" i="11"/>
  <c r="BI59" i="11"/>
  <c r="BI57" i="11"/>
  <c r="BI55" i="11"/>
  <c r="BI53" i="11"/>
  <c r="BI104" i="11"/>
  <c r="BI100" i="11"/>
  <c r="BI98" i="11"/>
  <c r="BI96" i="11"/>
  <c r="BI94" i="11"/>
  <c r="BI92" i="11"/>
  <c r="BI90" i="11"/>
  <c r="BI88" i="11"/>
  <c r="BI86" i="11"/>
  <c r="BI84" i="11"/>
  <c r="BI82" i="11"/>
  <c r="BI80" i="11"/>
  <c r="BI78" i="11"/>
  <c r="BI76" i="11"/>
  <c r="BI74" i="11"/>
  <c r="BI72" i="11"/>
  <c r="BI70" i="11"/>
  <c r="BI68" i="11"/>
  <c r="BI66" i="11"/>
  <c r="BI64" i="11"/>
  <c r="BI62" i="11"/>
  <c r="BI60" i="11"/>
  <c r="BI58" i="11"/>
  <c r="BI56" i="11"/>
  <c r="BI54" i="11"/>
  <c r="BI52" i="11"/>
  <c r="BI47" i="11"/>
  <c r="BI44" i="11"/>
  <c r="BI48" i="11"/>
  <c r="BI49" i="11"/>
  <c r="BI43" i="11"/>
  <c r="BI41" i="11"/>
  <c r="BI39" i="11"/>
  <c r="BI37" i="11"/>
  <c r="BI35" i="11"/>
  <c r="BI33" i="11"/>
  <c r="BI50" i="11"/>
  <c r="BI27" i="11"/>
  <c r="BI25" i="11"/>
  <c r="BI23" i="11"/>
  <c r="BI21" i="11"/>
  <c r="BI19" i="11"/>
  <c r="BI17" i="11"/>
  <c r="BI15" i="11"/>
  <c r="BI51" i="11"/>
  <c r="BI45" i="11"/>
  <c r="BI42" i="11"/>
  <c r="BI40" i="11"/>
  <c r="BI38" i="11"/>
  <c r="BI36" i="11"/>
  <c r="BI34" i="11"/>
  <c r="BI46" i="11"/>
  <c r="BI26" i="11"/>
  <c r="BI24" i="11"/>
  <c r="BI22" i="11"/>
  <c r="BI20" i="11"/>
  <c r="BI18" i="11"/>
  <c r="BI16" i="11"/>
  <c r="BI14" i="11"/>
  <c r="BJ9" i="11"/>
  <c r="BI13" i="11"/>
  <c r="BH117" i="11"/>
  <c r="BI29" i="11" l="1"/>
  <c r="BJ114" i="11"/>
  <c r="BK114" i="11" s="1"/>
  <c r="BJ112" i="11"/>
  <c r="BK112" i="11" s="1"/>
  <c r="BJ110" i="11"/>
  <c r="BK110" i="11" s="1"/>
  <c r="BJ108" i="11"/>
  <c r="BK108" i="11" s="1"/>
  <c r="BJ106" i="11"/>
  <c r="BK106" i="11" s="1"/>
  <c r="BJ104" i="11"/>
  <c r="BK104" i="11" s="1"/>
  <c r="BJ102" i="11"/>
  <c r="BK102" i="11" s="1"/>
  <c r="BJ115" i="11"/>
  <c r="BK115" i="11" s="1"/>
  <c r="BJ113" i="11"/>
  <c r="BK113" i="11" s="1"/>
  <c r="BJ111" i="11"/>
  <c r="BK111" i="11" s="1"/>
  <c r="BJ109" i="11"/>
  <c r="BK109" i="11" s="1"/>
  <c r="BJ101" i="11"/>
  <c r="BK101" i="11" s="1"/>
  <c r="BJ99" i="11"/>
  <c r="BK99" i="11" s="1"/>
  <c r="BJ97" i="11"/>
  <c r="BK97" i="11" s="1"/>
  <c r="BJ95" i="11"/>
  <c r="BK95" i="11" s="1"/>
  <c r="BJ93" i="11"/>
  <c r="BK93" i="11" s="1"/>
  <c r="BJ91" i="11"/>
  <c r="BK91" i="11" s="1"/>
  <c r="BJ89" i="11"/>
  <c r="BK89" i="11" s="1"/>
  <c r="BJ87" i="11"/>
  <c r="BK87" i="11" s="1"/>
  <c r="BJ85" i="11"/>
  <c r="BK85" i="11" s="1"/>
  <c r="BJ83" i="11"/>
  <c r="BK83" i="11" s="1"/>
  <c r="BJ81" i="11"/>
  <c r="BK81" i="11" s="1"/>
  <c r="BJ79" i="11"/>
  <c r="BK79" i="11" s="1"/>
  <c r="BJ77" i="11"/>
  <c r="BK77" i="11" s="1"/>
  <c r="BJ75" i="11"/>
  <c r="BK75" i="11" s="1"/>
  <c r="BJ73" i="11"/>
  <c r="BK73" i="11" s="1"/>
  <c r="BJ71" i="11"/>
  <c r="BK71" i="11" s="1"/>
  <c r="BJ69" i="11"/>
  <c r="BK69" i="11" s="1"/>
  <c r="BJ67" i="11"/>
  <c r="BK67" i="11" s="1"/>
  <c r="BJ65" i="11"/>
  <c r="BK65" i="11" s="1"/>
  <c r="BJ63" i="11"/>
  <c r="BK63" i="11" s="1"/>
  <c r="BJ61" i="11"/>
  <c r="BK61" i="11" s="1"/>
  <c r="BJ59" i="11"/>
  <c r="BK59" i="11" s="1"/>
  <c r="BJ57" i="11"/>
  <c r="BK57" i="11" s="1"/>
  <c r="BJ55" i="11"/>
  <c r="BK55" i="11" s="1"/>
  <c r="BJ53" i="11"/>
  <c r="BK53" i="11" s="1"/>
  <c r="BJ51" i="11"/>
  <c r="BK51" i="11" s="1"/>
  <c r="BJ49" i="11"/>
  <c r="BK49" i="11" s="1"/>
  <c r="BJ47" i="11"/>
  <c r="BK47" i="11" s="1"/>
  <c r="BJ45" i="11"/>
  <c r="BK45" i="11" s="1"/>
  <c r="BJ107" i="11"/>
  <c r="BK107" i="11" s="1"/>
  <c r="BJ103" i="11"/>
  <c r="BK103" i="11" s="1"/>
  <c r="BJ100" i="11"/>
  <c r="BK100" i="11" s="1"/>
  <c r="BJ98" i="11"/>
  <c r="BK98" i="11" s="1"/>
  <c r="BJ96" i="11"/>
  <c r="BK96" i="11" s="1"/>
  <c r="BJ94" i="11"/>
  <c r="BK94" i="11" s="1"/>
  <c r="BJ92" i="11"/>
  <c r="BK92" i="11" s="1"/>
  <c r="BJ90" i="11"/>
  <c r="BK90" i="11" s="1"/>
  <c r="BJ88" i="11"/>
  <c r="BK88" i="11" s="1"/>
  <c r="BJ86" i="11"/>
  <c r="BK86" i="11" s="1"/>
  <c r="BJ84" i="11"/>
  <c r="BK84" i="11" s="1"/>
  <c r="BJ82" i="11"/>
  <c r="BK82" i="11" s="1"/>
  <c r="BJ80" i="11"/>
  <c r="BK80" i="11" s="1"/>
  <c r="BJ78" i="11"/>
  <c r="BK78" i="11" s="1"/>
  <c r="BJ76" i="11"/>
  <c r="BK76" i="11" s="1"/>
  <c r="BJ74" i="11"/>
  <c r="BK74" i="11" s="1"/>
  <c r="BJ72" i="11"/>
  <c r="BK72" i="11" s="1"/>
  <c r="BJ70" i="11"/>
  <c r="BK70" i="11" s="1"/>
  <c r="BJ68" i="11"/>
  <c r="BK68" i="11" s="1"/>
  <c r="BJ66" i="11"/>
  <c r="BK66" i="11" s="1"/>
  <c r="BJ64" i="11"/>
  <c r="BK64" i="11" s="1"/>
  <c r="BJ62" i="11"/>
  <c r="BK62" i="11" s="1"/>
  <c r="BJ60" i="11"/>
  <c r="BK60" i="11" s="1"/>
  <c r="BJ58" i="11"/>
  <c r="BK58" i="11" s="1"/>
  <c r="BJ56" i="11"/>
  <c r="BK56" i="11" s="1"/>
  <c r="BJ105" i="11"/>
  <c r="BK105" i="11" s="1"/>
  <c r="BJ48" i="11"/>
  <c r="BK48" i="11" s="1"/>
  <c r="BJ52" i="11"/>
  <c r="BK52" i="11" s="1"/>
  <c r="BJ43" i="11"/>
  <c r="BK43" i="11" s="1"/>
  <c r="BJ41" i="11"/>
  <c r="BK41" i="11" s="1"/>
  <c r="BJ39" i="11"/>
  <c r="BK39" i="11" s="1"/>
  <c r="BJ54" i="11"/>
  <c r="BK54" i="11" s="1"/>
  <c r="BJ50" i="11"/>
  <c r="BK50" i="11" s="1"/>
  <c r="BJ27" i="11"/>
  <c r="BK27" i="11" s="1"/>
  <c r="BJ25" i="11"/>
  <c r="BK25" i="11" s="1"/>
  <c r="BJ23" i="11"/>
  <c r="BK23" i="11" s="1"/>
  <c r="BJ21" i="11"/>
  <c r="BK21" i="11" s="1"/>
  <c r="BJ19" i="11"/>
  <c r="BK19" i="11" s="1"/>
  <c r="BJ17" i="11"/>
  <c r="BK17" i="11" s="1"/>
  <c r="BJ15" i="11"/>
  <c r="BK15" i="11" s="1"/>
  <c r="BJ13" i="11"/>
  <c r="BJ42" i="11"/>
  <c r="BK42" i="11" s="1"/>
  <c r="BJ40" i="11"/>
  <c r="BK40" i="11" s="1"/>
  <c r="BJ38" i="11"/>
  <c r="BK38" i="11" s="1"/>
  <c r="BJ36" i="11"/>
  <c r="BK36" i="11" s="1"/>
  <c r="BJ34" i="11"/>
  <c r="BK34" i="11" s="1"/>
  <c r="BJ46" i="11"/>
  <c r="BK46" i="11" s="1"/>
  <c r="BJ26" i="11"/>
  <c r="BK26" i="11" s="1"/>
  <c r="BJ24" i="11"/>
  <c r="BK24" i="11" s="1"/>
  <c r="BJ22" i="11"/>
  <c r="BK22" i="11" s="1"/>
  <c r="BJ20" i="11"/>
  <c r="BK20" i="11" s="1"/>
  <c r="BJ18" i="11"/>
  <c r="BK18" i="11" s="1"/>
  <c r="BJ44" i="11"/>
  <c r="BK44" i="11" s="1"/>
  <c r="BJ33" i="11"/>
  <c r="BJ35" i="11"/>
  <c r="BK35" i="11" s="1"/>
  <c r="BJ16" i="11"/>
  <c r="BK16" i="11" s="1"/>
  <c r="BJ37" i="11"/>
  <c r="BK37" i="11" s="1"/>
  <c r="BJ14" i="11"/>
  <c r="BK14" i="11" s="1"/>
  <c r="BI117" i="11"/>
  <c r="BH120" i="11"/>
  <c r="BJ117" i="11" l="1"/>
  <c r="BK33" i="11"/>
  <c r="BK117" i="11" s="1"/>
  <c r="BJ29" i="11"/>
  <c r="BJ120" i="11" s="1"/>
  <c r="BK13" i="11"/>
  <c r="BK29" i="11" s="1"/>
  <c r="BK120" i="11" s="1"/>
  <c r="BI1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<sst xmlns="http://schemas.openxmlformats.org/spreadsheetml/2006/main" count="37537" uniqueCount="2296">
  <si>
    <t>Investors</t>
  </si>
  <si>
    <t>Investor Acc Number</t>
  </si>
  <si>
    <t>Investor Name</t>
  </si>
  <si>
    <t>Investor Surname</t>
  </si>
  <si>
    <t>Category</t>
  </si>
  <si>
    <t>Opportunity Code</t>
  </si>
  <si>
    <t>Sold</t>
  </si>
  <si>
    <t>Tansferred</t>
  </si>
  <si>
    <t>Block</t>
  </si>
  <si>
    <t>Deposit Date</t>
  </si>
  <si>
    <t>Release Date</t>
  </si>
  <si>
    <t>End Date</t>
  </si>
  <si>
    <t>Investment Number</t>
  </si>
  <si>
    <t>Investment Amount</t>
  </si>
  <si>
    <t>Investment Interest Rate</t>
  </si>
  <si>
    <t>Early Release</t>
  </si>
  <si>
    <t>Still Pledged</t>
  </si>
  <si>
    <t>Momentum Interest</t>
  </si>
  <si>
    <t>Investment Interest</t>
  </si>
  <si>
    <t>Interest</t>
  </si>
  <si>
    <t>Interest to Date</t>
  </si>
  <si>
    <t>ZCAM01</t>
  </si>
  <si>
    <t>Jeremy &amp; Rosaline</t>
  </si>
  <si>
    <t>Campbell</t>
  </si>
  <si>
    <t>Heron Fields</t>
  </si>
  <si>
    <t>HFA101</t>
  </si>
  <si>
    <t>A</t>
  </si>
  <si>
    <t>ZSCH01</t>
  </si>
  <si>
    <t>Inge</t>
  </si>
  <si>
    <t>Schubert</t>
  </si>
  <si>
    <t>ZZYL03</t>
  </si>
  <si>
    <t>Sandra Robyn</t>
  </si>
  <si>
    <t>Zylstra</t>
  </si>
  <si>
    <t>HFA102</t>
  </si>
  <si>
    <t>ZELE01</t>
  </si>
  <si>
    <t>Emile Kenneth</t>
  </si>
  <si>
    <t>Lew</t>
  </si>
  <si>
    <t>HFA103</t>
  </si>
  <si>
    <t>ZHIL01</t>
  </si>
  <si>
    <t>Trevor David</t>
  </si>
  <si>
    <t>Hill</t>
  </si>
  <si>
    <t>ZVAN02</t>
  </si>
  <si>
    <t>Agatha Dorothea</t>
  </si>
  <si>
    <t>van Schalkwyk</t>
  </si>
  <si>
    <t>ZDEB01</t>
  </si>
  <si>
    <t>William Henry</t>
  </si>
  <si>
    <t>De Beer</t>
  </si>
  <si>
    <t>HFA104</t>
  </si>
  <si>
    <t>ZBLO01</t>
  </si>
  <si>
    <t>Robert Errol</t>
  </si>
  <si>
    <t>Blows</t>
  </si>
  <si>
    <t>HFA105</t>
  </si>
  <si>
    <t>ZCRO01</t>
  </si>
  <si>
    <t>Marc</t>
  </si>
  <si>
    <t>Lunau</t>
  </si>
  <si>
    <t>ZLAB02</t>
  </si>
  <si>
    <t>Jandre</t>
  </si>
  <si>
    <t>Labuschagne</t>
  </si>
  <si>
    <t>ZLUN01</t>
  </si>
  <si>
    <t>ZRAN01</t>
  </si>
  <si>
    <t>Ross Partick Gemill</t>
  </si>
  <si>
    <t>Rankin</t>
  </si>
  <si>
    <t>ZSPE01</t>
  </si>
  <si>
    <t>Mosiuoa Samuel</t>
  </si>
  <si>
    <t>Speelman</t>
  </si>
  <si>
    <t>ZCOL01</t>
  </si>
  <si>
    <t>Christine</t>
  </si>
  <si>
    <t>Collins</t>
  </si>
  <si>
    <t>HFA106</t>
  </si>
  <si>
    <t>ZJOH01</t>
  </si>
  <si>
    <t>Lisa-Marie Natalie</t>
  </si>
  <si>
    <t>Johns</t>
  </si>
  <si>
    <t>ZLOU01</t>
  </si>
  <si>
    <t>Ricardo Brandon</t>
  </si>
  <si>
    <t>Louw</t>
  </si>
  <si>
    <t>ZVZY01</t>
  </si>
  <si>
    <t>Jacques Petrus</t>
  </si>
  <si>
    <t>van Zyl</t>
  </si>
  <si>
    <t>ZDAD01</t>
  </si>
  <si>
    <t>Feroz</t>
  </si>
  <si>
    <t>Dadoo</t>
  </si>
  <si>
    <t>HFA201</t>
  </si>
  <si>
    <t>ZDAM01</t>
  </si>
  <si>
    <t>Lisbeth</t>
  </si>
  <si>
    <t>Damane</t>
  </si>
  <si>
    <t>ZBEL01</t>
  </si>
  <si>
    <t>Helen Constance</t>
  </si>
  <si>
    <t>Belford</t>
  </si>
  <si>
    <t>HFA202</t>
  </si>
  <si>
    <t>ZHUN01</t>
  </si>
  <si>
    <t>Lance</t>
  </si>
  <si>
    <t>Hunter</t>
  </si>
  <si>
    <t>ZLEW01</t>
  </si>
  <si>
    <t>Martina Christina</t>
  </si>
  <si>
    <t>Lewis</t>
  </si>
  <si>
    <t>ZMAR01</t>
  </si>
  <si>
    <t>Beverley-Ann Kinsla</t>
  </si>
  <si>
    <t>Martin</t>
  </si>
  <si>
    <t>ZBAR01</t>
  </si>
  <si>
    <t>Stuart Christopher</t>
  </si>
  <si>
    <t>Barr</t>
  </si>
  <si>
    <t>HFA203</t>
  </si>
  <si>
    <t>ZDAV01</t>
  </si>
  <si>
    <t>Heather Mary Lyn</t>
  </si>
  <si>
    <t>Davies</t>
  </si>
  <si>
    <t>ZNGO01</t>
  </si>
  <si>
    <t>Khula Moses</t>
  </si>
  <si>
    <t>Ngomane</t>
  </si>
  <si>
    <t>ZVBL01</t>
  </si>
  <si>
    <t>Glenda</t>
  </si>
  <si>
    <t>van Blerk</t>
  </si>
  <si>
    <t>ZFEM01</t>
  </si>
  <si>
    <t>Francina Elisabeth</t>
  </si>
  <si>
    <t>Morkel</t>
  </si>
  <si>
    <t>HFA204</t>
  </si>
  <si>
    <t>ZJBM01</t>
  </si>
  <si>
    <t>Jacobus Bruwer</t>
  </si>
  <si>
    <t>ZKOO01</t>
  </si>
  <si>
    <t>Jayprakash Brijbukhandas</t>
  </si>
  <si>
    <t>Koovarjee</t>
  </si>
  <si>
    <t>ZVAN01</t>
  </si>
  <si>
    <t>Gerhard Andre</t>
  </si>
  <si>
    <t>van Rensburg</t>
  </si>
  <si>
    <t>ZHEI01</t>
  </si>
  <si>
    <t>Dieter Raimund</t>
  </si>
  <si>
    <t>Heinze</t>
  </si>
  <si>
    <t>HFA205</t>
  </si>
  <si>
    <t>ZHEY01</t>
  </si>
  <si>
    <t>Vincent Derick</t>
  </si>
  <si>
    <t>Heynes</t>
  </si>
  <si>
    <t>ZTPI01</t>
  </si>
  <si>
    <t>Raisibe Ellen</t>
  </si>
  <si>
    <t>Matlala</t>
  </si>
  <si>
    <t>ZBOH01</t>
  </si>
  <si>
    <t>Werner Hugo Bohme &amp;</t>
  </si>
  <si>
    <t>Brenda Bohme</t>
  </si>
  <si>
    <t>HFA206</t>
  </si>
  <si>
    <t>ZLEW02</t>
  </si>
  <si>
    <t>Leon</t>
  </si>
  <si>
    <t>ZMAG01</t>
  </si>
  <si>
    <t>Petro</t>
  </si>
  <si>
    <t>Psomotragos</t>
  </si>
  <si>
    <t>ZVDM01</t>
  </si>
  <si>
    <t>Paula</t>
  </si>
  <si>
    <t>van der Mescht</t>
  </si>
  <si>
    <t>ZMAT01</t>
  </si>
  <si>
    <t>Natalie</t>
  </si>
  <si>
    <t>Matthews</t>
  </si>
  <si>
    <t>HFA301</t>
  </si>
  <si>
    <t>ZTSH01</t>
  </si>
  <si>
    <t>Thandeka Patience</t>
  </si>
  <si>
    <t>Tshabalala</t>
  </si>
  <si>
    <t>ZASD01</t>
  </si>
  <si>
    <t>Stuart Charles</t>
  </si>
  <si>
    <t>Bendall</t>
  </si>
  <si>
    <t>HFA302</t>
  </si>
  <si>
    <t>ZMCK01</t>
  </si>
  <si>
    <t>Caitlin</t>
  </si>
  <si>
    <t>MacKenzie-Jones</t>
  </si>
  <si>
    <t>ZGMA01</t>
  </si>
  <si>
    <t>Gerald Adriaan Odendal</t>
  </si>
  <si>
    <t>Matthee</t>
  </si>
  <si>
    <t>HFA303</t>
  </si>
  <si>
    <t>ZLMA01</t>
  </si>
  <si>
    <t>Luvo</t>
  </si>
  <si>
    <t>Magwaza</t>
  </si>
  <si>
    <t>ZSMI01</t>
  </si>
  <si>
    <t>Eugene Patrick</t>
  </si>
  <si>
    <t>Smit</t>
  </si>
  <si>
    <t>ZVDW01</t>
  </si>
  <si>
    <t>Philip</t>
  </si>
  <si>
    <t xml:space="preserve">van der Walt </t>
  </si>
  <si>
    <t>ZJHO01</t>
  </si>
  <si>
    <t>Jean</t>
  </si>
  <si>
    <t>Hoets</t>
  </si>
  <si>
    <t>HFA304</t>
  </si>
  <si>
    <t>ZKRO01</t>
  </si>
  <si>
    <t>Frans</t>
  </si>
  <si>
    <t>van der Merwe</t>
  </si>
  <si>
    <t>ZPED01</t>
  </si>
  <si>
    <t>Wendy</t>
  </si>
  <si>
    <t>Pedersen</t>
  </si>
  <si>
    <t>ZSOU02</t>
  </si>
  <si>
    <t>Frances Leathem</t>
  </si>
  <si>
    <t>Sourgen</t>
  </si>
  <si>
    <t>ZVER02</t>
  </si>
  <si>
    <t>Jean-Jacques EP</t>
  </si>
  <si>
    <t>Verhaeghe</t>
  </si>
  <si>
    <t>ZKRO03</t>
  </si>
  <si>
    <t>Jacqueline</t>
  </si>
  <si>
    <t>Krohn</t>
  </si>
  <si>
    <t>HFA305</t>
  </si>
  <si>
    <t>ZMUS01</t>
  </si>
  <si>
    <t>Claire Louise</t>
  </si>
  <si>
    <t>Musson</t>
  </si>
  <si>
    <t>ZPRE01</t>
  </si>
  <si>
    <t>Magdalena</t>
  </si>
  <si>
    <t>Pretorius</t>
  </si>
  <si>
    <t>HFA306</t>
  </si>
  <si>
    <t>ZFOU01</t>
  </si>
  <si>
    <t>Hester Magrietha</t>
  </si>
  <si>
    <t>Fourie</t>
  </si>
  <si>
    <t>ZMAT03</t>
  </si>
  <si>
    <t>Delia</t>
  </si>
  <si>
    <t>ZVOL01</t>
  </si>
  <si>
    <t>Gideon Cornelius</t>
  </si>
  <si>
    <t>Volschenk</t>
  </si>
  <si>
    <t>ZINT01</t>
  </si>
  <si>
    <t>HFB101</t>
  </si>
  <si>
    <t>B</t>
  </si>
  <si>
    <t>ZKFT01</t>
  </si>
  <si>
    <t>Koovarjee Family Trust</t>
  </si>
  <si>
    <t>ZMEH01</t>
  </si>
  <si>
    <t>Ralph Graham</t>
  </si>
  <si>
    <t>Mehl</t>
  </si>
  <si>
    <t>ZTHO01</t>
  </si>
  <si>
    <t>Tamzin</t>
  </si>
  <si>
    <t>HFB102</t>
  </si>
  <si>
    <t>ZGOV01</t>
  </si>
  <si>
    <t>Preshnee</t>
  </si>
  <si>
    <t>Govender</t>
  </si>
  <si>
    <t>ZSCH02</t>
  </si>
  <si>
    <t>Zeldre</t>
  </si>
  <si>
    <t>ZBET02</t>
  </si>
  <si>
    <t>Dawie Izak</t>
  </si>
  <si>
    <t>Bester</t>
  </si>
  <si>
    <t>HFB103</t>
  </si>
  <si>
    <t>ZZYL02</t>
  </si>
  <si>
    <t>Petronella Johanna</t>
  </si>
  <si>
    <t>HFB104</t>
  </si>
  <si>
    <t>ZMCD01</t>
  </si>
  <si>
    <t>Veronica Agnes</t>
  </si>
  <si>
    <t>McDonald</t>
  </si>
  <si>
    <t>ZRIB01</t>
  </si>
  <si>
    <t>Paulo Sergio Da Silva</t>
  </si>
  <si>
    <t>Ribeiro</t>
  </si>
  <si>
    <t>ZBUR01</t>
  </si>
  <si>
    <t>Barend Frederik</t>
  </si>
  <si>
    <t>Burger</t>
  </si>
  <si>
    <t>HFB105</t>
  </si>
  <si>
    <t>ZKRU01</t>
  </si>
  <si>
    <t>Jurgen</t>
  </si>
  <si>
    <t>Kruger</t>
  </si>
  <si>
    <t>ZBAR02</t>
  </si>
  <si>
    <t>Nicolaas Jacobus (Jaco)</t>
  </si>
  <si>
    <t>Barkhuysen</t>
  </si>
  <si>
    <t>HFB106</t>
  </si>
  <si>
    <t>ZTSO01</t>
  </si>
  <si>
    <t>Abram Matlotleng</t>
  </si>
  <si>
    <t>Tsoku</t>
  </si>
  <si>
    <t>ZWAY01</t>
  </si>
  <si>
    <t>Shirley Kathleen</t>
  </si>
  <si>
    <t>Way</t>
  </si>
  <si>
    <t>ZDIC01</t>
  </si>
  <si>
    <t>Grant Allan</t>
  </si>
  <si>
    <t>Dickinson</t>
  </si>
  <si>
    <t>HFB107</t>
  </si>
  <si>
    <t>ZJOR01</t>
  </si>
  <si>
    <t>Glen Rutherford</t>
  </si>
  <si>
    <t>Jordaan</t>
  </si>
  <si>
    <t>HFB108</t>
  </si>
  <si>
    <t>ZDEK01</t>
  </si>
  <si>
    <t>Dawn Margaret</t>
  </si>
  <si>
    <t>De Klerk (Way)</t>
  </si>
  <si>
    <t>ZSCA01</t>
  </si>
  <si>
    <t>Kert</t>
  </si>
  <si>
    <t>Scalzini</t>
  </si>
  <si>
    <t>HFB109</t>
  </si>
  <si>
    <t>ZGIL01</t>
  </si>
  <si>
    <t>Estelle Maria</t>
  </si>
  <si>
    <t>Gildenhuys</t>
  </si>
  <si>
    <t>ZHAM01</t>
  </si>
  <si>
    <t>Lynnette Gladys</t>
  </si>
  <si>
    <t>Hambidge</t>
  </si>
  <si>
    <t>HFB110</t>
  </si>
  <si>
    <t>HFB111</t>
  </si>
  <si>
    <t>ZSCA02</t>
  </si>
  <si>
    <t>Chad</t>
  </si>
  <si>
    <t>ZSCH03</t>
  </si>
  <si>
    <t>Gary James</t>
  </si>
  <si>
    <t>Schmidt</t>
  </si>
  <si>
    <t>ZBEN01</t>
  </si>
  <si>
    <t>Heino</t>
  </si>
  <si>
    <t>Beneke</t>
  </si>
  <si>
    <t>HFB201</t>
  </si>
  <si>
    <t>ZGLO01</t>
  </si>
  <si>
    <t>Elizma</t>
  </si>
  <si>
    <t>Goltz</t>
  </si>
  <si>
    <t>ZMIN01</t>
  </si>
  <si>
    <t>Irene Petronella</t>
  </si>
  <si>
    <t>Minnaar</t>
  </si>
  <si>
    <t>HFB202</t>
  </si>
  <si>
    <t>ZRUS01</t>
  </si>
  <si>
    <t>Izak Cornelius</t>
  </si>
  <si>
    <t>Rust</t>
  </si>
  <si>
    <t>ZVAL01</t>
  </si>
  <si>
    <t>Manoj</t>
  </si>
  <si>
    <t>Vallabh</t>
  </si>
  <si>
    <t>HFB203</t>
  </si>
  <si>
    <t>ZWAL01</t>
  </si>
  <si>
    <t>Benedict Joseph</t>
  </si>
  <si>
    <t>Walters</t>
  </si>
  <si>
    <t>HFB204</t>
  </si>
  <si>
    <t>HFB205</t>
  </si>
  <si>
    <t>ZDEL01</t>
  </si>
  <si>
    <t>Pieter</t>
  </si>
  <si>
    <t>Jansen van Vuuren</t>
  </si>
  <si>
    <t>HFB206</t>
  </si>
  <si>
    <t>HFB207</t>
  </si>
  <si>
    <t>ZFLA01</t>
  </si>
  <si>
    <t>Jose Manuel Rezende</t>
  </si>
  <si>
    <t>Flamengo</t>
  </si>
  <si>
    <t>HFB208</t>
  </si>
  <si>
    <t>ZHAA01</t>
  </si>
  <si>
    <t>Maresia</t>
  </si>
  <si>
    <t>Haasbroek</t>
  </si>
  <si>
    <t>HFB209</t>
  </si>
  <si>
    <t>ZEDE01</t>
  </si>
  <si>
    <t>JP</t>
  </si>
  <si>
    <t>van Eden</t>
  </si>
  <si>
    <t>HFB210</t>
  </si>
  <si>
    <t>ZJAN02</t>
  </si>
  <si>
    <t>Lynne</t>
  </si>
  <si>
    <t>ZMBA01</t>
  </si>
  <si>
    <t>Vincent Mogoane</t>
  </si>
  <si>
    <t>Mbatha</t>
  </si>
  <si>
    <t>ZAFR01</t>
  </si>
  <si>
    <t>John Robert</t>
  </si>
  <si>
    <t>HFB211</t>
  </si>
  <si>
    <t>ZBEN02</t>
  </si>
  <si>
    <t>Veronica</t>
  </si>
  <si>
    <t>HFB212</t>
  </si>
  <si>
    <t>ZREN01</t>
  </si>
  <si>
    <t>Marlene Ann</t>
  </si>
  <si>
    <t>HFB213</t>
  </si>
  <si>
    <t>HFB214</t>
  </si>
  <si>
    <t>ZKUS04</t>
  </si>
  <si>
    <t>Willie</t>
  </si>
  <si>
    <t>Kusel</t>
  </si>
  <si>
    <t>HFB301</t>
  </si>
  <si>
    <t>ZLAB01</t>
  </si>
  <si>
    <t>Andre Jan</t>
  </si>
  <si>
    <t>ZPRO01</t>
  </si>
  <si>
    <t>Adrian</t>
  </si>
  <si>
    <t>du Toit</t>
  </si>
  <si>
    <t>HFB302</t>
  </si>
  <si>
    <t>ZLOU03</t>
  </si>
  <si>
    <t>Peter Arnold</t>
  </si>
  <si>
    <t>Louwrens</t>
  </si>
  <si>
    <t>HFB303</t>
  </si>
  <si>
    <t>ZRUD01</t>
  </si>
  <si>
    <t>ZDOT01</t>
  </si>
  <si>
    <t>Mark Charles</t>
  </si>
  <si>
    <t>Pope</t>
  </si>
  <si>
    <t>HFB304</t>
  </si>
  <si>
    <t>ZSCH04</t>
  </si>
  <si>
    <t>Christiaan</t>
  </si>
  <si>
    <t>Schroder</t>
  </si>
  <si>
    <t>HFB306</t>
  </si>
  <si>
    <t>ZROU01</t>
  </si>
  <si>
    <t>Laura</t>
  </si>
  <si>
    <t>Roux</t>
  </si>
  <si>
    <t>HFB307</t>
  </si>
  <si>
    <t>ZVOR01</t>
  </si>
  <si>
    <t xml:space="preserve">Sophia Maria Catharina </t>
  </si>
  <si>
    <t>Vorster</t>
  </si>
  <si>
    <t>ZGOF01</t>
  </si>
  <si>
    <t>Angela</t>
  </si>
  <si>
    <t>Goff</t>
  </si>
  <si>
    <t>HFB308</t>
  </si>
  <si>
    <t>ZBLU01</t>
  </si>
  <si>
    <t>Samantha Jessica</t>
  </si>
  <si>
    <t>Blues</t>
  </si>
  <si>
    <t>HFB309</t>
  </si>
  <si>
    <t>ZJAN03</t>
  </si>
  <si>
    <t>Rudolph Johannes</t>
  </si>
  <si>
    <t>ZVED01</t>
  </si>
  <si>
    <t>Craig</t>
  </si>
  <si>
    <t>Vedders</t>
  </si>
  <si>
    <t>HFB310</t>
  </si>
  <si>
    <t>HFB311</t>
  </si>
  <si>
    <t>HFB312</t>
  </si>
  <si>
    <t>ZCON01</t>
  </si>
  <si>
    <t>Gerhard Lotter</t>
  </si>
  <si>
    <t>Conradie</t>
  </si>
  <si>
    <t>HFB313</t>
  </si>
  <si>
    <t>Heron View</t>
  </si>
  <si>
    <t>HVC101</t>
  </si>
  <si>
    <t>C</t>
  </si>
  <si>
    <t>ZDEH01</t>
  </si>
  <si>
    <t>Charl</t>
  </si>
  <si>
    <t>Oberholzer</t>
  </si>
  <si>
    <t>ZERA02</t>
  </si>
  <si>
    <t>Chantal Celeste Jafthaleen</t>
  </si>
  <si>
    <t>Erasmus</t>
  </si>
  <si>
    <t>ZKRI02</t>
  </si>
  <si>
    <t>Hermanus Johannes</t>
  </si>
  <si>
    <t>Kriel</t>
  </si>
  <si>
    <t>HVC102</t>
  </si>
  <si>
    <t>ZDEV01</t>
  </si>
  <si>
    <t>Andre Deric</t>
  </si>
  <si>
    <t>de Villiers</t>
  </si>
  <si>
    <t>HVC103</t>
  </si>
  <si>
    <t>ZTHA01</t>
  </si>
  <si>
    <t>HVC104</t>
  </si>
  <si>
    <t>ZDEM01</t>
  </si>
  <si>
    <t>Gillies Nikian Anton</t>
  </si>
  <si>
    <t>De Montille</t>
  </si>
  <si>
    <t>HVC105</t>
  </si>
  <si>
    <t>ZWED01</t>
  </si>
  <si>
    <t>Hans Jurgen Peter</t>
  </si>
  <si>
    <t>Wedermann</t>
  </si>
  <si>
    <t>ZNUN01</t>
  </si>
  <si>
    <t>Francisco Antonio</t>
  </si>
  <si>
    <t>Nunes</t>
  </si>
  <si>
    <t>HVC106</t>
  </si>
  <si>
    <t>ZOLI01</t>
  </si>
  <si>
    <t>Jan Lukas Cornelus</t>
  </si>
  <si>
    <t>Olivier</t>
  </si>
  <si>
    <t>ZRIT01</t>
  </si>
  <si>
    <t>Dennis</t>
  </si>
  <si>
    <t>Ritter</t>
  </si>
  <si>
    <t>HVC201</t>
  </si>
  <si>
    <t>ZKUS03</t>
  </si>
  <si>
    <t>Joanne Tracy</t>
  </si>
  <si>
    <t>Kuster</t>
  </si>
  <si>
    <t>ZALM01</t>
  </si>
  <si>
    <t>HVC202</t>
  </si>
  <si>
    <t>ZMON01</t>
  </si>
  <si>
    <t>Zolani</t>
  </si>
  <si>
    <t>Moni</t>
  </si>
  <si>
    <t>ZPER01</t>
  </si>
  <si>
    <t>Abraham Jacobus</t>
  </si>
  <si>
    <t>ZRAB02</t>
  </si>
  <si>
    <t>Roisin Natalie</t>
  </si>
  <si>
    <t>Rabe (Mc Dowell)</t>
  </si>
  <si>
    <t>ZVAN11</t>
  </si>
  <si>
    <t>Wilma</t>
  </si>
  <si>
    <t>van Bosch</t>
  </si>
  <si>
    <t>ZDEC01</t>
  </si>
  <si>
    <t>Hendrik</t>
  </si>
  <si>
    <t>de Clerk</t>
  </si>
  <si>
    <t>HVC203</t>
  </si>
  <si>
    <t>ZNIE02</t>
  </si>
  <si>
    <t>Linda Kathleen</t>
  </si>
  <si>
    <t>van Niekerk</t>
  </si>
  <si>
    <t>HVC204</t>
  </si>
  <si>
    <t>ZKUS02</t>
  </si>
  <si>
    <t>Kerry Lisa</t>
  </si>
  <si>
    <t>ZSTO01</t>
  </si>
  <si>
    <t>Nicolaas</t>
  </si>
  <si>
    <t>Stols</t>
  </si>
  <si>
    <t>ZVAN10</t>
  </si>
  <si>
    <t>Wilhelm Johannes</t>
  </si>
  <si>
    <t>ZWIL01</t>
  </si>
  <si>
    <t>Gail</t>
  </si>
  <si>
    <t>Wilson</t>
  </si>
  <si>
    <t>ZMIL01</t>
  </si>
  <si>
    <t xml:space="preserve">Arno </t>
  </si>
  <si>
    <t>Milne</t>
  </si>
  <si>
    <t>HVC205</t>
  </si>
  <si>
    <t>ZSCA03</t>
  </si>
  <si>
    <t>Gerda Margaret</t>
  </si>
  <si>
    <t>ZVIV01</t>
  </si>
  <si>
    <t>Philip Gerhard</t>
  </si>
  <si>
    <t>Vivier</t>
  </si>
  <si>
    <t>ZWAL02</t>
  </si>
  <si>
    <t>Johann</t>
  </si>
  <si>
    <t>Wallander</t>
  </si>
  <si>
    <t>HVC206</t>
  </si>
  <si>
    <t>HVC301</t>
  </si>
  <si>
    <t>HVC302</t>
  </si>
  <si>
    <t>ZKEW01</t>
  </si>
  <si>
    <t>Lisa Maree</t>
  </si>
  <si>
    <t>Kewley</t>
  </si>
  <si>
    <t>ZJEN01</t>
  </si>
  <si>
    <t>Daryl Anne</t>
  </si>
  <si>
    <t>Jennings</t>
  </si>
  <si>
    <t>HVC303</t>
  </si>
  <si>
    <t>ZMEY02</t>
  </si>
  <si>
    <t>Catharina Levina</t>
  </si>
  <si>
    <t>Meyer</t>
  </si>
  <si>
    <t>ZWES01</t>
  </si>
  <si>
    <t>Gerhardus Jacobus</t>
  </si>
  <si>
    <t>Wessels</t>
  </si>
  <si>
    <t>ZVAN05</t>
  </si>
  <si>
    <t>Hermanus</t>
  </si>
  <si>
    <t>van der Sandt</t>
  </si>
  <si>
    <t>HVC304</t>
  </si>
  <si>
    <t>ZBER01</t>
  </si>
  <si>
    <t>Beverley</t>
  </si>
  <si>
    <t>Berk-Heinze</t>
  </si>
  <si>
    <t>HVC305</t>
  </si>
  <si>
    <t>ZDUT01</t>
  </si>
  <si>
    <t>Willem Anton</t>
  </si>
  <si>
    <t>HVC306</t>
  </si>
  <si>
    <t>HVD101</t>
  </si>
  <si>
    <t>D</t>
  </si>
  <si>
    <t>ZWAT01</t>
  </si>
  <si>
    <t>Peter Gregory</t>
  </si>
  <si>
    <t>Watts</t>
  </si>
  <si>
    <t>ZHAL03</t>
  </si>
  <si>
    <t>Graeme Haffenden</t>
  </si>
  <si>
    <t>Hall</t>
  </si>
  <si>
    <t>HVD102</t>
  </si>
  <si>
    <t>ZLEB01</t>
  </si>
  <si>
    <t>Hopolang</t>
  </si>
  <si>
    <t>Lebusa</t>
  </si>
  <si>
    <t>ZCUP01</t>
  </si>
  <si>
    <t>Tyrone</t>
  </si>
  <si>
    <t>Cupido</t>
  </si>
  <si>
    <t>HVD103</t>
  </si>
  <si>
    <t>ZHEN01</t>
  </si>
  <si>
    <t>Theodore Shane</t>
  </si>
  <si>
    <t>Hendricks</t>
  </si>
  <si>
    <t>ZLES01</t>
  </si>
  <si>
    <t>Megan Frances</t>
  </si>
  <si>
    <t>Leslie</t>
  </si>
  <si>
    <t>ZZYL04</t>
  </si>
  <si>
    <t>Steven Michael</t>
  </si>
  <si>
    <t>ZFON01</t>
  </si>
  <si>
    <t>Lorraine</t>
  </si>
  <si>
    <t>Aveling-Fountain</t>
  </si>
  <si>
    <t>HVD104</t>
  </si>
  <si>
    <t>ZVAL02</t>
  </si>
  <si>
    <t>Himal Dipak</t>
  </si>
  <si>
    <t>HVD201</t>
  </si>
  <si>
    <t>ZHUT01</t>
  </si>
  <si>
    <t>Tracy Jane</t>
  </si>
  <si>
    <t>Hutchings</t>
  </si>
  <si>
    <t>ZFER01</t>
  </si>
  <si>
    <t>Ferreira</t>
  </si>
  <si>
    <t>HVD202</t>
  </si>
  <si>
    <t>ZHAR01</t>
  </si>
  <si>
    <t>Teresa-Ann</t>
  </si>
  <si>
    <t>Hart</t>
  </si>
  <si>
    <t>ZJAN01</t>
  </si>
  <si>
    <t>Petrus Johannes</t>
  </si>
  <si>
    <t>Jansen van Rensburg</t>
  </si>
  <si>
    <t>ZSON01</t>
  </si>
  <si>
    <t>Charles</t>
  </si>
  <si>
    <t>Maduna</t>
  </si>
  <si>
    <t>ZWEL01</t>
  </si>
  <si>
    <t>Christopher John</t>
  </si>
  <si>
    <t>Welham</t>
  </si>
  <si>
    <t>HVD203</t>
  </si>
  <si>
    <t>ZBOT01</t>
  </si>
  <si>
    <t>Carina</t>
  </si>
  <si>
    <t>Botha</t>
  </si>
  <si>
    <t>HVD204</t>
  </si>
  <si>
    <t>ZNAT01</t>
  </si>
  <si>
    <t>Thandekile Evelyn</t>
  </si>
  <si>
    <t>Hlapolosa</t>
  </si>
  <si>
    <t>HVD301</t>
  </si>
  <si>
    <t>ZHAY01</t>
  </si>
  <si>
    <t>Johannes Wynand</t>
  </si>
  <si>
    <t>Haywood</t>
  </si>
  <si>
    <t>HVD302</t>
  </si>
  <si>
    <t>HVD303</t>
  </si>
  <si>
    <t>ZPLA01</t>
  </si>
  <si>
    <t>Aneta</t>
  </si>
  <si>
    <t>Placzkowska</t>
  </si>
  <si>
    <t>ZOOS01</t>
  </si>
  <si>
    <t>Diana</t>
  </si>
  <si>
    <t>Oosthuizen</t>
  </si>
  <si>
    <t>HVD304</t>
  </si>
  <si>
    <t>ZHAA02</t>
  </si>
  <si>
    <t>Wilhelmina Petronella (Willa)</t>
  </si>
  <si>
    <t>HVE101</t>
  </si>
  <si>
    <t>E</t>
  </si>
  <si>
    <t>ZFER02</t>
  </si>
  <si>
    <t>Olga Maria</t>
  </si>
  <si>
    <t>Fernandes</t>
  </si>
  <si>
    <t>HVE102</t>
  </si>
  <si>
    <t>ZZYL01</t>
  </si>
  <si>
    <t>HVE103</t>
  </si>
  <si>
    <t>ZMYB01</t>
  </si>
  <si>
    <t>Hermanus Carel</t>
  </si>
  <si>
    <t>Myburgh</t>
  </si>
  <si>
    <t>HVE104</t>
  </si>
  <si>
    <t>HVE201</t>
  </si>
  <si>
    <t>ZSCO01</t>
  </si>
  <si>
    <t>Caryn</t>
  </si>
  <si>
    <t>Scott</t>
  </si>
  <si>
    <t>HVE202</t>
  </si>
  <si>
    <t>ZHOW01</t>
  </si>
  <si>
    <t>David Mark</t>
  </si>
  <si>
    <t>Howe</t>
  </si>
  <si>
    <t>HVE203</t>
  </si>
  <si>
    <t>HVE204</t>
  </si>
  <si>
    <t>HVE301</t>
  </si>
  <si>
    <t>HVE302</t>
  </si>
  <si>
    <t>HVE303</t>
  </si>
  <si>
    <t>ZLAL01</t>
  </si>
  <si>
    <t>Seema Nagin</t>
  </si>
  <si>
    <t>Lala</t>
  </si>
  <si>
    <t>HVE304</t>
  </si>
  <si>
    <t>HVF101</t>
  </si>
  <si>
    <t>F</t>
  </si>
  <si>
    <t>HVF102</t>
  </si>
  <si>
    <t>ZKAL01</t>
  </si>
  <si>
    <t>Sushil</t>
  </si>
  <si>
    <t>Kalianjee</t>
  </si>
  <si>
    <t>HVF103</t>
  </si>
  <si>
    <t>HVF104</t>
  </si>
  <si>
    <t>ZSCH05</t>
  </si>
  <si>
    <t>Willem</t>
  </si>
  <si>
    <t>Schipper</t>
  </si>
  <si>
    <t>ZVIS04</t>
  </si>
  <si>
    <t>Lukas Petrus Jacobus</t>
  </si>
  <si>
    <t>Visagie</t>
  </si>
  <si>
    <t>ZMAN01</t>
  </si>
  <si>
    <t>Emma Irene</t>
  </si>
  <si>
    <t>Manuel</t>
  </si>
  <si>
    <t>HVF201</t>
  </si>
  <si>
    <t>ZDIK01</t>
  </si>
  <si>
    <t>Deliwe Mavis</t>
  </si>
  <si>
    <t>Dikana</t>
  </si>
  <si>
    <t>HVF202</t>
  </si>
  <si>
    <t>ZELO02</t>
  </si>
  <si>
    <t>Gertruida Maria Margaretha (Gerda)</t>
  </si>
  <si>
    <t>Eloff</t>
  </si>
  <si>
    <t>HVF203</t>
  </si>
  <si>
    <t>ZHUM01</t>
  </si>
  <si>
    <t>Tralee Joan</t>
  </si>
  <si>
    <t>Human</t>
  </si>
  <si>
    <t>HVF204</t>
  </si>
  <si>
    <t>HVG101</t>
  </si>
  <si>
    <t>G</t>
  </si>
  <si>
    <t>ZWIL02</t>
  </si>
  <si>
    <t>Pia Inga</t>
  </si>
  <si>
    <t>Williams</t>
  </si>
  <si>
    <t>ZKRIE0</t>
  </si>
  <si>
    <t>Johan Christiaan Rudolph</t>
  </si>
  <si>
    <t>Kriek</t>
  </si>
  <si>
    <t>HVG102</t>
  </si>
  <si>
    <t>ZSIV01</t>
  </si>
  <si>
    <t>Gareth William</t>
  </si>
  <si>
    <t>Bedell-Sivright</t>
  </si>
  <si>
    <t>ZDEJ01</t>
  </si>
  <si>
    <t>Anarene Beatrice</t>
  </si>
  <si>
    <t>de Jager</t>
  </si>
  <si>
    <t>HVG103</t>
  </si>
  <si>
    <t>HVG104</t>
  </si>
  <si>
    <t>HVG201</t>
  </si>
  <si>
    <t>HVG202</t>
  </si>
  <si>
    <t>ZGEL01</t>
  </si>
  <si>
    <t>Teresse</t>
  </si>
  <si>
    <t>Geldenhuys</t>
  </si>
  <si>
    <t>HVG203</t>
  </si>
  <si>
    <t>ZSMI02</t>
  </si>
  <si>
    <t>Sophia Catharina</t>
  </si>
  <si>
    <t>ZBAS01</t>
  </si>
  <si>
    <t>Nicolaas Johannes (Nico)</t>
  </si>
  <si>
    <t>Basson</t>
  </si>
  <si>
    <t>HVG204</t>
  </si>
  <si>
    <t>ZMOS01</t>
  </si>
  <si>
    <t>Colin Giovanni</t>
  </si>
  <si>
    <t>Mosca</t>
  </si>
  <si>
    <t>ZHAR02</t>
  </si>
  <si>
    <t>Lionel Carl</t>
  </si>
  <si>
    <t>Harrington</t>
  </si>
  <si>
    <t>HVG301</t>
  </si>
  <si>
    <t>ZNIE01</t>
  </si>
  <si>
    <t>Grant Richard</t>
  </si>
  <si>
    <t>HVG302</t>
  </si>
  <si>
    <t>HVG303</t>
  </si>
  <si>
    <t>ZJOS01</t>
  </si>
  <si>
    <t>Justin</t>
  </si>
  <si>
    <t>Joseph</t>
  </si>
  <si>
    <t>HVG304</t>
  </si>
  <si>
    <t>ZHAN07</t>
  </si>
  <si>
    <t>Johannes Hendrik (Hans)</t>
  </si>
  <si>
    <t>Hanekom</t>
  </si>
  <si>
    <t>HVH101</t>
  </si>
  <si>
    <t>H</t>
  </si>
  <si>
    <t>HVH102</t>
  </si>
  <si>
    <t>HVH103</t>
  </si>
  <si>
    <t>HVH104</t>
  </si>
  <si>
    <t>HVH201</t>
  </si>
  <si>
    <t>HVH202</t>
  </si>
  <si>
    <t>HVH203</t>
  </si>
  <si>
    <t>HVH204</t>
  </si>
  <si>
    <t>HVI101</t>
  </si>
  <si>
    <t>I</t>
  </si>
  <si>
    <t>HVI102</t>
  </si>
  <si>
    <t>ZCAR01</t>
  </si>
  <si>
    <t>Martin Michael</t>
  </si>
  <si>
    <t>Carolus</t>
  </si>
  <si>
    <t>ZCOE02</t>
  </si>
  <si>
    <t>Hugo Amos</t>
  </si>
  <si>
    <t>Coetzee</t>
  </si>
  <si>
    <t>ZNEL01</t>
  </si>
  <si>
    <t>Lambertus Renier (Bertie)</t>
  </si>
  <si>
    <t>Nel</t>
  </si>
  <si>
    <t>ZSWA02</t>
  </si>
  <si>
    <t>Daniel Christiaan De Wet</t>
  </si>
  <si>
    <t>Swanepoel</t>
  </si>
  <si>
    <t>HVI103</t>
  </si>
  <si>
    <t>ZDUP01</t>
  </si>
  <si>
    <t>Georgina</t>
  </si>
  <si>
    <t>Du Plooy</t>
  </si>
  <si>
    <t>HVI104</t>
  </si>
  <si>
    <t>HVI201</t>
  </si>
  <si>
    <t>ZESP01</t>
  </si>
  <si>
    <t>Etienne</t>
  </si>
  <si>
    <t>Espag</t>
  </si>
  <si>
    <t>HVI202</t>
  </si>
  <si>
    <t>HVI203</t>
  </si>
  <si>
    <t>HVI204</t>
  </si>
  <si>
    <t>HVJ101</t>
  </si>
  <si>
    <t>J</t>
  </si>
  <si>
    <t>HVJ102</t>
  </si>
  <si>
    <t>ZMCD02</t>
  </si>
  <si>
    <t>Andre (Josias Andreas)</t>
  </si>
  <si>
    <t>HVJ103</t>
  </si>
  <si>
    <t>ZJER01</t>
  </si>
  <si>
    <t>Towela Patricia Rosemarie</t>
  </si>
  <si>
    <t>Jere</t>
  </si>
  <si>
    <t>ZZYL05</t>
  </si>
  <si>
    <t>Diana Wendy</t>
  </si>
  <si>
    <t>ZBUM01</t>
  </si>
  <si>
    <t>Andre Gottfried</t>
  </si>
  <si>
    <t>Brummer</t>
  </si>
  <si>
    <t>HVJ201</t>
  </si>
  <si>
    <t>ZSMI03</t>
  </si>
  <si>
    <t>HVJ202</t>
  </si>
  <si>
    <t>HVJ203</t>
  </si>
  <si>
    <t>ZBRO01</t>
  </si>
  <si>
    <t>Craig Anthony Richard</t>
  </si>
  <si>
    <t>Brown</t>
  </si>
  <si>
    <t>HVJ301</t>
  </si>
  <si>
    <t>ZMAN02</t>
  </si>
  <si>
    <t>Ilse</t>
  </si>
  <si>
    <t>Mans (Witberg)</t>
  </si>
  <si>
    <t>HVJ302</t>
  </si>
  <si>
    <t>ZVER04</t>
  </si>
  <si>
    <t>Floris Nicolaas</t>
  </si>
  <si>
    <t>Vermeulen</t>
  </si>
  <si>
    <t>HVJ303</t>
  </si>
  <si>
    <t>ZFOU02</t>
  </si>
  <si>
    <t>Clyde Michael</t>
  </si>
  <si>
    <t>Fountain</t>
  </si>
  <si>
    <t>HVJ401</t>
  </si>
  <si>
    <t>HVJ402</t>
  </si>
  <si>
    <t>ZVIS02</t>
  </si>
  <si>
    <t>Jimke</t>
  </si>
  <si>
    <t>Visser</t>
  </si>
  <si>
    <t>HVJ403</t>
  </si>
  <si>
    <t>HVK101</t>
  </si>
  <si>
    <t>K</t>
  </si>
  <si>
    <t>HVK102</t>
  </si>
  <si>
    <t>HVK103</t>
  </si>
  <si>
    <t>HVK104</t>
  </si>
  <si>
    <t>HVK105</t>
  </si>
  <si>
    <t>HVK106</t>
  </si>
  <si>
    <t>HVK201</t>
  </si>
  <si>
    <t>HVK202</t>
  </si>
  <si>
    <t>HVK203</t>
  </si>
  <si>
    <t>HVK204</t>
  </si>
  <si>
    <t>HVK205</t>
  </si>
  <si>
    <t>HVK206</t>
  </si>
  <si>
    <t>HVK301</t>
  </si>
  <si>
    <t>HVK302</t>
  </si>
  <si>
    <t>HVK303</t>
  </si>
  <si>
    <t>HVK304</t>
  </si>
  <si>
    <t>HVK305</t>
  </si>
  <si>
    <t>ZBUF01</t>
  </si>
  <si>
    <t>Tabitha Dorcas</t>
  </si>
  <si>
    <t>Buffet</t>
  </si>
  <si>
    <t>HVK306</t>
  </si>
  <si>
    <t>HVK401</t>
  </si>
  <si>
    <t>ZVAN13</t>
  </si>
  <si>
    <t>Gian</t>
  </si>
  <si>
    <t>van der Spuy</t>
  </si>
  <si>
    <t>HVK402</t>
  </si>
  <si>
    <t>ZVAN14</t>
  </si>
  <si>
    <t>Dorothy Anne</t>
  </si>
  <si>
    <t>HVK403</t>
  </si>
  <si>
    <t>ZGRA01</t>
  </si>
  <si>
    <t>Grabe</t>
  </si>
  <si>
    <t>ZHAN06</t>
  </si>
  <si>
    <t>Derick</t>
  </si>
  <si>
    <t>HVK404</t>
  </si>
  <si>
    <t>ZVAN15</t>
  </si>
  <si>
    <t>Clifford Roy</t>
  </si>
  <si>
    <t>van Vuren</t>
  </si>
  <si>
    <t>HVK405</t>
  </si>
  <si>
    <t>HVK406</t>
  </si>
  <si>
    <t>HVL101</t>
  </si>
  <si>
    <t>L</t>
  </si>
  <si>
    <t>HVL102</t>
  </si>
  <si>
    <t>ZTUR01</t>
  </si>
  <si>
    <t>Janne Petteri</t>
  </si>
  <si>
    <t>Turunen</t>
  </si>
  <si>
    <t>ZCRO02</t>
  </si>
  <si>
    <t>Gregory Murray</t>
  </si>
  <si>
    <t>Crouse</t>
  </si>
  <si>
    <t>HVL103</t>
  </si>
  <si>
    <t>ZSIP01</t>
  </si>
  <si>
    <t>Elaine Christilene</t>
  </si>
  <si>
    <t>Sipongo</t>
  </si>
  <si>
    <t>HVL104</t>
  </si>
  <si>
    <t>HVL201</t>
  </si>
  <si>
    <t>HVL202</t>
  </si>
  <si>
    <t>HVL203</t>
  </si>
  <si>
    <t>ZROD01</t>
  </si>
  <si>
    <t>Vuyisile Eustace</t>
  </si>
  <si>
    <t>Rodolo</t>
  </si>
  <si>
    <t>HVL204</t>
  </si>
  <si>
    <t>HVM101</t>
  </si>
  <si>
    <t>M</t>
  </si>
  <si>
    <t>HVM102</t>
  </si>
  <si>
    <t>HVM103</t>
  </si>
  <si>
    <t>HVM104</t>
  </si>
  <si>
    <t>HVM201</t>
  </si>
  <si>
    <t>HVM202</t>
  </si>
  <si>
    <t>HVM203</t>
  </si>
  <si>
    <t>HVM204</t>
  </si>
  <si>
    <t>ZKRI03</t>
  </si>
  <si>
    <t>Helena Jacoba</t>
  </si>
  <si>
    <t>HVN101</t>
  </si>
  <si>
    <t>N</t>
  </si>
  <si>
    <t>ZMAQ01</t>
  </si>
  <si>
    <t>Stanley Tamsanqa</t>
  </si>
  <si>
    <t>Maqubela</t>
  </si>
  <si>
    <t>ZVAN03</t>
  </si>
  <si>
    <t>Johan George</t>
  </si>
  <si>
    <t>van der Westhuizen</t>
  </si>
  <si>
    <t>HVN102</t>
  </si>
  <si>
    <t>ZLER01</t>
  </si>
  <si>
    <t>Lydia</t>
  </si>
  <si>
    <t>Kloppers</t>
  </si>
  <si>
    <t>HVN103</t>
  </si>
  <si>
    <t>HVN104</t>
  </si>
  <si>
    <t>HVN201</t>
  </si>
  <si>
    <t>ZERF01</t>
  </si>
  <si>
    <t>Hermanus Gerhardus (Gerhard)</t>
  </si>
  <si>
    <t>HVN202</t>
  </si>
  <si>
    <t>HVN203</t>
  </si>
  <si>
    <t>ZVAL03</t>
  </si>
  <si>
    <t>Marinda</t>
  </si>
  <si>
    <t>Valentin</t>
  </si>
  <si>
    <t>HVN204</t>
  </si>
  <si>
    <t>HVN301</t>
  </si>
  <si>
    <t>ZAMP01</t>
  </si>
  <si>
    <t>Andre</t>
  </si>
  <si>
    <t>De Villiers</t>
  </si>
  <si>
    <t>HVN302</t>
  </si>
  <si>
    <t>HVN303</t>
  </si>
  <si>
    <t>HVN304</t>
  </si>
  <si>
    <t>ZMAD01</t>
  </si>
  <si>
    <t>Esther</t>
  </si>
  <si>
    <t>HVO101</t>
  </si>
  <si>
    <t>O</t>
  </si>
  <si>
    <t>HVO102</t>
  </si>
  <si>
    <t>ZMOO02</t>
  </si>
  <si>
    <t>Chreeson Loganathan</t>
  </si>
  <si>
    <t>Moodley</t>
  </si>
  <si>
    <t>HVO103</t>
  </si>
  <si>
    <t>HVO104</t>
  </si>
  <si>
    <t>HVO105</t>
  </si>
  <si>
    <t>HVO201</t>
  </si>
  <si>
    <t>HVO202</t>
  </si>
  <si>
    <t>HVO203</t>
  </si>
  <si>
    <t>HVO204</t>
  </si>
  <si>
    <t>HVO205</t>
  </si>
  <si>
    <t>ZDEV02</t>
  </si>
  <si>
    <t>André Deric</t>
  </si>
  <si>
    <t>HVO301</t>
  </si>
  <si>
    <t>ZLAM01</t>
  </si>
  <si>
    <t>Oswald Robert (Ossie)</t>
  </si>
  <si>
    <t>Lamb</t>
  </si>
  <si>
    <t>ZMAT04</t>
  </si>
  <si>
    <t>Mosweu Abraham Stephen</t>
  </si>
  <si>
    <t>Matang</t>
  </si>
  <si>
    <t>ZVAN08</t>
  </si>
  <si>
    <t>Andree-Lauren</t>
  </si>
  <si>
    <t>ZLER02</t>
  </si>
  <si>
    <t>Jacques</t>
  </si>
  <si>
    <t>le Roux</t>
  </si>
  <si>
    <t>HVO302</t>
  </si>
  <si>
    <t>ZVIS03</t>
  </si>
  <si>
    <t>Anton Patrick</t>
  </si>
  <si>
    <t>HVO303</t>
  </si>
  <si>
    <t>HVO304</t>
  </si>
  <si>
    <t>HVO305</t>
  </si>
  <si>
    <t>ZLIN01</t>
  </si>
  <si>
    <t>Charmain</t>
  </si>
  <si>
    <t>Lines</t>
  </si>
  <si>
    <t>HVP101</t>
  </si>
  <si>
    <t>P</t>
  </si>
  <si>
    <t>HVP102</t>
  </si>
  <si>
    <t>ZJEN02</t>
  </si>
  <si>
    <t>Andrew Bowden</t>
  </si>
  <si>
    <t>ZZEE01</t>
  </si>
  <si>
    <t>Michael Christiaan</t>
  </si>
  <si>
    <t>Zeeman</t>
  </si>
  <si>
    <t>HVP103</t>
  </si>
  <si>
    <t>ZBAL02</t>
  </si>
  <si>
    <t>Shaheda</t>
  </si>
  <si>
    <t>Ballim</t>
  </si>
  <si>
    <t>HVP201</t>
  </si>
  <si>
    <t>ZDEF01</t>
  </si>
  <si>
    <t>Allan</t>
  </si>
  <si>
    <t>de Freitas</t>
  </si>
  <si>
    <t>ZJAN05</t>
  </si>
  <si>
    <t>Gerda</t>
  </si>
  <si>
    <t>Janse van Rensburg</t>
  </si>
  <si>
    <t>HVP202</t>
  </si>
  <si>
    <t>ZDUP04</t>
  </si>
  <si>
    <t>Emile</t>
  </si>
  <si>
    <t>du Plessis</t>
  </si>
  <si>
    <t>HVP203</t>
  </si>
  <si>
    <t>ZTRU01</t>
  </si>
  <si>
    <t>Cecil Ronald</t>
  </si>
  <si>
    <t>Truter</t>
  </si>
  <si>
    <t>HVP301</t>
  </si>
  <si>
    <t>ZVAN09</t>
  </si>
  <si>
    <t>Eugene Brandt</t>
  </si>
  <si>
    <t>HVP302</t>
  </si>
  <si>
    <t>HVP303</t>
  </si>
  <si>
    <t>Opportunities</t>
  </si>
  <si>
    <t>Transferred</t>
  </si>
  <si>
    <t>Opportunity Amount Required</t>
  </si>
  <si>
    <t>Opportunity End Date</t>
  </si>
  <si>
    <t>Opportunity Final Transfer Date</t>
  </si>
  <si>
    <t>HFB215</t>
  </si>
  <si>
    <t>HFB305</t>
  </si>
  <si>
    <t>HFB314</t>
  </si>
  <si>
    <t>HFB315</t>
  </si>
  <si>
    <t>Construction</t>
  </si>
  <si>
    <t>Whitebox-Able</t>
  </si>
  <si>
    <t>Blocks</t>
  </si>
  <si>
    <t>Complete Build</t>
  </si>
  <si>
    <t>Option</t>
  </si>
  <si>
    <t>Remaining As Per Options</t>
  </si>
  <si>
    <t>To Complete After Option Achieved</t>
  </si>
  <si>
    <t xml:space="preserve"> Total Cost To Complete </t>
  </si>
  <si>
    <t>2024/03/31 Actual</t>
  </si>
  <si>
    <t>30-Apr-24</t>
  </si>
  <si>
    <t>30-May-24</t>
  </si>
  <si>
    <t>29-Jun-24</t>
  </si>
  <si>
    <t>29-Jul-24</t>
  </si>
  <si>
    <t>28-Aug-24</t>
  </si>
  <si>
    <t>27-Sep-24</t>
  </si>
  <si>
    <t>31-Oct-24</t>
  </si>
  <si>
    <t>30-Nov-24</t>
  </si>
  <si>
    <t>31-Dec-24</t>
  </si>
  <si>
    <t>31-Jan-25</t>
  </si>
  <si>
    <t xml:space="preserve">2025/02/28_x000D_
</t>
  </si>
  <si>
    <t>Renamed Block</t>
  </si>
  <si>
    <t>Block D</t>
  </si>
  <si>
    <t>Block E - No option</t>
  </si>
  <si>
    <t>Block F - No option</t>
  </si>
  <si>
    <t>Block G</t>
  </si>
  <si>
    <t>Block H</t>
  </si>
  <si>
    <t>Block I</t>
  </si>
  <si>
    <t>Block J</t>
  </si>
  <si>
    <t>Block K</t>
  </si>
  <si>
    <t>Block L</t>
  </si>
  <si>
    <t>Block M</t>
  </si>
  <si>
    <t>Block N</t>
  </si>
  <si>
    <t>Block O</t>
  </si>
  <si>
    <t>Clubhouse</t>
  </si>
  <si>
    <t>Updated Construction</t>
  </si>
  <si>
    <t>Actual</t>
  </si>
  <si>
    <t>Date</t>
  </si>
  <si>
    <t>Amount</t>
  </si>
  <si>
    <t>Renamed_block</t>
  </si>
  <si>
    <t>Vat Due</t>
  </si>
  <si>
    <t>Sales</t>
  </si>
  <si>
    <t>Original Planned Transfer Date</t>
  </si>
  <si>
    <t>Forecast Transfer Date</t>
  </si>
  <si>
    <t>Sale Price</t>
  </si>
  <si>
    <t>Vat</t>
  </si>
  <si>
    <t>Nett</t>
  </si>
  <si>
    <t>Opportunity Transfer Fees</t>
  </si>
  <si>
    <t>Opportunity Trust Release Fee</t>
  </si>
  <si>
    <t>Opportunity Unforseen</t>
  </si>
  <si>
    <t>Opportunity Commission</t>
  </si>
  <si>
    <t>Opportunity Bond Registration</t>
  </si>
  <si>
    <t>Transfer Income</t>
  </si>
  <si>
    <t>Due To Investors</t>
  </si>
  <si>
    <t>Profit Loss</t>
  </si>
  <si>
    <t>Refinanced</t>
  </si>
  <si>
    <t>Vat Date</t>
  </si>
  <si>
    <t>Refanced Value</t>
  </si>
  <si>
    <t>New Forecast Date</t>
  </si>
  <si>
    <t>New VAT Date</t>
  </si>
  <si>
    <t>VAT Recovery Date</t>
  </si>
  <si>
    <t>Sales Toggle</t>
  </si>
  <si>
    <t>Endulini</t>
  </si>
  <si>
    <t>EA209</t>
  </si>
  <si>
    <t>EA201</t>
  </si>
  <si>
    <t>EA202</t>
  </si>
  <si>
    <t>EE202</t>
  </si>
  <si>
    <t>EE102</t>
  </si>
  <si>
    <t>EA205</t>
  </si>
  <si>
    <t>EA206</t>
  </si>
  <si>
    <t>EA105</t>
  </si>
  <si>
    <t>EA305</t>
  </si>
  <si>
    <t>EA101</t>
  </si>
  <si>
    <t>EB102</t>
  </si>
  <si>
    <t>ED302</t>
  </si>
  <si>
    <t>ED303</t>
  </si>
  <si>
    <t>EF103</t>
  </si>
  <si>
    <t>EA303</t>
  </si>
  <si>
    <t>EA103</t>
  </si>
  <si>
    <t>EA104</t>
  </si>
  <si>
    <t>EA302</t>
  </si>
  <si>
    <t>EA109</t>
  </si>
  <si>
    <t>EC201</t>
  </si>
  <si>
    <t>ED102</t>
  </si>
  <si>
    <t>EE101</t>
  </si>
  <si>
    <t>EA306</t>
  </si>
  <si>
    <t>EE201</t>
  </si>
  <si>
    <t>EC301</t>
  </si>
  <si>
    <t>EB103</t>
  </si>
  <si>
    <t>ED101</t>
  </si>
  <si>
    <t>EF102</t>
  </si>
  <si>
    <t>EC202</t>
  </si>
  <si>
    <t>ED202</t>
  </si>
  <si>
    <t>ED201</t>
  </si>
  <si>
    <t>EA108</t>
  </si>
  <si>
    <t>EF201</t>
  </si>
  <si>
    <t>ED103</t>
  </si>
  <si>
    <t>EE302</t>
  </si>
  <si>
    <t>EE203</t>
  </si>
  <si>
    <t>EB101</t>
  </si>
  <si>
    <t>EA307</t>
  </si>
  <si>
    <t>EB202</t>
  </si>
  <si>
    <t>EF202</t>
  </si>
  <si>
    <t>EA207</t>
  </si>
  <si>
    <t>EA208</t>
  </si>
  <si>
    <t>ED203</t>
  </si>
  <si>
    <t>EC302</t>
  </si>
  <si>
    <t>EA301</t>
  </si>
  <si>
    <t>EA203</t>
  </si>
  <si>
    <t>EA106</t>
  </si>
  <si>
    <t>EA102</t>
  </si>
  <si>
    <t>EA107</t>
  </si>
  <si>
    <t>EE103</t>
  </si>
  <si>
    <t>EE303</t>
  </si>
  <si>
    <t>EA204</t>
  </si>
  <si>
    <t>EA304</t>
  </si>
  <si>
    <t>EC102</t>
  </si>
  <si>
    <t>EB203</t>
  </si>
  <si>
    <t>ED301</t>
  </si>
  <si>
    <t>EB201</t>
  </si>
  <si>
    <t>EC101</t>
  </si>
  <si>
    <t>EF101</t>
  </si>
  <si>
    <t>EE301</t>
  </si>
  <si>
    <t>EF203</t>
  </si>
  <si>
    <t>Operational Costs</t>
  </si>
  <si>
    <t>Company</t>
  </si>
  <si>
    <t>Account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</si>
  <si>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</si>
  <si>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</si>
  <si>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</si>
  <si>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</si>
  <si>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</si>
  <si>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</si>
  <si>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</si>
  <si>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</si>
  <si>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</si>
  <si>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</si>
  <si>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</si>
  <si>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Operating Expenses</t>
  </si>
  <si>
    <t>Heron Fields (Pty) Ltd</t>
  </si>
  <si>
    <t>Rates - Heron</t>
  </si>
  <si>
    <t>-R 42 216,76</t>
  </si>
  <si>
    <t>Cape Projects Construction (Pty) Ltd</t>
  </si>
  <si>
    <t>Accounting Fees - Other</t>
  </si>
  <si>
    <t>Heron View (Pty) Ltd</t>
  </si>
  <si>
    <t>Repairs _AND_ Maintenance</t>
  </si>
  <si>
    <t>-R 1 003,07</t>
  </si>
  <si>
    <t>Water</t>
  </si>
  <si>
    <t>Insurance - Santam</t>
  </si>
  <si>
    <t>Advertising _AND_ Promotions</t>
  </si>
  <si>
    <t>Computer Expenses</t>
  </si>
  <si>
    <t>Insurance - A_AND_G</t>
  </si>
  <si>
    <t>General Expenses</t>
  </si>
  <si>
    <t>Rates</t>
  </si>
  <si>
    <t>Advertising - Design Fees</t>
  </si>
  <si>
    <t>Bank Charges</t>
  </si>
  <si>
    <t>Motor Vehicle - Insurance _AND_ Licence</t>
  </si>
  <si>
    <t>Advertising - Other</t>
  </si>
  <si>
    <t>Accounting Fees - Audit</t>
  </si>
  <si>
    <t>Courier _AND_ Postage</t>
  </si>
  <si>
    <t>Salaries &amp; Wages - WCA</t>
  </si>
  <si>
    <t>Subscriptions  - Adobe</t>
  </si>
  <si>
    <t>Subscriptions - Smartsheet</t>
  </si>
  <si>
    <t>Subscriptions &amp; Licenses - Caseware</t>
  </si>
  <si>
    <t>Endulini (Pty) Ltd</t>
  </si>
  <si>
    <t>Consulting Fees - Admin and Finance</t>
  </si>
  <si>
    <t>Depreciation - Generator Fixed Asset</t>
  </si>
  <si>
    <t>Motor Vehicle Expenses</t>
  </si>
  <si>
    <t>Printing - Printer rental</t>
  </si>
  <si>
    <t>Subscriptions / Licenses</t>
  </si>
  <si>
    <t>Telephone _AND_ Fax</t>
  </si>
  <si>
    <t>CoCT - Refuse</t>
  </si>
  <si>
    <t>Developers Levies</t>
  </si>
  <si>
    <t>Momentum Admin Fee</t>
  </si>
  <si>
    <t>Security</t>
  </si>
  <si>
    <t>Subscriptions - Xero</t>
  </si>
  <si>
    <t>Electricity _AND_ Water</t>
  </si>
  <si>
    <t>SDL Contributions</t>
  </si>
  <si>
    <t>Secretarial fees - CIPC</t>
  </si>
  <si>
    <t>CoCT - Water</t>
  </si>
  <si>
    <t>-R 147,72</t>
  </si>
  <si>
    <t>-R 4 301,84</t>
  </si>
  <si>
    <t>Printing _AND_ Stationery</t>
  </si>
  <si>
    <t>BIBC Company Contribution</t>
  </si>
  <si>
    <t>Depreciation - Furniture and Fittings</t>
  </si>
  <si>
    <t>Depreciation - Computer Equipment</t>
  </si>
  <si>
    <t>Levies - Amari</t>
  </si>
  <si>
    <t>Advertising - Pure Brand Activation</t>
  </si>
  <si>
    <t>Advertising - Real Marketing</t>
  </si>
  <si>
    <t>Legal Fees</t>
  </si>
  <si>
    <t>Consulting fees - Trustee</t>
  </si>
  <si>
    <t>Rent Paid</t>
  </si>
  <si>
    <t>Motor Vehicle - Repairs _AND_ Maint.</t>
  </si>
  <si>
    <t>Salaries _AND_ Wages</t>
  </si>
  <si>
    <t>Staff Welfare _AND_ Refreshmts</t>
  </si>
  <si>
    <t>UIF Company Contributions</t>
  </si>
  <si>
    <t>Accounting - CIPC</t>
  </si>
  <si>
    <t>Subscription - NHBRC</t>
  </si>
  <si>
    <t>Repair &amp; Maintenance - Rentals</t>
  </si>
  <si>
    <t>Subscriptions &amp; Licenses - Sage payroll</t>
  </si>
  <si>
    <t>UIF Employee Contribution</t>
  </si>
  <si>
    <t>Entertainment Expenses</t>
  </si>
  <si>
    <t>OPP INVEST</t>
  </si>
  <si>
    <t>Levies - Developer</t>
  </si>
  <si>
    <t>Levies - Special Levies</t>
  </si>
  <si>
    <t>Cell Phone - Nick Morgan</t>
  </si>
  <si>
    <t>CoCT - Electricity</t>
  </si>
  <si>
    <t>-R 971,22</t>
  </si>
  <si>
    <t>-R 2 477,51</t>
  </si>
  <si>
    <t>BIBC Employee Contribution</t>
  </si>
  <si>
    <t>Cell Phone - CT Office</t>
  </si>
  <si>
    <t>Cleaning</t>
  </si>
  <si>
    <t>Computer Exp - IT, Internet/Hosting Fee</t>
  </si>
  <si>
    <t>PAYE Contributions</t>
  </si>
  <si>
    <t>Small Assets</t>
  </si>
  <si>
    <t>Advertising - Property24</t>
  </si>
  <si>
    <t>-R 12 480,00</t>
  </si>
  <si>
    <t>Staff Training</t>
  </si>
  <si>
    <t>Subscription &amp; Licenses - ERS Bio</t>
  </si>
  <si>
    <t>Accounting Fees</t>
  </si>
  <si>
    <t>Security - ADT</t>
  </si>
  <si>
    <t>CPSD</t>
  </si>
  <si>
    <t>Levies</t>
  </si>
  <si>
    <t>-R 92 227,34</t>
  </si>
  <si>
    <t>Management fees - OMH</t>
  </si>
  <si>
    <t>Advertising _AND_ Promotions - Media Agenda</t>
  </si>
  <si>
    <t>Advertiving - Real Marketing</t>
  </si>
  <si>
    <t>Motor Vehicle - Petrol _AND_ Oil</t>
  </si>
  <si>
    <t>Subscriptions &amp; Licenses - Xero</t>
  </si>
  <si>
    <t>Insurance</t>
  </si>
  <si>
    <t>Advertising - Thinkink</t>
  </si>
  <si>
    <t>Xero</t>
  </si>
  <si>
    <t>Reporttitle</t>
  </si>
  <si>
    <t>Reportdate</t>
  </si>
  <si>
    <t>Accountcode</t>
  </si>
  <si>
    <t>Accountname</t>
  </si>
  <si>
    <t>Current</t>
  </si>
  <si>
    <t>Ytd</t>
  </si>
  <si>
    <t>Expenses</t>
  </si>
  <si>
    <t>3050/000</t>
  </si>
  <si>
    <t>4410/000</t>
  </si>
  <si>
    <t>Secretarial fees</t>
  </si>
  <si>
    <t>Equity</t>
  </si>
  <si>
    <t>5100-000</t>
  </si>
  <si>
    <t>Share Capital</t>
  </si>
  <si>
    <t>Liabilities</t>
  </si>
  <si>
    <t>5500/010</t>
  </si>
  <si>
    <t>Loan - Quinate</t>
  </si>
  <si>
    <t>5500/020</t>
  </si>
  <si>
    <t>Loan - Cape Projects Construction</t>
  </si>
  <si>
    <t>Assets</t>
  </si>
  <si>
    <t>7620/240</t>
  </si>
  <si>
    <t>HF CIP Civil Engineering</t>
  </si>
  <si>
    <t>7620/280</t>
  </si>
  <si>
    <t>HF CIP Site Establishment</t>
  </si>
  <si>
    <t>8300/001</t>
  </si>
  <si>
    <t>Deposit Paid - Grey Heron Langeberg</t>
  </si>
  <si>
    <t>8400/000</t>
  </si>
  <si>
    <t>RMB - 62882379087</t>
  </si>
  <si>
    <t>8410/000</t>
  </si>
  <si>
    <t>STBB Trust Account</t>
  </si>
  <si>
    <t>9000/000</t>
  </si>
  <si>
    <t>Supplier Control Account</t>
  </si>
  <si>
    <t>9500/000</t>
  </si>
  <si>
    <t>Vat / Tax Control Account</t>
  </si>
  <si>
    <t>3200/000</t>
  </si>
  <si>
    <t>3700/000</t>
  </si>
  <si>
    <t>7620/220</t>
  </si>
  <si>
    <t>HF CIP Architectural Designs</t>
  </si>
  <si>
    <t>7620/260</t>
  </si>
  <si>
    <t>HF CIP Mechanical Engineers</t>
  </si>
  <si>
    <t>4200/000</t>
  </si>
  <si>
    <t>7620/250</t>
  </si>
  <si>
    <t>HF CIP Land Surveyor</t>
  </si>
  <si>
    <t>7620/255</t>
  </si>
  <si>
    <t>HF CIP Landscaping</t>
  </si>
  <si>
    <t>7620/290</t>
  </si>
  <si>
    <t>HF CIP Town Planning</t>
  </si>
  <si>
    <t>7620/295</t>
  </si>
  <si>
    <t>HF CIP Traffic Planning</t>
  </si>
  <si>
    <t>Revenue</t>
  </si>
  <si>
    <t>2753/001</t>
  </si>
  <si>
    <t>Interest Received - Deposit Grey Heron</t>
  </si>
  <si>
    <t>4420/001</t>
  </si>
  <si>
    <t>7620/100</t>
  </si>
  <si>
    <t>Heron View Land</t>
  </si>
  <si>
    <t>7620/101</t>
  </si>
  <si>
    <t>HF CIP Bond Registration Fee</t>
  </si>
  <si>
    <t>7620/102</t>
  </si>
  <si>
    <t>HF CIP Transfer Fee</t>
  </si>
  <si>
    <t>7620/270</t>
  </si>
  <si>
    <t>HF CIP Geotechnical</t>
  </si>
  <si>
    <t>7620/285</t>
  </si>
  <si>
    <t>HF CIP Structuring Fee - Invest</t>
  </si>
  <si>
    <t>2754/001</t>
  </si>
  <si>
    <t>Interest Received - STBB Trust Account</t>
  </si>
  <si>
    <t>3000/100</t>
  </si>
  <si>
    <t>3301/000</t>
  </si>
  <si>
    <t>Computer Expenses - Xero</t>
  </si>
  <si>
    <t>3650/000</t>
  </si>
  <si>
    <t>3660/000</t>
  </si>
  <si>
    <t>4310/000</t>
  </si>
  <si>
    <t>4550/100</t>
  </si>
  <si>
    <t>5500/030</t>
  </si>
  <si>
    <t>Loan - Opportunity Global Investments</t>
  </si>
  <si>
    <t>7620/287</t>
  </si>
  <si>
    <t>HF CIP Structuring Fee - Development</t>
  </si>
  <si>
    <t>9210/001</t>
  </si>
  <si>
    <t>Accrued Expenses</t>
  </si>
  <si>
    <t>1500/001</t>
  </si>
  <si>
    <t>Revaluation of Land</t>
  </si>
  <si>
    <t>5300/001</t>
  </si>
  <si>
    <t>Revaluation of Land stock</t>
  </si>
  <si>
    <t>8430/000</t>
  </si>
  <si>
    <t>Momentum Private Account RU502230151</t>
  </si>
  <si>
    <t>8440/000</t>
  </si>
  <si>
    <t>Momentum Investors Account RU502229930</t>
  </si>
  <si>
    <t>2000/020</t>
  </si>
  <si>
    <t>COS - Heron sales office</t>
  </si>
  <si>
    <t>2755/001</t>
  </si>
  <si>
    <t>Interest Received - Momentum</t>
  </si>
  <si>
    <t>3350/100</t>
  </si>
  <si>
    <t>3351/000</t>
  </si>
  <si>
    <t>4100/001</t>
  </si>
  <si>
    <t>4350/000</t>
  </si>
  <si>
    <t>5500/040</t>
  </si>
  <si>
    <t>Loan - Trademark</t>
  </si>
  <si>
    <t>8200/200</t>
  </si>
  <si>
    <t>Sundry Debtor - Quinate</t>
  </si>
  <si>
    <t>7620/600</t>
  </si>
  <si>
    <t>HF CIP Eco work</t>
  </si>
  <si>
    <t>3050/100</t>
  </si>
  <si>
    <t>4550/200</t>
  </si>
  <si>
    <t>7620/245</t>
  </si>
  <si>
    <t>HF CIP Development fee</t>
  </si>
  <si>
    <t>7620/630</t>
  </si>
  <si>
    <t>HF CIP CoCT development contribution</t>
  </si>
  <si>
    <t>1050/030</t>
  </si>
  <si>
    <t>Fees - Construction - Endulini</t>
  </si>
  <si>
    <t>1050/032</t>
  </si>
  <si>
    <t>Fees - Construction - Endulini P and G</t>
  </si>
  <si>
    <t>1060/000</t>
  </si>
  <si>
    <t>Insurance recovery</t>
  </si>
  <si>
    <t>1070/000</t>
  </si>
  <si>
    <t>Rent - CT Office</t>
  </si>
  <si>
    <t>2001/043</t>
  </si>
  <si>
    <t>COS - Site Establishment - Consumables</t>
  </si>
  <si>
    <t>2001/048</t>
  </si>
  <si>
    <t>COS - Site Establishment Water Pump</t>
  </si>
  <si>
    <t>2001/109</t>
  </si>
  <si>
    <t>COS - Site Labour Labourers</t>
  </si>
  <si>
    <t>2006/000</t>
  </si>
  <si>
    <t>COS - Endulini Construction</t>
  </si>
  <si>
    <t>2006/100</t>
  </si>
  <si>
    <t>COS - Endulini P and G</t>
  </si>
  <si>
    <t>2006/200</t>
  </si>
  <si>
    <t>COS - Insurance</t>
  </si>
  <si>
    <t>2006/300</t>
  </si>
  <si>
    <t>COS - Endulini - Printing &amp; Stationary</t>
  </si>
  <si>
    <t>2006/350</t>
  </si>
  <si>
    <t>COS - Endulini - Security</t>
  </si>
  <si>
    <t>2006/400</t>
  </si>
  <si>
    <t>COS - Endulini - Health &amp; Safety</t>
  </si>
  <si>
    <t>2006/500</t>
  </si>
  <si>
    <t>COS - Endulini - Small Assets</t>
  </si>
  <si>
    <t>2006/550</t>
  </si>
  <si>
    <t>COS - Endulini - Cleaning</t>
  </si>
  <si>
    <t>2006/600</t>
  </si>
  <si>
    <t>COS - Endulini - Consumables</t>
  </si>
  <si>
    <t>2006/700</t>
  </si>
  <si>
    <t>COS - Endulini - Fuel</t>
  </si>
  <si>
    <t>2006/800</t>
  </si>
  <si>
    <t>COS - Endulini - Telephone &amp; Internet</t>
  </si>
  <si>
    <t>2006/900</t>
  </si>
  <si>
    <t>COS - Endulini - Site Labour</t>
  </si>
  <si>
    <t>2007/000</t>
  </si>
  <si>
    <t>COS - Repairs &amp; Maintenance - SW Southwark</t>
  </si>
  <si>
    <t>2009/000</t>
  </si>
  <si>
    <t>COS - Repairs &amp; Maintenance - Endulini Sales Office</t>
  </si>
  <si>
    <t>2010/000</t>
  </si>
  <si>
    <t>COS - Repairs &amp; Maintenance - Heron Sales Office</t>
  </si>
  <si>
    <t>2011/100</t>
  </si>
  <si>
    <t>COS - Heron Fields - Garden Services</t>
  </si>
  <si>
    <t>2011/200</t>
  </si>
  <si>
    <t>COS - Heron Fields - Labourers</t>
  </si>
  <si>
    <t>2011/300</t>
  </si>
  <si>
    <t>COS - Heron Fields - Printing &amp; Stationary</t>
  </si>
  <si>
    <t>2011/400</t>
  </si>
  <si>
    <t>COS - Heron - Sales office Staff refreshments</t>
  </si>
  <si>
    <t>2700/000</t>
  </si>
  <si>
    <t>Discount Received for Cash</t>
  </si>
  <si>
    <t>2700/100</t>
  </si>
  <si>
    <t>COS - Southwark - Printing</t>
  </si>
  <si>
    <t>2751/001</t>
  </si>
  <si>
    <t>Interest received - Momentum</t>
  </si>
  <si>
    <t>3001/000</t>
  </si>
  <si>
    <t>3002/000</t>
  </si>
  <si>
    <t>3002/010</t>
  </si>
  <si>
    <t>Accounting Fee - PayrollWorx</t>
  </si>
  <si>
    <t>3004</t>
  </si>
  <si>
    <t>Accounting - Warwick</t>
  </si>
  <si>
    <t>3004/000</t>
  </si>
  <si>
    <t>Accounting Fees - Tax Dept.</t>
  </si>
  <si>
    <t>3005/000</t>
  </si>
  <si>
    <t>Accounting - Janine Theart</t>
  </si>
  <si>
    <t>3006</t>
  </si>
  <si>
    <t>Accounting - Deric Dudley</t>
  </si>
  <si>
    <t>3020/100</t>
  </si>
  <si>
    <t>Admin - Subcontractors</t>
  </si>
  <si>
    <t>3050/450</t>
  </si>
  <si>
    <t>3250/000</t>
  </si>
  <si>
    <t>3256/000</t>
  </si>
  <si>
    <t>3300/000</t>
  </si>
  <si>
    <t>3350/000</t>
  </si>
  <si>
    <t>Consulting Fees</t>
  </si>
  <si>
    <t>Consulting fees - Herbert du Plessis</t>
  </si>
  <si>
    <t>3350/200</t>
  </si>
  <si>
    <t>Consulting fees - Quabeka</t>
  </si>
  <si>
    <t>3350/300</t>
  </si>
  <si>
    <t>3400/000</t>
  </si>
  <si>
    <t>3450/001</t>
  </si>
  <si>
    <t>3450/002</t>
  </si>
  <si>
    <t>3840/001</t>
  </si>
  <si>
    <t>Health _AND_ Safety - Labour Department</t>
  </si>
  <si>
    <t>3850/001</t>
  </si>
  <si>
    <t>3850/002</t>
  </si>
  <si>
    <t>Insurance - RBS</t>
  </si>
  <si>
    <t>4150/010</t>
  </si>
  <si>
    <t>4150/020</t>
  </si>
  <si>
    <t>4150/030</t>
  </si>
  <si>
    <t>4201/000</t>
  </si>
  <si>
    <t>4300/000</t>
  </si>
  <si>
    <t>4400/000</t>
  </si>
  <si>
    <t>4400/100</t>
  </si>
  <si>
    <t>Salaries and Wages - Shorty</t>
  </si>
  <si>
    <t>4402</t>
  </si>
  <si>
    <t>4420/000</t>
  </si>
  <si>
    <t>4450/000</t>
  </si>
  <si>
    <t>4500/000</t>
  </si>
  <si>
    <t>4550/000</t>
  </si>
  <si>
    <t>4550/001</t>
  </si>
  <si>
    <t>4550/002</t>
  </si>
  <si>
    <t>4550/003</t>
  </si>
  <si>
    <t>4550/004</t>
  </si>
  <si>
    <t>4560</t>
  </si>
  <si>
    <t>4600/000</t>
  </si>
  <si>
    <t>4650/010</t>
  </si>
  <si>
    <t>Travel - Local</t>
  </si>
  <si>
    <t>4700/000</t>
  </si>
  <si>
    <t>4720/000</t>
  </si>
  <si>
    <t>4730/000</t>
  </si>
  <si>
    <t>4731/000</t>
  </si>
  <si>
    <t>5100/000</t>
  </si>
  <si>
    <t>Share Capital / Members Contribution</t>
  </si>
  <si>
    <t>5200/000</t>
  </si>
  <si>
    <t>Retained Earnings / Loss</t>
  </si>
  <si>
    <t>5400/200</t>
  </si>
  <si>
    <t>Members Loan - Nick Morgan</t>
  </si>
  <si>
    <t>5400/220</t>
  </si>
  <si>
    <t>Members Loan - WH</t>
  </si>
  <si>
    <t>5400/450</t>
  </si>
  <si>
    <t>Loan - Opportunity Investment</t>
  </si>
  <si>
    <t>5400/500</t>
  </si>
  <si>
    <t>Loan - Blou Mamba Trust</t>
  </si>
  <si>
    <t>5400/550</t>
  </si>
  <si>
    <t>5400/600</t>
  </si>
  <si>
    <t>Loan - Heron Projects</t>
  </si>
  <si>
    <t>5400/650</t>
  </si>
  <si>
    <t>Loan - Noble Shield</t>
  </si>
  <si>
    <t>5400/800</t>
  </si>
  <si>
    <t>Loan - Opportunity Management Holdings</t>
  </si>
  <si>
    <t>5500/100</t>
  </si>
  <si>
    <t>Staff loan - Herbert du Plessis</t>
  </si>
  <si>
    <t>5500/200</t>
  </si>
  <si>
    <t>Staff loan - Dirk Coetzee</t>
  </si>
  <si>
    <t>5600/100</t>
  </si>
  <si>
    <t>Motor Vehical Car Repaymts - Toyota</t>
  </si>
  <si>
    <t>5600/200</t>
  </si>
  <si>
    <t>Motor Vehicle Car Repayments - Toyota Shortterm</t>
  </si>
  <si>
    <t>6200/010</t>
  </si>
  <si>
    <t>Motor Vehicles - @ Cost</t>
  </si>
  <si>
    <t>6200/020</t>
  </si>
  <si>
    <t>Motor Vehicles - Accum Depre</t>
  </si>
  <si>
    <t>6250/010</t>
  </si>
  <si>
    <t>Computer Equipment - @ Cost</t>
  </si>
  <si>
    <t>6250/020</t>
  </si>
  <si>
    <t>Computer Equipment - Accum Depre</t>
  </si>
  <si>
    <t>6600/010</t>
  </si>
  <si>
    <t>Generator Fixed Asset - @ Cost</t>
  </si>
  <si>
    <t>6600/020</t>
  </si>
  <si>
    <t>Generator Fixed Asset - Accum Depre</t>
  </si>
  <si>
    <t>7610/395</t>
  </si>
  <si>
    <t>HF CIP NHBRC</t>
  </si>
  <si>
    <t>7620/640</t>
  </si>
  <si>
    <t>HF CIP Project costs</t>
  </si>
  <si>
    <t>7800/000</t>
  </si>
  <si>
    <t>Deposits paid</t>
  </si>
  <si>
    <t>8000/000</t>
  </si>
  <si>
    <t>Customer Control Account</t>
  </si>
  <si>
    <t>8200/010</t>
  </si>
  <si>
    <t>Prepayments / Prepaid Expenses</t>
  </si>
  <si>
    <t>8300/000</t>
  </si>
  <si>
    <t>FNB Credit Card 8812 7100 446 6006</t>
  </si>
  <si>
    <t>RMB 62275138470</t>
  </si>
  <si>
    <t>Petty Cash</t>
  </si>
  <si>
    <t>8420/000</t>
  </si>
  <si>
    <t>Momentum Priv Acc RU502230981</t>
  </si>
  <si>
    <t>860</t>
  </si>
  <si>
    <t>Rounding</t>
  </si>
  <si>
    <t>9250/010</t>
  </si>
  <si>
    <t>SALARY CONTROL</t>
  </si>
  <si>
    <t>9250/020</t>
  </si>
  <si>
    <t>PAYE, UIF AND SDL CONTROL</t>
  </si>
  <si>
    <t>VAT Control Account</t>
  </si>
  <si>
    <t>B/S</t>
  </si>
  <si>
    <t>Taxation Payable</t>
  </si>
  <si>
    <t>TEMP/ACC</t>
  </si>
  <si>
    <t>Conversion Account</t>
  </si>
  <si>
    <t>1040/100</t>
  </si>
  <si>
    <t>Fees - Construction - Heron</t>
  </si>
  <si>
    <t>2011/500</t>
  </si>
  <si>
    <t>COS - Heron Fields - Construction</t>
  </si>
  <si>
    <t>2011/600</t>
  </si>
  <si>
    <t>COS - Heron Fields - P &amp; G</t>
  </si>
  <si>
    <t>2011/700</t>
  </si>
  <si>
    <t>COS - Heron Fields - Health &amp; Safety</t>
  </si>
  <si>
    <t>3900/000</t>
  </si>
  <si>
    <t>Interest Paid</t>
  </si>
  <si>
    <t>4740/000</t>
  </si>
  <si>
    <t>4741/000</t>
  </si>
  <si>
    <t>5400/100</t>
  </si>
  <si>
    <t>Loan - Cape Projects Structuring Dev</t>
  </si>
  <si>
    <t>6350/010</t>
  </si>
  <si>
    <t>Furniture _AND_ Fittings - @ Cost</t>
  </si>
  <si>
    <t>9250/030</t>
  </si>
  <si>
    <t>BIBC CONTROL</t>
  </si>
  <si>
    <t>2005/200</t>
  </si>
  <si>
    <t>COS - External Works</t>
  </si>
  <si>
    <t>2011/900</t>
  </si>
  <si>
    <t>COS - Heron - Internet</t>
  </si>
  <si>
    <t>3010/100</t>
  </si>
  <si>
    <t>Admin - MBA</t>
  </si>
  <si>
    <t>3450/003</t>
  </si>
  <si>
    <t>Depreciation - Motor vehicle</t>
  </si>
  <si>
    <t>3450/030</t>
  </si>
  <si>
    <t>3901/000</t>
  </si>
  <si>
    <t>Interest Paid - VAF Toyota</t>
  </si>
  <si>
    <t>3902/000</t>
  </si>
  <si>
    <t>Interest Paid - Blou Mamba Trust</t>
  </si>
  <si>
    <t>3903/000</t>
  </si>
  <si>
    <t>Interest Paid - SARS</t>
  </si>
  <si>
    <t>4550/005</t>
  </si>
  <si>
    <t>Subscriptions - SAIPA</t>
  </si>
  <si>
    <t>5400/150</t>
  </si>
  <si>
    <t>6350/020</t>
  </si>
  <si>
    <t>Furniture _AND_ Fittings - Accum Depre</t>
  </si>
  <si>
    <t>7620/265</t>
  </si>
  <si>
    <t>HF CIP Health &amp; Safety</t>
  </si>
  <si>
    <t>9200/000</t>
  </si>
  <si>
    <t>Sundry Suppliers</t>
  </si>
  <si>
    <t>4550/006</t>
  </si>
  <si>
    <t>Subscription - Candy software</t>
  </si>
  <si>
    <t>5500/001</t>
  </si>
  <si>
    <t>Loan - Heron Fields</t>
  </si>
  <si>
    <t>5500/050</t>
  </si>
  <si>
    <t>Loan - Heron View</t>
  </si>
  <si>
    <t>7620/230</t>
  </si>
  <si>
    <t>HF CIP Construction Management</t>
  </si>
  <si>
    <t>7620/275</t>
  </si>
  <si>
    <t>HF CIP Retaining Wall</t>
  </si>
  <si>
    <t>1080/000</t>
  </si>
  <si>
    <t>Other income</t>
  </si>
  <si>
    <t>2011/950</t>
  </si>
  <si>
    <t>COS - Heron Fields - Security</t>
  </si>
  <si>
    <t>3300/100</t>
  </si>
  <si>
    <t>9990/000</t>
  </si>
  <si>
    <t>Opening Balance / Suspense Account</t>
  </si>
  <si>
    <t>1051/100</t>
  </si>
  <si>
    <t>Fees - Construction - Heron Fields</t>
  </si>
  <si>
    <t>2750/000</t>
  </si>
  <si>
    <t>Interest Received - FNB</t>
  </si>
  <si>
    <t>4403/000</t>
  </si>
  <si>
    <t>5400/750</t>
  </si>
  <si>
    <t>Loan - Endulini</t>
  </si>
  <si>
    <t>2000/030</t>
  </si>
  <si>
    <t>COS - Commission Heron Fields investors</t>
  </si>
  <si>
    <t>5500/060</t>
  </si>
  <si>
    <t>5500/070</t>
  </si>
  <si>
    <t>Heron CIP - CoCT development contribution</t>
  </si>
  <si>
    <t>7620/650</t>
  </si>
  <si>
    <t>HF CIP Electrical</t>
  </si>
  <si>
    <t>7620/660</t>
  </si>
  <si>
    <t>HV CIP Health &amp; Safety</t>
  </si>
  <si>
    <t>8500/000</t>
  </si>
  <si>
    <t>Laas and Scholtz - Funds in transit</t>
  </si>
  <si>
    <t>1051/200</t>
  </si>
  <si>
    <t>Fees - Construction - Heron Fields P&amp;G</t>
  </si>
  <si>
    <t>2012/003</t>
  </si>
  <si>
    <t>COS - Heron View - P&amp;G</t>
  </si>
  <si>
    <t>7620/700</t>
  </si>
  <si>
    <t>HF CIP - P&amp;G recoveries - Endulini&amp;Heron Fields/View</t>
  </si>
  <si>
    <t>2000/040</t>
  </si>
  <si>
    <t>COS - Legal Fees</t>
  </si>
  <si>
    <t>Heron CIP NHBRC</t>
  </si>
  <si>
    <t>7620/670</t>
  </si>
  <si>
    <t>HV CIP - Project costs CPSD</t>
  </si>
  <si>
    <t>7620/750</t>
  </si>
  <si>
    <t>HF CIP Project costs CPSD</t>
  </si>
  <si>
    <t>2000/010</t>
  </si>
  <si>
    <t>COS - Heron View</t>
  </si>
  <si>
    <t>2000/050</t>
  </si>
  <si>
    <t>COS - Rates clearance</t>
  </si>
  <si>
    <t>2012/002</t>
  </si>
  <si>
    <t>COS - Heron View - Construction</t>
  </si>
  <si>
    <t>3850/000</t>
  </si>
  <si>
    <t>2005/000</t>
  </si>
  <si>
    <t>Cost of Sales</t>
  </si>
  <si>
    <t>3904/000</t>
  </si>
  <si>
    <t>Interest Paid - BIBC</t>
  </si>
  <si>
    <t>4070/000</t>
  </si>
  <si>
    <t>Heron View CIP Architectural Designs</t>
  </si>
  <si>
    <t>CIP - Construction Management</t>
  </si>
  <si>
    <t>1000/100</t>
  </si>
  <si>
    <t>Sales - Heron Fields</t>
  </si>
  <si>
    <t>1000/101</t>
  </si>
  <si>
    <t>Sales - Heron Fields occupational rent</t>
  </si>
  <si>
    <t>2000/060</t>
  </si>
  <si>
    <t>COS - Levies</t>
  </si>
  <si>
    <t>2000/070</t>
  </si>
  <si>
    <t>COS - Commission HF Units</t>
  </si>
  <si>
    <t>2013/000</t>
  </si>
  <si>
    <t>COS - Bakhoven</t>
  </si>
  <si>
    <t>2014/000</t>
  </si>
  <si>
    <t>COS - Heron Projects insurance</t>
  </si>
  <si>
    <t>3670/000</t>
  </si>
  <si>
    <t>3900/111</t>
  </si>
  <si>
    <t>Interest Paid - Investors @ 6.25%</t>
  </si>
  <si>
    <t>3900/115</t>
  </si>
  <si>
    <t>Interest Paid - Investors @ 6.5%</t>
  </si>
  <si>
    <t>3900/117</t>
  </si>
  <si>
    <t>Interest Paid - Investors @ 6.75%</t>
  </si>
  <si>
    <t>3900/190</t>
  </si>
  <si>
    <t>Interest Paid - Investors @ 14%</t>
  </si>
  <si>
    <t>3900/200</t>
  </si>
  <si>
    <t>Interest Paid - Investors @ 15%</t>
  </si>
  <si>
    <t>3900/230</t>
  </si>
  <si>
    <t>Interest Paid - Investors @ 18%</t>
  </si>
  <si>
    <t>Heron View CIP Land Surveyor</t>
  </si>
  <si>
    <t>7620/610</t>
  </si>
  <si>
    <t>HV CIP Retaining wall</t>
  </si>
  <si>
    <t>9899/A101</t>
  </si>
  <si>
    <t>Sales - Unit Reg Control A101</t>
  </si>
  <si>
    <t>9899/A102</t>
  </si>
  <si>
    <t>Sales - Unit Reg Control A102</t>
  </si>
  <si>
    <t>9899/A103</t>
  </si>
  <si>
    <t>Sales - Unit Reg Control A103</t>
  </si>
  <si>
    <t>9899/A105</t>
  </si>
  <si>
    <t>Sales - Unit Reg Control A105</t>
  </si>
  <si>
    <t>9899/A106</t>
  </si>
  <si>
    <t>Sales - Unit Reg Control A106</t>
  </si>
  <si>
    <t>9899/A201</t>
  </si>
  <si>
    <t>Sales - Unit Reg Control A201</t>
  </si>
  <si>
    <t>9899/A204</t>
  </si>
  <si>
    <t>Sales - Unit Reg Control A204</t>
  </si>
  <si>
    <t>9899/A206</t>
  </si>
  <si>
    <t>Sales - Unit Reg Control A206</t>
  </si>
  <si>
    <t>9899/B103</t>
  </si>
  <si>
    <t>Sales - Unit Reg Control B103</t>
  </si>
  <si>
    <t>2001/054</t>
  </si>
  <si>
    <t>COS - Units - Cement</t>
  </si>
  <si>
    <t>2001/063</t>
  </si>
  <si>
    <t>COS - Units Plumbing Supply_AND_Fit</t>
  </si>
  <si>
    <t>2001/064</t>
  </si>
  <si>
    <t>COS - Plumbing Sanware</t>
  </si>
  <si>
    <t>2001/085</t>
  </si>
  <si>
    <t>COS - Units - Outside work - Paving</t>
  </si>
  <si>
    <t>2003/081</t>
  </si>
  <si>
    <t>COS - Internet - Fibre SUPPLY _AND_ FIT</t>
  </si>
  <si>
    <t>3900/120</t>
  </si>
  <si>
    <t>Interest Paid - Investors @ 7%</t>
  </si>
  <si>
    <t>7620/680</t>
  </si>
  <si>
    <t>HV CIP Elextrical</t>
  </si>
  <si>
    <t>9899/A303</t>
  </si>
  <si>
    <t>Sales - Unit Reg Control A303</t>
  </si>
  <si>
    <t>9899/A306</t>
  </si>
  <si>
    <t>Sales - Unit Reg Control A306</t>
  </si>
  <si>
    <t>9899/B102</t>
  </si>
  <si>
    <t>Sales - Unit Reg Control B102</t>
  </si>
  <si>
    <t>1005/100</t>
  </si>
  <si>
    <t>Bond Origination</t>
  </si>
  <si>
    <t>2012/001</t>
  </si>
  <si>
    <t>COS - Heron View - Printing &amp; Stationary</t>
  </si>
  <si>
    <t>3050/200</t>
  </si>
  <si>
    <t>Advertising - Media24</t>
  </si>
  <si>
    <t>3050/300</t>
  </si>
  <si>
    <t>3900/100</t>
  </si>
  <si>
    <t>Interest Paid - Suppliers</t>
  </si>
  <si>
    <t>3900/126</t>
  </si>
  <si>
    <t>Interest Paid - Investors @ 7.5%</t>
  </si>
  <si>
    <t>3900/210</t>
  </si>
  <si>
    <t>Interest Paid - Investors @ 16%</t>
  </si>
  <si>
    <t>Heron View CIP Site Establishment</t>
  </si>
  <si>
    <t>9899/B106</t>
  </si>
  <si>
    <t>Sales - Unit Reg Control B106</t>
  </si>
  <si>
    <t>9899/B301</t>
  </si>
  <si>
    <t>Sales - Unit Reg Control B301</t>
  </si>
  <si>
    <t>9899/B302</t>
  </si>
  <si>
    <t>Sales - Unit Reg Control B302</t>
  </si>
  <si>
    <t>2000/041</t>
  </si>
  <si>
    <t>COS - Legal Fees Opening of Sec Title Scheme</t>
  </si>
  <si>
    <t>2000/080</t>
  </si>
  <si>
    <t>COS - Showhouse - HF</t>
  </si>
  <si>
    <t>2001/041</t>
  </si>
  <si>
    <t>COS - Site Establishment - Security</t>
  </si>
  <si>
    <t>2002/240</t>
  </si>
  <si>
    <t>COS - Health _AND_ Safety</t>
  </si>
  <si>
    <t>2100/010</t>
  </si>
  <si>
    <t>COS - Construction</t>
  </si>
  <si>
    <t>3050/150</t>
  </si>
  <si>
    <t>3050/400</t>
  </si>
  <si>
    <t>3900/147</t>
  </si>
  <si>
    <t>Interest Paid - Investors @ 9.75%</t>
  </si>
  <si>
    <t>Staff Welfare</t>
  </si>
  <si>
    <t>7620/690</t>
  </si>
  <si>
    <t>HV CIP Site Establishment</t>
  </si>
  <si>
    <t>7700/010</t>
  </si>
  <si>
    <t>Construction 28 Feb 23 HF</t>
  </si>
  <si>
    <t>9520/000</t>
  </si>
  <si>
    <t>Income Tax Payable</t>
  </si>
  <si>
    <t>2000/090</t>
  </si>
  <si>
    <t>COS - Electricity</t>
  </si>
  <si>
    <t>2000/500</t>
  </si>
  <si>
    <t>COS - Electricity Cost Endulini</t>
  </si>
  <si>
    <t>3800/000</t>
  </si>
  <si>
    <t>Heron View CIP Structuring Fee - Invest</t>
  </si>
  <si>
    <t>7620/800</t>
  </si>
  <si>
    <t>HF CIP GL Conradie</t>
  </si>
  <si>
    <t>9899/B208</t>
  </si>
  <si>
    <t>Sales - Unit Reg Control B208</t>
  </si>
  <si>
    <t>2001/000</t>
  </si>
  <si>
    <t>Cost of Sales - SouthWark Project</t>
  </si>
  <si>
    <t>4000/000</t>
  </si>
  <si>
    <t>4150/000</t>
  </si>
  <si>
    <t>Heron View CIP Landscaping</t>
  </si>
  <si>
    <t>7620/605</t>
  </si>
  <si>
    <t>Heron View CIP Structural Engineers</t>
  </si>
  <si>
    <t>COS - HV COCT Rates clearance</t>
  </si>
  <si>
    <t>COS - Legal Fees Opening of Sec Title Fees</t>
  </si>
  <si>
    <t>2000/100</t>
  </si>
  <si>
    <t>COS - Inverters</t>
  </si>
  <si>
    <t>2000/501</t>
  </si>
  <si>
    <t>COS - Electricity Cost Heron Field</t>
  </si>
  <si>
    <t>2002/252</t>
  </si>
  <si>
    <t>COS - Security - Guarding</t>
  </si>
  <si>
    <t>4050/100</t>
  </si>
  <si>
    <t>1500/002</t>
  </si>
  <si>
    <t>Rental Income</t>
  </si>
  <si>
    <t>2000/011</t>
  </si>
  <si>
    <t>COS - Heron View Showhouse</t>
  </si>
  <si>
    <t>COS - Showhouse - HV</t>
  </si>
  <si>
    <t>2008/000</t>
  </si>
  <si>
    <t>COS - Repairs &amp; Maintenance - SH Soho</t>
  </si>
  <si>
    <t>3000/000</t>
  </si>
  <si>
    <t>3900/133</t>
  </si>
  <si>
    <t>Interest Paid - Investors @ 8.25%</t>
  </si>
  <si>
    <t>3900/140</t>
  </si>
  <si>
    <t>Interest Paid - Investors @ 9%</t>
  </si>
  <si>
    <t>Heron View CIP Town Planning</t>
  </si>
  <si>
    <t>9899/B214</t>
  </si>
  <si>
    <t>Sales - Unit Reg Control B214</t>
  </si>
  <si>
    <t>Sales - Heron View Sales</t>
  </si>
  <si>
    <t>Sales - Heron View Occupational Rent</t>
  </si>
  <si>
    <t>COS - Commission HV Units</t>
  </si>
  <si>
    <t>2002/250</t>
  </si>
  <si>
    <t>COS - Security</t>
  </si>
  <si>
    <t>2006/450</t>
  </si>
  <si>
    <t>COS - Endulini - Computer expenses</t>
  </si>
  <si>
    <t>3050/500</t>
  </si>
  <si>
    <t>3255/000</t>
  </si>
  <si>
    <t>3850/004</t>
  </si>
  <si>
    <t>3900/150</t>
  </si>
  <si>
    <t>Interest Paid - Investors @ 10%</t>
  </si>
  <si>
    <t>3900/155</t>
  </si>
  <si>
    <t>Interest Paid - Investors @ 10.5%</t>
  </si>
  <si>
    <t>4550/008</t>
  </si>
  <si>
    <t>Heron View CIP Structuring Fee - Development</t>
  </si>
  <si>
    <t>HV CIP GL Conradie</t>
  </si>
  <si>
    <t>9899/C102</t>
  </si>
  <si>
    <t>Sales - Unit Reg Control C102</t>
  </si>
  <si>
    <t>3900/160</t>
  </si>
  <si>
    <t>Interest Paid - Investors @ 11%</t>
  </si>
  <si>
    <t>4050/000</t>
  </si>
  <si>
    <t>4050/200</t>
  </si>
  <si>
    <t>5400/300</t>
  </si>
  <si>
    <t>Loan - Opportunity ResidentialCUST ACC</t>
  </si>
  <si>
    <t>8200/020</t>
  </si>
  <si>
    <t>Staff Loans</t>
  </si>
  <si>
    <t>8450/000</t>
  </si>
  <si>
    <t>ABSA Current Acc : 4109071013</t>
  </si>
  <si>
    <t>9350/000</t>
  </si>
  <si>
    <t>Dividends Payable</t>
  </si>
  <si>
    <t>9510/000</t>
  </si>
  <si>
    <t>Tax Provision Account</t>
  </si>
  <si>
    <t>5400/000</t>
  </si>
  <si>
    <t>Deposit: Ruiterwacht development</t>
  </si>
  <si>
    <t>2002/109</t>
  </si>
  <si>
    <t>COS - SoHo External SITE LABOUR</t>
  </si>
  <si>
    <t>4550/007</t>
  </si>
  <si>
    <t>5500/080</t>
  </si>
  <si>
    <t>Loan - NSST2 Trust</t>
  </si>
  <si>
    <t>6150/050</t>
  </si>
  <si>
    <t>Endulini - C301</t>
  </si>
  <si>
    <t>8200/030</t>
  </si>
  <si>
    <t>Staff Loan - Ntuthuka</t>
  </si>
  <si>
    <t>2753/000</t>
  </si>
  <si>
    <t>Interest Received - Deposits</t>
  </si>
  <si>
    <t>4040/000</t>
  </si>
  <si>
    <t>4060/000</t>
  </si>
  <si>
    <t>6150/010</t>
  </si>
  <si>
    <t>Endulini -  A204</t>
  </si>
  <si>
    <t>6150/020</t>
  </si>
  <si>
    <t>Endulini - A304</t>
  </si>
  <si>
    <t>6150/030</t>
  </si>
  <si>
    <t>Endulini - B101</t>
  </si>
  <si>
    <t>6150/040</t>
  </si>
  <si>
    <t>Endulini - A306</t>
  </si>
  <si>
    <t>5500/051</t>
  </si>
  <si>
    <t>Loan - HV N204</t>
  </si>
  <si>
    <t>Blessing</t>
  </si>
  <si>
    <t>3800/010</t>
  </si>
  <si>
    <t>General Expenses - Gifts</t>
  </si>
  <si>
    <t>2011/800</t>
  </si>
  <si>
    <t>COS - Heron - Small assets</t>
  </si>
  <si>
    <t>2100/252</t>
  </si>
  <si>
    <t>COS - Special - Furniture</t>
  </si>
  <si>
    <t>4420/100</t>
  </si>
  <si>
    <t>Small Assets - Show Unit O101</t>
  </si>
  <si>
    <t>3640/000</t>
  </si>
  <si>
    <t>COCT: Developers Rates &amp; Refuse Acc: 236356811</t>
  </si>
  <si>
    <t>5400/160</t>
  </si>
  <si>
    <t>Loan - Sales</t>
  </si>
  <si>
    <t>5500/090</t>
  </si>
  <si>
    <t>Loan - Purple Block</t>
  </si>
  <si>
    <t>1111/000</t>
  </si>
  <si>
    <t>OMH - Accounting Management fees</t>
  </si>
  <si>
    <t>1111/001</t>
  </si>
  <si>
    <t>CPC - Accounting Management Fee</t>
  </si>
  <si>
    <t>1600/100</t>
  </si>
  <si>
    <t>Rental Income - Payprop ABSA</t>
  </si>
  <si>
    <t>2111/001</t>
  </si>
  <si>
    <t>Heron Project - Accounting Management Fee</t>
  </si>
  <si>
    <t>9899/D203</t>
  </si>
  <si>
    <t>Sales - Unit Reg Control D203</t>
  </si>
  <si>
    <t>1050/034</t>
  </si>
  <si>
    <t>Accounting fees Endulini</t>
  </si>
  <si>
    <t>1200/100</t>
  </si>
  <si>
    <t>Recovery of Costs - Showhouse</t>
  </si>
  <si>
    <t>Electricity</t>
  </si>
  <si>
    <t>Opportunity Global Investment (PTY) LTD</t>
  </si>
  <si>
    <t>FNB 62093491696</t>
  </si>
  <si>
    <t>Opportunity Global Sales (PTY) LTD</t>
  </si>
  <si>
    <t>FNB 62835620875</t>
  </si>
  <si>
    <t>Quinate Consulting (Pty) Ltd</t>
  </si>
  <si>
    <t>RMB - 62736659189 - Call Acc</t>
  </si>
  <si>
    <t>Trademark Holdings (Pty) Ltd</t>
  </si>
  <si>
    <t>RMB 623 693 03640</t>
  </si>
  <si>
    <t>Noble Shield (Pty) Ltd ta Go Letting</t>
  </si>
  <si>
    <t>RMB 6250 573 3833</t>
  </si>
  <si>
    <t>RMB 62906944576</t>
  </si>
  <si>
    <t>Opportunity Management Holdings (PTY) LTD</t>
  </si>
  <si>
    <t>RMB Cheq - 62312246920</t>
  </si>
  <si>
    <t>8405/000</t>
  </si>
  <si>
    <t>FNB Trust 62762449265</t>
  </si>
  <si>
    <t>Momentum Investor Account : RU 502229883</t>
  </si>
  <si>
    <t>RMB Call Acc - 62312248851</t>
  </si>
  <si>
    <t>RMB Trust Acc - 6250 615 1365</t>
  </si>
  <si>
    <t>8415/000</t>
  </si>
  <si>
    <t>STD Acc 071 958 959 - Facility Acc</t>
  </si>
  <si>
    <t>Momentum Investment Acc - RU502230185</t>
  </si>
  <si>
    <t>FNB - Call 627602764438</t>
  </si>
  <si>
    <t>8445/000</t>
  </si>
  <si>
    <t>Momentum RU502230096</t>
  </si>
  <si>
    <t>A RMB 62275810820</t>
  </si>
  <si>
    <t>8490</t>
  </si>
  <si>
    <t>Petty Cash - CT Office</t>
  </si>
  <si>
    <t>FNB Credit Card</t>
  </si>
  <si>
    <t>8470/000</t>
  </si>
  <si>
    <t>ABSA: Quinate</t>
  </si>
  <si>
    <t>Opportunity Private Capital (PTY) LTD</t>
  </si>
  <si>
    <t>Opportunity Global Property (PTY) LTD</t>
  </si>
  <si>
    <t>Purple Blok Projects (Pty) Ltd</t>
  </si>
  <si>
    <t>8400/010</t>
  </si>
  <si>
    <t>Business account</t>
  </si>
  <si>
    <t>Opportunity Private Capital Sales (PTY) LTD</t>
  </si>
  <si>
    <t>Rock Blok (Pty) Ltd</t>
  </si>
  <si>
    <t>8400/100</t>
  </si>
  <si>
    <t>Rock Blok Curre</t>
  </si>
  <si>
    <t>aFNB Invest.62379936770</t>
  </si>
  <si>
    <t>Other Costs</t>
  </si>
  <si>
    <t>OppInvest</t>
  </si>
  <si>
    <t>Rent Salaries and Wages</t>
  </si>
  <si>
    <t>Professional Fees</t>
  </si>
  <si>
    <t>Cashflow Projection</t>
  </si>
  <si>
    <t>C.3.e</t>
  </si>
  <si>
    <t>31-May-2024</t>
  </si>
  <si>
    <t>NSST Cashflow Projection</t>
  </si>
  <si>
    <t>PROJECTION</t>
  </si>
  <si>
    <t>TOTAL</t>
  </si>
  <si>
    <t>SALES</t>
  </si>
  <si>
    <t>VAT INCOME ON SALES</t>
  </si>
  <si>
    <t>CPC INVOICES STILL DUE</t>
  </si>
  <si>
    <t>VAT DEDUCTION FROM INVOICES</t>
  </si>
  <si>
    <t>VAT PAYABLE ON SALES</t>
  </si>
  <si>
    <t>VAT RECOVERY WHEN REFINANCED</t>
  </si>
  <si>
    <t>Income (Profit on Sale)</t>
  </si>
  <si>
    <t>FUNDS AVAILABLE</t>
  </si>
  <si>
    <t>Sales Income</t>
  </si>
  <si>
    <t>Momentum</t>
  </si>
  <si>
    <t>Bank</t>
  </si>
  <si>
    <t>Early Exit_Investor Roll Over funding</t>
  </si>
  <si>
    <t>Developer Contribution towards exit of Investors</t>
  </si>
  <si>
    <t>Developer Exit Payment of Investors</t>
  </si>
  <si>
    <t>New Investors Income</t>
  </si>
  <si>
    <t>Re-Financed Income from Quinate</t>
  </si>
  <si>
    <t>Rollover Income from Investors on Sales Transfers</t>
  </si>
  <si>
    <t>Deposits</t>
  </si>
  <si>
    <t>INCOME</t>
  </si>
  <si>
    <t>Costs To Complete</t>
  </si>
  <si>
    <t>UNITS</t>
  </si>
  <si>
    <t>REMAINING</t>
  </si>
  <si>
    <t>VAT ON CONSTRUCTION</t>
  </si>
  <si>
    <t>OPERATING EXPENSES</t>
  </si>
  <si>
    <t>MONTHLY</t>
  </si>
  <si>
    <t>BANK BALANCE</t>
  </si>
  <si>
    <t>INVESTOR EXIT ROLLOVER BALANCE</t>
  </si>
  <si>
    <t>ROLLOVER</t>
  </si>
  <si>
    <t>PROJECT INCOME</t>
  </si>
  <si>
    <t>EXIT &amp; ROLL</t>
  </si>
  <si>
    <t>Roll Over_Re-Finance</t>
  </si>
  <si>
    <t>Roll Over_Re-Invest</t>
  </si>
  <si>
    <t>BLOCK C</t>
  </si>
  <si>
    <t>BLOCK D</t>
  </si>
  <si>
    <t>BLOCK E</t>
  </si>
  <si>
    <t>BLOCK H</t>
  </si>
  <si>
    <t>BLOCK J</t>
  </si>
  <si>
    <t>BLOCK M</t>
  </si>
  <si>
    <t>BLOCK N</t>
  </si>
  <si>
    <t>BLOCK O</t>
  </si>
  <si>
    <t>BLOCK P</t>
  </si>
  <si>
    <t>Other Income</t>
  </si>
  <si>
    <t>Purple Blok</t>
  </si>
  <si>
    <t>Repayment</t>
  </si>
  <si>
    <t>Total</t>
  </si>
  <si>
    <t>FINANCE WATERFALL - EXIT PROCESS</t>
  </si>
  <si>
    <t>Income</t>
  </si>
  <si>
    <t>Endulini &amp; Heron Fields_New Debenture_P/Block</t>
  </si>
  <si>
    <t>Vat _ Late</t>
  </si>
  <si>
    <t>New Raise</t>
  </si>
  <si>
    <t>Developer Early Exit</t>
  </si>
  <si>
    <t>Developer Contribution</t>
  </si>
  <si>
    <t>Cash</t>
  </si>
  <si>
    <t>Momentum &amp; Deposits &amp; VAT &amp; Other</t>
  </si>
  <si>
    <t>CPC + Operating Expenses &amp; VAT on Cycle</t>
  </si>
  <si>
    <t>DEVELOPER REFINANCE PROPERTIES</t>
  </si>
  <si>
    <t>DEBENTURE TRANSACTION</t>
  </si>
  <si>
    <t>ROLL OVER REFINANCE PROPERTIES</t>
  </si>
  <si>
    <t>25%</t>
  </si>
  <si>
    <t>Roll Over - Investors</t>
  </si>
  <si>
    <t>block</t>
  </si>
  <si>
    <t>unique</t>
  </si>
  <si>
    <t>date</t>
  </si>
  <si>
    <t>value</t>
  </si>
  <si>
    <t>unit</t>
  </si>
  <si>
    <t>unit_used</t>
  </si>
  <si>
    <t>sold</t>
  </si>
  <si>
    <t>C.3.f</t>
  </si>
  <si>
    <t>CASHFLOW DASHBOARD</t>
  </si>
  <si>
    <t>Projected</t>
  </si>
  <si>
    <t>Actual Transfer Income to hit FNB - Endulini Sold</t>
  </si>
  <si>
    <t>Actual Transfer Income to hit FNB - Heron Sold</t>
  </si>
  <si>
    <t>Projected Transfer Income  - Endulini  Not yet Sold (Profit)</t>
  </si>
  <si>
    <t>Projected Transfer Income  - Heron Not yet Sold (Profit)</t>
  </si>
  <si>
    <t>Projected Not Allocated asd yet</t>
  </si>
  <si>
    <t>Total Income</t>
  </si>
  <si>
    <t>Momentum funds available to draw</t>
  </si>
  <si>
    <t>FNB Bank</t>
  </si>
  <si>
    <t>New Investors</t>
  </si>
  <si>
    <t>Deposit made</t>
  </si>
  <si>
    <t>Momentum interest to be earned</t>
  </si>
  <si>
    <t>Investor funds to hit Momentum Account to draw</t>
  </si>
  <si>
    <t>Total Cash</t>
  </si>
  <si>
    <t>Total funds available to draw</t>
  </si>
  <si>
    <t>Cost to complete Heron Projects (CPC)</t>
  </si>
  <si>
    <t>Company Running Costs</t>
  </si>
  <si>
    <t>VAT Payable</t>
  </si>
  <si>
    <t>Project Costs</t>
  </si>
  <si>
    <t>NETT EFFECT</t>
  </si>
  <si>
    <t>HERON P&amp;L - Based on Cash Projection and Dashboard</t>
  </si>
  <si>
    <t>Month</t>
  </si>
  <si>
    <t>NSST</t>
  </si>
  <si>
    <t>Total Expenses</t>
  </si>
  <si>
    <t>Net Profit</t>
  </si>
  <si>
    <t>C.3_d</t>
  </si>
  <si>
    <t>NSST HERON PROJECT REPORT</t>
  </si>
  <si>
    <t>Report Date</t>
  </si>
  <si>
    <t>Development</t>
  </si>
  <si>
    <t>Heron Fields and Heron View</t>
  </si>
  <si>
    <t>CAPITAL</t>
  </si>
  <si>
    <t>Total Investment capital to be raised (Estimated)</t>
  </si>
  <si>
    <t>Total Investment capital received</t>
  </si>
  <si>
    <t>Total Funds Drawn Down into Development</t>
  </si>
  <si>
    <t>Momentum Investment Account</t>
  </si>
  <si>
    <t>Capital not Raised</t>
  </si>
  <si>
    <t>Available to be raised (Estimated)</t>
  </si>
  <si>
    <t>Capital repaid</t>
  </si>
  <si>
    <t>Current Investor Capital deployed</t>
  </si>
  <si>
    <t>INVESTMENTS</t>
  </si>
  <si>
    <t>No. of Capital Investments received</t>
  </si>
  <si>
    <t>No. Investments exited to date</t>
  </si>
  <si>
    <t>No. Investments still in Development</t>
  </si>
  <si>
    <t>SALES INCOME</t>
  </si>
  <si>
    <t>Remaining</t>
  </si>
  <si>
    <t>Units</t>
  </si>
  <si>
    <t>Commission</t>
  </si>
  <si>
    <t>Transfer Fees</t>
  </si>
  <si>
    <t>Bond Registration</t>
  </si>
  <si>
    <t>Security Release Fee</t>
  </si>
  <si>
    <t>Unforseen (0.05%)</t>
  </si>
  <si>
    <t>INTEREST</t>
  </si>
  <si>
    <t>Total Estimated Interest</t>
  </si>
  <si>
    <t>Interest Paid to Date</t>
  </si>
  <si>
    <t>Remaining Interest to Exit</t>
  </si>
  <si>
    <t>Interest Due to date</t>
  </si>
  <si>
    <t>Interest Due to be Earned to Exit</t>
  </si>
  <si>
    <t>FUNDING AVAILABLE</t>
  </si>
  <si>
    <t>Total Draw funds available</t>
  </si>
  <si>
    <t>Projected Heron Projects Income</t>
  </si>
  <si>
    <t>Total Current Funds Available</t>
  </si>
  <si>
    <t>Current Construction Cost</t>
  </si>
  <si>
    <t>Total funds (required)/Surplus</t>
  </si>
  <si>
    <t>PROJECTED PROFIT</t>
  </si>
  <si>
    <t>Projected Nett Revenue</t>
  </si>
  <si>
    <t>Other Income (interest received)</t>
  </si>
  <si>
    <t>Total Estimated Development and Sales Costs</t>
  </si>
  <si>
    <t>Interest Expense</t>
  </si>
  <si>
    <t>Profit</t>
  </si>
  <si>
    <t>Sales Increase</t>
  </si>
  <si>
    <t>CPC Construction</t>
  </si>
  <si>
    <t>Rent Salaries and wages</t>
  </si>
  <si>
    <t>investor interest</t>
  </si>
  <si>
    <t>Commissions</t>
  </si>
  <si>
    <t>Unforseen</t>
  </si>
  <si>
    <t>Revaluation of Land (Not Incl)</t>
  </si>
  <si>
    <t>Costs</t>
  </si>
  <si>
    <t>Total Costs</t>
  </si>
  <si>
    <t>Investor Exit List - 2024-05-31 00:00:00</t>
  </si>
  <si>
    <t>Total Units</t>
  </si>
  <si>
    <t>Unit Number</t>
  </si>
  <si>
    <t>Investor</t>
  </si>
  <si>
    <t>Capital Amount</t>
  </si>
  <si>
    <t>Fund Release Date</t>
  </si>
  <si>
    <t>Unit Sold Status</t>
  </si>
  <si>
    <t>Unit Transferred Status</t>
  </si>
  <si>
    <t>Estimated Transfer Date</t>
  </si>
  <si>
    <t>Actual Transfer Date</t>
  </si>
  <si>
    <t>Exit Deadline (730 Days)</t>
  </si>
  <si>
    <t>Current Report Date</t>
  </si>
  <si>
    <t>Days To Contract Exit</t>
  </si>
  <si>
    <t>Days To Estimated Exit</t>
  </si>
  <si>
    <t>Investor Contract Expiry Exit</t>
  </si>
  <si>
    <t>Capital &amp; Interest To Be Exited</t>
  </si>
  <si>
    <t>Investor Exit Value On Sales</t>
  </si>
  <si>
    <t>Exited By Developer</t>
  </si>
  <si>
    <t>Date Of Exit</t>
  </si>
  <si>
    <t>Investor Pay Back On Transfer</t>
  </si>
  <si>
    <t>Developer &amp; Unbonded</t>
  </si>
  <si>
    <t>Build</t>
  </si>
  <si>
    <t>Calculate Release</t>
  </si>
  <si>
    <t>UNIQUE ID</t>
  </si>
  <si>
    <t>Campbell Jeremy &amp; Rosaline</t>
  </si>
  <si>
    <t>Schubert Inge</t>
  </si>
  <si>
    <t>Zylstra Sandra Robyn</t>
  </si>
  <si>
    <t>Lew Emile Kenneth</t>
  </si>
  <si>
    <t>Hill Trevor David</t>
  </si>
  <si>
    <t>van Schalkwyk Agatha Dorothea</t>
  </si>
  <si>
    <t>De Beer William Henry</t>
  </si>
  <si>
    <t>Blows Robert Errol</t>
  </si>
  <si>
    <t>Lunau Marc</t>
  </si>
  <si>
    <t>Labuschagne Jandre</t>
  </si>
  <si>
    <t>Rankin Ross Partick Gemill</t>
  </si>
  <si>
    <t>Speelman Mosiuoa Samuel</t>
  </si>
  <si>
    <t>Collins Christine</t>
  </si>
  <si>
    <t>Johns Lisa-Marie Natalie</t>
  </si>
  <si>
    <t>Louw Ricardo Brandon</t>
  </si>
  <si>
    <t>van Zyl Jacques Petrus</t>
  </si>
  <si>
    <t>Dadoo Feroz</t>
  </si>
  <si>
    <t>Damane Lisbeth</t>
  </si>
  <si>
    <t>Belford Helen Constance</t>
  </si>
  <si>
    <t>Hunter Lance</t>
  </si>
  <si>
    <t>Lewis Martina Christina</t>
  </si>
  <si>
    <t>Martin Beverley-Ann Kinsla</t>
  </si>
  <si>
    <t>Barr Stuart Christopher</t>
  </si>
  <si>
    <t>Davies Heather Mary Lyn</t>
  </si>
  <si>
    <t>Ngomane Khula Moses</t>
  </si>
  <si>
    <t>van Blerk Glenda</t>
  </si>
  <si>
    <t>Morkel Francina Elisabeth</t>
  </si>
  <si>
    <t>Morkel Jacobus Bruwer</t>
  </si>
  <si>
    <t>Koovarjee Jayprakash Brijbukhandas</t>
  </si>
  <si>
    <t>van Rensburg Gerhard Andre</t>
  </si>
  <si>
    <t>Heinze Dieter Raimund</t>
  </si>
  <si>
    <t>Heynes Vincent Derick</t>
  </si>
  <si>
    <t>Matlala Raisibe Ellen</t>
  </si>
  <si>
    <t>Brenda Bohme Werner Hugo Bohme &amp;</t>
  </si>
  <si>
    <t>Lewis Leon</t>
  </si>
  <si>
    <t>Psomotragos Petro</t>
  </si>
  <si>
    <t>van der Mescht Paula</t>
  </si>
  <si>
    <t>Matthews Natalie</t>
  </si>
  <si>
    <t>Tshabalala Thandeka Patience</t>
  </si>
  <si>
    <t>Bendall Stuart Charles</t>
  </si>
  <si>
    <t>MacKenzie-Jones Caitlin</t>
  </si>
  <si>
    <t>Matthee Gerald Adriaan Odendal</t>
  </si>
  <si>
    <t>Magwaza Luvo</t>
  </si>
  <si>
    <t>Smit Eugene Patrick</t>
  </si>
  <si>
    <t>van der Walt  Philip</t>
  </si>
  <si>
    <t>Hoets Jean</t>
  </si>
  <si>
    <t>van der Merwe Frans</t>
  </si>
  <si>
    <t>Pedersen Wendy</t>
  </si>
  <si>
    <t>Sourgen Frances Leathem</t>
  </si>
  <si>
    <t>Verhaeghe Jean-Jacques EP</t>
  </si>
  <si>
    <t>Krohn Jacqueline</t>
  </si>
  <si>
    <t>Musson Claire Louise</t>
  </si>
  <si>
    <t>Pretorius Magdalena</t>
  </si>
  <si>
    <t>Fourie Hester Magrietha</t>
  </si>
  <si>
    <t>Matthee Delia</t>
  </si>
  <si>
    <t>Volschenk Gideon Cornelius</t>
  </si>
  <si>
    <t>Koovarjee Koovarjee Family Trust</t>
  </si>
  <si>
    <t>Mehl Ralph Graham</t>
  </si>
  <si>
    <t>Hoets Tamzin</t>
  </si>
  <si>
    <t>Govender Preshnee</t>
  </si>
  <si>
    <t>van Schalkwyk Zeldre</t>
  </si>
  <si>
    <t>Bester Dawie Izak</t>
  </si>
  <si>
    <t>Zylstra Petronella Johanna</t>
  </si>
  <si>
    <t>McDonald Veronica Agnes</t>
  </si>
  <si>
    <t>Ribeiro Paulo Sergio Da Silva</t>
  </si>
  <si>
    <t>Burger Barend Frederik</t>
  </si>
  <si>
    <t>Kruger Jurgen</t>
  </si>
  <si>
    <t>Barkhuysen Nicolaas Jacobus (Jaco)</t>
  </si>
  <si>
    <t>Tsoku Abram Matlotleng</t>
  </si>
  <si>
    <t>Way Shirley Kathleen</t>
  </si>
  <si>
    <t>Dickinson Grant Allan</t>
  </si>
  <si>
    <t>Jordaan Glen Rutherford</t>
  </si>
  <si>
    <t>De Klerk (Way) Dawn Margaret</t>
  </si>
  <si>
    <t>Scalzini Kert</t>
  </si>
  <si>
    <t>Gildenhuys Estelle Maria</t>
  </si>
  <si>
    <t>Hambidge Lynnette Gladys</t>
  </si>
  <si>
    <t>Scalzini Chad</t>
  </si>
  <si>
    <t>Schmidt Gary James</t>
  </si>
  <si>
    <t>Beneke Heino</t>
  </si>
  <si>
    <t>Goltz Elizma</t>
  </si>
  <si>
    <t>Minnaar Irene Petronella</t>
  </si>
  <si>
    <t>Rust Izak Cornelius</t>
  </si>
  <si>
    <t>Vallabh Manoj</t>
  </si>
  <si>
    <t>Walters Benedict Joseph</t>
  </si>
  <si>
    <t>Jansen van Vuuren Pieter</t>
  </si>
  <si>
    <t>Flamengo Jose Manuel Rezende</t>
  </si>
  <si>
    <t>Haasbroek Maresia</t>
  </si>
  <si>
    <t>van Eden JP</t>
  </si>
  <si>
    <t>Jansen van Vuuren Lynne</t>
  </si>
  <si>
    <t>Mbatha Vincent Mogoane</t>
  </si>
  <si>
    <t>Zylstra John Robert</t>
  </si>
  <si>
    <t>Beneke Veronica</t>
  </si>
  <si>
    <t>van Rensburg Marlene Ann</t>
  </si>
  <si>
    <t>Kusel Willie</t>
  </si>
  <si>
    <t>Labuschagne Andre Jan</t>
  </si>
  <si>
    <t>du Toit Adrian</t>
  </si>
  <si>
    <t>Louwrens Peter Arnold</t>
  </si>
  <si>
    <t>Pope Mark Charles</t>
  </si>
  <si>
    <t>Schroder Christiaan</t>
  </si>
  <si>
    <t>Roux Laura</t>
  </si>
  <si>
    <t xml:space="preserve">Vorster Sophia Maria Catharina </t>
  </si>
  <si>
    <t>Goff Angela</t>
  </si>
  <si>
    <t>Blues Samantha Jessica</t>
  </si>
  <si>
    <t>Jansen van Vuuren Rudolph Johannes</t>
  </si>
  <si>
    <t>Vedders Craig</t>
  </si>
  <si>
    <t>Conradie Gerhard Lotter</t>
  </si>
  <si>
    <t>Oberholzer Charl</t>
  </si>
  <si>
    <t>Erasmus Chantal Celeste Jafthaleen</t>
  </si>
  <si>
    <t>Kriel Hermanus Johannes</t>
  </si>
  <si>
    <t>de Villiers Andre Deric</t>
  </si>
  <si>
    <t>De Montille Gillies Nikian Anton</t>
  </si>
  <si>
    <t>Wedermann Hans Jurgen Peter</t>
  </si>
  <si>
    <t>Nunes Francisco Antonio</t>
  </si>
  <si>
    <t>Olivier Jan Lukas Cornelus</t>
  </si>
  <si>
    <t>Ritter Dennis</t>
  </si>
  <si>
    <t>Kuster Joanne Tracy</t>
  </si>
  <si>
    <t>Moni Zolani</t>
  </si>
  <si>
    <t>Olivier Abraham Jacobus</t>
  </si>
  <si>
    <t>Rabe (Mc Dowell) Roisin Natalie</t>
  </si>
  <si>
    <t>van Bosch Wilma</t>
  </si>
  <si>
    <t>de Clerk Hendrik</t>
  </si>
  <si>
    <t>van Niekerk Linda Kathleen</t>
  </si>
  <si>
    <t>Kuster Kerry Lisa</t>
  </si>
  <si>
    <t>Stols Nicolaas</t>
  </si>
  <si>
    <t>van der Merwe Wilhelm Johannes</t>
  </si>
  <si>
    <t>Wilson Gail</t>
  </si>
  <si>
    <t xml:space="preserve">Milne Arno </t>
  </si>
  <si>
    <t>Scalzini Gerda Margaret</t>
  </si>
  <si>
    <t>Vivier Philip Gerhard</t>
  </si>
  <si>
    <t>Wallander Johann</t>
  </si>
  <si>
    <t>Kewley Lisa Maree</t>
  </si>
  <si>
    <t>Jennings Daryl Anne</t>
  </si>
  <si>
    <t>Meyer Catharina Levina</t>
  </si>
  <si>
    <t>Wessels Gerhardus Jacobus</t>
  </si>
  <si>
    <t>van der Sandt Hermanus</t>
  </si>
  <si>
    <t>Berk-Heinze Beverley</t>
  </si>
  <si>
    <t>du Toit Willem Anton</t>
  </si>
  <si>
    <t>Watts Peter Gregory</t>
  </si>
  <si>
    <t>Hall Graeme Haffenden</t>
  </si>
  <si>
    <t>Lebusa Hopolang</t>
  </si>
  <si>
    <t>Cupido Tyrone</t>
  </si>
  <si>
    <t>Hendricks Theodore Shane</t>
  </si>
  <si>
    <t>Leslie Megan Frances</t>
  </si>
  <si>
    <t>Zylstra Steven Michael</t>
  </si>
  <si>
    <t>Aveling-Fountain Lorraine</t>
  </si>
  <si>
    <t>Vallabh Himal Dipak</t>
  </si>
  <si>
    <t>Hutchings Tracy Jane</t>
  </si>
  <si>
    <t>Ferreira Leon</t>
  </si>
  <si>
    <t>Hart Teresa-Ann</t>
  </si>
  <si>
    <t>Jansen van Rensburg Petrus Johannes</t>
  </si>
  <si>
    <t>Maduna Charles</t>
  </si>
  <si>
    <t>Welham Christopher John</t>
  </si>
  <si>
    <t>Botha Carina</t>
  </si>
  <si>
    <t>Hlapolosa Thandekile Evelyn</t>
  </si>
  <si>
    <t>Haywood Johannes Wynand</t>
  </si>
  <si>
    <t>Placzkowska Aneta</t>
  </si>
  <si>
    <t>Oosthuizen Diana</t>
  </si>
  <si>
    <t>Haasbroek Wilhelmina Petronella (Willa)</t>
  </si>
  <si>
    <t>Fernandes Olga Maria</t>
  </si>
  <si>
    <t>Myburgh Hermanus Carel</t>
  </si>
  <si>
    <t>Scott Caryn</t>
  </si>
  <si>
    <t>Howe David Mark</t>
  </si>
  <si>
    <t>Lala Seema Nagin</t>
  </si>
  <si>
    <t>Kalianjee Sushil</t>
  </si>
  <si>
    <t>Schipper Willem</t>
  </si>
  <si>
    <t>Visagie Lukas Petrus Jacobus</t>
  </si>
  <si>
    <t>Manuel Emma Irene</t>
  </si>
  <si>
    <t>Dikana Deliwe Mavis</t>
  </si>
  <si>
    <t>Eloff Gertruida Maria Margaretha (Gerda)</t>
  </si>
  <si>
    <t>Human Tralee Joan</t>
  </si>
  <si>
    <t>Williams Pia Inga</t>
  </si>
  <si>
    <t>Kriek Johan Christiaan Rudolph</t>
  </si>
  <si>
    <t>Bedell-Sivright Gareth William</t>
  </si>
  <si>
    <t>de Jager Anarene Beatrice</t>
  </si>
  <si>
    <t>Geldenhuys Teresse</t>
  </si>
  <si>
    <t>Smit Sophia Catharina</t>
  </si>
  <si>
    <t>Basson Nicolaas Johannes (Nico)</t>
  </si>
  <si>
    <t>Mosca Colin Giovanni</t>
  </si>
  <si>
    <t>Harrington Lionel Carl</t>
  </si>
  <si>
    <t>van Niekerk Grant Richard</t>
  </si>
  <si>
    <t>Joseph Justin</t>
  </si>
  <si>
    <t>Hanekom Johannes Hendrik (Hans)</t>
  </si>
  <si>
    <t>Carolus Martin Michael</t>
  </si>
  <si>
    <t>Coetzee Hugo Amos</t>
  </si>
  <si>
    <t>Nel Lambertus Renier (Bertie)</t>
  </si>
  <si>
    <t>Swanepoel Daniel Christiaan De Wet</t>
  </si>
  <si>
    <t>Du Plooy Georgina</t>
  </si>
  <si>
    <t>Espag Etienne</t>
  </si>
  <si>
    <t>McDonald Andre (Josias Andreas)</t>
  </si>
  <si>
    <t>Jere Towela Patricia Rosemarie</t>
  </si>
  <si>
    <t>Zylstra Diana Wendy</t>
  </si>
  <si>
    <t>Brummer Andre Gottfried</t>
  </si>
  <si>
    <t>Brown Craig Anthony Richard</t>
  </si>
  <si>
    <t>Mans (Witberg) Ilse</t>
  </si>
  <si>
    <t>Vermeulen Floris Nicolaas</t>
  </si>
  <si>
    <t>Fountain Clyde Michael</t>
  </si>
  <si>
    <t>Visser Jimke</t>
  </si>
  <si>
    <t>Buffet Tabitha Dorcas</t>
  </si>
  <si>
    <t>van der Spuy Gian</t>
  </si>
  <si>
    <t>van der Spuy Dorothy Anne</t>
  </si>
  <si>
    <t>Grabe Pieter</t>
  </si>
  <si>
    <t>Hanekom Derick</t>
  </si>
  <si>
    <t>van Vuren Clifford Roy</t>
  </si>
  <si>
    <t>Turunen Janne Petteri</t>
  </si>
  <si>
    <t>Crouse Gregory Murray</t>
  </si>
  <si>
    <t>Sipongo Elaine Christilene</t>
  </si>
  <si>
    <t>Rodolo Vuyisile Eustace</t>
  </si>
  <si>
    <t>Kriel Helena Jacoba</t>
  </si>
  <si>
    <t>Maqubela Stanley Tamsanqa</t>
  </si>
  <si>
    <t>van der Westhuizen Johan George</t>
  </si>
  <si>
    <t>Kloppers Lydia</t>
  </si>
  <si>
    <t>Jansen van Vuuren Hermanus Gerhardus (Gerhard)</t>
  </si>
  <si>
    <t>Valentin Marinda</t>
  </si>
  <si>
    <t>De Villiers Andre</t>
  </si>
  <si>
    <t>Maduna Esther</t>
  </si>
  <si>
    <t>Moodley Chreeson Loganathan</t>
  </si>
  <si>
    <t>de Villiers André Deric</t>
  </si>
  <si>
    <t>Lamb Oswald Robert (Ossie)</t>
  </si>
  <si>
    <t>Matang Mosweu Abraham Stephen</t>
  </si>
  <si>
    <t>van der Mescht Andree-Lauren</t>
  </si>
  <si>
    <t>le Roux Jacques</t>
  </si>
  <si>
    <t>Visser Anton Patrick</t>
  </si>
  <si>
    <t>Lines Charmain</t>
  </si>
  <si>
    <t>Jennings Andrew Bowden</t>
  </si>
  <si>
    <t>Zeeman Michael Christiaan</t>
  </si>
  <si>
    <t>Ballim Shaheda</t>
  </si>
  <si>
    <t>de Freitas Allan</t>
  </si>
  <si>
    <t>Janse van Rensburg Gerda</t>
  </si>
  <si>
    <t>du Plessis Emile</t>
  </si>
  <si>
    <t>Truter Cecil Ronald</t>
  </si>
  <si>
    <t>van Zyl Eugene Brandt</t>
  </si>
  <si>
    <t>ZZUN01</t>
  </si>
  <si>
    <t>Dev Unit</t>
  </si>
  <si>
    <t>7</t>
  </si>
  <si>
    <t>C.3.b</t>
  </si>
  <si>
    <t>Advice Fees (Exc Vat)</t>
  </si>
  <si>
    <t>Ongoing Advice Fees (Inc Vat)</t>
  </si>
  <si>
    <t>MOMENTUM INVESTOR CAPITAL</t>
  </si>
  <si>
    <t>per App</t>
  </si>
  <si>
    <t>MOMENTUM INTEREST EARNED SINCE INCEPTION</t>
  </si>
  <si>
    <t>from Momentum</t>
  </si>
  <si>
    <t xml:space="preserve">MOMENTUM ADVICE FEES </t>
  </si>
  <si>
    <t>NET INTEREST</t>
  </si>
  <si>
    <t>Interest less Ongoing Advice Fees</t>
  </si>
  <si>
    <t>ADVICE FEES</t>
  </si>
  <si>
    <t>TOTAL INTEREST IN ACCOUNT</t>
  </si>
  <si>
    <t>MOMENTUM INTEREST DRAWN TO DATE</t>
  </si>
  <si>
    <t>Interest Draw on 3 October 2023</t>
  </si>
  <si>
    <t>TOTAL MOMENTUM DRAWS</t>
  </si>
  <si>
    <t>GLC NOT ON DRAW</t>
  </si>
  <si>
    <t>C Oberholzer incorrect amount</t>
  </si>
  <si>
    <t>Draw 10 (Rudlynn Trust)</t>
  </si>
  <si>
    <t>MOMENTUM BALANCE</t>
  </si>
  <si>
    <t>Momentum Statement Balance</t>
  </si>
  <si>
    <t>RECONCILIATION</t>
  </si>
  <si>
    <t>Momentum Statement</t>
  </si>
  <si>
    <t>per Statement</t>
  </si>
  <si>
    <t>Momentum Xero</t>
  </si>
  <si>
    <t>Per App</t>
  </si>
  <si>
    <t>Difference</t>
  </si>
  <si>
    <t>per Xero</t>
  </si>
  <si>
    <t>Momentum - App</t>
  </si>
  <si>
    <t>Reconciled Below</t>
  </si>
  <si>
    <t>Interest STBB</t>
  </si>
  <si>
    <t>to be reconciled</t>
  </si>
  <si>
    <t>Checklist</t>
  </si>
  <si>
    <t>Check</t>
  </si>
  <si>
    <t>Explanation</t>
  </si>
  <si>
    <t xml:space="preserve"> Option 1</t>
  </si>
  <si>
    <t>Option 2</t>
  </si>
  <si>
    <t>Reason for Difference</t>
  </si>
  <si>
    <t>Funds Drawn Down</t>
  </si>
  <si>
    <t>Momentum vs NSST</t>
  </si>
  <si>
    <t>Momentum Xero vs NSST Balance</t>
  </si>
  <si>
    <t>Momentum Balance</t>
  </si>
  <si>
    <t>Momentum vs Xero</t>
  </si>
  <si>
    <t>Capital Still in Investments</t>
  </si>
  <si>
    <t>NSST vs Investor Exit List</t>
  </si>
  <si>
    <t>Funds Available</t>
  </si>
  <si>
    <t>Dashboard vs Projection</t>
  </si>
  <si>
    <t>Units Unsold and Remaining</t>
  </si>
  <si>
    <t>NSST vs Investor Exit Report</t>
  </si>
  <si>
    <t>Investments Still in Development</t>
  </si>
  <si>
    <t>Total Costs to Complete</t>
  </si>
  <si>
    <t>Total Running Costs</t>
  </si>
  <si>
    <t>Total VAT Payable / Receivable</t>
  </si>
  <si>
    <t>Total Net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</si>
</sst>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:mm:ss"/>
    <numFmt numFmtId="165" formatCode="dd\-mm\-yyyy"/>
    <numFmt numFmtId="166" formatCode="yyyy\-mm\-dd"/>
    <numFmt numFmtId="167" formatCode="dd\ mmmm\ yyyy"/>
    <numFmt numFmtId="168" formatCode="\R#,##0.00"/>
  </numFmts>
  <fonts count="2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8"/>
      <color rgb="FF0C0C0C"/>
      <name val="Calibri"/>
      <family val="2"/>
    </font>
    <font>
      <b/>
      <sz val="22"/>
      <color rgb="FF0C0C0C"/>
      <name val="Calibri"/>
      <family val="2"/>
    </font>
    <font>
      <b/>
      <sz val="26"/>
      <color rgb="FF0C0C0C"/>
      <name val="Calibri"/>
      <family val="2"/>
    </font>
    <font>
      <b/>
      <sz val="28"/>
      <name val="Calibri"/>
      <family val="2"/>
    </font>
    <font>
      <b/>
      <sz val="22"/>
      <color rgb="FFFF0000"/>
      <name val="Calibri"/>
      <family val="2"/>
    </font>
    <font>
      <b/>
      <sz val="22"/>
      <color rgb="FF000000"/>
      <name val="Calibri"/>
      <family val="2"/>
    </font>
    <font>
      <b/>
      <sz val="22"/>
      <color rgb="FFFFFFFF"/>
      <name val="Calibri"/>
      <family val="2"/>
    </font>
    <font>
      <b/>
      <sz val="18"/>
      <color rgb="FF0C0C0C"/>
      <name val="Calibri"/>
      <family val="2"/>
    </font>
    <font>
      <b/>
      <sz val="18"/>
      <color rgb="FFFFFFFF"/>
      <name val="Calibri"/>
      <family val="2"/>
    </font>
    <font>
      <sz val="16"/>
      <color rgb="FF0E46A3"/>
      <name val="Calibri"/>
      <family val="2"/>
    </font>
    <font>
      <sz val="16"/>
      <color rgb="FFD20062"/>
      <name val="Calibri"/>
      <family val="2"/>
    </font>
    <font>
      <b/>
      <sz val="22"/>
      <color rgb="FF31304D"/>
      <name val="Calibri"/>
      <family val="2"/>
    </font>
    <font>
      <b/>
      <sz val="18"/>
      <name val="Calibri"/>
      <family val="2"/>
    </font>
    <font>
      <b/>
      <u/>
      <sz val="18"/>
      <name val="Calibri"/>
      <family val="2"/>
    </font>
    <font>
      <sz val="18"/>
      <name val="Calibri"/>
      <family val="2"/>
    </font>
    <font>
      <b/>
      <sz val="14"/>
      <color rgb="FF31304D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b/>
      <sz val="22"/>
      <name val="Calibri"/>
      <family val="2"/>
    </font>
    <font>
      <b/>
      <sz val="26"/>
      <color rgb="FFFFFFFF"/>
      <name val="Calibri"/>
      <family val="2"/>
    </font>
    <font>
      <b/>
      <sz val="13"/>
      <name val="Calibri"/>
      <family val="2"/>
    </font>
    <font>
      <b/>
      <sz val="12"/>
      <color rgb="FFFFFFFF"/>
      <name val="Calibri"/>
      <family val="2"/>
    </font>
    <font>
      <sz val="14"/>
      <name val="Calibri"/>
      <family val="2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4CCD99"/>
        <bgColor rgb="FF4CCD99"/>
      </patternFill>
    </fill>
    <fill>
      <patternFill patternType="solid">
        <fgColor rgb="FF7F9F80"/>
        <bgColor rgb="FF7F9F80"/>
      </patternFill>
    </fill>
    <fill>
      <patternFill patternType="solid">
        <fgColor rgb="FFBFEA7C"/>
        <bgColor rgb="FFBFEA7C"/>
      </patternFill>
    </fill>
    <fill>
      <patternFill patternType="solid">
        <fgColor rgb="FFFFC7CE"/>
        <bgColor rgb="FFFFC7CE"/>
      </patternFill>
    </fill>
    <fill>
      <patternFill patternType="solid">
        <fgColor rgb="FF3ABEF9"/>
        <bgColor rgb="FF3ABEF9"/>
      </patternFill>
    </fill>
    <fill>
      <patternFill patternType="solid">
        <fgColor rgb="FFB5C18E"/>
        <bgColor rgb="FFB5C18E"/>
      </patternFill>
    </fill>
    <fill>
      <patternFill patternType="solid">
        <fgColor rgb="FFFFF67E"/>
        <bgColor rgb="FFFFF67E"/>
      </patternFill>
    </fill>
    <fill>
      <patternFill patternType="solid">
        <fgColor rgb="FF3572EF"/>
        <bgColor rgb="FF3572EF"/>
      </patternFill>
    </fill>
    <fill>
      <patternFill patternType="solid">
        <fgColor rgb="FFFF0000"/>
        <bgColor rgb="FFFF0000"/>
      </patternFill>
    </fill>
    <fill>
      <patternFill patternType="solid">
        <fgColor rgb="FFD4E7C5"/>
        <bgColor rgb="FFD4E7C5"/>
      </patternFill>
    </fill>
    <fill>
      <patternFill patternType="solid">
        <fgColor rgb="FF749BC2"/>
        <bgColor rgb="FF749BC2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3D3D3"/>
        <bgColor rgb="FFD3D3D3"/>
      </patternFill>
    </fill>
    <fill>
      <patternFill patternType="solid">
        <fgColor rgb="FFFFD966"/>
        <bgColor rgb="FFFFD966"/>
      </patternFill>
    </fill>
    <fill>
      <patternFill patternType="solid">
        <fgColor rgb="FF008DDA"/>
        <bgColor rgb="FF008DDA"/>
      </patternFill>
    </fill>
    <fill>
      <patternFill patternType="solid">
        <fgColor rgb="FFFFFDD7"/>
        <bgColor rgb="FFFFFDD7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4" xfId="0" applyBorder="1" applyAlignment="1">
      <alignment horizontal="center" vertical="center"/>
    </xf>
    <xf numFmtId="164" fontId="0" fillId="0" borderId="0" xfId="0" applyNumberFormat="1"/>
    <xf numFmtId="0" fontId="0" fillId="2" borderId="0" xfId="0" applyFill="1"/>
    <xf numFmtId="4" fontId="0" fillId="0" borderId="0" xfId="0" applyNumberFormat="1" applyAlignment="1">
      <alignment horizontal="center" vertical="center"/>
    </xf>
    <xf numFmtId="165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15" fontId="3" fillId="0" borderId="0" xfId="0" applyNumberFormat="1" applyFont="1"/>
    <xf numFmtId="3" fontId="3" fillId="11" borderId="1" xfId="0" applyNumberFormat="1" applyFont="1" applyFill="1" applyBorder="1"/>
    <xf numFmtId="3" fontId="3" fillId="0" borderId="1" xfId="0" applyNumberFormat="1" applyFont="1" applyBorder="1" applyAlignment="1">
      <alignment horizontal="center" vertical="center"/>
    </xf>
    <xf numFmtId="3" fontId="3" fillId="11" borderId="4" xfId="0" applyNumberFormat="1" applyFont="1" applyFill="1" applyBorder="1" applyAlignment="1">
      <alignment horizontal="right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0" fontId="3" fillId="0" borderId="0" xfId="0" applyFont="1" applyAlignment="1">
      <alignment horizontal="center" vertical="center"/>
    </xf>
    <xf numFmtId="3" fontId="3" fillId="4" borderId="4" xfId="0" applyNumberFormat="1" applyFont="1" applyFill="1" applyBorder="1"/>
    <xf numFmtId="3" fontId="3" fillId="0" borderId="0" xfId="0" applyNumberFormat="1" applyFont="1"/>
    <xf numFmtId="3" fontId="3" fillId="5" borderId="4" xfId="0" applyNumberFormat="1" applyFont="1" applyFill="1" applyBorder="1"/>
    <xf numFmtId="3" fontId="3" fillId="4" borderId="1" xfId="0" applyNumberFormat="1" applyFont="1" applyFill="1" applyBorder="1"/>
    <xf numFmtId="3" fontId="3" fillId="0" borderId="4" xfId="0" applyNumberFormat="1" applyFont="1" applyBorder="1"/>
    <xf numFmtId="0" fontId="3" fillId="4" borderId="1" xfId="0" applyFont="1" applyFill="1" applyBorder="1"/>
    <xf numFmtId="9" fontId="11" fillId="0" borderId="0" xfId="0" applyNumberFormat="1" applyFont="1"/>
    <xf numFmtId="9" fontId="12" fillId="0" borderId="0" xfId="0" applyNumberFormat="1" applyFont="1"/>
    <xf numFmtId="9" fontId="12" fillId="0" borderId="6" xfId="0" applyNumberFormat="1" applyFont="1" applyBorder="1"/>
    <xf numFmtId="0" fontId="3" fillId="10" borderId="5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3" fontId="3" fillId="5" borderId="1" xfId="0" applyNumberFormat="1" applyFont="1" applyFill="1" applyBorder="1"/>
    <xf numFmtId="3" fontId="3" fillId="5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3" fontId="3" fillId="0" borderId="6" xfId="0" applyNumberFormat="1" applyFont="1" applyBorder="1"/>
    <xf numFmtId="0" fontId="3" fillId="13" borderId="5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9" fontId="3" fillId="0" borderId="0" xfId="0" applyNumberFormat="1" applyFont="1"/>
    <xf numFmtId="3" fontId="3" fillId="6" borderId="1" xfId="0" applyNumberFormat="1" applyFont="1" applyFill="1" applyBorder="1"/>
    <xf numFmtId="3" fontId="3" fillId="6" borderId="4" xfId="0" applyNumberFormat="1" applyFont="1" applyFill="1" applyBorder="1"/>
    <xf numFmtId="0" fontId="9" fillId="12" borderId="4" xfId="0" applyFont="1" applyFill="1" applyBorder="1"/>
    <xf numFmtId="0" fontId="9" fillId="12" borderId="6" xfId="0" applyFont="1" applyFill="1" applyBorder="1"/>
    <xf numFmtId="9" fontId="3" fillId="8" borderId="4" xfId="0" applyNumberFormat="1" applyFont="1" applyFill="1" applyBorder="1"/>
    <xf numFmtId="3" fontId="9" fillId="0" borderId="4" xfId="0" applyNumberFormat="1" applyFont="1" applyBorder="1"/>
    <xf numFmtId="3" fontId="9" fillId="0" borderId="6" xfId="0" applyNumberFormat="1" applyFont="1" applyBorder="1"/>
    <xf numFmtId="9" fontId="3" fillId="0" borderId="4" xfId="0" applyNumberFormat="1" applyFont="1" applyBorder="1"/>
    <xf numFmtId="0" fontId="3" fillId="0" borderId="1" xfId="0" applyFont="1" applyBorder="1"/>
    <xf numFmtId="9" fontId="3" fillId="0" borderId="1" xfId="0" applyNumberFormat="1" applyFont="1" applyBorder="1"/>
    <xf numFmtId="1" fontId="3" fillId="0" borderId="1" xfId="0" applyNumberFormat="1" applyFont="1" applyBorder="1"/>
    <xf numFmtId="9" fontId="9" fillId="0" borderId="4" xfId="0" applyNumberFormat="1" applyFont="1" applyBorder="1"/>
    <xf numFmtId="9" fontId="9" fillId="0" borderId="6" xfId="0" applyNumberFormat="1" applyFont="1" applyBorder="1"/>
    <xf numFmtId="3" fontId="9" fillId="0" borderId="1" xfId="0" applyNumberFormat="1" applyFont="1" applyBorder="1"/>
    <xf numFmtId="0" fontId="6" fillId="7" borderId="5" xfId="0" applyFont="1" applyFill="1" applyBorder="1"/>
    <xf numFmtId="0" fontId="3" fillId="7" borderId="0" xfId="0" applyFont="1" applyFill="1"/>
    <xf numFmtId="0" fontId="3" fillId="7" borderId="6" xfId="0" applyFont="1" applyFill="1" applyBorder="1"/>
    <xf numFmtId="0" fontId="3" fillId="7" borderId="5" xfId="0" applyFont="1" applyFill="1" applyBorder="1"/>
    <xf numFmtId="3" fontId="3" fillId="7" borderId="4" xfId="0" applyNumberFormat="1" applyFont="1" applyFill="1" applyBorder="1"/>
    <xf numFmtId="3" fontId="9" fillId="7" borderId="4" xfId="0" applyNumberFormat="1" applyFont="1" applyFill="1" applyBorder="1"/>
    <xf numFmtId="0" fontId="6" fillId="0" borderId="5" xfId="0" applyFont="1" applyBorder="1"/>
    <xf numFmtId="1" fontId="3" fillId="7" borderId="4" xfId="0" applyNumberFormat="1" applyFont="1" applyFill="1" applyBorder="1"/>
    <xf numFmtId="165" fontId="3" fillId="0" borderId="1" xfId="0" applyNumberFormat="1" applyFont="1" applyBorder="1"/>
    <xf numFmtId="0" fontId="3" fillId="7" borderId="1" xfId="0" applyFont="1" applyFill="1" applyBorder="1"/>
    <xf numFmtId="0" fontId="9" fillId="0" borderId="4" xfId="0" applyFont="1" applyBorder="1"/>
    <xf numFmtId="0" fontId="9" fillId="0" borderId="6" xfId="0" applyFont="1" applyBorder="1"/>
    <xf numFmtId="3" fontId="6" fillId="8" borderId="1" xfId="0" applyNumberFormat="1" applyFont="1" applyFill="1" applyBorder="1"/>
    <xf numFmtId="0" fontId="6" fillId="0" borderId="1" xfId="0" applyFont="1" applyBorder="1"/>
    <xf numFmtId="3" fontId="8" fillId="9" borderId="1" xfId="0" applyNumberFormat="1" applyFont="1" applyFill="1" applyBorder="1"/>
    <xf numFmtId="3" fontId="10" fillId="9" borderId="1" xfId="0" applyNumberFormat="1" applyFont="1" applyFill="1" applyBorder="1"/>
    <xf numFmtId="3" fontId="10" fillId="9" borderId="6" xfId="0" applyNumberFormat="1" applyFont="1" applyFill="1" applyBorder="1"/>
    <xf numFmtId="3" fontId="8" fillId="10" borderId="4" xfId="0" applyNumberFormat="1" applyFont="1" applyFill="1" applyBorder="1"/>
    <xf numFmtId="3" fontId="10" fillId="10" borderId="1" xfId="0" applyNumberFormat="1" applyFont="1" applyFill="1" applyBorder="1"/>
    <xf numFmtId="0" fontId="7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3" fillId="0" borderId="1" xfId="0" applyFont="1" applyBorder="1" applyAlignment="1">
      <alignment horizontal="center" vertical="center"/>
    </xf>
    <xf numFmtId="0" fontId="0" fillId="14" borderId="10" xfId="0" applyFill="1" applyBorder="1"/>
    <xf numFmtId="0" fontId="14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5" xfId="0" applyFont="1" applyBorder="1"/>
    <xf numFmtId="4" fontId="16" fillId="0" borderId="6" xfId="0" applyNumberFormat="1" applyFont="1" applyBorder="1"/>
    <xf numFmtId="4" fontId="16" fillId="0" borderId="0" xfId="0" applyNumberFormat="1" applyFont="1"/>
    <xf numFmtId="0" fontId="14" fillId="0" borderId="5" xfId="0" applyFont="1" applyBorder="1"/>
    <xf numFmtId="4" fontId="14" fillId="0" borderId="12" xfId="0" applyNumberFormat="1" applyFont="1" applyBorder="1"/>
    <xf numFmtId="4" fontId="14" fillId="0" borderId="11" xfId="0" applyNumberFormat="1" applyFont="1" applyBorder="1"/>
    <xf numFmtId="0" fontId="17" fillId="0" borderId="0" xfId="0" applyFont="1"/>
    <xf numFmtId="0" fontId="18" fillId="5" borderId="0" xfId="0" applyFont="1" applyFill="1" applyAlignment="1">
      <alignment horizontal="center" vertical="center"/>
    </xf>
    <xf numFmtId="166" fontId="18" fillId="5" borderId="0" xfId="0" applyNumberFormat="1" applyFont="1" applyFill="1" applyAlignment="1">
      <alignment horizontal="center" vertical="center"/>
    </xf>
    <xf numFmtId="0" fontId="18" fillId="0" borderId="0" xfId="0" applyFont="1"/>
    <xf numFmtId="0" fontId="19" fillId="0" borderId="0" xfId="0" applyFont="1"/>
    <xf numFmtId="4" fontId="19" fillId="0" borderId="0" xfId="0" applyNumberFormat="1" applyFont="1"/>
    <xf numFmtId="4" fontId="18" fillId="0" borderId="11" xfId="0" applyNumberFormat="1" applyFont="1" applyBorder="1"/>
    <xf numFmtId="4" fontId="19" fillId="15" borderId="0" xfId="0" applyNumberFormat="1" applyFont="1" applyFill="1"/>
    <xf numFmtId="4" fontId="19" fillId="16" borderId="0" xfId="0" applyNumberFormat="1" applyFont="1" applyFill="1"/>
    <xf numFmtId="0" fontId="16" fillId="0" borderId="0" xfId="0" applyFont="1"/>
    <xf numFmtId="0" fontId="20" fillId="0" borderId="1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3" xfId="0" applyFont="1" applyBorder="1" applyAlignment="1">
      <alignment horizontal="center" vertical="center"/>
    </xf>
    <xf numFmtId="168" fontId="16" fillId="0" borderId="13" xfId="0" applyNumberFormat="1" applyFont="1" applyBorder="1" applyAlignment="1">
      <alignment horizontal="center" vertical="center"/>
    </xf>
    <xf numFmtId="168" fontId="16" fillId="0" borderId="13" xfId="0" applyNumberFormat="1" applyFont="1" applyBorder="1"/>
    <xf numFmtId="9" fontId="16" fillId="0" borderId="0" xfId="0" applyNumberFormat="1" applyFont="1"/>
    <xf numFmtId="168" fontId="16" fillId="0" borderId="0" xfId="0" applyNumberFormat="1" applyFont="1"/>
    <xf numFmtId="1" fontId="16" fillId="0" borderId="0" xfId="0" applyNumberFormat="1" applyFont="1"/>
    <xf numFmtId="0" fontId="22" fillId="15" borderId="13" xfId="0" applyFont="1" applyFill="1" applyBorder="1" applyAlignment="1">
      <alignment wrapText="1"/>
    </xf>
    <xf numFmtId="1" fontId="23" fillId="10" borderId="13" xfId="0" applyNumberFormat="1" applyFont="1" applyFill="1" applyBorder="1"/>
    <xf numFmtId="0" fontId="23" fillId="10" borderId="13" xfId="0" applyFont="1" applyFill="1" applyBorder="1"/>
    <xf numFmtId="168" fontId="23" fillId="10" borderId="13" xfId="0" applyNumberFormat="1" applyFont="1" applyFill="1" applyBorder="1"/>
    <xf numFmtId="0" fontId="19" fillId="0" borderId="13" xfId="0" applyFont="1" applyBorder="1"/>
    <xf numFmtId="168" fontId="19" fillId="0" borderId="13" xfId="0" applyNumberFormat="1" applyFont="1" applyBorder="1"/>
    <xf numFmtId="166" fontId="19" fillId="0" borderId="13" xfId="0" applyNumberFormat="1" applyFont="1" applyBorder="1"/>
    <xf numFmtId="1" fontId="19" fillId="0" borderId="13" xfId="0" applyNumberFormat="1" applyFont="1" applyBorder="1"/>
    <xf numFmtId="0" fontId="0" fillId="0" borderId="13" xfId="0" applyBorder="1"/>
    <xf numFmtId="0" fontId="18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2" fillId="15" borderId="13" xfId="0" applyFont="1" applyFill="1" applyBorder="1" applyAlignment="1">
      <alignment horizontal="center" vertical="center"/>
    </xf>
    <xf numFmtId="166" fontId="24" fillId="0" borderId="13" xfId="0" applyNumberFormat="1" applyFont="1" applyBorder="1"/>
    <xf numFmtId="168" fontId="24" fillId="0" borderId="13" xfId="0" applyNumberFormat="1" applyFont="1" applyBorder="1"/>
    <xf numFmtId="168" fontId="18" fillId="0" borderId="16" xfId="0" applyNumberFormat="1" applyFont="1" applyBorder="1" applyAlignment="1">
      <alignment horizontal="center" vertical="center"/>
    </xf>
    <xf numFmtId="168" fontId="18" fillId="0" borderId="17" xfId="0" applyNumberFormat="1" applyFont="1" applyBorder="1"/>
    <xf numFmtId="0" fontId="0" fillId="0" borderId="18" xfId="0" applyBorder="1"/>
    <xf numFmtId="0" fontId="0" fillId="0" borderId="20" xfId="0" applyBorder="1"/>
    <xf numFmtId="168" fontId="18" fillId="0" borderId="0" xfId="0" applyNumberFormat="1" applyFont="1"/>
    <xf numFmtId="168" fontId="18" fillId="0" borderId="8" xfId="0" applyNumberFormat="1" applyFont="1" applyBorder="1"/>
    <xf numFmtId="0" fontId="20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8" fillId="10" borderId="5" xfId="0" applyFont="1" applyFill="1" applyBorder="1" applyAlignment="1">
      <alignment horizontal="center" vertical="center"/>
    </xf>
    <xf numFmtId="0" fontId="0" fillId="10" borderId="0" xfId="0" applyFill="1"/>
    <xf numFmtId="0" fontId="13" fillId="14" borderId="5" xfId="0" applyFont="1" applyFill="1" applyBorder="1" applyAlignment="1">
      <alignment horizontal="center" vertical="center"/>
    </xf>
    <xf numFmtId="0" fontId="0" fillId="14" borderId="6" xfId="0" applyFill="1" applyBorder="1"/>
    <xf numFmtId="0" fontId="16" fillId="0" borderId="0" xfId="0" applyFont="1"/>
    <xf numFmtId="0" fontId="21" fillId="3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0" fillId="3" borderId="13" xfId="0" applyFont="1" applyFill="1" applyBorder="1" applyAlignment="1">
      <alignment horizontal="center" vertical="center"/>
    </xf>
    <xf numFmtId="167" fontId="16" fillId="0" borderId="13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8" fontId="16" fillId="0" borderId="13" xfId="0" applyNumberFormat="1" applyFont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0" fontId="0" fillId="0" borderId="19" xfId="0" applyBorder="1"/>
    <xf numFmtId="168" fontId="18" fillId="0" borderId="0" xfId="0" applyNumberFormat="1" applyFont="1" applyAlignment="1">
      <alignment horizontal="center" vertical="center"/>
    </xf>
    <xf numFmtId="168" fontId="18" fillId="15" borderId="0" xfId="0" applyNumberFormat="1" applyFont="1" applyFill="1" applyAlignment="1">
      <alignment horizontal="center" vertical="center"/>
    </xf>
    <xf numFmtId="168" fontId="18" fillId="18" borderId="0" xfId="0" applyNumberFormat="1" applyFont="1" applyFill="1" applyAlignment="1">
      <alignment horizontal="center" vertical="center"/>
    </xf>
    <xf numFmtId="0" fontId="25" fillId="0" borderId="0" xfId="0" applyFont="1"/>
  </cellXfs>
  <cellStyles count="1">
    <cellStyle name="Normal" xfId="0" builtinId="0"/>
  </cellStyles>
  <dxfs count="303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67E"/>
          <bgColor rgb="FFFFF67E"/>
        </patternFill>
      </fill>
    </dxf>
    <dxf>
      <fill>
        <patternFill patternType="solid">
          <fgColor rgb="FFBFEA7C"/>
          <bgColor rgb="FFBFEA7C"/>
        </patternFill>
      </fill>
    </dxf>
    <dxf>
      <fill>
        <patternFill patternType="solid"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T568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2" max="2" width="30" customWidth="1"/>
  </cols>
  <sheetData>
    <row r="1" spans="1:20" x14ac:dyDescent="0.2">
      <c r="A1" t="s">
        <v>0</v>
      </c>
    </row>
    <row r="2" spans="1:20" x14ac:dyDescent="0.2">
      <c r="M2" s="1">
        <f>SUBTOTAL(9,M5:M568)</f>
        <v>235181184.30999982</v>
      </c>
      <c r="Q2" s="1">
        <f>SUBTOTAL(9,Q5:Q568)</f>
        <v>5068904.0846981574</v>
      </c>
      <c r="R2" s="1">
        <f>SUBTOTAL(9,R5:R568)</f>
        <v>50650867.633067928</v>
      </c>
      <c r="S2" s="1">
        <f>SUBTOTAL(9,S5:S568)</f>
        <v>55719771.717766136</v>
      </c>
      <c r="T2" s="1">
        <f>SUBTOTAL(9,T5:T568)</f>
        <v>56650229.569338031</v>
      </c>
    </row>
    <row r="4" spans="1:2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t="s">
        <v>20</v>
      </c>
    </row>
    <row r="5" spans="1:20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b">
        <v>1</v>
      </c>
      <c r="G5" s="3" t="b">
        <v>1</v>
      </c>
      <c r="H5" s="3" t="s">
        <v>26</v>
      </c>
      <c r="I5" s="4">
        <v>44609</v>
      </c>
      <c r="J5" s="4">
        <v>44610</v>
      </c>
      <c r="K5" s="4">
        <v>44887</v>
      </c>
      <c r="L5" s="3">
        <v>2</v>
      </c>
      <c r="M5" s="3">
        <v>433413.71</v>
      </c>
      <c r="N5" s="3">
        <v>18</v>
      </c>
      <c r="O5" s="3" t="b">
        <v>0</v>
      </c>
      <c r="P5" s="3" t="b">
        <v>0</v>
      </c>
      <c r="Q5" s="3">
        <v>80.151850479452065</v>
      </c>
      <c r="R5" s="3">
        <v>59205.500220821923</v>
      </c>
      <c r="S5" s="3">
        <v>59285.652071301367</v>
      </c>
      <c r="T5" s="5">
        <f>IF(J5&lt;&gt;"",M5*N5/365/100*('Cashflow Projection'!$B$2-Investors!J5),0)</f>
        <v>178043.97719835615</v>
      </c>
    </row>
    <row r="6" spans="1:20" x14ac:dyDescent="0.2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b">
        <v>1</v>
      </c>
      <c r="G6" s="3" t="b">
        <v>1</v>
      </c>
      <c r="H6" s="3" t="s">
        <v>26</v>
      </c>
      <c r="I6" s="4">
        <v>44081</v>
      </c>
      <c r="J6" s="4">
        <v>44316</v>
      </c>
      <c r="K6" s="4">
        <v>44887</v>
      </c>
      <c r="L6" s="3">
        <v>10</v>
      </c>
      <c r="M6" s="3">
        <v>498918.83</v>
      </c>
      <c r="N6" s="3">
        <v>18</v>
      </c>
      <c r="O6" s="3" t="b">
        <v>0</v>
      </c>
      <c r="P6" s="3" t="b">
        <v>0</v>
      </c>
      <c r="Q6" s="3">
        <v>20076.357029109549</v>
      </c>
      <c r="R6" s="3">
        <v>140490.07492438349</v>
      </c>
      <c r="S6" s="3">
        <v>160566.4319534931</v>
      </c>
      <c r="T6" s="5">
        <f>IF(J6&lt;&gt;"",M6*N6/365/100*('Cashflow Projection'!$B$2-Investors!J6),0)</f>
        <v>277289.5174076712</v>
      </c>
    </row>
    <row r="7" spans="1:20" x14ac:dyDescent="0.2">
      <c r="A7" s="3" t="s">
        <v>30</v>
      </c>
      <c r="B7" s="3" t="s">
        <v>31</v>
      </c>
      <c r="C7" s="3" t="s">
        <v>32</v>
      </c>
      <c r="D7" s="3" t="s">
        <v>24</v>
      </c>
      <c r="E7" s="3" t="s">
        <v>33</v>
      </c>
      <c r="F7" s="3" t="b">
        <v>1</v>
      </c>
      <c r="G7" s="3" t="b">
        <v>1</v>
      </c>
      <c r="H7" s="3" t="s">
        <v>26</v>
      </c>
      <c r="I7" s="4">
        <v>44159</v>
      </c>
      <c r="J7" s="4">
        <v>44352</v>
      </c>
      <c r="K7" s="4">
        <v>44887</v>
      </c>
      <c r="L7" s="3">
        <v>1</v>
      </c>
      <c r="M7" s="3">
        <v>900000</v>
      </c>
      <c r="N7" s="3">
        <v>18</v>
      </c>
      <c r="O7" s="3" t="b">
        <v>0</v>
      </c>
      <c r="P7" s="3" t="b">
        <v>0</v>
      </c>
      <c r="Q7" s="3">
        <v>29743.150684931388</v>
      </c>
      <c r="R7" s="3">
        <v>237452.05479452049</v>
      </c>
      <c r="S7" s="3">
        <v>267195.20547945192</v>
      </c>
      <c r="T7" s="5">
        <f>IF(J7&lt;&gt;"",M7*N7/365/100*('Cashflow Projection'!$B$2-Investors!J7),0)</f>
        <v>484224.65753424657</v>
      </c>
    </row>
    <row r="8" spans="1:20" x14ac:dyDescent="0.2">
      <c r="A8" s="3" t="s">
        <v>34</v>
      </c>
      <c r="B8" s="3" t="s">
        <v>35</v>
      </c>
      <c r="C8" s="3" t="s">
        <v>36</v>
      </c>
      <c r="D8" s="3" t="s">
        <v>24</v>
      </c>
      <c r="E8" s="3" t="s">
        <v>37</v>
      </c>
      <c r="F8" s="3" t="b">
        <v>1</v>
      </c>
      <c r="G8" s="3" t="b">
        <v>1</v>
      </c>
      <c r="H8" s="3" t="s">
        <v>26</v>
      </c>
      <c r="I8" s="4">
        <v>44090</v>
      </c>
      <c r="J8" s="4">
        <v>44316</v>
      </c>
      <c r="K8" s="4">
        <v>44887</v>
      </c>
      <c r="L8" s="3">
        <v>1</v>
      </c>
      <c r="M8" s="3">
        <v>200000</v>
      </c>
      <c r="N8" s="3">
        <v>15</v>
      </c>
      <c r="O8" s="3" t="b">
        <v>0</v>
      </c>
      <c r="P8" s="3" t="b">
        <v>0</v>
      </c>
      <c r="Q8" s="3">
        <v>7739.7260273972706</v>
      </c>
      <c r="R8" s="3">
        <v>46931.506849315068</v>
      </c>
      <c r="S8" s="3">
        <v>54671.23287671234</v>
      </c>
      <c r="T8" s="5">
        <f>IF(J8&lt;&gt;"",M8*N8/365/100*('Cashflow Projection'!$B$2-Investors!J8),0)</f>
        <v>92630.136986301368</v>
      </c>
    </row>
    <row r="9" spans="1:20" x14ac:dyDescent="0.2">
      <c r="A9" s="3" t="s">
        <v>38</v>
      </c>
      <c r="B9" s="3" t="s">
        <v>39</v>
      </c>
      <c r="C9" s="3" t="s">
        <v>40</v>
      </c>
      <c r="D9" s="3" t="s">
        <v>24</v>
      </c>
      <c r="E9" s="3" t="s">
        <v>37</v>
      </c>
      <c r="F9" s="3" t="b">
        <v>1</v>
      </c>
      <c r="G9" s="3" t="b">
        <v>1</v>
      </c>
      <c r="H9" s="3" t="s">
        <v>26</v>
      </c>
      <c r="I9" s="4">
        <v>44270</v>
      </c>
      <c r="J9" s="4">
        <v>44352</v>
      </c>
      <c r="K9" s="4">
        <v>44887</v>
      </c>
      <c r="L9" s="3">
        <v>1</v>
      </c>
      <c r="M9" s="3">
        <v>100000</v>
      </c>
      <c r="N9" s="3">
        <v>15</v>
      </c>
      <c r="O9" s="3" t="b">
        <v>0</v>
      </c>
      <c r="P9" s="3" t="b">
        <v>0</v>
      </c>
      <c r="Q9" s="3">
        <v>1404.109589041097</v>
      </c>
      <c r="R9" s="3">
        <v>21986.301369863009</v>
      </c>
      <c r="S9" s="3">
        <v>23390.410958904111</v>
      </c>
      <c r="T9" s="5">
        <f>IF(J9&lt;&gt;"",M9*N9/365/100*('Cashflow Projection'!$B$2-Investors!J9),0)</f>
        <v>44835.616438356163</v>
      </c>
    </row>
    <row r="10" spans="1:20" x14ac:dyDescent="0.2">
      <c r="A10" s="3" t="s">
        <v>41</v>
      </c>
      <c r="B10" s="3" t="s">
        <v>42</v>
      </c>
      <c r="C10" s="3" t="s">
        <v>43</v>
      </c>
      <c r="D10" s="3" t="s">
        <v>24</v>
      </c>
      <c r="E10" s="3" t="s">
        <v>37</v>
      </c>
      <c r="F10" s="3" t="b">
        <v>1</v>
      </c>
      <c r="G10" s="3" t="b">
        <v>1</v>
      </c>
      <c r="H10" s="3" t="s">
        <v>26</v>
      </c>
      <c r="I10" s="4">
        <v>44287</v>
      </c>
      <c r="J10" s="4">
        <v>44352</v>
      </c>
      <c r="K10" s="4">
        <v>44887</v>
      </c>
      <c r="L10" s="3">
        <v>1</v>
      </c>
      <c r="M10" s="3">
        <v>100000</v>
      </c>
      <c r="N10" s="3">
        <v>15</v>
      </c>
      <c r="O10" s="3" t="b">
        <v>0</v>
      </c>
      <c r="P10" s="3" t="b">
        <v>0</v>
      </c>
      <c r="Q10" s="3">
        <v>1113.0136986301379</v>
      </c>
      <c r="R10" s="3">
        <v>21986.301369863009</v>
      </c>
      <c r="S10" s="3">
        <v>23099.31506849315</v>
      </c>
      <c r="T10" s="5">
        <f>IF(J10&lt;&gt;"",M10*N10/365/100*('Cashflow Projection'!$B$2-Investors!J10),0)</f>
        <v>44835.616438356163</v>
      </c>
    </row>
    <row r="11" spans="1:20" x14ac:dyDescent="0.2">
      <c r="A11" s="3" t="s">
        <v>30</v>
      </c>
      <c r="B11" s="3" t="s">
        <v>31</v>
      </c>
      <c r="C11" s="3" t="s">
        <v>32</v>
      </c>
      <c r="D11" s="3" t="s">
        <v>24</v>
      </c>
      <c r="E11" s="3" t="s">
        <v>37</v>
      </c>
      <c r="F11" s="3" t="b">
        <v>1</v>
      </c>
      <c r="G11" s="3" t="b">
        <v>1</v>
      </c>
      <c r="H11" s="3" t="s">
        <v>26</v>
      </c>
      <c r="I11" s="4">
        <v>44159</v>
      </c>
      <c r="J11" s="4">
        <v>44352</v>
      </c>
      <c r="K11" s="4">
        <v>44887</v>
      </c>
      <c r="L11" s="3">
        <v>2</v>
      </c>
      <c r="M11" s="3">
        <v>500000</v>
      </c>
      <c r="N11" s="3">
        <v>18</v>
      </c>
      <c r="O11" s="3" t="b">
        <v>0</v>
      </c>
      <c r="P11" s="3" t="b">
        <v>0</v>
      </c>
      <c r="Q11" s="3">
        <v>16523.972602739741</v>
      </c>
      <c r="R11" s="3">
        <v>131917.80821917811</v>
      </c>
      <c r="S11" s="3">
        <v>148441.78082191781</v>
      </c>
      <c r="T11" s="5">
        <f>IF(J11&lt;&gt;"",M11*N11/365/100*('Cashflow Projection'!$B$2-Investors!J11),0)</f>
        <v>269013.69863013696</v>
      </c>
    </row>
    <row r="12" spans="1:20" x14ac:dyDescent="0.2">
      <c r="A12" s="3" t="s">
        <v>44</v>
      </c>
      <c r="B12" s="3" t="s">
        <v>45</v>
      </c>
      <c r="C12" s="3" t="s">
        <v>46</v>
      </c>
      <c r="D12" s="3" t="s">
        <v>24</v>
      </c>
      <c r="E12" s="3" t="s">
        <v>47</v>
      </c>
      <c r="F12" s="3" t="b">
        <v>1</v>
      </c>
      <c r="G12" s="3" t="b">
        <v>1</v>
      </c>
      <c r="H12" s="3" t="s">
        <v>26</v>
      </c>
      <c r="I12" s="4">
        <v>44287</v>
      </c>
      <c r="J12" s="4">
        <v>44352</v>
      </c>
      <c r="K12" s="4">
        <v>44887</v>
      </c>
      <c r="L12" s="3">
        <v>5</v>
      </c>
      <c r="M12" s="3">
        <v>900000</v>
      </c>
      <c r="N12" s="3">
        <v>18</v>
      </c>
      <c r="O12" s="3" t="b">
        <v>0</v>
      </c>
      <c r="P12" s="3" t="b">
        <v>0</v>
      </c>
      <c r="Q12" s="3">
        <v>10017.12328767124</v>
      </c>
      <c r="R12" s="3">
        <v>237452.05479452049</v>
      </c>
      <c r="S12" s="3">
        <v>247469.17808219179</v>
      </c>
      <c r="T12" s="5">
        <f>IF(J12&lt;&gt;"",M12*N12/365/100*('Cashflow Projection'!$B$2-Investors!J12),0)</f>
        <v>484224.65753424657</v>
      </c>
    </row>
    <row r="13" spans="1:20" x14ac:dyDescent="0.2">
      <c r="A13" s="3" t="s">
        <v>48</v>
      </c>
      <c r="B13" s="3" t="s">
        <v>49</v>
      </c>
      <c r="C13" s="3" t="s">
        <v>50</v>
      </c>
      <c r="D13" s="3" t="s">
        <v>24</v>
      </c>
      <c r="E13" s="3" t="s">
        <v>51</v>
      </c>
      <c r="F13" s="3" t="b">
        <v>1</v>
      </c>
      <c r="G13" s="3" t="b">
        <v>1</v>
      </c>
      <c r="H13" s="3" t="s">
        <v>26</v>
      </c>
      <c r="I13" s="4">
        <v>44342</v>
      </c>
      <c r="J13" s="4">
        <v>44352</v>
      </c>
      <c r="K13" s="4">
        <v>44887</v>
      </c>
      <c r="L13" s="3">
        <v>1</v>
      </c>
      <c r="M13" s="3">
        <v>100000</v>
      </c>
      <c r="N13" s="3">
        <v>15</v>
      </c>
      <c r="O13" s="3" t="b">
        <v>0</v>
      </c>
      <c r="P13" s="3" t="b">
        <v>0</v>
      </c>
      <c r="Q13" s="3">
        <v>171.23287671232879</v>
      </c>
      <c r="R13" s="3">
        <v>21986.301369863009</v>
      </c>
      <c r="S13" s="3">
        <v>22157.534246575338</v>
      </c>
      <c r="T13" s="5">
        <f>IF(J13&lt;&gt;"",M13*N13/365/100*('Cashflow Projection'!$B$2-Investors!J13),0)</f>
        <v>44835.616438356163</v>
      </c>
    </row>
    <row r="14" spans="1:20" x14ac:dyDescent="0.2">
      <c r="A14" s="3" t="s">
        <v>52</v>
      </c>
      <c r="B14" s="3" t="s">
        <v>53</v>
      </c>
      <c r="C14" s="3" t="s">
        <v>54</v>
      </c>
      <c r="D14" s="3" t="s">
        <v>24</v>
      </c>
      <c r="E14" s="3" t="s">
        <v>51</v>
      </c>
      <c r="F14" s="3" t="b">
        <v>1</v>
      </c>
      <c r="G14" s="3" t="b">
        <v>1</v>
      </c>
      <c r="H14" s="3" t="s">
        <v>26</v>
      </c>
      <c r="I14" s="4">
        <v>44266</v>
      </c>
      <c r="J14" s="4">
        <v>44352</v>
      </c>
      <c r="K14" s="4">
        <v>44887</v>
      </c>
      <c r="L14" s="3">
        <v>1</v>
      </c>
      <c r="M14" s="3">
        <v>110000</v>
      </c>
      <c r="N14" s="3">
        <v>18</v>
      </c>
      <c r="O14" s="3" t="b">
        <v>0</v>
      </c>
      <c r="P14" s="3" t="b">
        <v>0</v>
      </c>
      <c r="Q14" s="3">
        <v>1619.8630136986269</v>
      </c>
      <c r="R14" s="3">
        <v>29021.917808219179</v>
      </c>
      <c r="S14" s="3">
        <v>30641.780821917811</v>
      </c>
      <c r="T14" s="5">
        <f>IF(J14&lt;&gt;"",M14*N14/365/100*('Cashflow Projection'!$B$2-Investors!J14),0)</f>
        <v>59183.013698630144</v>
      </c>
    </row>
    <row r="15" spans="1:20" x14ac:dyDescent="0.2">
      <c r="A15" s="3" t="s">
        <v>44</v>
      </c>
      <c r="B15" s="3" t="s">
        <v>45</v>
      </c>
      <c r="C15" s="3" t="s">
        <v>46</v>
      </c>
      <c r="D15" s="3" t="s">
        <v>24</v>
      </c>
      <c r="E15" s="3" t="s">
        <v>51</v>
      </c>
      <c r="F15" s="3" t="b">
        <v>1</v>
      </c>
      <c r="G15" s="3" t="b">
        <v>1</v>
      </c>
      <c r="H15" s="3" t="s">
        <v>26</v>
      </c>
      <c r="I15" s="4">
        <v>44287</v>
      </c>
      <c r="J15" s="4">
        <v>44352</v>
      </c>
      <c r="K15" s="4">
        <v>44887</v>
      </c>
      <c r="L15" s="3">
        <v>6</v>
      </c>
      <c r="M15" s="3">
        <v>150000</v>
      </c>
      <c r="N15" s="3">
        <v>18</v>
      </c>
      <c r="O15" s="3" t="b">
        <v>0</v>
      </c>
      <c r="P15" s="3" t="b">
        <v>0</v>
      </c>
      <c r="Q15" s="3">
        <v>1669.520547945207</v>
      </c>
      <c r="R15" s="3">
        <v>39575.342465753427</v>
      </c>
      <c r="S15" s="3">
        <v>41244.863013698632</v>
      </c>
      <c r="T15" s="5">
        <f>IF(J15&lt;&gt;"",M15*N15/365/100*('Cashflow Projection'!$B$2-Investors!J15),0)</f>
        <v>80704.109589041094</v>
      </c>
    </row>
    <row r="16" spans="1:20" x14ac:dyDescent="0.2">
      <c r="A16" s="3" t="s">
        <v>55</v>
      </c>
      <c r="B16" s="3" t="s">
        <v>56</v>
      </c>
      <c r="C16" s="3" t="s">
        <v>57</v>
      </c>
      <c r="D16" s="3" t="s">
        <v>24</v>
      </c>
      <c r="E16" s="3" t="s">
        <v>51</v>
      </c>
      <c r="F16" s="3" t="b">
        <v>1</v>
      </c>
      <c r="G16" s="3" t="b">
        <v>1</v>
      </c>
      <c r="H16" s="3" t="s">
        <v>26</v>
      </c>
      <c r="I16" s="4">
        <v>44483</v>
      </c>
      <c r="J16" s="4">
        <v>44618</v>
      </c>
      <c r="K16" s="4">
        <v>44887</v>
      </c>
      <c r="L16" s="3">
        <v>1</v>
      </c>
      <c r="M16" s="3">
        <v>100000</v>
      </c>
      <c r="N16" s="3">
        <v>14</v>
      </c>
      <c r="O16" s="3" t="b">
        <v>0</v>
      </c>
      <c r="P16" s="3" t="b">
        <v>0</v>
      </c>
      <c r="Q16" s="3">
        <v>2389.7260273972661</v>
      </c>
      <c r="R16" s="3">
        <v>10317.80821917808</v>
      </c>
      <c r="S16" s="3">
        <v>12707.534246575349</v>
      </c>
      <c r="T16" s="5">
        <f>IF(J16&lt;&gt;"",M16*N16/365/100*('Cashflow Projection'!$B$2-Investors!J16),0)</f>
        <v>31643.835616438359</v>
      </c>
    </row>
    <row r="17" spans="1:20" x14ac:dyDescent="0.2">
      <c r="A17" s="3" t="s">
        <v>58</v>
      </c>
      <c r="B17" s="3" t="s">
        <v>53</v>
      </c>
      <c r="C17" s="3" t="s">
        <v>54</v>
      </c>
      <c r="D17" s="3" t="s">
        <v>24</v>
      </c>
      <c r="E17" s="3" t="s">
        <v>51</v>
      </c>
      <c r="F17" s="3" t="b">
        <v>1</v>
      </c>
      <c r="G17" s="3" t="b">
        <v>1</v>
      </c>
      <c r="H17" s="3" t="s">
        <v>26</v>
      </c>
      <c r="I17" s="4">
        <v>44113</v>
      </c>
      <c r="J17" s="4">
        <v>44352</v>
      </c>
      <c r="K17" s="4">
        <v>44887</v>
      </c>
      <c r="L17" s="3">
        <v>2</v>
      </c>
      <c r="M17" s="3">
        <v>120000</v>
      </c>
      <c r="N17" s="3">
        <v>18</v>
      </c>
      <c r="O17" s="3" t="b">
        <v>0</v>
      </c>
      <c r="P17" s="3" t="b">
        <v>0</v>
      </c>
      <c r="Q17" s="3">
        <v>4910.9589041096169</v>
      </c>
      <c r="R17" s="3">
        <v>31660.273972602739</v>
      </c>
      <c r="S17" s="3">
        <v>36571.232876712347</v>
      </c>
      <c r="T17" s="5">
        <f>IF(J17&lt;&gt;"",M17*N17/365/100*('Cashflow Projection'!$B$2-Investors!J17),0)</f>
        <v>64563.28767123288</v>
      </c>
    </row>
    <row r="18" spans="1:20" x14ac:dyDescent="0.2">
      <c r="A18" s="3" t="s">
        <v>59</v>
      </c>
      <c r="B18" s="3" t="s">
        <v>60</v>
      </c>
      <c r="C18" s="3" t="s">
        <v>61</v>
      </c>
      <c r="D18" s="3" t="s">
        <v>24</v>
      </c>
      <c r="E18" s="3" t="s">
        <v>51</v>
      </c>
      <c r="F18" s="3" t="b">
        <v>1</v>
      </c>
      <c r="G18" s="3" t="b">
        <v>1</v>
      </c>
      <c r="H18" s="3" t="s">
        <v>26</v>
      </c>
      <c r="I18" s="4">
        <v>44308</v>
      </c>
      <c r="J18" s="4">
        <v>44378</v>
      </c>
      <c r="K18" s="4">
        <v>44887</v>
      </c>
      <c r="L18" s="3">
        <v>19</v>
      </c>
      <c r="M18" s="3">
        <v>100000</v>
      </c>
      <c r="N18" s="3">
        <v>18</v>
      </c>
      <c r="O18" s="3" t="b">
        <v>0</v>
      </c>
      <c r="P18" s="3" t="b">
        <v>0</v>
      </c>
      <c r="Q18" s="3">
        <v>1198.6301369863029</v>
      </c>
      <c r="R18" s="3">
        <v>25101.369863013701</v>
      </c>
      <c r="S18" s="3">
        <v>26300</v>
      </c>
      <c r="T18" s="5">
        <f>IF(J18&lt;&gt;"",M18*N18/365/100*('Cashflow Projection'!$B$2-Investors!J18),0)</f>
        <v>52520.547945205479</v>
      </c>
    </row>
    <row r="19" spans="1:20" x14ac:dyDescent="0.2">
      <c r="A19" s="3" t="s">
        <v>62</v>
      </c>
      <c r="B19" s="3" t="s">
        <v>63</v>
      </c>
      <c r="C19" s="3" t="s">
        <v>64</v>
      </c>
      <c r="D19" s="3" t="s">
        <v>24</v>
      </c>
      <c r="E19" s="3" t="s">
        <v>51</v>
      </c>
      <c r="F19" s="3" t="b">
        <v>1</v>
      </c>
      <c r="G19" s="3" t="b">
        <v>1</v>
      </c>
      <c r="H19" s="3" t="s">
        <v>26</v>
      </c>
      <c r="I19" s="4">
        <v>44116</v>
      </c>
      <c r="J19" s="4">
        <v>44378</v>
      </c>
      <c r="K19" s="4">
        <v>44887</v>
      </c>
      <c r="L19" s="3">
        <v>3</v>
      </c>
      <c r="M19" s="3">
        <v>69774.429999999993</v>
      </c>
      <c r="N19" s="3">
        <v>18</v>
      </c>
      <c r="O19" s="3" t="b">
        <v>0</v>
      </c>
      <c r="P19" s="3" t="b">
        <v>0</v>
      </c>
      <c r="Q19" s="3">
        <v>3130.2912089041179</v>
      </c>
      <c r="R19" s="3">
        <v>17514.337744109591</v>
      </c>
      <c r="S19" s="3">
        <v>20644.628953013711</v>
      </c>
      <c r="T19" s="5">
        <f>IF(J19&lt;&gt;"",M19*N19/365/100*('Cashflow Projection'!$B$2-Investors!J19),0)</f>
        <v>36645.912961643829</v>
      </c>
    </row>
    <row r="20" spans="1:20" x14ac:dyDescent="0.2">
      <c r="A20" s="3" t="s">
        <v>65</v>
      </c>
      <c r="B20" s="3" t="s">
        <v>66</v>
      </c>
      <c r="C20" s="3" t="s">
        <v>67</v>
      </c>
      <c r="D20" s="3" t="s">
        <v>24</v>
      </c>
      <c r="E20" s="3" t="s">
        <v>68</v>
      </c>
      <c r="F20" s="3" t="b">
        <v>1</v>
      </c>
      <c r="G20" s="3" t="b">
        <v>1</v>
      </c>
      <c r="H20" s="3" t="s">
        <v>26</v>
      </c>
      <c r="I20" s="4">
        <v>44119</v>
      </c>
      <c r="J20" s="4">
        <v>44352</v>
      </c>
      <c r="K20" s="4">
        <v>44887</v>
      </c>
      <c r="L20" s="3">
        <v>2</v>
      </c>
      <c r="M20" s="3">
        <v>61132.88</v>
      </c>
      <c r="N20" s="3">
        <v>18</v>
      </c>
      <c r="O20" s="3" t="b">
        <v>0</v>
      </c>
      <c r="P20" s="3" t="b">
        <v>0</v>
      </c>
      <c r="Q20" s="3">
        <v>2439.0344246575328</v>
      </c>
      <c r="R20" s="3">
        <v>16129.03107945205</v>
      </c>
      <c r="S20" s="3">
        <v>18568.065504109589</v>
      </c>
      <c r="T20" s="5">
        <f>IF(J20&lt;&gt;"",M20*N20/365/100*('Cashflow Projection'!$B$2-Investors!J20),0)</f>
        <v>32891.164313424655</v>
      </c>
    </row>
    <row r="21" spans="1:20" x14ac:dyDescent="0.2">
      <c r="A21" s="3" t="s">
        <v>65</v>
      </c>
      <c r="B21" s="3" t="s">
        <v>66</v>
      </c>
      <c r="C21" s="3" t="s">
        <v>67</v>
      </c>
      <c r="D21" s="3" t="s">
        <v>24</v>
      </c>
      <c r="E21" s="3" t="s">
        <v>68</v>
      </c>
      <c r="F21" s="3" t="b">
        <v>1</v>
      </c>
      <c r="G21" s="3" t="b">
        <v>1</v>
      </c>
      <c r="H21" s="3" t="s">
        <v>26</v>
      </c>
      <c r="I21" s="4">
        <v>44155</v>
      </c>
      <c r="J21" s="4">
        <v>44352</v>
      </c>
      <c r="K21" s="4">
        <v>44887</v>
      </c>
      <c r="L21" s="3">
        <v>3</v>
      </c>
      <c r="M21" s="3">
        <v>38867.120000000003</v>
      </c>
      <c r="N21" s="3">
        <v>18</v>
      </c>
      <c r="O21" s="3" t="b">
        <v>0</v>
      </c>
      <c r="P21" s="3" t="b">
        <v>0</v>
      </c>
      <c r="Q21" s="3">
        <v>1311.099767123289</v>
      </c>
      <c r="R21" s="3">
        <v>10254.53056438356</v>
      </c>
      <c r="S21" s="3">
        <v>11565.630331506851</v>
      </c>
      <c r="T21" s="5">
        <f>IF(J21&lt;&gt;"",M21*N21/365/100*('Cashflow Projection'!$B$2-Investors!J21),0)</f>
        <v>20911.575412602742</v>
      </c>
    </row>
    <row r="22" spans="1:20" x14ac:dyDescent="0.2">
      <c r="A22" s="3" t="s">
        <v>69</v>
      </c>
      <c r="B22" s="3" t="s">
        <v>70</v>
      </c>
      <c r="C22" s="3" t="s">
        <v>71</v>
      </c>
      <c r="D22" s="3" t="s">
        <v>24</v>
      </c>
      <c r="E22" s="3" t="s">
        <v>68</v>
      </c>
      <c r="F22" s="3" t="b">
        <v>1</v>
      </c>
      <c r="G22" s="3" t="b">
        <v>1</v>
      </c>
      <c r="H22" s="3" t="s">
        <v>26</v>
      </c>
      <c r="I22" s="4">
        <v>44113</v>
      </c>
      <c r="J22" s="4">
        <v>44316</v>
      </c>
      <c r="K22" s="4">
        <v>44887</v>
      </c>
      <c r="L22" s="3">
        <v>1</v>
      </c>
      <c r="M22" s="3">
        <v>110000</v>
      </c>
      <c r="N22" s="3">
        <v>18</v>
      </c>
      <c r="O22" s="3" t="b">
        <v>0</v>
      </c>
      <c r="P22" s="3" t="b">
        <v>0</v>
      </c>
      <c r="Q22" s="3">
        <v>3823.6301369863072</v>
      </c>
      <c r="R22" s="3">
        <v>30974.794520547941</v>
      </c>
      <c r="S22" s="3">
        <v>34798.424657534248</v>
      </c>
      <c r="T22" s="5">
        <f>IF(J22&lt;&gt;"",M22*N22/365/100*('Cashflow Projection'!$B$2-Investors!J22),0)</f>
        <v>61135.890410958913</v>
      </c>
    </row>
    <row r="23" spans="1:20" x14ac:dyDescent="0.2">
      <c r="A23" s="3" t="s">
        <v>72</v>
      </c>
      <c r="B23" s="3" t="s">
        <v>73</v>
      </c>
      <c r="C23" s="3" t="s">
        <v>74</v>
      </c>
      <c r="D23" s="3" t="s">
        <v>24</v>
      </c>
      <c r="E23" s="3" t="s">
        <v>68</v>
      </c>
      <c r="F23" s="3" t="b">
        <v>1</v>
      </c>
      <c r="G23" s="3" t="b">
        <v>1</v>
      </c>
      <c r="H23" s="3" t="s">
        <v>26</v>
      </c>
      <c r="I23" s="4">
        <v>44284</v>
      </c>
      <c r="J23" s="4">
        <v>44352</v>
      </c>
      <c r="K23" s="4">
        <v>44887</v>
      </c>
      <c r="L23" s="3">
        <v>1</v>
      </c>
      <c r="M23" s="3">
        <v>500000</v>
      </c>
      <c r="N23" s="3">
        <v>18</v>
      </c>
      <c r="O23" s="3" t="b">
        <v>0</v>
      </c>
      <c r="P23" s="3" t="b">
        <v>0</v>
      </c>
      <c r="Q23" s="3">
        <v>5821.917808219182</v>
      </c>
      <c r="R23" s="3">
        <v>131917.80821917811</v>
      </c>
      <c r="S23" s="3">
        <v>137739.72602739729</v>
      </c>
      <c r="T23" s="5">
        <f>IF(J23&lt;&gt;"",M23*N23/365/100*('Cashflow Projection'!$B$2-Investors!J23),0)</f>
        <v>269013.69863013696</v>
      </c>
    </row>
    <row r="24" spans="1:20" x14ac:dyDescent="0.2">
      <c r="A24" s="3" t="s">
        <v>75</v>
      </c>
      <c r="B24" s="3" t="s">
        <v>76</v>
      </c>
      <c r="C24" s="3" t="s">
        <v>77</v>
      </c>
      <c r="D24" s="3" t="s">
        <v>24</v>
      </c>
      <c r="E24" s="3" t="s">
        <v>68</v>
      </c>
      <c r="F24" s="3" t="b">
        <v>1</v>
      </c>
      <c r="G24" s="3" t="b">
        <v>1</v>
      </c>
      <c r="H24" s="3" t="s">
        <v>26</v>
      </c>
      <c r="I24" s="4">
        <v>44273</v>
      </c>
      <c r="J24" s="4">
        <v>44352</v>
      </c>
      <c r="K24" s="4">
        <v>44887</v>
      </c>
      <c r="L24" s="3">
        <v>1</v>
      </c>
      <c r="M24" s="3">
        <v>200000</v>
      </c>
      <c r="N24" s="3">
        <v>15</v>
      </c>
      <c r="O24" s="3" t="b">
        <v>0</v>
      </c>
      <c r="P24" s="3" t="b">
        <v>0</v>
      </c>
      <c r="Q24" s="3">
        <v>2705.479452054798</v>
      </c>
      <c r="R24" s="3">
        <v>43972.602739726033</v>
      </c>
      <c r="S24" s="3">
        <v>46678.082191780821</v>
      </c>
      <c r="T24" s="5">
        <f>IF(J24&lt;&gt;"",M24*N24/365/100*('Cashflow Projection'!$B$2-Investors!J24),0)</f>
        <v>89671.232876712325</v>
      </c>
    </row>
    <row r="25" spans="1:20" x14ac:dyDescent="0.2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81</v>
      </c>
      <c r="F25" s="3" t="b">
        <v>1</v>
      </c>
      <c r="G25" s="3" t="b">
        <v>1</v>
      </c>
      <c r="H25" s="3" t="s">
        <v>26</v>
      </c>
      <c r="I25" s="4">
        <v>44287</v>
      </c>
      <c r="J25" s="4">
        <v>44352</v>
      </c>
      <c r="K25" s="4">
        <v>44887</v>
      </c>
      <c r="L25" s="3">
        <v>1</v>
      </c>
      <c r="M25" s="3">
        <v>500000</v>
      </c>
      <c r="N25" s="3">
        <v>18</v>
      </c>
      <c r="O25" s="3" t="b">
        <v>0</v>
      </c>
      <c r="P25" s="3" t="b">
        <v>0</v>
      </c>
      <c r="Q25" s="3">
        <v>5565.0684931506876</v>
      </c>
      <c r="R25" s="3">
        <v>131917.80821917811</v>
      </c>
      <c r="S25" s="3">
        <v>137482.87671232881</v>
      </c>
      <c r="T25" s="5">
        <f>IF(J25&lt;&gt;"",M25*N25/365/100*('Cashflow Projection'!$B$2-Investors!J25),0)</f>
        <v>269013.69863013696</v>
      </c>
    </row>
    <row r="26" spans="1:20" x14ac:dyDescent="0.2">
      <c r="A26" s="3" t="s">
        <v>82</v>
      </c>
      <c r="B26" s="3" t="s">
        <v>83</v>
      </c>
      <c r="C26" s="3" t="s">
        <v>84</v>
      </c>
      <c r="D26" s="3" t="s">
        <v>24</v>
      </c>
      <c r="E26" s="3" t="s">
        <v>81</v>
      </c>
      <c r="F26" s="3" t="b">
        <v>1</v>
      </c>
      <c r="G26" s="3" t="b">
        <v>1</v>
      </c>
      <c r="H26" s="3" t="s">
        <v>26</v>
      </c>
      <c r="I26" s="4">
        <v>44116</v>
      </c>
      <c r="J26" s="4">
        <v>44316</v>
      </c>
      <c r="K26" s="4">
        <v>44887</v>
      </c>
      <c r="L26" s="3">
        <v>2</v>
      </c>
      <c r="M26" s="3">
        <v>405157.53</v>
      </c>
      <c r="N26" s="3">
        <v>18</v>
      </c>
      <c r="O26" s="3" t="b">
        <v>0</v>
      </c>
      <c r="P26" s="3" t="b">
        <v>0</v>
      </c>
      <c r="Q26" s="3">
        <v>13875.25787671229</v>
      </c>
      <c r="R26" s="3">
        <v>114087.9203654795</v>
      </c>
      <c r="S26" s="3">
        <v>127963.1782421918</v>
      </c>
      <c r="T26" s="5">
        <f>IF(J26&lt;&gt;"",M26*N26/365/100*('Cashflow Projection'!$B$2-Investors!J26),0)</f>
        <v>225178.78502958902</v>
      </c>
    </row>
    <row r="27" spans="1:20" x14ac:dyDescent="0.2">
      <c r="A27" s="3" t="s">
        <v>85</v>
      </c>
      <c r="B27" s="3" t="s">
        <v>86</v>
      </c>
      <c r="C27" s="3" t="s">
        <v>87</v>
      </c>
      <c r="D27" s="3" t="s">
        <v>24</v>
      </c>
      <c r="E27" s="3" t="s">
        <v>88</v>
      </c>
      <c r="F27" s="3" t="b">
        <v>1</v>
      </c>
      <c r="G27" s="3" t="b">
        <v>1</v>
      </c>
      <c r="H27" s="3" t="s">
        <v>26</v>
      </c>
      <c r="I27" s="4">
        <v>44126</v>
      </c>
      <c r="J27" s="4">
        <v>44316</v>
      </c>
      <c r="K27" s="4">
        <v>44895</v>
      </c>
      <c r="L27" s="3">
        <v>2</v>
      </c>
      <c r="M27" s="3">
        <v>280000</v>
      </c>
      <c r="N27" s="3">
        <v>18</v>
      </c>
      <c r="O27" s="3" t="b">
        <v>1</v>
      </c>
      <c r="P27" s="3" t="b">
        <v>0</v>
      </c>
      <c r="Q27" s="3">
        <v>9109.5890410958891</v>
      </c>
      <c r="R27" s="3">
        <v>79949.589041095882</v>
      </c>
      <c r="S27" s="3">
        <v>89059.178082191764</v>
      </c>
      <c r="T27" s="5">
        <f>IF(J27&lt;&gt;"",M27*N27/365/100*('Cashflow Projection'!$B$2-Investors!J27),0)</f>
        <v>155618.63013698629</v>
      </c>
    </row>
    <row r="28" spans="1:20" x14ac:dyDescent="0.2">
      <c r="A28" s="3" t="s">
        <v>89</v>
      </c>
      <c r="B28" s="3" t="s">
        <v>90</v>
      </c>
      <c r="C28" s="3" t="s">
        <v>91</v>
      </c>
      <c r="D28" s="3" t="s">
        <v>24</v>
      </c>
      <c r="E28" s="3" t="s">
        <v>88</v>
      </c>
      <c r="F28" s="3" t="b">
        <v>1</v>
      </c>
      <c r="G28" s="3" t="b">
        <v>1</v>
      </c>
      <c r="H28" s="3" t="s">
        <v>26</v>
      </c>
      <c r="I28" s="4">
        <v>44139</v>
      </c>
      <c r="J28" s="4">
        <v>44316</v>
      </c>
      <c r="K28" s="4">
        <v>44895</v>
      </c>
      <c r="L28" s="3">
        <v>2</v>
      </c>
      <c r="M28" s="3">
        <v>60898.63</v>
      </c>
      <c r="N28" s="3">
        <v>18</v>
      </c>
      <c r="O28" s="3" t="b">
        <v>1</v>
      </c>
      <c r="P28" s="3" t="b">
        <v>0</v>
      </c>
      <c r="Q28" s="3">
        <v>1845.729025684936</v>
      </c>
      <c r="R28" s="3">
        <v>17388.644434520549</v>
      </c>
      <c r="S28" s="3">
        <v>19234.373460205479</v>
      </c>
      <c r="T28" s="5">
        <f>IF(J28&lt;&gt;"",M28*N28/365/100*('Cashflow Projection'!$B$2-Investors!J28),0)</f>
        <v>33846.290635068486</v>
      </c>
    </row>
    <row r="29" spans="1:20" x14ac:dyDescent="0.2">
      <c r="A29" s="3" t="s">
        <v>89</v>
      </c>
      <c r="B29" s="3" t="s">
        <v>90</v>
      </c>
      <c r="C29" s="3" t="s">
        <v>91</v>
      </c>
      <c r="D29" s="3" t="s">
        <v>24</v>
      </c>
      <c r="E29" s="3" t="s">
        <v>88</v>
      </c>
      <c r="F29" s="3" t="b">
        <v>1</v>
      </c>
      <c r="G29" s="3" t="b">
        <v>1</v>
      </c>
      <c r="H29" s="3" t="s">
        <v>26</v>
      </c>
      <c r="I29" s="4">
        <v>44139</v>
      </c>
      <c r="J29" s="4">
        <v>44316</v>
      </c>
      <c r="K29" s="4">
        <v>44895</v>
      </c>
      <c r="L29" s="3">
        <v>3</v>
      </c>
      <c r="M29" s="3">
        <v>39101.370000000003</v>
      </c>
      <c r="N29" s="3">
        <v>18</v>
      </c>
      <c r="O29" s="3" t="b">
        <v>1</v>
      </c>
      <c r="P29" s="3" t="b">
        <v>0</v>
      </c>
      <c r="Q29" s="3">
        <v>1185.092892123283</v>
      </c>
      <c r="R29" s="3">
        <v>11164.7802230137</v>
      </c>
      <c r="S29" s="3">
        <v>12349.873115136979</v>
      </c>
      <c r="T29" s="5">
        <f>IF(J29&lt;&gt;"",M29*N29/365/100*('Cashflow Projection'!$B$2-Investors!J29),0)</f>
        <v>21731.791556712331</v>
      </c>
    </row>
    <row r="30" spans="1:20" x14ac:dyDescent="0.2">
      <c r="A30" s="3" t="s">
        <v>92</v>
      </c>
      <c r="B30" s="3" t="s">
        <v>93</v>
      </c>
      <c r="C30" s="3" t="s">
        <v>94</v>
      </c>
      <c r="D30" s="3" t="s">
        <v>24</v>
      </c>
      <c r="E30" s="3" t="s">
        <v>88</v>
      </c>
      <c r="F30" s="3" t="b">
        <v>1</v>
      </c>
      <c r="G30" s="3" t="b">
        <v>1</v>
      </c>
      <c r="H30" s="3" t="s">
        <v>26</v>
      </c>
      <c r="I30" s="4">
        <v>44119</v>
      </c>
      <c r="J30" s="4">
        <v>44352</v>
      </c>
      <c r="K30" s="4">
        <v>44895</v>
      </c>
      <c r="L30" s="3">
        <v>4</v>
      </c>
      <c r="M30" s="3">
        <v>341424.66</v>
      </c>
      <c r="N30" s="3">
        <v>18</v>
      </c>
      <c r="O30" s="3" t="b">
        <v>1</v>
      </c>
      <c r="P30" s="3" t="b">
        <v>0</v>
      </c>
      <c r="Q30" s="3">
        <v>13621.908523972659</v>
      </c>
      <c r="R30" s="3">
        <v>91426.976077808213</v>
      </c>
      <c r="S30" s="3">
        <v>105048.8846017809</v>
      </c>
      <c r="T30" s="5">
        <f>IF(J30&lt;&gt;"",M30*N30/365/100*('Cashflow Projection'!$B$2-Investors!J30),0)</f>
        <v>183695.82118027398</v>
      </c>
    </row>
    <row r="31" spans="1:20" x14ac:dyDescent="0.2">
      <c r="A31" s="3" t="s">
        <v>95</v>
      </c>
      <c r="B31" s="3" t="s">
        <v>96</v>
      </c>
      <c r="C31" s="3" t="s">
        <v>97</v>
      </c>
      <c r="D31" s="3" t="s">
        <v>24</v>
      </c>
      <c r="E31" s="3" t="s">
        <v>88</v>
      </c>
      <c r="F31" s="3" t="b">
        <v>1</v>
      </c>
      <c r="G31" s="3" t="b">
        <v>1</v>
      </c>
      <c r="H31" s="3" t="s">
        <v>26</v>
      </c>
      <c r="I31" s="4">
        <v>44138</v>
      </c>
      <c r="J31" s="4">
        <v>44316</v>
      </c>
      <c r="K31" s="4">
        <v>44895</v>
      </c>
      <c r="L31" s="3">
        <v>2</v>
      </c>
      <c r="M31" s="3">
        <v>200000</v>
      </c>
      <c r="N31" s="3">
        <v>18</v>
      </c>
      <c r="O31" s="3" t="b">
        <v>1</v>
      </c>
      <c r="P31" s="3" t="b">
        <v>0</v>
      </c>
      <c r="Q31" s="3">
        <v>6095.8904109589121</v>
      </c>
      <c r="R31" s="3">
        <v>57106.849315068488</v>
      </c>
      <c r="S31" s="3">
        <v>63202.739726027401</v>
      </c>
      <c r="T31" s="5">
        <f>IF(J31&lt;&gt;"",M31*N31/365/100*('Cashflow Projection'!$B$2-Investors!J31),0)</f>
        <v>111156.16438356164</v>
      </c>
    </row>
    <row r="32" spans="1:20" x14ac:dyDescent="0.2">
      <c r="A32" s="3" t="s">
        <v>98</v>
      </c>
      <c r="B32" s="3" t="s">
        <v>99</v>
      </c>
      <c r="C32" s="3" t="s">
        <v>100</v>
      </c>
      <c r="D32" s="3" t="s">
        <v>24</v>
      </c>
      <c r="E32" s="3" t="s">
        <v>101</v>
      </c>
      <c r="F32" s="3" t="b">
        <v>1</v>
      </c>
      <c r="G32" s="3" t="b">
        <v>1</v>
      </c>
      <c r="H32" s="3" t="s">
        <v>26</v>
      </c>
      <c r="I32" s="4">
        <v>44165</v>
      </c>
      <c r="J32" s="4">
        <v>44352</v>
      </c>
      <c r="K32" s="4">
        <v>44897</v>
      </c>
      <c r="L32" s="3">
        <v>1</v>
      </c>
      <c r="M32" s="3">
        <v>200000</v>
      </c>
      <c r="N32" s="3">
        <v>15</v>
      </c>
      <c r="O32" s="3" t="b">
        <v>0</v>
      </c>
      <c r="P32" s="3" t="b">
        <v>0</v>
      </c>
      <c r="Q32" s="3">
        <v>6404.1095890411043</v>
      </c>
      <c r="R32" s="3">
        <v>44794.520547945212</v>
      </c>
      <c r="S32" s="3">
        <v>51198.630136986307</v>
      </c>
      <c r="T32" s="5">
        <f>IF(J32&lt;&gt;"",M32*N32/365/100*('Cashflow Projection'!$B$2-Investors!J32),0)</f>
        <v>89671.232876712325</v>
      </c>
    </row>
    <row r="33" spans="1:20" x14ac:dyDescent="0.2">
      <c r="A33" s="3" t="s">
        <v>102</v>
      </c>
      <c r="B33" s="3" t="s">
        <v>103</v>
      </c>
      <c r="C33" s="3" t="s">
        <v>104</v>
      </c>
      <c r="D33" s="3" t="s">
        <v>24</v>
      </c>
      <c r="E33" s="3" t="s">
        <v>101</v>
      </c>
      <c r="F33" s="3" t="b">
        <v>1</v>
      </c>
      <c r="G33" s="3" t="b">
        <v>1</v>
      </c>
      <c r="H33" s="3" t="s">
        <v>26</v>
      </c>
      <c r="I33" s="4">
        <v>44126</v>
      </c>
      <c r="J33" s="4">
        <v>44352</v>
      </c>
      <c r="K33" s="4">
        <v>44897</v>
      </c>
      <c r="L33" s="3">
        <v>2</v>
      </c>
      <c r="M33" s="3">
        <v>250000</v>
      </c>
      <c r="N33" s="3">
        <v>18</v>
      </c>
      <c r="O33" s="3" t="b">
        <v>0</v>
      </c>
      <c r="P33" s="3" t="b">
        <v>0</v>
      </c>
      <c r="Q33" s="3">
        <v>9674.6575342465549</v>
      </c>
      <c r="R33" s="3">
        <v>67191.780821917811</v>
      </c>
      <c r="S33" s="3">
        <v>76866.438356164363</v>
      </c>
      <c r="T33" s="5">
        <f>IF(J33&lt;&gt;"",M33*N33/365/100*('Cashflow Projection'!$B$2-Investors!J33),0)</f>
        <v>134506.84931506848</v>
      </c>
    </row>
    <row r="34" spans="1:20" x14ac:dyDescent="0.2">
      <c r="A34" s="3" t="s">
        <v>105</v>
      </c>
      <c r="B34" s="3" t="s">
        <v>106</v>
      </c>
      <c r="C34" s="3" t="s">
        <v>107</v>
      </c>
      <c r="D34" s="3" t="s">
        <v>24</v>
      </c>
      <c r="E34" s="3" t="s">
        <v>101</v>
      </c>
      <c r="F34" s="3" t="b">
        <v>1</v>
      </c>
      <c r="G34" s="3" t="b">
        <v>1</v>
      </c>
      <c r="H34" s="3" t="s">
        <v>26</v>
      </c>
      <c r="I34" s="4">
        <v>44160</v>
      </c>
      <c r="J34" s="4">
        <v>44352</v>
      </c>
      <c r="K34" s="4">
        <v>44897</v>
      </c>
      <c r="L34" s="3">
        <v>2</v>
      </c>
      <c r="M34" s="3">
        <v>100000</v>
      </c>
      <c r="N34" s="3">
        <v>15</v>
      </c>
      <c r="O34" s="3" t="b">
        <v>0</v>
      </c>
      <c r="P34" s="3" t="b">
        <v>0</v>
      </c>
      <c r="Q34" s="3">
        <v>3287.6712328767171</v>
      </c>
      <c r="R34" s="3">
        <v>22397.260273972599</v>
      </c>
      <c r="S34" s="3">
        <v>25684.93150684932</v>
      </c>
      <c r="T34" s="5">
        <f>IF(J34&lt;&gt;"",M34*N34/365/100*('Cashflow Projection'!$B$2-Investors!J34),0)</f>
        <v>44835.616438356163</v>
      </c>
    </row>
    <row r="35" spans="1:20" x14ac:dyDescent="0.2">
      <c r="A35" s="3" t="s">
        <v>59</v>
      </c>
      <c r="B35" s="3" t="s">
        <v>60</v>
      </c>
      <c r="C35" s="3" t="s">
        <v>61</v>
      </c>
      <c r="D35" s="3" t="s">
        <v>24</v>
      </c>
      <c r="E35" s="3" t="s">
        <v>101</v>
      </c>
      <c r="F35" s="3" t="b">
        <v>1</v>
      </c>
      <c r="G35" s="3" t="b">
        <v>1</v>
      </c>
      <c r="H35" s="3" t="s">
        <v>26</v>
      </c>
      <c r="I35" s="4">
        <v>44287</v>
      </c>
      <c r="J35" s="4">
        <v>44378</v>
      </c>
      <c r="K35" s="4">
        <v>44897</v>
      </c>
      <c r="L35" s="3">
        <v>18</v>
      </c>
      <c r="M35" s="3">
        <v>140000</v>
      </c>
      <c r="N35" s="3">
        <v>18</v>
      </c>
      <c r="O35" s="3" t="b">
        <v>0</v>
      </c>
      <c r="P35" s="3" t="b">
        <v>0</v>
      </c>
      <c r="Q35" s="3">
        <v>2181.5068493150652</v>
      </c>
      <c r="R35" s="3">
        <v>35832.32876712329</v>
      </c>
      <c r="S35" s="3">
        <v>38013.835616438359</v>
      </c>
      <c r="T35" s="5">
        <f>IF(J35&lt;&gt;"",M35*N35/365/100*('Cashflow Projection'!$B$2-Investors!J35),0)</f>
        <v>73528.767123287675</v>
      </c>
    </row>
    <row r="36" spans="1:20" x14ac:dyDescent="0.2">
      <c r="A36" s="3" t="s">
        <v>108</v>
      </c>
      <c r="B36" s="3" t="s">
        <v>109</v>
      </c>
      <c r="C36" s="3" t="s">
        <v>110</v>
      </c>
      <c r="D36" s="3" t="s">
        <v>24</v>
      </c>
      <c r="E36" s="3" t="s">
        <v>101</v>
      </c>
      <c r="F36" s="3" t="b">
        <v>1</v>
      </c>
      <c r="G36" s="3" t="b">
        <v>1</v>
      </c>
      <c r="H36" s="3" t="s">
        <v>26</v>
      </c>
      <c r="I36" s="4">
        <v>44165</v>
      </c>
      <c r="J36" s="4">
        <v>44352</v>
      </c>
      <c r="K36" s="4">
        <v>44897</v>
      </c>
      <c r="L36" s="3">
        <v>1</v>
      </c>
      <c r="M36" s="3">
        <v>200000</v>
      </c>
      <c r="N36" s="3">
        <v>15</v>
      </c>
      <c r="O36" s="3" t="b">
        <v>0</v>
      </c>
      <c r="P36" s="3" t="b">
        <v>0</v>
      </c>
      <c r="Q36" s="3">
        <v>6404.1095890411043</v>
      </c>
      <c r="R36" s="3">
        <v>44794.520547945212</v>
      </c>
      <c r="S36" s="3">
        <v>51198.630136986307</v>
      </c>
      <c r="T36" s="5">
        <f>IF(J36&lt;&gt;"",M36*N36/365/100*('Cashflow Projection'!$B$2-Investors!J36),0)</f>
        <v>89671.232876712325</v>
      </c>
    </row>
    <row r="37" spans="1:20" x14ac:dyDescent="0.2">
      <c r="A37" s="3" t="s">
        <v>111</v>
      </c>
      <c r="B37" s="3" t="s">
        <v>112</v>
      </c>
      <c r="C37" s="3" t="s">
        <v>113</v>
      </c>
      <c r="D37" s="3" t="s">
        <v>24</v>
      </c>
      <c r="E37" s="3" t="s">
        <v>114</v>
      </c>
      <c r="F37" s="3" t="b">
        <v>1</v>
      </c>
      <c r="G37" s="3" t="b">
        <v>1</v>
      </c>
      <c r="H37" s="3" t="s">
        <v>26</v>
      </c>
      <c r="I37" s="4">
        <v>44179</v>
      </c>
      <c r="J37" s="4">
        <v>44352</v>
      </c>
      <c r="K37" s="4">
        <v>44887</v>
      </c>
      <c r="L37" s="3">
        <v>1</v>
      </c>
      <c r="M37" s="3">
        <v>100000</v>
      </c>
      <c r="N37" s="3">
        <v>15</v>
      </c>
      <c r="O37" s="3" t="b">
        <v>0</v>
      </c>
      <c r="P37" s="3" t="b">
        <v>0</v>
      </c>
      <c r="Q37" s="3">
        <v>2962.328767123292</v>
      </c>
      <c r="R37" s="3">
        <v>21986.301369863009</v>
      </c>
      <c r="S37" s="3">
        <v>24948.630136986299</v>
      </c>
      <c r="T37" s="5">
        <f>IF(J37&lt;&gt;"",M37*N37/365/100*('Cashflow Projection'!$B$2-Investors!J37),0)</f>
        <v>44835.616438356163</v>
      </c>
    </row>
    <row r="38" spans="1:20" x14ac:dyDescent="0.2">
      <c r="A38" s="3" t="s">
        <v>115</v>
      </c>
      <c r="B38" s="3" t="s">
        <v>116</v>
      </c>
      <c r="C38" s="3" t="s">
        <v>113</v>
      </c>
      <c r="D38" s="3" t="s">
        <v>24</v>
      </c>
      <c r="E38" s="3" t="s">
        <v>114</v>
      </c>
      <c r="F38" s="3" t="b">
        <v>1</v>
      </c>
      <c r="G38" s="3" t="b">
        <v>1</v>
      </c>
      <c r="H38" s="3" t="s">
        <v>26</v>
      </c>
      <c r="I38" s="4">
        <v>44179</v>
      </c>
      <c r="J38" s="4">
        <v>44352</v>
      </c>
      <c r="K38" s="4">
        <v>44887</v>
      </c>
      <c r="L38" s="3">
        <v>1</v>
      </c>
      <c r="M38" s="3">
        <v>100000</v>
      </c>
      <c r="N38" s="3">
        <v>15</v>
      </c>
      <c r="O38" s="3" t="b">
        <v>0</v>
      </c>
      <c r="P38" s="3" t="b">
        <v>0</v>
      </c>
      <c r="Q38" s="3">
        <v>2962.328767123292</v>
      </c>
      <c r="R38" s="3">
        <v>21986.301369863009</v>
      </c>
      <c r="S38" s="3">
        <v>24948.630136986299</v>
      </c>
      <c r="T38" s="5">
        <f>IF(J38&lt;&gt;"",M38*N38/365/100*('Cashflow Projection'!$B$2-Investors!J38),0)</f>
        <v>44835.616438356163</v>
      </c>
    </row>
    <row r="39" spans="1:20" x14ac:dyDescent="0.2">
      <c r="A39" s="3" t="s">
        <v>117</v>
      </c>
      <c r="B39" s="3" t="s">
        <v>118</v>
      </c>
      <c r="C39" s="3" t="s">
        <v>119</v>
      </c>
      <c r="D39" s="3" t="s">
        <v>24</v>
      </c>
      <c r="E39" s="3" t="s">
        <v>114</v>
      </c>
      <c r="F39" s="3" t="b">
        <v>1</v>
      </c>
      <c r="G39" s="3" t="b">
        <v>1</v>
      </c>
      <c r="H39" s="3" t="s">
        <v>26</v>
      </c>
      <c r="I39" s="4">
        <v>44155</v>
      </c>
      <c r="J39" s="4">
        <v>44352</v>
      </c>
      <c r="K39" s="4">
        <v>44887</v>
      </c>
      <c r="L39" s="3">
        <v>1</v>
      </c>
      <c r="M39" s="3">
        <v>500000</v>
      </c>
      <c r="N39" s="3">
        <v>18</v>
      </c>
      <c r="O39" s="3" t="b">
        <v>0</v>
      </c>
      <c r="P39" s="3" t="b">
        <v>0</v>
      </c>
      <c r="Q39" s="3">
        <v>16866.438356164392</v>
      </c>
      <c r="R39" s="3">
        <v>131917.80821917811</v>
      </c>
      <c r="S39" s="3">
        <v>148784.24657534249</v>
      </c>
      <c r="T39" s="5">
        <f>IF(J39&lt;&gt;"",M39*N39/365/100*('Cashflow Projection'!$B$2-Investors!J39),0)</f>
        <v>269013.69863013696</v>
      </c>
    </row>
    <row r="40" spans="1:20" x14ac:dyDescent="0.2">
      <c r="A40" s="3" t="s">
        <v>120</v>
      </c>
      <c r="B40" s="3" t="s">
        <v>121</v>
      </c>
      <c r="C40" s="3" t="s">
        <v>122</v>
      </c>
      <c r="D40" s="3" t="s">
        <v>24</v>
      </c>
      <c r="E40" s="3" t="s">
        <v>114</v>
      </c>
      <c r="F40" s="3" t="b">
        <v>1</v>
      </c>
      <c r="G40" s="3" t="b">
        <v>1</v>
      </c>
      <c r="H40" s="3" t="s">
        <v>26</v>
      </c>
      <c r="I40" s="4">
        <v>44274</v>
      </c>
      <c r="J40" s="4">
        <v>44352</v>
      </c>
      <c r="K40" s="4">
        <v>44887</v>
      </c>
      <c r="L40" s="3">
        <v>1</v>
      </c>
      <c r="M40" s="3">
        <v>200000</v>
      </c>
      <c r="N40" s="3">
        <v>15</v>
      </c>
      <c r="O40" s="3" t="b">
        <v>0</v>
      </c>
      <c r="P40" s="3" t="b">
        <v>0</v>
      </c>
      <c r="Q40" s="3">
        <v>2671.2328767123322</v>
      </c>
      <c r="R40" s="3">
        <v>43972.602739726033</v>
      </c>
      <c r="S40" s="3">
        <v>46643.835616438359</v>
      </c>
      <c r="T40" s="5">
        <f>IF(J40&lt;&gt;"",M40*N40/365/100*('Cashflow Projection'!$B$2-Investors!J40),0)</f>
        <v>89671.232876712325</v>
      </c>
    </row>
    <row r="41" spans="1:20" x14ac:dyDescent="0.2">
      <c r="A41" s="3" t="s">
        <v>123</v>
      </c>
      <c r="B41" s="3" t="s">
        <v>124</v>
      </c>
      <c r="C41" s="3" t="s">
        <v>125</v>
      </c>
      <c r="D41" s="3" t="s">
        <v>24</v>
      </c>
      <c r="E41" s="3" t="s">
        <v>126</v>
      </c>
      <c r="F41" s="3" t="b">
        <v>1</v>
      </c>
      <c r="G41" s="3" t="b">
        <v>1</v>
      </c>
      <c r="H41" s="3" t="s">
        <v>26</v>
      </c>
      <c r="I41" s="4">
        <v>44771</v>
      </c>
      <c r="J41" s="4">
        <v>44772</v>
      </c>
      <c r="K41" s="4">
        <v>44943</v>
      </c>
      <c r="L41" s="3">
        <v>10</v>
      </c>
      <c r="M41" s="3">
        <v>238431.51</v>
      </c>
      <c r="N41" s="3">
        <v>18</v>
      </c>
      <c r="O41" s="3" t="b">
        <v>0</v>
      </c>
      <c r="P41" s="3" t="b">
        <v>0</v>
      </c>
      <c r="Q41" s="3">
        <v>48.992776027397262</v>
      </c>
      <c r="R41" s="3">
        <v>20106.63528164383</v>
      </c>
      <c r="S41" s="3">
        <v>20155.628057671231</v>
      </c>
      <c r="T41" s="5">
        <f>IF(J41&lt;&gt;"",M41*N41/365/100*('Cashflow Projection'!$B$2-Investors!J41),0)</f>
        <v>78897.966514520536</v>
      </c>
    </row>
    <row r="42" spans="1:20" x14ac:dyDescent="0.2">
      <c r="A42" s="3" t="s">
        <v>127</v>
      </c>
      <c r="B42" s="3" t="s">
        <v>128</v>
      </c>
      <c r="C42" s="3" t="s">
        <v>129</v>
      </c>
      <c r="D42" s="3" t="s">
        <v>24</v>
      </c>
      <c r="E42" s="3" t="s">
        <v>126</v>
      </c>
      <c r="F42" s="3" t="b">
        <v>1</v>
      </c>
      <c r="G42" s="3" t="b">
        <v>1</v>
      </c>
      <c r="H42" s="3" t="s">
        <v>26</v>
      </c>
      <c r="I42" s="4">
        <v>44274</v>
      </c>
      <c r="J42" s="4">
        <v>44352</v>
      </c>
      <c r="K42" s="4">
        <v>44804</v>
      </c>
      <c r="L42" s="3">
        <v>1</v>
      </c>
      <c r="M42" s="3">
        <v>100000</v>
      </c>
      <c r="N42" s="3">
        <v>15</v>
      </c>
      <c r="O42" s="3" t="b">
        <v>1</v>
      </c>
      <c r="P42" s="3" t="b">
        <v>0</v>
      </c>
      <c r="Q42" s="3">
        <v>1335.6164383561661</v>
      </c>
      <c r="R42" s="3">
        <v>18575.34246575342</v>
      </c>
      <c r="S42" s="3">
        <v>19910.95890410959</v>
      </c>
      <c r="T42" s="5">
        <f>IF(J42&lt;&gt;"",M42*N42/365/100*('Cashflow Projection'!$B$2-Investors!J42),0)</f>
        <v>44835.616438356163</v>
      </c>
    </row>
    <row r="43" spans="1:20" x14ac:dyDescent="0.2">
      <c r="A43" s="3" t="s">
        <v>117</v>
      </c>
      <c r="B43" s="3" t="s">
        <v>118</v>
      </c>
      <c r="C43" s="3" t="s">
        <v>119</v>
      </c>
      <c r="D43" s="3" t="s">
        <v>24</v>
      </c>
      <c r="E43" s="3" t="s">
        <v>126</v>
      </c>
      <c r="F43" s="3" t="b">
        <v>1</v>
      </c>
      <c r="G43" s="3" t="b">
        <v>1</v>
      </c>
      <c r="H43" s="3" t="s">
        <v>26</v>
      </c>
      <c r="I43" s="4">
        <v>44155</v>
      </c>
      <c r="J43" s="4">
        <v>44352</v>
      </c>
      <c r="K43" s="4">
        <v>44943</v>
      </c>
      <c r="L43" s="3">
        <v>2</v>
      </c>
      <c r="M43" s="3">
        <v>500000</v>
      </c>
      <c r="N43" s="3">
        <v>18</v>
      </c>
      <c r="O43" s="3" t="b">
        <v>0</v>
      </c>
      <c r="P43" s="3" t="b">
        <v>0</v>
      </c>
      <c r="Q43" s="3">
        <v>16866.438356164392</v>
      </c>
      <c r="R43" s="3">
        <v>145726.0273972603</v>
      </c>
      <c r="S43" s="3">
        <v>162592.46575342471</v>
      </c>
      <c r="T43" s="5">
        <f>IF(J43&lt;&gt;"",M43*N43/365/100*('Cashflow Projection'!$B$2-Investors!J43),0)</f>
        <v>269013.69863013696</v>
      </c>
    </row>
    <row r="44" spans="1:20" x14ac:dyDescent="0.2">
      <c r="A44" s="3" t="s">
        <v>130</v>
      </c>
      <c r="B44" s="3" t="s">
        <v>131</v>
      </c>
      <c r="C44" s="3" t="s">
        <v>132</v>
      </c>
      <c r="D44" s="3" t="s">
        <v>24</v>
      </c>
      <c r="E44" s="3" t="s">
        <v>126</v>
      </c>
      <c r="F44" s="3" t="b">
        <v>1</v>
      </c>
      <c r="G44" s="3" t="b">
        <v>1</v>
      </c>
      <c r="H44" s="3" t="s">
        <v>26</v>
      </c>
      <c r="I44" s="4">
        <v>44237</v>
      </c>
      <c r="J44" s="4">
        <v>44378</v>
      </c>
      <c r="K44" s="4">
        <v>44943</v>
      </c>
      <c r="L44" s="3">
        <v>1</v>
      </c>
      <c r="M44" s="3">
        <v>100000</v>
      </c>
      <c r="N44" s="3">
        <v>15</v>
      </c>
      <c r="O44" s="3" t="b">
        <v>0</v>
      </c>
      <c r="P44" s="3" t="b">
        <v>0</v>
      </c>
      <c r="Q44" s="3">
        <v>2414.3835616438391</v>
      </c>
      <c r="R44" s="3">
        <v>23219.178082191778</v>
      </c>
      <c r="S44" s="3">
        <v>25633.561643835619</v>
      </c>
      <c r="T44" s="5">
        <f>IF(J44&lt;&gt;"",M44*N44/365/100*('Cashflow Projection'!$B$2-Investors!J44),0)</f>
        <v>43767.123287671231</v>
      </c>
    </row>
    <row r="45" spans="1:20" x14ac:dyDescent="0.2">
      <c r="A45" s="3" t="s">
        <v>133</v>
      </c>
      <c r="B45" s="3" t="s">
        <v>134</v>
      </c>
      <c r="C45" s="3" t="s">
        <v>135</v>
      </c>
      <c r="D45" s="3" t="s">
        <v>24</v>
      </c>
      <c r="E45" s="3" t="s">
        <v>136</v>
      </c>
      <c r="F45" s="3" t="b">
        <v>1</v>
      </c>
      <c r="G45" s="3" t="b">
        <v>1</v>
      </c>
      <c r="H45" s="3" t="s">
        <v>26</v>
      </c>
      <c r="I45" s="4">
        <v>44266</v>
      </c>
      <c r="J45" s="4">
        <v>44352</v>
      </c>
      <c r="K45" s="4">
        <v>44887</v>
      </c>
      <c r="L45" s="3">
        <v>1</v>
      </c>
      <c r="M45" s="3">
        <v>500000</v>
      </c>
      <c r="N45" s="3">
        <v>18</v>
      </c>
      <c r="O45" s="3" t="b">
        <v>0</v>
      </c>
      <c r="P45" s="3" t="b">
        <v>0</v>
      </c>
      <c r="Q45" s="3">
        <v>7363.0136986301432</v>
      </c>
      <c r="R45" s="3">
        <v>131917.80821917811</v>
      </c>
      <c r="S45" s="3">
        <v>139280.82191780821</v>
      </c>
      <c r="T45" s="5">
        <f>IF(J45&lt;&gt;"",M45*N45/365/100*('Cashflow Projection'!$B$2-Investors!J45),0)</f>
        <v>269013.69863013696</v>
      </c>
    </row>
    <row r="46" spans="1:20" x14ac:dyDescent="0.2">
      <c r="A46" s="3" t="s">
        <v>137</v>
      </c>
      <c r="B46" s="3" t="s">
        <v>138</v>
      </c>
      <c r="C46" s="3" t="s">
        <v>94</v>
      </c>
      <c r="D46" s="3" t="s">
        <v>24</v>
      </c>
      <c r="E46" s="3" t="s">
        <v>136</v>
      </c>
      <c r="F46" s="3" t="b">
        <v>1</v>
      </c>
      <c r="G46" s="3" t="b">
        <v>1</v>
      </c>
      <c r="H46" s="3" t="s">
        <v>26</v>
      </c>
      <c r="I46" s="4">
        <v>44256</v>
      </c>
      <c r="J46" s="4">
        <v>44352</v>
      </c>
      <c r="K46" s="4">
        <v>44887</v>
      </c>
      <c r="L46" s="3">
        <v>1</v>
      </c>
      <c r="M46" s="3">
        <v>100000</v>
      </c>
      <c r="N46" s="3">
        <v>15</v>
      </c>
      <c r="O46" s="3" t="b">
        <v>0</v>
      </c>
      <c r="P46" s="3" t="b">
        <v>0</v>
      </c>
      <c r="Q46" s="3">
        <v>1643.8356164383581</v>
      </c>
      <c r="R46" s="3">
        <v>21986.301369863009</v>
      </c>
      <c r="S46" s="3">
        <v>23630.136986301372</v>
      </c>
      <c r="T46" s="5">
        <f>IF(J46&lt;&gt;"",M46*N46/365/100*('Cashflow Projection'!$B$2-Investors!J46),0)</f>
        <v>44835.616438356163</v>
      </c>
    </row>
    <row r="47" spans="1:20" x14ac:dyDescent="0.2">
      <c r="A47" s="3" t="s">
        <v>139</v>
      </c>
      <c r="B47" s="3" t="s">
        <v>140</v>
      </c>
      <c r="C47" s="3" t="s">
        <v>141</v>
      </c>
      <c r="D47" s="3" t="s">
        <v>24</v>
      </c>
      <c r="E47" s="3" t="s">
        <v>136</v>
      </c>
      <c r="F47" s="3" t="b">
        <v>1</v>
      </c>
      <c r="G47" s="3" t="b">
        <v>1</v>
      </c>
      <c r="H47" s="3" t="s">
        <v>26</v>
      </c>
      <c r="I47" s="4">
        <v>44180</v>
      </c>
      <c r="J47" s="4">
        <v>44378</v>
      </c>
      <c r="K47" s="4">
        <v>44887</v>
      </c>
      <c r="L47" s="3">
        <v>3</v>
      </c>
      <c r="M47" s="3">
        <v>118641.1</v>
      </c>
      <c r="N47" s="3">
        <v>18</v>
      </c>
      <c r="O47" s="3" t="b">
        <v>0</v>
      </c>
      <c r="P47" s="3" t="b">
        <v>0</v>
      </c>
      <c r="Q47" s="3">
        <v>4022.4208561643918</v>
      </c>
      <c r="R47" s="3">
        <v>29780.541320547949</v>
      </c>
      <c r="S47" s="3">
        <v>33802.962176712339</v>
      </c>
      <c r="T47" s="5">
        <f>IF(J47&lt;&gt;"",M47*N47/365/100*('Cashflow Projection'!$B$2-Investors!J47),0)</f>
        <v>62310.955808219194</v>
      </c>
    </row>
    <row r="48" spans="1:20" x14ac:dyDescent="0.2">
      <c r="A48" s="3" t="s">
        <v>142</v>
      </c>
      <c r="B48" s="3" t="s">
        <v>143</v>
      </c>
      <c r="C48" s="3" t="s">
        <v>144</v>
      </c>
      <c r="D48" s="3" t="s">
        <v>24</v>
      </c>
      <c r="E48" s="3" t="s">
        <v>136</v>
      </c>
      <c r="F48" s="3" t="b">
        <v>1</v>
      </c>
      <c r="G48" s="3" t="b">
        <v>1</v>
      </c>
      <c r="H48" s="3" t="s">
        <v>26</v>
      </c>
      <c r="I48" s="4">
        <v>44183</v>
      </c>
      <c r="J48" s="4">
        <v>44316</v>
      </c>
      <c r="K48" s="4">
        <v>44887</v>
      </c>
      <c r="L48" s="3">
        <v>3</v>
      </c>
      <c r="M48" s="3">
        <v>50000</v>
      </c>
      <c r="N48" s="3">
        <v>18</v>
      </c>
      <c r="O48" s="3" t="b">
        <v>0</v>
      </c>
      <c r="P48" s="3" t="b">
        <v>0</v>
      </c>
      <c r="Q48" s="3">
        <v>1138.698630136988</v>
      </c>
      <c r="R48" s="3">
        <v>14079.452054794519</v>
      </c>
      <c r="S48" s="3">
        <v>15218.15068493151</v>
      </c>
      <c r="T48" s="5">
        <f>IF(J48&lt;&gt;"",M48*N48/365/100*('Cashflow Projection'!$B$2-Investors!J48),0)</f>
        <v>27789.04109589041</v>
      </c>
    </row>
    <row r="49" spans="1:20" x14ac:dyDescent="0.2">
      <c r="A49" s="3" t="s">
        <v>145</v>
      </c>
      <c r="B49" s="3" t="s">
        <v>146</v>
      </c>
      <c r="C49" s="6" t="s">
        <v>147</v>
      </c>
      <c r="D49" s="3" t="s">
        <v>24</v>
      </c>
      <c r="E49" s="3" t="s">
        <v>148</v>
      </c>
      <c r="F49" s="3" t="b">
        <v>1</v>
      </c>
      <c r="G49" s="3" t="b">
        <v>1</v>
      </c>
      <c r="H49" s="3" t="s">
        <v>26</v>
      </c>
      <c r="I49" s="4">
        <v>44230</v>
      </c>
      <c r="J49" s="4">
        <v>44378</v>
      </c>
      <c r="K49" s="4">
        <v>44901</v>
      </c>
      <c r="L49" s="3">
        <v>4</v>
      </c>
      <c r="M49" s="3">
        <v>200000</v>
      </c>
      <c r="N49" s="3">
        <v>18</v>
      </c>
      <c r="O49" s="3" t="b">
        <v>0</v>
      </c>
      <c r="P49" s="3" t="b">
        <v>0</v>
      </c>
      <c r="Q49" s="3">
        <v>5068.493150684938</v>
      </c>
      <c r="R49" s="3">
        <v>51583.561643835623</v>
      </c>
      <c r="S49" s="3">
        <v>56652.054794520547</v>
      </c>
      <c r="T49" s="5">
        <f>IF(J49&lt;&gt;"",M49*N49/365/100*('Cashflow Projection'!$B$2-Investors!J49),0)</f>
        <v>105041.09589041096</v>
      </c>
    </row>
    <row r="50" spans="1:20" x14ac:dyDescent="0.2">
      <c r="A50" s="3" t="s">
        <v>27</v>
      </c>
      <c r="B50" s="3" t="s">
        <v>28</v>
      </c>
      <c r="C50" s="3" t="s">
        <v>29</v>
      </c>
      <c r="D50" s="3" t="s">
        <v>24</v>
      </c>
      <c r="E50" s="3" t="s">
        <v>148</v>
      </c>
      <c r="F50" s="3" t="b">
        <v>1</v>
      </c>
      <c r="G50" s="3" t="b">
        <v>1</v>
      </c>
      <c r="H50" s="3" t="s">
        <v>26</v>
      </c>
      <c r="I50" s="4">
        <v>44160</v>
      </c>
      <c r="J50" s="4">
        <v>44352</v>
      </c>
      <c r="K50" s="4">
        <v>44901</v>
      </c>
      <c r="L50" s="3">
        <v>11</v>
      </c>
      <c r="M50" s="3">
        <v>618344.34</v>
      </c>
      <c r="N50" s="3">
        <v>18</v>
      </c>
      <c r="O50" s="3" t="b">
        <v>0</v>
      </c>
      <c r="P50" s="3" t="b">
        <v>0</v>
      </c>
      <c r="Q50" s="3">
        <v>20329.128986301359</v>
      </c>
      <c r="R50" s="3">
        <v>167410.3772021918</v>
      </c>
      <c r="S50" s="3">
        <v>187739.50618849311</v>
      </c>
      <c r="T50" s="5">
        <f>IF(J50&lt;&gt;"",M50*N50/365/100*('Cashflow Projection'!$B$2-Investors!J50),0)</f>
        <v>332686.19586082193</v>
      </c>
    </row>
    <row r="51" spans="1:20" x14ac:dyDescent="0.2">
      <c r="A51" s="3" t="s">
        <v>149</v>
      </c>
      <c r="B51" s="3" t="s">
        <v>150</v>
      </c>
      <c r="C51" s="3" t="s">
        <v>151</v>
      </c>
      <c r="D51" s="3" t="s">
        <v>24</v>
      </c>
      <c r="E51" s="3" t="s">
        <v>148</v>
      </c>
      <c r="F51" s="3" t="b">
        <v>1</v>
      </c>
      <c r="G51" s="3" t="b">
        <v>1</v>
      </c>
      <c r="H51" s="3" t="s">
        <v>26</v>
      </c>
      <c r="I51" s="4">
        <v>44257</v>
      </c>
      <c r="J51" s="4">
        <v>44378</v>
      </c>
      <c r="K51" s="4">
        <v>44901</v>
      </c>
      <c r="L51" s="3">
        <v>1</v>
      </c>
      <c r="M51" s="3">
        <v>100000</v>
      </c>
      <c r="N51" s="3">
        <v>15</v>
      </c>
      <c r="O51" s="3" t="b">
        <v>0</v>
      </c>
      <c r="P51" s="3" t="b">
        <v>0</v>
      </c>
      <c r="Q51" s="3">
        <v>2071.9178082191811</v>
      </c>
      <c r="R51" s="3">
        <v>21493.150684931501</v>
      </c>
      <c r="S51" s="3">
        <v>23565.06849315068</v>
      </c>
      <c r="T51" s="5">
        <f>IF(J51&lt;&gt;"",M51*N51/365/100*('Cashflow Projection'!$B$2-Investors!J51),0)</f>
        <v>43767.123287671231</v>
      </c>
    </row>
    <row r="52" spans="1:20" x14ac:dyDescent="0.2">
      <c r="A52" s="3" t="s">
        <v>152</v>
      </c>
      <c r="B52" s="3" t="s">
        <v>153</v>
      </c>
      <c r="C52" s="3" t="s">
        <v>154</v>
      </c>
      <c r="D52" s="3" t="s">
        <v>24</v>
      </c>
      <c r="E52" s="3" t="s">
        <v>155</v>
      </c>
      <c r="F52" s="3" t="b">
        <v>1</v>
      </c>
      <c r="G52" s="3" t="b">
        <v>1</v>
      </c>
      <c r="H52" s="3" t="s">
        <v>26</v>
      </c>
      <c r="I52" s="4">
        <v>44238</v>
      </c>
      <c r="J52" s="4">
        <v>44352</v>
      </c>
      <c r="K52" s="4">
        <v>44887</v>
      </c>
      <c r="L52" s="3">
        <v>1</v>
      </c>
      <c r="M52" s="3">
        <v>300000</v>
      </c>
      <c r="N52" s="3">
        <v>15</v>
      </c>
      <c r="O52" s="3" t="b">
        <v>0</v>
      </c>
      <c r="P52" s="3" t="b">
        <v>0</v>
      </c>
      <c r="Q52" s="3">
        <v>5856.1643835616514</v>
      </c>
      <c r="R52" s="3">
        <v>65958.904109589042</v>
      </c>
      <c r="S52" s="3">
        <v>71815.068493150698</v>
      </c>
      <c r="T52" s="5">
        <f>IF(J52&lt;&gt;"",M52*N52/365/100*('Cashflow Projection'!$B$2-Investors!J52),0)</f>
        <v>134506.84931506848</v>
      </c>
    </row>
    <row r="53" spans="1:20" x14ac:dyDescent="0.2">
      <c r="A53" s="3" t="s">
        <v>156</v>
      </c>
      <c r="B53" s="3" t="s">
        <v>157</v>
      </c>
      <c r="C53" s="3" t="s">
        <v>158</v>
      </c>
      <c r="D53" s="3" t="s">
        <v>24</v>
      </c>
      <c r="E53" s="3" t="s">
        <v>155</v>
      </c>
      <c r="F53" s="3" t="b">
        <v>1</v>
      </c>
      <c r="G53" s="3" t="b">
        <v>1</v>
      </c>
      <c r="H53" s="3" t="s">
        <v>26</v>
      </c>
      <c r="I53" s="4">
        <v>44180</v>
      </c>
      <c r="J53" s="4">
        <v>44352</v>
      </c>
      <c r="K53" s="4">
        <v>44887</v>
      </c>
      <c r="L53" s="3">
        <v>2</v>
      </c>
      <c r="M53" s="3">
        <v>592342.47</v>
      </c>
      <c r="N53" s="3">
        <v>18</v>
      </c>
      <c r="O53" s="3" t="b">
        <v>0</v>
      </c>
      <c r="P53" s="3" t="b">
        <v>0</v>
      </c>
      <c r="Q53" s="3">
        <v>17445.70288356164</v>
      </c>
      <c r="R53" s="3">
        <v>156281.04071506849</v>
      </c>
      <c r="S53" s="3">
        <v>173726.7435986301</v>
      </c>
      <c r="T53" s="5">
        <f>IF(J53&lt;&gt;"",M53*N53/365/100*('Cashflow Projection'!$B$2-Investors!J53),0)</f>
        <v>318696.4774208219</v>
      </c>
    </row>
    <row r="54" spans="1:20" x14ac:dyDescent="0.2">
      <c r="A54" s="3" t="s">
        <v>159</v>
      </c>
      <c r="B54" s="3" t="s">
        <v>160</v>
      </c>
      <c r="C54" s="3" t="s">
        <v>161</v>
      </c>
      <c r="D54" s="3" t="s">
        <v>24</v>
      </c>
      <c r="E54" s="3" t="s">
        <v>162</v>
      </c>
      <c r="F54" s="3" t="b">
        <v>1</v>
      </c>
      <c r="G54" s="3" t="b">
        <v>1</v>
      </c>
      <c r="H54" s="3" t="s">
        <v>26</v>
      </c>
      <c r="I54" s="4">
        <v>44221</v>
      </c>
      <c r="J54" s="4">
        <v>44352</v>
      </c>
      <c r="K54" s="4">
        <v>44896</v>
      </c>
      <c r="L54" s="3">
        <v>1</v>
      </c>
      <c r="M54" s="3">
        <v>100000</v>
      </c>
      <c r="N54" s="3">
        <v>15</v>
      </c>
      <c r="O54" s="3" t="b">
        <v>0</v>
      </c>
      <c r="P54" s="3" t="b">
        <v>0</v>
      </c>
      <c r="Q54" s="3">
        <v>2243.1506849315101</v>
      </c>
      <c r="R54" s="3">
        <v>22356.164383561641</v>
      </c>
      <c r="S54" s="3">
        <v>24599.31506849315</v>
      </c>
      <c r="T54" s="5">
        <f>IF(J54&lt;&gt;"",M54*N54/365/100*('Cashflow Projection'!$B$2-Investors!J54),0)</f>
        <v>44835.616438356163</v>
      </c>
    </row>
    <row r="55" spans="1:20" x14ac:dyDescent="0.2">
      <c r="A55" s="3" t="s">
        <v>163</v>
      </c>
      <c r="B55" s="3" t="s">
        <v>164</v>
      </c>
      <c r="C55" s="3" t="s">
        <v>165</v>
      </c>
      <c r="D55" s="3" t="s">
        <v>24</v>
      </c>
      <c r="E55" s="3" t="s">
        <v>162</v>
      </c>
      <c r="F55" s="3" t="b">
        <v>1</v>
      </c>
      <c r="G55" s="3" t="b">
        <v>1</v>
      </c>
      <c r="H55" s="3" t="s">
        <v>26</v>
      </c>
      <c r="I55" s="4">
        <v>44230</v>
      </c>
      <c r="J55" s="4">
        <v>44352</v>
      </c>
      <c r="K55" s="4">
        <v>44896</v>
      </c>
      <c r="L55" s="3">
        <v>1</v>
      </c>
      <c r="M55" s="3">
        <v>200000</v>
      </c>
      <c r="N55" s="3">
        <v>15</v>
      </c>
      <c r="O55" s="3" t="b">
        <v>0</v>
      </c>
      <c r="P55" s="3" t="b">
        <v>0</v>
      </c>
      <c r="Q55" s="3">
        <v>4178.0821917808271</v>
      </c>
      <c r="R55" s="3">
        <v>44712.328767123283</v>
      </c>
      <c r="S55" s="3">
        <v>48890.410958904111</v>
      </c>
      <c r="T55" s="5">
        <f>IF(J55&lt;&gt;"",M55*N55/365/100*('Cashflow Projection'!$B$2-Investors!J55),0)</f>
        <v>89671.232876712325</v>
      </c>
    </row>
    <row r="56" spans="1:20" x14ac:dyDescent="0.2">
      <c r="A56" s="3" t="s">
        <v>166</v>
      </c>
      <c r="B56" s="3" t="s">
        <v>167</v>
      </c>
      <c r="C56" s="3" t="s">
        <v>168</v>
      </c>
      <c r="D56" s="3" t="s">
        <v>24</v>
      </c>
      <c r="E56" s="3" t="s">
        <v>162</v>
      </c>
      <c r="F56" s="3" t="b">
        <v>1</v>
      </c>
      <c r="G56" s="3" t="b">
        <v>1</v>
      </c>
      <c r="H56" s="3" t="s">
        <v>26</v>
      </c>
      <c r="I56" s="4">
        <v>44218</v>
      </c>
      <c r="J56" s="4">
        <v>44352</v>
      </c>
      <c r="K56" s="4">
        <v>44896</v>
      </c>
      <c r="L56" s="3">
        <v>1</v>
      </c>
      <c r="M56" s="3">
        <v>100000</v>
      </c>
      <c r="N56" s="3">
        <v>15</v>
      </c>
      <c r="O56" s="3" t="b">
        <v>0</v>
      </c>
      <c r="P56" s="3" t="b">
        <v>0</v>
      </c>
      <c r="Q56" s="3">
        <v>2294.5205479452079</v>
      </c>
      <c r="R56" s="3">
        <v>22356.164383561641</v>
      </c>
      <c r="S56" s="3">
        <v>24650.68493150685</v>
      </c>
      <c r="T56" s="5">
        <f>IF(J56&lt;&gt;"",M56*N56/365/100*('Cashflow Projection'!$B$2-Investors!J56),0)</f>
        <v>44835.616438356163</v>
      </c>
    </row>
    <row r="57" spans="1:20" x14ac:dyDescent="0.2">
      <c r="A57" s="3" t="s">
        <v>169</v>
      </c>
      <c r="B57" s="3" t="s">
        <v>170</v>
      </c>
      <c r="C57" s="3" t="s">
        <v>171</v>
      </c>
      <c r="D57" s="3" t="s">
        <v>24</v>
      </c>
      <c r="E57" s="3" t="s">
        <v>162</v>
      </c>
      <c r="F57" s="3" t="b">
        <v>1</v>
      </c>
      <c r="G57" s="3" t="b">
        <v>1</v>
      </c>
      <c r="H57" s="3" t="s">
        <v>26</v>
      </c>
      <c r="I57" s="4">
        <v>44228</v>
      </c>
      <c r="J57" s="4">
        <v>44352</v>
      </c>
      <c r="K57" s="4">
        <v>44896</v>
      </c>
      <c r="L57" s="3">
        <v>1</v>
      </c>
      <c r="M57" s="3">
        <v>500500</v>
      </c>
      <c r="N57" s="3">
        <v>18</v>
      </c>
      <c r="O57" s="3" t="b">
        <v>0</v>
      </c>
      <c r="P57" s="3" t="b">
        <v>0</v>
      </c>
      <c r="Q57" s="3">
        <v>10627.054794520551</v>
      </c>
      <c r="R57" s="3">
        <v>134271.12328767119</v>
      </c>
      <c r="S57" s="3">
        <v>144898.17808219179</v>
      </c>
      <c r="T57" s="5">
        <f>IF(J57&lt;&gt;"",M57*N57/365/100*('Cashflow Projection'!$B$2-Investors!J57),0)</f>
        <v>269282.71232876711</v>
      </c>
    </row>
    <row r="58" spans="1:20" x14ac:dyDescent="0.2">
      <c r="A58" s="3" t="s">
        <v>172</v>
      </c>
      <c r="B58" s="3" t="s">
        <v>173</v>
      </c>
      <c r="C58" s="3" t="s">
        <v>174</v>
      </c>
      <c r="D58" s="3" t="s">
        <v>24</v>
      </c>
      <c r="E58" s="3" t="s">
        <v>175</v>
      </c>
      <c r="F58" s="3" t="b">
        <v>1</v>
      </c>
      <c r="G58" s="3" t="b">
        <v>1</v>
      </c>
      <c r="H58" s="3" t="s">
        <v>26</v>
      </c>
      <c r="I58" s="4">
        <v>44245</v>
      </c>
      <c r="J58" s="4">
        <v>44855</v>
      </c>
      <c r="K58" s="4">
        <v>44915</v>
      </c>
      <c r="L58" s="3">
        <v>2</v>
      </c>
      <c r="M58" s="3">
        <v>350000</v>
      </c>
      <c r="N58" s="3">
        <v>15</v>
      </c>
      <c r="O58" s="3" t="b">
        <v>1</v>
      </c>
      <c r="P58" s="3" t="b">
        <v>0</v>
      </c>
      <c r="Q58" s="3">
        <v>39883.219178081978</v>
      </c>
      <c r="R58" s="3">
        <v>8630.1369863013697</v>
      </c>
      <c r="S58" s="3">
        <v>48513.356164383353</v>
      </c>
      <c r="T58" s="5">
        <f>IF(J58&lt;&gt;"",M58*N58/365/100*('Cashflow Projection'!$B$2-Investors!J58),0)</f>
        <v>84575.342465753434</v>
      </c>
    </row>
    <row r="59" spans="1:20" x14ac:dyDescent="0.2">
      <c r="A59" s="3" t="s">
        <v>176</v>
      </c>
      <c r="B59" s="3" t="s">
        <v>177</v>
      </c>
      <c r="C59" s="3" t="s">
        <v>178</v>
      </c>
      <c r="D59" s="3" t="s">
        <v>24</v>
      </c>
      <c r="E59" s="3" t="s">
        <v>175</v>
      </c>
      <c r="F59" s="3" t="b">
        <v>1</v>
      </c>
      <c r="G59" s="3" t="b">
        <v>1</v>
      </c>
      <c r="H59" s="3" t="s">
        <v>26</v>
      </c>
      <c r="I59" s="4">
        <v>44246</v>
      </c>
      <c r="J59" s="4">
        <v>44352</v>
      </c>
      <c r="K59" s="4">
        <v>44951</v>
      </c>
      <c r="L59" s="3">
        <v>1</v>
      </c>
      <c r="M59" s="3">
        <v>150000</v>
      </c>
      <c r="N59" s="3">
        <v>15</v>
      </c>
      <c r="O59" s="3" t="b">
        <v>1</v>
      </c>
      <c r="P59" s="3" t="b">
        <v>0</v>
      </c>
      <c r="Q59" s="3">
        <v>2722.60273972603</v>
      </c>
      <c r="R59" s="3">
        <v>36924.65753424658</v>
      </c>
      <c r="S59" s="3">
        <v>39647.260273972614</v>
      </c>
      <c r="T59" s="5">
        <f>IF(J59&lt;&gt;"",M59*N59/365/100*('Cashflow Projection'!$B$2-Investors!J59),0)</f>
        <v>67253.42465753424</v>
      </c>
    </row>
    <row r="60" spans="1:20" x14ac:dyDescent="0.2">
      <c r="A60" s="3" t="s">
        <v>179</v>
      </c>
      <c r="B60" s="3" t="s">
        <v>180</v>
      </c>
      <c r="C60" s="3" t="s">
        <v>181</v>
      </c>
      <c r="D60" s="3" t="s">
        <v>24</v>
      </c>
      <c r="E60" s="3" t="s">
        <v>175</v>
      </c>
      <c r="F60" s="3" t="b">
        <v>1</v>
      </c>
      <c r="G60" s="3" t="b">
        <v>1</v>
      </c>
      <c r="H60" s="3" t="s">
        <v>26</v>
      </c>
      <c r="I60" s="4">
        <v>44253</v>
      </c>
      <c r="J60" s="4">
        <v>44352</v>
      </c>
      <c r="K60" s="4">
        <v>44951</v>
      </c>
      <c r="L60" s="3">
        <v>1</v>
      </c>
      <c r="M60" s="3">
        <v>100000</v>
      </c>
      <c r="N60" s="3">
        <v>18</v>
      </c>
      <c r="O60" s="3" t="b">
        <v>1</v>
      </c>
      <c r="P60" s="3" t="b">
        <v>0</v>
      </c>
      <c r="Q60" s="3">
        <v>1695.205479452057</v>
      </c>
      <c r="R60" s="3">
        <v>29539.726027397261</v>
      </c>
      <c r="S60" s="3">
        <v>31234.93150684932</v>
      </c>
      <c r="T60" s="5">
        <f>IF(J60&lt;&gt;"",M60*N60/365/100*('Cashflow Projection'!$B$2-Investors!J60),0)</f>
        <v>53802.739726027394</v>
      </c>
    </row>
    <row r="61" spans="1:20" x14ac:dyDescent="0.2">
      <c r="A61" s="3" t="s">
        <v>182</v>
      </c>
      <c r="B61" s="3" t="s">
        <v>183</v>
      </c>
      <c r="C61" s="3" t="s">
        <v>184</v>
      </c>
      <c r="D61" s="3" t="s">
        <v>24</v>
      </c>
      <c r="E61" s="3" t="s">
        <v>175</v>
      </c>
      <c r="F61" s="3" t="b">
        <v>1</v>
      </c>
      <c r="G61" s="3" t="b">
        <v>1</v>
      </c>
      <c r="H61" s="3" t="s">
        <v>26</v>
      </c>
      <c r="I61" s="4">
        <v>44442</v>
      </c>
      <c r="J61" s="4">
        <v>44508</v>
      </c>
      <c r="K61" s="4">
        <v>45020</v>
      </c>
      <c r="L61" s="3">
        <v>1</v>
      </c>
      <c r="M61" s="3">
        <v>100000</v>
      </c>
      <c r="N61" s="3">
        <v>14</v>
      </c>
      <c r="O61" s="3" t="b">
        <v>1</v>
      </c>
      <c r="P61" s="3" t="b">
        <v>0</v>
      </c>
      <c r="Q61" s="3">
        <v>1130.1369863013711</v>
      </c>
      <c r="R61" s="3">
        <v>19638.35616438356</v>
      </c>
      <c r="S61" s="3">
        <v>20768.493150684932</v>
      </c>
      <c r="T61" s="5">
        <f>IF(J61&lt;&gt;"",M61*N61/365/100*('Cashflow Projection'!$B$2-Investors!J61),0)</f>
        <v>35863.013698630144</v>
      </c>
    </row>
    <row r="62" spans="1:20" x14ac:dyDescent="0.2">
      <c r="A62" s="3" t="s">
        <v>185</v>
      </c>
      <c r="B62" s="3" t="s">
        <v>186</v>
      </c>
      <c r="C62" s="3" t="s">
        <v>187</v>
      </c>
      <c r="D62" s="3" t="s">
        <v>24</v>
      </c>
      <c r="E62" s="3" t="s">
        <v>175</v>
      </c>
      <c r="F62" s="3" t="b">
        <v>1</v>
      </c>
      <c r="G62" s="3" t="b">
        <v>1</v>
      </c>
      <c r="H62" s="3" t="s">
        <v>26</v>
      </c>
      <c r="I62" s="4">
        <v>44454</v>
      </c>
      <c r="J62" s="4">
        <v>44508</v>
      </c>
      <c r="K62" s="4">
        <v>44951</v>
      </c>
      <c r="L62" s="3">
        <v>2</v>
      </c>
      <c r="M62" s="3">
        <v>100000</v>
      </c>
      <c r="N62" s="3">
        <v>14</v>
      </c>
      <c r="O62" s="3" t="b">
        <v>1</v>
      </c>
      <c r="P62" s="3" t="b">
        <v>0</v>
      </c>
      <c r="Q62" s="3">
        <v>924.65753424657623</v>
      </c>
      <c r="R62" s="3">
        <v>16991.780821917811</v>
      </c>
      <c r="S62" s="3">
        <v>17916.438356164381</v>
      </c>
      <c r="T62" s="5">
        <f>IF(J62&lt;&gt;"",M62*N62/365/100*('Cashflow Projection'!$B$2-Investors!J62),0)</f>
        <v>35863.013698630144</v>
      </c>
    </row>
    <row r="63" spans="1:20" x14ac:dyDescent="0.2">
      <c r="A63" s="3" t="s">
        <v>188</v>
      </c>
      <c r="B63" s="3" t="s">
        <v>189</v>
      </c>
      <c r="C63" s="3" t="s">
        <v>190</v>
      </c>
      <c r="D63" s="3" t="s">
        <v>24</v>
      </c>
      <c r="E63" s="3" t="s">
        <v>191</v>
      </c>
      <c r="F63" s="3" t="b">
        <v>1</v>
      </c>
      <c r="G63" s="3" t="b">
        <v>1</v>
      </c>
      <c r="H63" s="3" t="s">
        <v>26</v>
      </c>
      <c r="I63" s="4">
        <v>44321</v>
      </c>
      <c r="J63" s="4">
        <v>44352</v>
      </c>
      <c r="K63" s="4">
        <v>44895</v>
      </c>
      <c r="L63" s="3">
        <v>1</v>
      </c>
      <c r="M63" s="3">
        <v>500100</v>
      </c>
      <c r="N63" s="3">
        <v>18</v>
      </c>
      <c r="O63" s="3" t="b">
        <v>1</v>
      </c>
      <c r="P63" s="3" t="b">
        <v>0</v>
      </c>
      <c r="Q63" s="3">
        <v>2654.6404109589039</v>
      </c>
      <c r="R63" s="3">
        <v>133917.1890410959</v>
      </c>
      <c r="S63" s="3">
        <v>136571.82945205481</v>
      </c>
      <c r="T63" s="5">
        <f>IF(J63&lt;&gt;"",M63*N63/365/100*('Cashflow Projection'!$B$2-Investors!J63),0)</f>
        <v>269067.50136986299</v>
      </c>
    </row>
    <row r="64" spans="1:20" x14ac:dyDescent="0.2">
      <c r="A64" s="3" t="s">
        <v>192</v>
      </c>
      <c r="B64" s="3" t="s">
        <v>193</v>
      </c>
      <c r="C64" s="3" t="s">
        <v>194</v>
      </c>
      <c r="D64" s="3" t="s">
        <v>24</v>
      </c>
      <c r="E64" s="3" t="s">
        <v>191</v>
      </c>
      <c r="F64" s="3" t="b">
        <v>1</v>
      </c>
      <c r="G64" s="3" t="b">
        <v>1</v>
      </c>
      <c r="H64" s="3" t="s">
        <v>26</v>
      </c>
      <c r="I64" s="4">
        <v>44488</v>
      </c>
      <c r="J64" s="4">
        <v>44618</v>
      </c>
      <c r="K64" s="4">
        <v>44942</v>
      </c>
      <c r="L64" s="3">
        <v>1</v>
      </c>
      <c r="M64" s="3">
        <v>100000</v>
      </c>
      <c r="N64" s="3">
        <v>14</v>
      </c>
      <c r="O64" s="3" t="b">
        <v>0</v>
      </c>
      <c r="P64" s="3" t="b">
        <v>0</v>
      </c>
      <c r="Q64" s="3">
        <v>2304.1095890411011</v>
      </c>
      <c r="R64" s="3">
        <v>12427.39726027397</v>
      </c>
      <c r="S64" s="3">
        <v>14731.50684931507</v>
      </c>
      <c r="T64" s="5">
        <f>IF(J64&lt;&gt;"",M64*N64/365/100*('Cashflow Projection'!$B$2-Investors!J64),0)</f>
        <v>31643.835616438359</v>
      </c>
    </row>
    <row r="65" spans="1:20" x14ac:dyDescent="0.2">
      <c r="A65" s="3" t="s">
        <v>195</v>
      </c>
      <c r="B65" s="3" t="s">
        <v>196</v>
      </c>
      <c r="C65" s="3" t="s">
        <v>197</v>
      </c>
      <c r="D65" s="3" t="s">
        <v>24</v>
      </c>
      <c r="E65" s="3" t="s">
        <v>191</v>
      </c>
      <c r="F65" s="3" t="b">
        <v>1</v>
      </c>
      <c r="G65" s="3" t="b">
        <v>1</v>
      </c>
      <c r="H65" s="3" t="s">
        <v>26</v>
      </c>
      <c r="I65" s="4">
        <v>44477</v>
      </c>
      <c r="J65" s="4">
        <v>44590</v>
      </c>
      <c r="K65" s="4">
        <v>44942</v>
      </c>
      <c r="L65" s="3">
        <v>1</v>
      </c>
      <c r="M65" s="3">
        <v>100000</v>
      </c>
      <c r="N65" s="3">
        <v>14</v>
      </c>
      <c r="O65" s="3" t="b">
        <v>0</v>
      </c>
      <c r="P65" s="3" t="b">
        <v>0</v>
      </c>
      <c r="Q65" s="3">
        <v>1976.0273972602779</v>
      </c>
      <c r="R65" s="3">
        <v>13501.369863013701</v>
      </c>
      <c r="S65" s="3">
        <v>15477.39726027397</v>
      </c>
      <c r="T65" s="5">
        <f>IF(J65&lt;&gt;"",M65*N65/365/100*('Cashflow Projection'!$B$2-Investors!J65),0)</f>
        <v>32717.808219178085</v>
      </c>
    </row>
    <row r="66" spans="1:20" x14ac:dyDescent="0.2">
      <c r="A66" s="3" t="s">
        <v>44</v>
      </c>
      <c r="B66" s="3" t="s">
        <v>45</v>
      </c>
      <c r="C66" s="3" t="s">
        <v>46</v>
      </c>
      <c r="D66" s="3" t="s">
        <v>24</v>
      </c>
      <c r="E66" s="3" t="s">
        <v>198</v>
      </c>
      <c r="F66" s="3" t="b">
        <v>1</v>
      </c>
      <c r="G66" s="3" t="b">
        <v>1</v>
      </c>
      <c r="H66" s="3" t="s">
        <v>26</v>
      </c>
      <c r="I66" s="4">
        <v>44270</v>
      </c>
      <c r="J66" s="4">
        <v>44352</v>
      </c>
      <c r="K66" s="4">
        <v>44901</v>
      </c>
      <c r="L66" s="3">
        <v>1</v>
      </c>
      <c r="M66" s="3">
        <v>500100</v>
      </c>
      <c r="N66" s="3">
        <v>18</v>
      </c>
      <c r="O66" s="3" t="b">
        <v>0</v>
      </c>
      <c r="P66" s="3" t="b">
        <v>0</v>
      </c>
      <c r="Q66" s="3">
        <v>7021.9520547945149</v>
      </c>
      <c r="R66" s="3">
        <v>135396.93698630141</v>
      </c>
      <c r="S66" s="3">
        <v>142418.88904109591</v>
      </c>
      <c r="T66" s="5">
        <f>IF(J66&lt;&gt;"",M66*N66/365/100*('Cashflow Projection'!$B$2-Investors!J66),0)</f>
        <v>269067.50136986299</v>
      </c>
    </row>
    <row r="67" spans="1:20" x14ac:dyDescent="0.2">
      <c r="A67" s="3" t="s">
        <v>199</v>
      </c>
      <c r="B67" s="3" t="s">
        <v>200</v>
      </c>
      <c r="C67" s="3" t="s">
        <v>201</v>
      </c>
      <c r="D67" s="3" t="s">
        <v>24</v>
      </c>
      <c r="E67" s="3" t="s">
        <v>198</v>
      </c>
      <c r="F67" s="3" t="b">
        <v>1</v>
      </c>
      <c r="G67" s="3" t="b">
        <v>1</v>
      </c>
      <c r="H67" s="3" t="s">
        <v>26</v>
      </c>
      <c r="I67" s="4">
        <v>44285</v>
      </c>
      <c r="J67" s="4">
        <v>44352</v>
      </c>
      <c r="K67" s="4">
        <v>44901</v>
      </c>
      <c r="L67" s="3">
        <v>1</v>
      </c>
      <c r="M67" s="3">
        <v>100000</v>
      </c>
      <c r="N67" s="3">
        <v>15</v>
      </c>
      <c r="O67" s="3" t="b">
        <v>0</v>
      </c>
      <c r="P67" s="3" t="b">
        <v>0</v>
      </c>
      <c r="Q67" s="3">
        <v>1147.260273972604</v>
      </c>
      <c r="R67" s="3">
        <v>22561.64383561644</v>
      </c>
      <c r="S67" s="3">
        <v>23708.904109589039</v>
      </c>
      <c r="T67" s="5">
        <f>IF(J67&lt;&gt;"",M67*N67/365/100*('Cashflow Projection'!$B$2-Investors!J67),0)</f>
        <v>44835.616438356163</v>
      </c>
    </row>
    <row r="68" spans="1:20" x14ac:dyDescent="0.2">
      <c r="A68" s="3" t="s">
        <v>202</v>
      </c>
      <c r="B68" s="3" t="s">
        <v>203</v>
      </c>
      <c r="C68" s="3" t="s">
        <v>161</v>
      </c>
      <c r="D68" s="3" t="s">
        <v>24</v>
      </c>
      <c r="E68" s="3" t="s">
        <v>198</v>
      </c>
      <c r="F68" s="3" t="b">
        <v>1</v>
      </c>
      <c r="G68" s="3" t="b">
        <v>1</v>
      </c>
      <c r="H68" s="3" t="s">
        <v>26</v>
      </c>
      <c r="I68" s="4">
        <v>44467</v>
      </c>
      <c r="J68" s="4">
        <v>44550</v>
      </c>
      <c r="K68" s="4">
        <v>44901</v>
      </c>
      <c r="L68" s="3">
        <v>2</v>
      </c>
      <c r="M68" s="3">
        <v>200000</v>
      </c>
      <c r="N68" s="3">
        <v>14</v>
      </c>
      <c r="O68" s="3" t="b">
        <v>0</v>
      </c>
      <c r="P68" s="3" t="b">
        <v>0</v>
      </c>
      <c r="Q68" s="3">
        <v>2869.8630136986349</v>
      </c>
      <c r="R68" s="3">
        <v>26926.02739726027</v>
      </c>
      <c r="S68" s="3">
        <v>29795.890410958909</v>
      </c>
      <c r="T68" s="5">
        <f>IF(J68&lt;&gt;"",M68*N68/365/100*('Cashflow Projection'!$B$2-Investors!J68),0)</f>
        <v>68504.109589041109</v>
      </c>
    </row>
    <row r="69" spans="1:20" x14ac:dyDescent="0.2">
      <c r="A69" s="3" t="s">
        <v>204</v>
      </c>
      <c r="B69" s="3" t="s">
        <v>205</v>
      </c>
      <c r="C69" s="3" t="s">
        <v>206</v>
      </c>
      <c r="D69" s="3" t="s">
        <v>24</v>
      </c>
      <c r="E69" s="3" t="s">
        <v>198</v>
      </c>
      <c r="F69" s="3" t="b">
        <v>1</v>
      </c>
      <c r="G69" s="3" t="b">
        <v>1</v>
      </c>
      <c r="H69" s="3" t="s">
        <v>26</v>
      </c>
      <c r="I69" s="4">
        <v>44468</v>
      </c>
      <c r="J69" s="4">
        <v>44590</v>
      </c>
      <c r="K69" s="4">
        <v>44901</v>
      </c>
      <c r="L69" s="3">
        <v>2</v>
      </c>
      <c r="M69" s="3">
        <v>100000</v>
      </c>
      <c r="N69" s="3">
        <v>14</v>
      </c>
      <c r="O69" s="3" t="b">
        <v>0</v>
      </c>
      <c r="P69" s="3" t="b">
        <v>0</v>
      </c>
      <c r="Q69" s="3">
        <v>2130.1369863013751</v>
      </c>
      <c r="R69" s="3">
        <v>11928.767123287669</v>
      </c>
      <c r="S69" s="3">
        <v>14058.90410958905</v>
      </c>
      <c r="T69" s="5">
        <f>IF(J69&lt;&gt;"",M69*N69/365/100*('Cashflow Projection'!$B$2-Investors!J69),0)</f>
        <v>32717.808219178085</v>
      </c>
    </row>
    <row r="70" spans="1:20" x14ac:dyDescent="0.2">
      <c r="A70" s="3" t="s">
        <v>207</v>
      </c>
      <c r="B70" s="3" t="s">
        <v>53</v>
      </c>
      <c r="C70" s="3" t="s">
        <v>54</v>
      </c>
      <c r="D70" s="3" t="s">
        <v>24</v>
      </c>
      <c r="E70" s="3" t="s">
        <v>208</v>
      </c>
      <c r="F70" s="3" t="b">
        <v>1</v>
      </c>
      <c r="G70" s="3" t="b">
        <v>1</v>
      </c>
      <c r="H70" s="3" t="s">
        <v>209</v>
      </c>
      <c r="I70" s="4">
        <v>44312</v>
      </c>
      <c r="J70" s="4">
        <v>44352</v>
      </c>
      <c r="K70" s="4">
        <v>44909</v>
      </c>
      <c r="L70" s="3">
        <v>8</v>
      </c>
      <c r="M70" s="3">
        <v>100000</v>
      </c>
      <c r="N70" s="3">
        <v>18</v>
      </c>
      <c r="O70" s="3" t="b">
        <v>0</v>
      </c>
      <c r="P70" s="3" t="b">
        <v>0</v>
      </c>
      <c r="Q70" s="3">
        <v>684.93150684931561</v>
      </c>
      <c r="R70" s="3">
        <v>27468.493150684932</v>
      </c>
      <c r="S70" s="3">
        <v>28153.424657534251</v>
      </c>
      <c r="T70" s="5">
        <f>IF(J70&lt;&gt;"",M70*N70/365/100*('Cashflow Projection'!$B$2-Investors!J70),0)</f>
        <v>53802.739726027394</v>
      </c>
    </row>
    <row r="71" spans="1:20" x14ac:dyDescent="0.2">
      <c r="A71" s="3" t="s">
        <v>210</v>
      </c>
      <c r="B71" s="3" t="s">
        <v>211</v>
      </c>
      <c r="C71" s="3" t="s">
        <v>119</v>
      </c>
      <c r="D71" s="3" t="s">
        <v>24</v>
      </c>
      <c r="E71" s="3" t="s">
        <v>208</v>
      </c>
      <c r="F71" s="3" t="b">
        <v>1</v>
      </c>
      <c r="G71" s="3" t="b">
        <v>1</v>
      </c>
      <c r="H71" s="3" t="s">
        <v>209</v>
      </c>
      <c r="I71" s="4">
        <v>44166</v>
      </c>
      <c r="J71" s="4">
        <v>44352</v>
      </c>
      <c r="K71" s="4">
        <v>44909</v>
      </c>
      <c r="L71" s="3">
        <v>1</v>
      </c>
      <c r="M71" s="3">
        <v>500000</v>
      </c>
      <c r="N71" s="3">
        <v>18</v>
      </c>
      <c r="O71" s="3" t="b">
        <v>0</v>
      </c>
      <c r="P71" s="3" t="b">
        <v>0</v>
      </c>
      <c r="Q71" s="3">
        <v>15924.657534246589</v>
      </c>
      <c r="R71" s="3">
        <v>137342.46575342471</v>
      </c>
      <c r="S71" s="3">
        <v>153267.12328767119</v>
      </c>
      <c r="T71" s="5">
        <f>IF(J71&lt;&gt;"",M71*N71/365/100*('Cashflow Projection'!$B$2-Investors!J71),0)</f>
        <v>269013.69863013696</v>
      </c>
    </row>
    <row r="72" spans="1:20" x14ac:dyDescent="0.2">
      <c r="A72" s="3" t="s">
        <v>58</v>
      </c>
      <c r="B72" s="3" t="s">
        <v>53</v>
      </c>
      <c r="C72" s="3" t="s">
        <v>54</v>
      </c>
      <c r="D72" s="3" t="s">
        <v>24</v>
      </c>
      <c r="E72" s="3" t="s">
        <v>208</v>
      </c>
      <c r="F72" s="3" t="b">
        <v>1</v>
      </c>
      <c r="G72" s="3" t="b">
        <v>1</v>
      </c>
      <c r="H72" s="3" t="s">
        <v>209</v>
      </c>
      <c r="I72" s="4">
        <v>44187</v>
      </c>
      <c r="J72" s="4">
        <v>44316</v>
      </c>
      <c r="K72" s="4">
        <v>44909</v>
      </c>
      <c r="L72" s="3">
        <v>3</v>
      </c>
      <c r="M72" s="3">
        <v>120000</v>
      </c>
      <c r="N72" s="3">
        <v>18</v>
      </c>
      <c r="O72" s="3" t="b">
        <v>0</v>
      </c>
      <c r="P72" s="3" t="b">
        <v>0</v>
      </c>
      <c r="Q72" s="3">
        <v>2650.6849315068539</v>
      </c>
      <c r="R72" s="3">
        <v>35092.602739726033</v>
      </c>
      <c r="S72" s="3">
        <v>37743.28767123288</v>
      </c>
      <c r="T72" s="5">
        <f>IF(J72&lt;&gt;"",M72*N72/365/100*('Cashflow Projection'!$B$2-Investors!J72),0)</f>
        <v>66693.698630136991</v>
      </c>
    </row>
    <row r="73" spans="1:20" x14ac:dyDescent="0.2">
      <c r="A73" s="3" t="s">
        <v>212</v>
      </c>
      <c r="B73" s="3" t="s">
        <v>213</v>
      </c>
      <c r="C73" s="3" t="s">
        <v>214</v>
      </c>
      <c r="D73" s="3" t="s">
        <v>24</v>
      </c>
      <c r="E73" s="3" t="s">
        <v>208</v>
      </c>
      <c r="F73" s="3" t="b">
        <v>1</v>
      </c>
      <c r="G73" s="3" t="b">
        <v>1</v>
      </c>
      <c r="H73" s="3" t="s">
        <v>209</v>
      </c>
      <c r="I73" s="4">
        <v>44468</v>
      </c>
      <c r="J73" s="4">
        <v>44532</v>
      </c>
      <c r="K73" s="4">
        <v>44909</v>
      </c>
      <c r="L73" s="3">
        <v>1</v>
      </c>
      <c r="M73" s="3">
        <v>100000</v>
      </c>
      <c r="N73" s="3">
        <v>14</v>
      </c>
      <c r="O73" s="3" t="b">
        <v>0</v>
      </c>
      <c r="P73" s="3" t="b">
        <v>0</v>
      </c>
      <c r="Q73" s="3">
        <v>1097.260273972604</v>
      </c>
      <c r="R73" s="3">
        <v>14460.273972602739</v>
      </c>
      <c r="S73" s="3">
        <v>15557.53424657534</v>
      </c>
      <c r="T73" s="5">
        <f>IF(J73&lt;&gt;"",M73*N73/365/100*('Cashflow Projection'!$B$2-Investors!J73),0)</f>
        <v>34942.465753424658</v>
      </c>
    </row>
    <row r="74" spans="1:20" x14ac:dyDescent="0.2">
      <c r="A74" s="3" t="s">
        <v>215</v>
      </c>
      <c r="B74" s="3" t="s">
        <v>216</v>
      </c>
      <c r="C74" s="3" t="s">
        <v>174</v>
      </c>
      <c r="D74" s="3" t="s">
        <v>24</v>
      </c>
      <c r="E74" s="3" t="s">
        <v>208</v>
      </c>
      <c r="F74" s="3" t="b">
        <v>1</v>
      </c>
      <c r="G74" s="3" t="b">
        <v>1</v>
      </c>
      <c r="H74" s="3" t="s">
        <v>209</v>
      </c>
      <c r="I74" s="4">
        <v>44244</v>
      </c>
      <c r="J74" s="4">
        <v>44352</v>
      </c>
      <c r="K74" s="4">
        <v>44909</v>
      </c>
      <c r="L74" s="3">
        <v>1</v>
      </c>
      <c r="M74" s="3">
        <v>100000</v>
      </c>
      <c r="N74" s="3">
        <v>15</v>
      </c>
      <c r="O74" s="3" t="b">
        <v>0</v>
      </c>
      <c r="P74" s="3" t="b">
        <v>0</v>
      </c>
      <c r="Q74" s="3">
        <v>1849.3150684931529</v>
      </c>
      <c r="R74" s="3">
        <v>22890.410958904111</v>
      </c>
      <c r="S74" s="3">
        <v>24739.726027397261</v>
      </c>
      <c r="T74" s="5">
        <f>IF(J74&lt;&gt;"",M74*N74/365/100*('Cashflow Projection'!$B$2-Investors!J74),0)</f>
        <v>44835.616438356163</v>
      </c>
    </row>
    <row r="75" spans="1:20" x14ac:dyDescent="0.2">
      <c r="A75" s="3" t="s">
        <v>52</v>
      </c>
      <c r="B75" s="3" t="s">
        <v>53</v>
      </c>
      <c r="C75" s="3" t="s">
        <v>54</v>
      </c>
      <c r="D75" s="3" t="s">
        <v>24</v>
      </c>
      <c r="E75" s="3" t="s">
        <v>217</v>
      </c>
      <c r="F75" s="3" t="b">
        <v>1</v>
      </c>
      <c r="G75" s="3" t="b">
        <v>1</v>
      </c>
      <c r="H75" s="3" t="s">
        <v>209</v>
      </c>
      <c r="I75" s="4">
        <v>44266</v>
      </c>
      <c r="J75" s="4">
        <v>44352</v>
      </c>
      <c r="K75" s="4">
        <v>44896</v>
      </c>
      <c r="L75" s="3">
        <v>2</v>
      </c>
      <c r="M75" s="3">
        <v>110000</v>
      </c>
      <c r="N75" s="3">
        <v>18</v>
      </c>
      <c r="O75" s="3" t="b">
        <v>0</v>
      </c>
      <c r="P75" s="3" t="b">
        <v>0</v>
      </c>
      <c r="Q75" s="3">
        <v>1619.8630136986269</v>
      </c>
      <c r="R75" s="3">
        <v>29510.136986301372</v>
      </c>
      <c r="S75" s="3">
        <v>31130</v>
      </c>
      <c r="T75" s="5">
        <f>IF(J75&lt;&gt;"",M75*N75/365/100*('Cashflow Projection'!$B$2-Investors!J75),0)</f>
        <v>59183.013698630144</v>
      </c>
    </row>
    <row r="76" spans="1:20" x14ac:dyDescent="0.2">
      <c r="A76" s="3" t="s">
        <v>218</v>
      </c>
      <c r="B76" s="3" t="s">
        <v>219</v>
      </c>
      <c r="C76" s="3" t="s">
        <v>220</v>
      </c>
      <c r="D76" s="3" t="s">
        <v>24</v>
      </c>
      <c r="E76" s="3" t="s">
        <v>217</v>
      </c>
      <c r="F76" s="3" t="b">
        <v>1</v>
      </c>
      <c r="G76" s="3" t="b">
        <v>1</v>
      </c>
      <c r="H76" s="3" t="s">
        <v>209</v>
      </c>
      <c r="I76" s="4">
        <v>44319</v>
      </c>
      <c r="J76" s="4">
        <v>44352</v>
      </c>
      <c r="K76" s="4">
        <v>44896</v>
      </c>
      <c r="L76" s="3">
        <v>1</v>
      </c>
      <c r="M76" s="3">
        <v>100000</v>
      </c>
      <c r="N76" s="3">
        <v>15</v>
      </c>
      <c r="O76" s="3" t="b">
        <v>0</v>
      </c>
      <c r="P76" s="3" t="b">
        <v>0</v>
      </c>
      <c r="Q76" s="3">
        <v>565.0684931506853</v>
      </c>
      <c r="R76" s="3">
        <v>22356.164383561641</v>
      </c>
      <c r="S76" s="3">
        <v>22921.232876712329</v>
      </c>
      <c r="T76" s="5">
        <f>IF(J76&lt;&gt;"",M76*N76/365/100*('Cashflow Projection'!$B$2-Investors!J76),0)</f>
        <v>44835.616438356163</v>
      </c>
    </row>
    <row r="77" spans="1:20" x14ac:dyDescent="0.2">
      <c r="A77" s="3" t="s">
        <v>207</v>
      </c>
      <c r="B77" s="3" t="s">
        <v>53</v>
      </c>
      <c r="C77" s="3" t="s">
        <v>54</v>
      </c>
      <c r="D77" s="3" t="s">
        <v>24</v>
      </c>
      <c r="E77" s="3" t="s">
        <v>217</v>
      </c>
      <c r="F77" s="3" t="b">
        <v>1</v>
      </c>
      <c r="G77" s="3" t="b">
        <v>1</v>
      </c>
      <c r="H77" s="3" t="s">
        <v>209</v>
      </c>
      <c r="I77" s="4">
        <v>44266</v>
      </c>
      <c r="J77" s="4">
        <v>44352</v>
      </c>
      <c r="K77" s="4">
        <v>44896</v>
      </c>
      <c r="L77" s="3">
        <v>7</v>
      </c>
      <c r="M77" s="3">
        <v>100000</v>
      </c>
      <c r="N77" s="3">
        <v>18</v>
      </c>
      <c r="O77" s="3" t="b">
        <v>0</v>
      </c>
      <c r="P77" s="3" t="b">
        <v>0</v>
      </c>
      <c r="Q77" s="3">
        <v>1472.6027397260291</v>
      </c>
      <c r="R77" s="3">
        <v>26827.39726027397</v>
      </c>
      <c r="S77" s="3">
        <v>28300</v>
      </c>
      <c r="T77" s="5">
        <f>IF(J77&lt;&gt;"",M77*N77/365/100*('Cashflow Projection'!$B$2-Investors!J77),0)</f>
        <v>53802.739726027394</v>
      </c>
    </row>
    <row r="78" spans="1:20" x14ac:dyDescent="0.2">
      <c r="A78" s="3" t="s">
        <v>69</v>
      </c>
      <c r="B78" s="3" t="s">
        <v>70</v>
      </c>
      <c r="C78" s="3" t="s">
        <v>71</v>
      </c>
      <c r="D78" s="3" t="s">
        <v>24</v>
      </c>
      <c r="E78" s="3" t="s">
        <v>217</v>
      </c>
      <c r="F78" s="3" t="b">
        <v>1</v>
      </c>
      <c r="G78" s="3" t="b">
        <v>1</v>
      </c>
      <c r="H78" s="3" t="s">
        <v>209</v>
      </c>
      <c r="I78" s="4">
        <v>44113</v>
      </c>
      <c r="J78" s="4">
        <v>44316</v>
      </c>
      <c r="K78" s="4">
        <v>44896</v>
      </c>
      <c r="L78" s="3">
        <v>2</v>
      </c>
      <c r="M78" s="3">
        <v>110000</v>
      </c>
      <c r="N78" s="3">
        <v>18</v>
      </c>
      <c r="O78" s="3" t="b">
        <v>0</v>
      </c>
      <c r="P78" s="3" t="b">
        <v>0</v>
      </c>
      <c r="Q78" s="3">
        <v>3823.6301369863072</v>
      </c>
      <c r="R78" s="3">
        <v>31463.01369863014</v>
      </c>
      <c r="S78" s="3">
        <v>35286.643835616444</v>
      </c>
      <c r="T78" s="5">
        <f>IF(J78&lt;&gt;"",M78*N78/365/100*('Cashflow Projection'!$B$2-Investors!J78),0)</f>
        <v>61135.890410958913</v>
      </c>
    </row>
    <row r="79" spans="1:20" x14ac:dyDescent="0.2">
      <c r="A79" s="3" t="s">
        <v>221</v>
      </c>
      <c r="B79" s="3" t="s">
        <v>222</v>
      </c>
      <c r="C79" s="3" t="s">
        <v>43</v>
      </c>
      <c r="D79" s="3" t="s">
        <v>24</v>
      </c>
      <c r="E79" s="3" t="s">
        <v>217</v>
      </c>
      <c r="F79" s="3" t="b">
        <v>1</v>
      </c>
      <c r="G79" s="3" t="b">
        <v>1</v>
      </c>
      <c r="H79" s="3" t="s">
        <v>209</v>
      </c>
      <c r="I79" s="4">
        <v>44180</v>
      </c>
      <c r="J79" s="4">
        <v>44352</v>
      </c>
      <c r="K79" s="4">
        <v>44896</v>
      </c>
      <c r="L79" s="3">
        <v>1</v>
      </c>
      <c r="M79" s="3">
        <v>500000</v>
      </c>
      <c r="N79" s="3">
        <v>18</v>
      </c>
      <c r="O79" s="3" t="b">
        <v>0</v>
      </c>
      <c r="P79" s="3" t="b">
        <v>0</v>
      </c>
      <c r="Q79" s="3">
        <v>14726.02739726029</v>
      </c>
      <c r="R79" s="3">
        <v>134136.98630136991</v>
      </c>
      <c r="S79" s="3">
        <v>148863.01369863021</v>
      </c>
      <c r="T79" s="5">
        <f>IF(J79&lt;&gt;"",M79*N79/365/100*('Cashflow Projection'!$B$2-Investors!J79),0)</f>
        <v>269013.69863013696</v>
      </c>
    </row>
    <row r="80" spans="1:20" x14ac:dyDescent="0.2">
      <c r="A80" s="3" t="s">
        <v>223</v>
      </c>
      <c r="B80" s="3" t="s">
        <v>224</v>
      </c>
      <c r="C80" s="3" t="s">
        <v>225</v>
      </c>
      <c r="D80" s="3" t="s">
        <v>24</v>
      </c>
      <c r="E80" s="3" t="s">
        <v>226</v>
      </c>
      <c r="F80" s="3" t="b">
        <v>1</v>
      </c>
      <c r="G80" s="3" t="b">
        <v>1</v>
      </c>
      <c r="H80" s="3" t="s">
        <v>209</v>
      </c>
      <c r="I80" s="4">
        <v>44267</v>
      </c>
      <c r="J80" s="4">
        <v>44352</v>
      </c>
      <c r="K80" s="4">
        <v>44887</v>
      </c>
      <c r="L80" s="3">
        <v>1</v>
      </c>
      <c r="M80" s="3">
        <v>100000</v>
      </c>
      <c r="N80" s="3">
        <v>15</v>
      </c>
      <c r="O80" s="3" t="b">
        <v>0</v>
      </c>
      <c r="P80" s="3" t="b">
        <v>0</v>
      </c>
      <c r="Q80" s="3">
        <v>1455.479452054796</v>
      </c>
      <c r="R80" s="3">
        <v>21986.301369863009</v>
      </c>
      <c r="S80" s="3">
        <v>23441.780821917811</v>
      </c>
      <c r="T80" s="5">
        <f>IF(J80&lt;&gt;"",M80*N80/365/100*('Cashflow Projection'!$B$2-Investors!J80),0)</f>
        <v>44835.616438356163</v>
      </c>
    </row>
    <row r="81" spans="1:20" x14ac:dyDescent="0.2">
      <c r="A81" s="3" t="s">
        <v>207</v>
      </c>
      <c r="B81" s="3" t="s">
        <v>53</v>
      </c>
      <c r="C81" s="3" t="s">
        <v>54</v>
      </c>
      <c r="D81" s="3" t="s">
        <v>24</v>
      </c>
      <c r="E81" s="3" t="s">
        <v>226</v>
      </c>
      <c r="F81" s="3" t="b">
        <v>1</v>
      </c>
      <c r="G81" s="3" t="b">
        <v>1</v>
      </c>
      <c r="H81" s="3" t="s">
        <v>209</v>
      </c>
      <c r="I81" s="4">
        <v>44117</v>
      </c>
      <c r="J81" s="4">
        <v>44316</v>
      </c>
      <c r="K81" s="4">
        <v>44887</v>
      </c>
      <c r="L81" s="3">
        <v>4</v>
      </c>
      <c r="M81" s="3">
        <v>100000</v>
      </c>
      <c r="N81" s="3">
        <v>18</v>
      </c>
      <c r="O81" s="3" t="b">
        <v>0</v>
      </c>
      <c r="P81" s="3" t="b">
        <v>0</v>
      </c>
      <c r="Q81" s="3">
        <v>3407.534246575347</v>
      </c>
      <c r="R81" s="3">
        <v>28158.904109589039</v>
      </c>
      <c r="S81" s="3">
        <v>31566.438356164381</v>
      </c>
      <c r="T81" s="5">
        <f>IF(J81&lt;&gt;"",M81*N81/365/100*('Cashflow Projection'!$B$2-Investors!J81),0)</f>
        <v>55578.082191780821</v>
      </c>
    </row>
    <row r="82" spans="1:20" x14ac:dyDescent="0.2">
      <c r="A82" s="3" t="s">
        <v>156</v>
      </c>
      <c r="B82" s="3" t="s">
        <v>157</v>
      </c>
      <c r="C82" s="3" t="s">
        <v>158</v>
      </c>
      <c r="D82" s="3" t="s">
        <v>24</v>
      </c>
      <c r="E82" s="3" t="s">
        <v>226</v>
      </c>
      <c r="F82" s="3" t="b">
        <v>1</v>
      </c>
      <c r="G82" s="3" t="b">
        <v>1</v>
      </c>
      <c r="H82" s="3" t="s">
        <v>209</v>
      </c>
      <c r="I82" s="4">
        <v>44274</v>
      </c>
      <c r="J82" s="4">
        <v>44352</v>
      </c>
      <c r="K82" s="4">
        <v>44887</v>
      </c>
      <c r="L82" s="3">
        <v>3</v>
      </c>
      <c r="M82" s="3">
        <v>600000</v>
      </c>
      <c r="N82" s="3">
        <v>18</v>
      </c>
      <c r="O82" s="3" t="b">
        <v>0</v>
      </c>
      <c r="P82" s="3" t="b">
        <v>0</v>
      </c>
      <c r="Q82" s="3">
        <v>8013.6986301369943</v>
      </c>
      <c r="R82" s="3">
        <v>158301.36986301371</v>
      </c>
      <c r="S82" s="3">
        <v>166315.0684931507</v>
      </c>
      <c r="T82" s="5">
        <f>IF(J82&lt;&gt;"",M82*N82/365/100*('Cashflow Projection'!$B$2-Investors!J82),0)</f>
        <v>322816.43835616438</v>
      </c>
    </row>
    <row r="83" spans="1:20" x14ac:dyDescent="0.2">
      <c r="A83" s="3" t="s">
        <v>227</v>
      </c>
      <c r="B83" s="3" t="s">
        <v>228</v>
      </c>
      <c r="C83" s="3" t="s">
        <v>32</v>
      </c>
      <c r="D83" s="3" t="s">
        <v>24</v>
      </c>
      <c r="E83" s="3" t="s">
        <v>226</v>
      </c>
      <c r="F83" s="3" t="b">
        <v>1</v>
      </c>
      <c r="G83" s="3" t="b">
        <v>1</v>
      </c>
      <c r="H83" s="3" t="s">
        <v>209</v>
      </c>
      <c r="I83" s="4">
        <v>44257</v>
      </c>
      <c r="J83" s="4">
        <v>44352</v>
      </c>
      <c r="K83" s="4">
        <v>44887</v>
      </c>
      <c r="L83" s="3">
        <v>1</v>
      </c>
      <c r="M83" s="3">
        <v>100000</v>
      </c>
      <c r="N83" s="3">
        <v>15</v>
      </c>
      <c r="O83" s="3" t="b">
        <v>0</v>
      </c>
      <c r="P83" s="3" t="b">
        <v>0</v>
      </c>
      <c r="Q83" s="3">
        <v>1626.712328767125</v>
      </c>
      <c r="R83" s="3">
        <v>21986.301369863009</v>
      </c>
      <c r="S83" s="3">
        <v>23613.01369863014</v>
      </c>
      <c r="T83" s="5">
        <f>IF(J83&lt;&gt;"",M83*N83/365/100*('Cashflow Projection'!$B$2-Investors!J83),0)</f>
        <v>44835.616438356163</v>
      </c>
    </row>
    <row r="84" spans="1:20" x14ac:dyDescent="0.2">
      <c r="A84" s="3" t="s">
        <v>58</v>
      </c>
      <c r="B84" s="3" t="s">
        <v>53</v>
      </c>
      <c r="C84" s="3" t="s">
        <v>54</v>
      </c>
      <c r="D84" s="3" t="s">
        <v>24</v>
      </c>
      <c r="E84" s="3" t="s">
        <v>229</v>
      </c>
      <c r="F84" s="3" t="b">
        <v>1</v>
      </c>
      <c r="G84" s="3" t="b">
        <v>1</v>
      </c>
      <c r="H84" s="3" t="s">
        <v>209</v>
      </c>
      <c r="I84" s="4">
        <v>44187</v>
      </c>
      <c r="J84" s="4">
        <v>44352</v>
      </c>
      <c r="K84" s="4">
        <v>44895</v>
      </c>
      <c r="L84" s="3">
        <v>4</v>
      </c>
      <c r="M84" s="3">
        <v>120000</v>
      </c>
      <c r="N84" s="3">
        <v>18</v>
      </c>
      <c r="O84" s="3" t="b">
        <v>1</v>
      </c>
      <c r="P84" s="3" t="b">
        <v>0</v>
      </c>
      <c r="Q84" s="3">
        <v>3390.4109589041218</v>
      </c>
      <c r="R84" s="3">
        <v>32133.698630136991</v>
      </c>
      <c r="S84" s="3">
        <v>35524.109589041109</v>
      </c>
      <c r="T84" s="5">
        <f>IF(J84&lt;&gt;"",M84*N84/365/100*('Cashflow Projection'!$B$2-Investors!J84),0)</f>
        <v>64563.28767123288</v>
      </c>
    </row>
    <row r="85" spans="1:20" x14ac:dyDescent="0.2">
      <c r="A85" s="3" t="s">
        <v>230</v>
      </c>
      <c r="B85" s="3" t="s">
        <v>231</v>
      </c>
      <c r="C85" s="3" t="s">
        <v>232</v>
      </c>
      <c r="D85" s="3" t="s">
        <v>24</v>
      </c>
      <c r="E85" s="3" t="s">
        <v>229</v>
      </c>
      <c r="F85" s="3" t="b">
        <v>1</v>
      </c>
      <c r="G85" s="3" t="b">
        <v>1</v>
      </c>
      <c r="H85" s="3" t="s">
        <v>209</v>
      </c>
      <c r="I85" s="4">
        <v>44253</v>
      </c>
      <c r="J85" s="4">
        <v>44352</v>
      </c>
      <c r="K85" s="4">
        <v>44895</v>
      </c>
      <c r="L85" s="3">
        <v>6</v>
      </c>
      <c r="M85" s="3">
        <v>531887.67000000004</v>
      </c>
      <c r="N85" s="3">
        <v>18</v>
      </c>
      <c r="O85" s="3" t="b">
        <v>1</v>
      </c>
      <c r="P85" s="3" t="b">
        <v>0</v>
      </c>
      <c r="Q85" s="3">
        <v>9016.5889263698555</v>
      </c>
      <c r="R85" s="3">
        <v>142429.31744054789</v>
      </c>
      <c r="S85" s="3">
        <v>151445.9063669178</v>
      </c>
      <c r="T85" s="5">
        <f>IF(J85&lt;&gt;"",M85*N85/365/100*('Cashflow Projection'!$B$2-Investors!J85),0)</f>
        <v>286170.13872493152</v>
      </c>
    </row>
    <row r="86" spans="1:20" x14ac:dyDescent="0.2">
      <c r="A86" s="3" t="s">
        <v>59</v>
      </c>
      <c r="B86" s="3" t="s">
        <v>60</v>
      </c>
      <c r="C86" s="3" t="s">
        <v>61</v>
      </c>
      <c r="D86" s="3" t="s">
        <v>24</v>
      </c>
      <c r="E86" s="3" t="s">
        <v>229</v>
      </c>
      <c r="F86" s="3" t="b">
        <v>1</v>
      </c>
      <c r="G86" s="3" t="b">
        <v>1</v>
      </c>
      <c r="H86" s="3" t="s">
        <v>209</v>
      </c>
      <c r="I86" s="4">
        <v>44494</v>
      </c>
      <c r="J86" s="4">
        <v>44664</v>
      </c>
      <c r="K86" s="4">
        <v>44895</v>
      </c>
      <c r="L86" s="3">
        <v>21</v>
      </c>
      <c r="M86" s="3">
        <v>100000</v>
      </c>
      <c r="N86" s="3">
        <v>18</v>
      </c>
      <c r="O86" s="3" t="b">
        <v>1</v>
      </c>
      <c r="P86" s="3" t="b">
        <v>0</v>
      </c>
      <c r="Q86" s="3">
        <v>3060.9589041095978</v>
      </c>
      <c r="R86" s="3">
        <v>11391.78082191781</v>
      </c>
      <c r="S86" s="3">
        <v>14452.73972602741</v>
      </c>
      <c r="T86" s="5">
        <f>IF(J86&lt;&gt;"",M86*N86/365/100*('Cashflow Projection'!$B$2-Investors!J86),0)</f>
        <v>38416.438356164384</v>
      </c>
    </row>
    <row r="87" spans="1:20" x14ac:dyDescent="0.2">
      <c r="A87" s="3" t="s">
        <v>233</v>
      </c>
      <c r="B87" s="3" t="s">
        <v>234</v>
      </c>
      <c r="C87" s="3" t="s">
        <v>235</v>
      </c>
      <c r="D87" s="3" t="s">
        <v>24</v>
      </c>
      <c r="E87" s="3" t="s">
        <v>229</v>
      </c>
      <c r="F87" s="3" t="b">
        <v>1</v>
      </c>
      <c r="G87" s="3" t="b">
        <v>1</v>
      </c>
      <c r="H87" s="3" t="s">
        <v>209</v>
      </c>
      <c r="I87" s="4">
        <v>44253</v>
      </c>
      <c r="J87" s="4">
        <v>44352</v>
      </c>
      <c r="K87" s="4">
        <v>44908</v>
      </c>
      <c r="L87" s="3">
        <v>1</v>
      </c>
      <c r="M87" s="3">
        <v>150000</v>
      </c>
      <c r="N87" s="3">
        <v>15</v>
      </c>
      <c r="O87" s="3" t="b">
        <v>0</v>
      </c>
      <c r="P87" s="3" t="b">
        <v>0</v>
      </c>
      <c r="Q87" s="3">
        <v>2542.808219178085</v>
      </c>
      <c r="R87" s="3">
        <v>34273.972602739726</v>
      </c>
      <c r="S87" s="3">
        <v>36816.780821917811</v>
      </c>
      <c r="T87" s="5">
        <f>IF(J87&lt;&gt;"",M87*N87/365/100*('Cashflow Projection'!$B$2-Investors!J87),0)</f>
        <v>67253.42465753424</v>
      </c>
    </row>
    <row r="88" spans="1:20" x14ac:dyDescent="0.2">
      <c r="A88" s="3" t="s">
        <v>236</v>
      </c>
      <c r="B88" s="3" t="s">
        <v>237</v>
      </c>
      <c r="C88" s="3" t="s">
        <v>238</v>
      </c>
      <c r="D88" s="3" t="s">
        <v>24</v>
      </c>
      <c r="E88" s="3" t="s">
        <v>239</v>
      </c>
      <c r="F88" s="3" t="b">
        <v>1</v>
      </c>
      <c r="G88" s="3" t="b">
        <v>1</v>
      </c>
      <c r="H88" s="3" t="s">
        <v>209</v>
      </c>
      <c r="I88" s="4">
        <v>44273</v>
      </c>
      <c r="J88" s="4">
        <v>44352</v>
      </c>
      <c r="K88" s="4">
        <v>44992</v>
      </c>
      <c r="L88" s="3">
        <v>1</v>
      </c>
      <c r="M88" s="3">
        <v>150000</v>
      </c>
      <c r="N88" s="3">
        <v>15</v>
      </c>
      <c r="O88" s="3" t="b">
        <v>0</v>
      </c>
      <c r="P88" s="3" t="b">
        <v>0</v>
      </c>
      <c r="Q88" s="3">
        <v>2029.1095890410979</v>
      </c>
      <c r="R88" s="3">
        <v>39452.054794520547</v>
      </c>
      <c r="S88" s="3">
        <v>41481.164383561641</v>
      </c>
      <c r="T88" s="5">
        <f>IF(J88&lt;&gt;"",M88*N88/365/100*('Cashflow Projection'!$B$2-Investors!J88),0)</f>
        <v>67253.42465753424</v>
      </c>
    </row>
    <row r="89" spans="1:20" x14ac:dyDescent="0.2">
      <c r="A89" s="3" t="s">
        <v>69</v>
      </c>
      <c r="B89" s="3" t="s">
        <v>70</v>
      </c>
      <c r="C89" s="3" t="s">
        <v>71</v>
      </c>
      <c r="D89" s="3" t="s">
        <v>24</v>
      </c>
      <c r="E89" s="3" t="s">
        <v>239</v>
      </c>
      <c r="F89" s="3" t="b">
        <v>1</v>
      </c>
      <c r="G89" s="3" t="b">
        <v>1</v>
      </c>
      <c r="H89" s="3" t="s">
        <v>209</v>
      </c>
      <c r="I89" s="4">
        <v>44113</v>
      </c>
      <c r="J89" s="4">
        <v>44316</v>
      </c>
      <c r="K89" s="4">
        <v>44953</v>
      </c>
      <c r="L89" s="3">
        <v>3</v>
      </c>
      <c r="M89" s="3">
        <v>110000</v>
      </c>
      <c r="N89" s="3">
        <v>18</v>
      </c>
      <c r="O89" s="3" t="b">
        <v>1</v>
      </c>
      <c r="P89" s="3" t="b">
        <v>0</v>
      </c>
      <c r="Q89" s="3">
        <v>3823.6301369863072</v>
      </c>
      <c r="R89" s="3">
        <v>34555.068493150677</v>
      </c>
      <c r="S89" s="3">
        <v>38378.698630136991</v>
      </c>
      <c r="T89" s="5">
        <f>IF(J89&lt;&gt;"",M89*N89/365/100*('Cashflow Projection'!$B$2-Investors!J89),0)</f>
        <v>61135.890410958913</v>
      </c>
    </row>
    <row r="90" spans="1:20" x14ac:dyDescent="0.2">
      <c r="A90" s="3" t="s">
        <v>240</v>
      </c>
      <c r="B90" s="3" t="s">
        <v>241</v>
      </c>
      <c r="C90" s="3" t="s">
        <v>242</v>
      </c>
      <c r="D90" s="3" t="s">
        <v>24</v>
      </c>
      <c r="E90" s="3" t="s">
        <v>239</v>
      </c>
      <c r="F90" s="3" t="b">
        <v>1</v>
      </c>
      <c r="G90" s="3" t="b">
        <v>1</v>
      </c>
      <c r="H90" s="3" t="s">
        <v>209</v>
      </c>
      <c r="I90" s="4">
        <v>44253</v>
      </c>
      <c r="J90" s="4">
        <v>44378</v>
      </c>
      <c r="K90" s="4">
        <v>44952</v>
      </c>
      <c r="L90" s="3">
        <v>4</v>
      </c>
      <c r="M90" s="3">
        <v>628145.57999999996</v>
      </c>
      <c r="N90" s="3">
        <v>18</v>
      </c>
      <c r="O90" s="3" t="b">
        <v>1</v>
      </c>
      <c r="P90" s="3" t="b">
        <v>0</v>
      </c>
      <c r="Q90" s="3">
        <v>13444.896832191769</v>
      </c>
      <c r="R90" s="3">
        <v>177808.22280986299</v>
      </c>
      <c r="S90" s="3">
        <v>191253.11964205469</v>
      </c>
      <c r="T90" s="5">
        <f>IF(J90&lt;&gt;"",M90*N90/365/100*('Cashflow Projection'!$B$2-Investors!J90),0)</f>
        <v>329905.50050958898</v>
      </c>
    </row>
    <row r="91" spans="1:20" x14ac:dyDescent="0.2">
      <c r="A91" s="3" t="s">
        <v>243</v>
      </c>
      <c r="B91" s="3" t="s">
        <v>244</v>
      </c>
      <c r="C91" s="3" t="s">
        <v>245</v>
      </c>
      <c r="D91" s="3" t="s">
        <v>24</v>
      </c>
      <c r="E91" s="3" t="s">
        <v>246</v>
      </c>
      <c r="F91" s="3" t="b">
        <v>1</v>
      </c>
      <c r="G91" s="3" t="b">
        <v>1</v>
      </c>
      <c r="H91" s="3" t="s">
        <v>209</v>
      </c>
      <c r="I91" s="4">
        <v>44286</v>
      </c>
      <c r="J91" s="4">
        <v>44352</v>
      </c>
      <c r="K91" s="4">
        <v>44956</v>
      </c>
      <c r="L91" s="3">
        <v>1</v>
      </c>
      <c r="M91" s="3">
        <v>300000</v>
      </c>
      <c r="N91" s="3">
        <v>15</v>
      </c>
      <c r="O91" s="3" t="b">
        <v>0</v>
      </c>
      <c r="P91" s="3" t="b">
        <v>0</v>
      </c>
      <c r="Q91" s="3">
        <v>3390.4109589041132</v>
      </c>
      <c r="R91" s="3">
        <v>74465.753424657538</v>
      </c>
      <c r="S91" s="3">
        <v>77856.164383561656</v>
      </c>
      <c r="T91" s="5">
        <f>IF(J91&lt;&gt;"",M91*N91/365/100*('Cashflow Projection'!$B$2-Investors!J91),0)</f>
        <v>134506.84931506848</v>
      </c>
    </row>
    <row r="92" spans="1:20" x14ac:dyDescent="0.2">
      <c r="A92" s="3" t="s">
        <v>207</v>
      </c>
      <c r="B92" s="3" t="s">
        <v>53</v>
      </c>
      <c r="C92" s="3" t="s">
        <v>54</v>
      </c>
      <c r="D92" s="3" t="s">
        <v>24</v>
      </c>
      <c r="E92" s="3" t="s">
        <v>246</v>
      </c>
      <c r="F92" s="3" t="b">
        <v>1</v>
      </c>
      <c r="G92" s="3" t="b">
        <v>1</v>
      </c>
      <c r="H92" s="3" t="s">
        <v>209</v>
      </c>
      <c r="I92" s="4">
        <v>44117</v>
      </c>
      <c r="J92" s="4">
        <v>44316</v>
      </c>
      <c r="K92" s="4">
        <v>44956</v>
      </c>
      <c r="L92" s="3">
        <v>5</v>
      </c>
      <c r="M92" s="3">
        <v>100000</v>
      </c>
      <c r="N92" s="3">
        <v>18</v>
      </c>
      <c r="O92" s="3" t="b">
        <v>0</v>
      </c>
      <c r="P92" s="3" t="b">
        <v>0</v>
      </c>
      <c r="Q92" s="3">
        <v>3407.534246575347</v>
      </c>
      <c r="R92" s="3">
        <v>31561.64383561644</v>
      </c>
      <c r="S92" s="3">
        <v>34969.178082191793</v>
      </c>
      <c r="T92" s="5">
        <f>IF(J92&lt;&gt;"",M92*N92/365/100*('Cashflow Projection'!$B$2-Investors!J92),0)</f>
        <v>55578.082191780821</v>
      </c>
    </row>
    <row r="93" spans="1:20" x14ac:dyDescent="0.2">
      <c r="A93" s="3" t="s">
        <v>247</v>
      </c>
      <c r="B93" s="3" t="s">
        <v>248</v>
      </c>
      <c r="C93" s="3" t="s">
        <v>249</v>
      </c>
      <c r="D93" s="3" t="s">
        <v>24</v>
      </c>
      <c r="E93" s="3" t="s">
        <v>246</v>
      </c>
      <c r="F93" s="3" t="b">
        <v>1</v>
      </c>
      <c r="G93" s="3" t="b">
        <v>1</v>
      </c>
      <c r="H93" s="3" t="s">
        <v>209</v>
      </c>
      <c r="I93" s="4">
        <v>44281</v>
      </c>
      <c r="J93" s="4">
        <v>44352</v>
      </c>
      <c r="K93" s="4">
        <v>44956</v>
      </c>
      <c r="L93" s="3">
        <v>1</v>
      </c>
      <c r="M93" s="3">
        <v>400000</v>
      </c>
      <c r="N93" s="3">
        <v>15</v>
      </c>
      <c r="O93" s="3" t="b">
        <v>0</v>
      </c>
      <c r="P93" s="3" t="b">
        <v>0</v>
      </c>
      <c r="Q93" s="3">
        <v>4863.0136986301422</v>
      </c>
      <c r="R93" s="3">
        <v>99287.671232876703</v>
      </c>
      <c r="S93" s="3">
        <v>104150.6849315068</v>
      </c>
      <c r="T93" s="5">
        <f>IF(J93&lt;&gt;"",M93*N93/365/100*('Cashflow Projection'!$B$2-Investors!J93),0)</f>
        <v>179342.46575342465</v>
      </c>
    </row>
    <row r="94" spans="1:20" x14ac:dyDescent="0.2">
      <c r="A94" s="3" t="s">
        <v>250</v>
      </c>
      <c r="B94" s="3" t="s">
        <v>251</v>
      </c>
      <c r="C94" s="3" t="s">
        <v>252</v>
      </c>
      <c r="D94" s="3" t="s">
        <v>24</v>
      </c>
      <c r="E94" s="3" t="s">
        <v>246</v>
      </c>
      <c r="F94" s="3" t="b">
        <v>1</v>
      </c>
      <c r="G94" s="3" t="b">
        <v>1</v>
      </c>
      <c r="H94" s="3" t="s">
        <v>209</v>
      </c>
      <c r="I94" s="4">
        <v>44279</v>
      </c>
      <c r="J94" s="4">
        <v>44352</v>
      </c>
      <c r="K94" s="4">
        <v>44956</v>
      </c>
      <c r="L94" s="3">
        <v>1</v>
      </c>
      <c r="M94" s="3">
        <v>100000</v>
      </c>
      <c r="N94" s="3">
        <v>15</v>
      </c>
      <c r="O94" s="3" t="b">
        <v>0</v>
      </c>
      <c r="P94" s="3" t="b">
        <v>0</v>
      </c>
      <c r="Q94" s="3">
        <v>1250.0000000000009</v>
      </c>
      <c r="R94" s="3">
        <v>24821.917808219179</v>
      </c>
      <c r="S94" s="3">
        <v>26071.917808219179</v>
      </c>
      <c r="T94" s="5">
        <f>IF(J94&lt;&gt;"",M94*N94/365/100*('Cashflow Projection'!$B$2-Investors!J94),0)</f>
        <v>44835.616438356163</v>
      </c>
    </row>
    <row r="95" spans="1:20" x14ac:dyDescent="0.2">
      <c r="A95" s="3" t="s">
        <v>253</v>
      </c>
      <c r="B95" s="3" t="s">
        <v>254</v>
      </c>
      <c r="C95" s="3" t="s">
        <v>255</v>
      </c>
      <c r="D95" s="3" t="s">
        <v>24</v>
      </c>
      <c r="E95" s="3" t="s">
        <v>256</v>
      </c>
      <c r="F95" s="3" t="b">
        <v>1</v>
      </c>
      <c r="G95" s="3" t="b">
        <v>1</v>
      </c>
      <c r="H95" s="3" t="s">
        <v>209</v>
      </c>
      <c r="I95" s="4">
        <v>44333</v>
      </c>
      <c r="J95" s="4">
        <v>44352</v>
      </c>
      <c r="K95" s="4">
        <v>45027</v>
      </c>
      <c r="L95" s="3">
        <v>6</v>
      </c>
      <c r="M95" s="3">
        <v>300000</v>
      </c>
      <c r="N95" s="3">
        <v>18</v>
      </c>
      <c r="O95" s="3" t="b">
        <v>0</v>
      </c>
      <c r="P95" s="3" t="b">
        <v>0</v>
      </c>
      <c r="Q95" s="3">
        <v>976.02739726027369</v>
      </c>
      <c r="R95" s="3">
        <v>99863.013698630137</v>
      </c>
      <c r="S95" s="3">
        <v>100839.0410958904</v>
      </c>
      <c r="T95" s="5">
        <f>IF(J95&lt;&gt;"",M95*N95/365/100*('Cashflow Projection'!$B$2-Investors!J95),0)</f>
        <v>161408.21917808219</v>
      </c>
    </row>
    <row r="96" spans="1:20" x14ac:dyDescent="0.2">
      <c r="A96" s="3" t="s">
        <v>257</v>
      </c>
      <c r="B96" s="3" t="s">
        <v>258</v>
      </c>
      <c r="C96" s="3" t="s">
        <v>259</v>
      </c>
      <c r="D96" s="3" t="s">
        <v>24</v>
      </c>
      <c r="E96" s="3" t="s">
        <v>256</v>
      </c>
      <c r="F96" s="3" t="b">
        <v>1</v>
      </c>
      <c r="G96" s="3" t="b">
        <v>1</v>
      </c>
      <c r="H96" s="3" t="s">
        <v>209</v>
      </c>
      <c r="I96" s="4">
        <v>44305</v>
      </c>
      <c r="J96" s="4">
        <v>44352</v>
      </c>
      <c r="K96" s="4">
        <v>44981</v>
      </c>
      <c r="L96" s="3">
        <v>1</v>
      </c>
      <c r="M96" s="3">
        <v>500000</v>
      </c>
      <c r="N96" s="3">
        <v>18</v>
      </c>
      <c r="O96" s="3" t="b">
        <v>1</v>
      </c>
      <c r="P96" s="3" t="b">
        <v>0</v>
      </c>
      <c r="Q96" s="3">
        <v>4023.9726027397278</v>
      </c>
      <c r="R96" s="3">
        <v>155095.89041095891</v>
      </c>
      <c r="S96" s="3">
        <v>159119.8630136986</v>
      </c>
      <c r="T96" s="5">
        <f>IF(J96&lt;&gt;"",M96*N96/365/100*('Cashflow Projection'!$B$2-Investors!J96),0)</f>
        <v>269013.69863013696</v>
      </c>
    </row>
    <row r="97" spans="1:20" x14ac:dyDescent="0.2">
      <c r="A97" s="3" t="s">
        <v>58</v>
      </c>
      <c r="B97" s="3" t="s">
        <v>53</v>
      </c>
      <c r="C97" s="3" t="s">
        <v>54</v>
      </c>
      <c r="D97" s="3" t="s">
        <v>24</v>
      </c>
      <c r="E97" s="3" t="s">
        <v>256</v>
      </c>
      <c r="F97" s="3" t="b">
        <v>1</v>
      </c>
      <c r="G97" s="3" t="b">
        <v>1</v>
      </c>
      <c r="H97" s="3" t="s">
        <v>209</v>
      </c>
      <c r="I97" s="4">
        <v>44187</v>
      </c>
      <c r="J97" s="4">
        <v>44352</v>
      </c>
      <c r="K97" s="4">
        <v>45027</v>
      </c>
      <c r="L97" s="3">
        <v>5</v>
      </c>
      <c r="M97" s="3">
        <v>120000</v>
      </c>
      <c r="N97" s="3">
        <v>18</v>
      </c>
      <c r="O97" s="3" t="b">
        <v>0</v>
      </c>
      <c r="P97" s="3" t="b">
        <v>0</v>
      </c>
      <c r="Q97" s="3">
        <v>3390.4109589041218</v>
      </c>
      <c r="R97" s="3">
        <v>39945.205479452059</v>
      </c>
      <c r="S97" s="3">
        <v>43335.616438356177</v>
      </c>
      <c r="T97" s="5">
        <f>IF(J97&lt;&gt;"",M97*N97/365/100*('Cashflow Projection'!$B$2-Investors!J97),0)</f>
        <v>64563.28767123288</v>
      </c>
    </row>
    <row r="98" spans="1:20" x14ac:dyDescent="0.2">
      <c r="A98" s="3" t="s">
        <v>52</v>
      </c>
      <c r="B98" s="3" t="s">
        <v>53</v>
      </c>
      <c r="C98" s="3" t="s">
        <v>54</v>
      </c>
      <c r="D98" s="3" t="s">
        <v>24</v>
      </c>
      <c r="E98" s="3" t="s">
        <v>260</v>
      </c>
      <c r="F98" s="3" t="b">
        <v>1</v>
      </c>
      <c r="G98" s="3" t="b">
        <v>1</v>
      </c>
      <c r="H98" s="3" t="s">
        <v>209</v>
      </c>
      <c r="I98" s="4">
        <v>44266</v>
      </c>
      <c r="J98" s="4">
        <v>44352</v>
      </c>
      <c r="K98" s="4">
        <v>44953</v>
      </c>
      <c r="L98" s="3">
        <v>3</v>
      </c>
      <c r="M98" s="3">
        <v>110000</v>
      </c>
      <c r="N98" s="3">
        <v>18</v>
      </c>
      <c r="O98" s="3" t="b">
        <v>1</v>
      </c>
      <c r="P98" s="3" t="b">
        <v>0</v>
      </c>
      <c r="Q98" s="3">
        <v>1619.8630136986269</v>
      </c>
      <c r="R98" s="3">
        <v>32602.191780821919</v>
      </c>
      <c r="S98" s="3">
        <v>34222.054794520547</v>
      </c>
      <c r="T98" s="5">
        <f>IF(J98&lt;&gt;"",M98*N98/365/100*('Cashflow Projection'!$B$2-Investors!J98),0)</f>
        <v>59183.013698630144</v>
      </c>
    </row>
    <row r="99" spans="1:20" x14ac:dyDescent="0.2">
      <c r="A99" s="3" t="s">
        <v>261</v>
      </c>
      <c r="B99" s="3" t="s">
        <v>262</v>
      </c>
      <c r="C99" s="3" t="s">
        <v>263</v>
      </c>
      <c r="D99" s="3" t="s">
        <v>24</v>
      </c>
      <c r="E99" s="3" t="s">
        <v>260</v>
      </c>
      <c r="F99" s="3" t="b">
        <v>1</v>
      </c>
      <c r="G99" s="3" t="b">
        <v>1</v>
      </c>
      <c r="H99" s="3" t="s">
        <v>209</v>
      </c>
      <c r="I99" s="4">
        <v>44274</v>
      </c>
      <c r="J99" s="4">
        <v>44352</v>
      </c>
      <c r="K99" s="4">
        <v>44984</v>
      </c>
      <c r="L99" s="3">
        <v>1</v>
      </c>
      <c r="M99" s="3">
        <v>200000</v>
      </c>
      <c r="N99" s="3">
        <v>15</v>
      </c>
      <c r="O99" s="3" t="b">
        <v>0</v>
      </c>
      <c r="P99" s="3" t="b">
        <v>0</v>
      </c>
      <c r="Q99" s="3">
        <v>2671.2328767123322</v>
      </c>
      <c r="R99" s="3">
        <v>51945.205479452052</v>
      </c>
      <c r="S99" s="3">
        <v>54616.438356164377</v>
      </c>
      <c r="T99" s="5">
        <f>IF(J99&lt;&gt;"",M99*N99/365/100*('Cashflow Projection'!$B$2-Investors!J99),0)</f>
        <v>89671.232876712325</v>
      </c>
    </row>
    <row r="100" spans="1:20" x14ac:dyDescent="0.2">
      <c r="A100" s="3" t="s">
        <v>69</v>
      </c>
      <c r="B100" s="3" t="s">
        <v>70</v>
      </c>
      <c r="C100" s="3" t="s">
        <v>71</v>
      </c>
      <c r="D100" s="3" t="s">
        <v>24</v>
      </c>
      <c r="E100" s="3" t="s">
        <v>260</v>
      </c>
      <c r="F100" s="3" t="b">
        <v>1</v>
      </c>
      <c r="G100" s="3" t="b">
        <v>1</v>
      </c>
      <c r="H100" s="3" t="s">
        <v>209</v>
      </c>
      <c r="I100" s="4">
        <v>44113</v>
      </c>
      <c r="J100" s="4">
        <v>44316</v>
      </c>
      <c r="K100" s="4">
        <v>44953</v>
      </c>
      <c r="L100" s="3">
        <v>4</v>
      </c>
      <c r="M100" s="3">
        <v>110000</v>
      </c>
      <c r="N100" s="3">
        <v>18</v>
      </c>
      <c r="O100" s="3" t="b">
        <v>1</v>
      </c>
      <c r="P100" s="3" t="b">
        <v>0</v>
      </c>
      <c r="Q100" s="3">
        <v>3823.6301369863072</v>
      </c>
      <c r="R100" s="3">
        <v>34555.068493150677</v>
      </c>
      <c r="S100" s="3">
        <v>38378.698630136991</v>
      </c>
      <c r="T100" s="5">
        <f>IF(J100&lt;&gt;"",M100*N100/365/100*('Cashflow Projection'!$B$2-Investors!J100),0)</f>
        <v>61135.890410958913</v>
      </c>
    </row>
    <row r="101" spans="1:20" x14ac:dyDescent="0.2">
      <c r="A101" s="3" t="s">
        <v>264</v>
      </c>
      <c r="B101" s="3" t="s">
        <v>265</v>
      </c>
      <c r="C101" s="3" t="s">
        <v>266</v>
      </c>
      <c r="D101" s="3" t="s">
        <v>24</v>
      </c>
      <c r="E101" s="3" t="s">
        <v>260</v>
      </c>
      <c r="F101" s="3" t="b">
        <v>1</v>
      </c>
      <c r="G101" s="3" t="b">
        <v>1</v>
      </c>
      <c r="H101" s="3" t="s">
        <v>209</v>
      </c>
      <c r="I101" s="4">
        <v>44435</v>
      </c>
      <c r="J101" s="4">
        <v>44532</v>
      </c>
      <c r="K101" s="4">
        <v>44984</v>
      </c>
      <c r="L101" s="3">
        <v>1</v>
      </c>
      <c r="M101" s="3">
        <v>500000</v>
      </c>
      <c r="N101" s="3">
        <v>18</v>
      </c>
      <c r="O101" s="3" t="b">
        <v>0</v>
      </c>
      <c r="P101" s="3" t="b">
        <v>0</v>
      </c>
      <c r="Q101" s="3">
        <v>8311.6438356164454</v>
      </c>
      <c r="R101" s="3">
        <v>111452.0547945205</v>
      </c>
      <c r="S101" s="3">
        <v>119763.69863013701</v>
      </c>
      <c r="T101" s="5">
        <f>IF(J101&lt;&gt;"",M101*N101/365/100*('Cashflow Projection'!$B$2-Investors!J101),0)</f>
        <v>224630.13698630137</v>
      </c>
    </row>
    <row r="102" spans="1:20" x14ac:dyDescent="0.2">
      <c r="A102" s="3" t="s">
        <v>52</v>
      </c>
      <c r="B102" s="3" t="s">
        <v>53</v>
      </c>
      <c r="C102" s="3" t="s">
        <v>54</v>
      </c>
      <c r="D102" s="3" t="s">
        <v>24</v>
      </c>
      <c r="E102" s="3" t="s">
        <v>267</v>
      </c>
      <c r="F102" s="3" t="b">
        <v>1</v>
      </c>
      <c r="G102" s="3" t="b">
        <v>1</v>
      </c>
      <c r="H102" s="3" t="s">
        <v>209</v>
      </c>
      <c r="I102" s="4">
        <v>44266</v>
      </c>
      <c r="J102" s="4">
        <v>44352</v>
      </c>
      <c r="K102" s="4">
        <v>44999</v>
      </c>
      <c r="L102" s="3">
        <v>4</v>
      </c>
      <c r="M102" s="3">
        <v>110000</v>
      </c>
      <c r="N102" s="3">
        <v>18</v>
      </c>
      <c r="O102" s="3" t="b">
        <v>0</v>
      </c>
      <c r="P102" s="3" t="b">
        <v>0</v>
      </c>
      <c r="Q102" s="3">
        <v>1619.8630136986269</v>
      </c>
      <c r="R102" s="3">
        <v>35097.534246575342</v>
      </c>
      <c r="S102" s="3">
        <v>36717.397260273967</v>
      </c>
      <c r="T102" s="5">
        <f>IF(J102&lt;&gt;"",M102*N102/365/100*('Cashflow Projection'!$B$2-Investors!J102),0)</f>
        <v>59183.013698630144</v>
      </c>
    </row>
    <row r="103" spans="1:20" x14ac:dyDescent="0.2">
      <c r="A103" s="3" t="s">
        <v>268</v>
      </c>
      <c r="B103" s="3" t="s">
        <v>269</v>
      </c>
      <c r="C103" s="3" t="s">
        <v>270</v>
      </c>
      <c r="D103" s="3" t="s">
        <v>24</v>
      </c>
      <c r="E103" s="3" t="s">
        <v>267</v>
      </c>
      <c r="F103" s="3" t="b">
        <v>1</v>
      </c>
      <c r="G103" s="3" t="b">
        <v>1</v>
      </c>
      <c r="H103" s="3" t="s">
        <v>209</v>
      </c>
      <c r="I103" s="4">
        <v>44298</v>
      </c>
      <c r="J103" s="4">
        <v>44352</v>
      </c>
      <c r="K103" s="4">
        <v>44999</v>
      </c>
      <c r="L103" s="3">
        <v>1</v>
      </c>
      <c r="M103" s="3">
        <v>600000</v>
      </c>
      <c r="N103" s="3">
        <v>18</v>
      </c>
      <c r="O103" s="3" t="b">
        <v>0</v>
      </c>
      <c r="P103" s="3" t="b">
        <v>0</v>
      </c>
      <c r="Q103" s="3">
        <v>5547.9452054794556</v>
      </c>
      <c r="R103" s="3">
        <v>191441.095890411</v>
      </c>
      <c r="S103" s="3">
        <v>196989.0410958904</v>
      </c>
      <c r="T103" s="5">
        <f>IF(J103&lt;&gt;"",M103*N103/365/100*('Cashflow Projection'!$B$2-Investors!J103),0)</f>
        <v>322816.43835616438</v>
      </c>
    </row>
    <row r="104" spans="1:20" x14ac:dyDescent="0.2">
      <c r="A104" s="3" t="s">
        <v>271</v>
      </c>
      <c r="B104" s="3" t="s">
        <v>272</v>
      </c>
      <c r="C104" s="3" t="s">
        <v>273</v>
      </c>
      <c r="D104" s="3" t="s">
        <v>24</v>
      </c>
      <c r="E104" s="3" t="s">
        <v>267</v>
      </c>
      <c r="F104" s="3" t="b">
        <v>1</v>
      </c>
      <c r="G104" s="3" t="b">
        <v>1</v>
      </c>
      <c r="H104" s="3" t="s">
        <v>209</v>
      </c>
      <c r="I104" s="4">
        <v>44243</v>
      </c>
      <c r="J104" s="4">
        <v>44352</v>
      </c>
      <c r="K104" s="4">
        <v>44999</v>
      </c>
      <c r="L104" s="3">
        <v>1</v>
      </c>
      <c r="M104" s="3">
        <v>100000</v>
      </c>
      <c r="N104" s="3">
        <v>15</v>
      </c>
      <c r="O104" s="3" t="b">
        <v>0</v>
      </c>
      <c r="P104" s="3" t="b">
        <v>0</v>
      </c>
      <c r="Q104" s="3">
        <v>1866.4383561643861</v>
      </c>
      <c r="R104" s="3">
        <v>26589.04109589041</v>
      </c>
      <c r="S104" s="3">
        <v>28455.479452054791</v>
      </c>
      <c r="T104" s="5">
        <f>IF(J104&lt;&gt;"",M104*N104/365/100*('Cashflow Projection'!$B$2-Investors!J104),0)</f>
        <v>44835.616438356163</v>
      </c>
    </row>
    <row r="105" spans="1:20" x14ac:dyDescent="0.2">
      <c r="A105" s="3" t="s">
        <v>207</v>
      </c>
      <c r="B105" s="3" t="s">
        <v>53</v>
      </c>
      <c r="C105" s="3" t="s">
        <v>54</v>
      </c>
      <c r="D105" s="3" t="s">
        <v>24</v>
      </c>
      <c r="E105" s="3" t="s">
        <v>267</v>
      </c>
      <c r="F105" s="3" t="b">
        <v>1</v>
      </c>
      <c r="G105" s="3" t="b">
        <v>1</v>
      </c>
      <c r="H105" s="3" t="s">
        <v>209</v>
      </c>
      <c r="I105" s="4">
        <v>44117</v>
      </c>
      <c r="J105" s="4">
        <v>44316</v>
      </c>
      <c r="K105" s="4">
        <v>44999</v>
      </c>
      <c r="L105" s="3">
        <v>6</v>
      </c>
      <c r="M105" s="3">
        <v>100000</v>
      </c>
      <c r="N105" s="3">
        <v>18</v>
      </c>
      <c r="O105" s="3" t="b">
        <v>0</v>
      </c>
      <c r="P105" s="3" t="b">
        <v>0</v>
      </c>
      <c r="Q105" s="3">
        <v>3407.534246575347</v>
      </c>
      <c r="R105" s="3">
        <v>33682.191780821922</v>
      </c>
      <c r="S105" s="3">
        <v>37089.726027397257</v>
      </c>
      <c r="T105" s="5">
        <f>IF(J105&lt;&gt;"",M105*N105/365/100*('Cashflow Projection'!$B$2-Investors!J105),0)</f>
        <v>55578.082191780821</v>
      </c>
    </row>
    <row r="106" spans="1:20" x14ac:dyDescent="0.2">
      <c r="A106" s="3" t="s">
        <v>179</v>
      </c>
      <c r="B106" s="3" t="s">
        <v>180</v>
      </c>
      <c r="C106" s="3" t="s">
        <v>181</v>
      </c>
      <c r="D106" s="3" t="s">
        <v>24</v>
      </c>
      <c r="E106" s="3" t="s">
        <v>274</v>
      </c>
      <c r="F106" s="3" t="b">
        <v>1</v>
      </c>
      <c r="G106" s="3" t="b">
        <v>1</v>
      </c>
      <c r="H106" s="3" t="s">
        <v>209</v>
      </c>
      <c r="I106" s="4">
        <v>44253</v>
      </c>
      <c r="J106" s="4">
        <v>44352</v>
      </c>
      <c r="K106" s="4">
        <v>45019</v>
      </c>
      <c r="L106" s="3">
        <v>2</v>
      </c>
      <c r="M106" s="3">
        <v>900000</v>
      </c>
      <c r="N106" s="3">
        <v>18</v>
      </c>
      <c r="O106" s="3" t="b">
        <v>0</v>
      </c>
      <c r="P106" s="3" t="b">
        <v>0</v>
      </c>
      <c r="Q106" s="3">
        <v>15256.84931506851</v>
      </c>
      <c r="R106" s="3">
        <v>296038.35616438359</v>
      </c>
      <c r="S106" s="3">
        <v>311295.2054794521</v>
      </c>
      <c r="T106" s="5">
        <f>IF(J106&lt;&gt;"",M106*N106/365/100*('Cashflow Projection'!$B$2-Investors!J106),0)</f>
        <v>484224.65753424657</v>
      </c>
    </row>
    <row r="107" spans="1:20" x14ac:dyDescent="0.2">
      <c r="A107" s="3" t="s">
        <v>52</v>
      </c>
      <c r="B107" s="3" t="s">
        <v>53</v>
      </c>
      <c r="C107" s="3" t="s">
        <v>54</v>
      </c>
      <c r="D107" s="3" t="s">
        <v>24</v>
      </c>
      <c r="E107" s="3" t="s">
        <v>275</v>
      </c>
      <c r="F107" s="3" t="b">
        <v>1</v>
      </c>
      <c r="G107" s="3" t="b">
        <v>1</v>
      </c>
      <c r="H107" s="3" t="s">
        <v>209</v>
      </c>
      <c r="I107" s="4">
        <v>44266</v>
      </c>
      <c r="J107" s="4">
        <v>44352</v>
      </c>
      <c r="K107" s="4">
        <v>45027</v>
      </c>
      <c r="L107" s="3">
        <v>5</v>
      </c>
      <c r="M107" s="3">
        <v>110000</v>
      </c>
      <c r="N107" s="3">
        <v>18</v>
      </c>
      <c r="O107" s="3" t="b">
        <v>0</v>
      </c>
      <c r="P107" s="3" t="b">
        <v>0</v>
      </c>
      <c r="Q107" s="3">
        <v>1619.8630136986269</v>
      </c>
      <c r="R107" s="3">
        <v>36616.438356164377</v>
      </c>
      <c r="S107" s="3">
        <v>38236.301369863009</v>
      </c>
      <c r="T107" s="5">
        <f>IF(J107&lt;&gt;"",M107*N107/365/100*('Cashflow Projection'!$B$2-Investors!J107),0)</f>
        <v>59183.013698630144</v>
      </c>
    </row>
    <row r="108" spans="1:20" x14ac:dyDescent="0.2">
      <c r="A108" s="3" t="s">
        <v>58</v>
      </c>
      <c r="B108" s="3" t="s">
        <v>53</v>
      </c>
      <c r="C108" s="3" t="s">
        <v>54</v>
      </c>
      <c r="D108" s="3" t="s">
        <v>24</v>
      </c>
      <c r="E108" s="3" t="s">
        <v>275</v>
      </c>
      <c r="F108" s="3" t="b">
        <v>1</v>
      </c>
      <c r="G108" s="3" t="b">
        <v>1</v>
      </c>
      <c r="H108" s="3" t="s">
        <v>209</v>
      </c>
      <c r="I108" s="4">
        <v>44187</v>
      </c>
      <c r="J108" s="4">
        <v>44352</v>
      </c>
      <c r="K108" s="4">
        <v>45027</v>
      </c>
      <c r="L108" s="3">
        <v>6</v>
      </c>
      <c r="M108" s="3">
        <v>100000</v>
      </c>
      <c r="N108" s="3">
        <v>18</v>
      </c>
      <c r="O108" s="3" t="b">
        <v>0</v>
      </c>
      <c r="P108" s="3" t="b">
        <v>0</v>
      </c>
      <c r="Q108" s="3">
        <v>2825.3424657534279</v>
      </c>
      <c r="R108" s="3">
        <v>33287.67123287671</v>
      </c>
      <c r="S108" s="3">
        <v>36113.013698630137</v>
      </c>
      <c r="T108" s="5">
        <f>IF(J108&lt;&gt;"",M108*N108/365/100*('Cashflow Projection'!$B$2-Investors!J108),0)</f>
        <v>53802.739726027394</v>
      </c>
    </row>
    <row r="109" spans="1:20" x14ac:dyDescent="0.2">
      <c r="A109" s="3" t="s">
        <v>276</v>
      </c>
      <c r="B109" s="3" t="s">
        <v>277</v>
      </c>
      <c r="C109" s="3" t="s">
        <v>266</v>
      </c>
      <c r="D109" s="3" t="s">
        <v>24</v>
      </c>
      <c r="E109" s="3" t="s">
        <v>275</v>
      </c>
      <c r="F109" s="3" t="b">
        <v>1</v>
      </c>
      <c r="G109" s="3" t="b">
        <v>1</v>
      </c>
      <c r="H109" s="3" t="s">
        <v>209</v>
      </c>
      <c r="I109" s="4">
        <v>44435</v>
      </c>
      <c r="J109" s="4">
        <v>44508</v>
      </c>
      <c r="K109" s="4">
        <v>45027</v>
      </c>
      <c r="L109" s="3">
        <v>1</v>
      </c>
      <c r="M109" s="3">
        <v>500000</v>
      </c>
      <c r="N109" s="3">
        <v>18</v>
      </c>
      <c r="O109" s="3" t="b">
        <v>0</v>
      </c>
      <c r="P109" s="3" t="b">
        <v>0</v>
      </c>
      <c r="Q109" s="3">
        <v>6250.0000000000045</v>
      </c>
      <c r="R109" s="3">
        <v>127972.602739726</v>
      </c>
      <c r="S109" s="3">
        <v>134222.60273972599</v>
      </c>
      <c r="T109" s="5">
        <f>IF(J109&lt;&gt;"",M109*N109/365/100*('Cashflow Projection'!$B$2-Investors!J109),0)</f>
        <v>230547.94520547942</v>
      </c>
    </row>
    <row r="110" spans="1:20" x14ac:dyDescent="0.2">
      <c r="A110" s="3" t="s">
        <v>278</v>
      </c>
      <c r="B110" s="3" t="s">
        <v>279</v>
      </c>
      <c r="C110" s="3" t="s">
        <v>280</v>
      </c>
      <c r="D110" s="3" t="s">
        <v>24</v>
      </c>
      <c r="E110" s="3" t="s">
        <v>275</v>
      </c>
      <c r="F110" s="3" t="b">
        <v>1</v>
      </c>
      <c r="G110" s="3" t="b">
        <v>1</v>
      </c>
      <c r="H110" s="3" t="s">
        <v>209</v>
      </c>
      <c r="I110" s="4">
        <v>44323</v>
      </c>
      <c r="J110" s="4">
        <v>44352</v>
      </c>
      <c r="K110" s="4">
        <v>45027</v>
      </c>
      <c r="L110" s="3">
        <v>1</v>
      </c>
      <c r="M110" s="3">
        <v>200000</v>
      </c>
      <c r="N110" s="3">
        <v>15</v>
      </c>
      <c r="O110" s="3" t="b">
        <v>0</v>
      </c>
      <c r="P110" s="3" t="b">
        <v>0</v>
      </c>
      <c r="Q110" s="3">
        <v>993.1506849315075</v>
      </c>
      <c r="R110" s="3">
        <v>55479.452054794507</v>
      </c>
      <c r="S110" s="3">
        <v>56472.602739726019</v>
      </c>
      <c r="T110" s="5">
        <f>IF(J110&lt;&gt;"",M110*N110/365/100*('Cashflow Projection'!$B$2-Investors!J110),0)</f>
        <v>89671.232876712325</v>
      </c>
    </row>
    <row r="111" spans="1:20" x14ac:dyDescent="0.2">
      <c r="A111" s="3" t="s">
        <v>281</v>
      </c>
      <c r="B111" s="3" t="s">
        <v>282</v>
      </c>
      <c r="C111" s="3" t="s">
        <v>283</v>
      </c>
      <c r="D111" s="3" t="s">
        <v>24</v>
      </c>
      <c r="E111" s="3" t="s">
        <v>284</v>
      </c>
      <c r="F111" s="3" t="b">
        <v>1</v>
      </c>
      <c r="G111" s="3" t="b">
        <v>1</v>
      </c>
      <c r="H111" s="3" t="s">
        <v>209</v>
      </c>
      <c r="I111" s="4">
        <v>44352</v>
      </c>
      <c r="J111" s="4">
        <v>44352</v>
      </c>
      <c r="K111" s="4">
        <v>44936</v>
      </c>
      <c r="L111" s="3">
        <v>1</v>
      </c>
      <c r="M111" s="3">
        <v>100000</v>
      </c>
      <c r="N111" s="3">
        <v>15</v>
      </c>
      <c r="O111" s="3" t="b">
        <v>0</v>
      </c>
      <c r="P111" s="3" t="b">
        <v>0</v>
      </c>
      <c r="Q111" s="3">
        <v>0</v>
      </c>
      <c r="R111" s="3">
        <v>24000</v>
      </c>
      <c r="S111" s="3">
        <v>24000</v>
      </c>
      <c r="T111" s="5">
        <f>IF(J111&lt;&gt;"",M111*N111/365/100*('Cashflow Projection'!$B$2-Investors!J111),0)</f>
        <v>44835.616438356163</v>
      </c>
    </row>
    <row r="112" spans="1:20" x14ac:dyDescent="0.2">
      <c r="A112" s="3" t="s">
        <v>285</v>
      </c>
      <c r="B112" s="3" t="s">
        <v>286</v>
      </c>
      <c r="C112" s="3" t="s">
        <v>287</v>
      </c>
      <c r="D112" s="3" t="s">
        <v>24</v>
      </c>
      <c r="E112" s="3" t="s">
        <v>284</v>
      </c>
      <c r="F112" s="3" t="b">
        <v>1</v>
      </c>
      <c r="G112" s="3" t="b">
        <v>1</v>
      </c>
      <c r="H112" s="3" t="s">
        <v>209</v>
      </c>
      <c r="I112" s="4">
        <v>44267</v>
      </c>
      <c r="J112" s="4">
        <v>44378</v>
      </c>
      <c r="K112" s="4">
        <v>44936</v>
      </c>
      <c r="L112" s="3">
        <v>1</v>
      </c>
      <c r="M112" s="3">
        <v>800000</v>
      </c>
      <c r="N112" s="3">
        <v>18</v>
      </c>
      <c r="O112" s="3" t="b">
        <v>0</v>
      </c>
      <c r="P112" s="3" t="b">
        <v>0</v>
      </c>
      <c r="Q112" s="3">
        <v>15205.479452054809</v>
      </c>
      <c r="R112" s="3">
        <v>220142.46575342471</v>
      </c>
      <c r="S112" s="3">
        <v>235347.94520547951</v>
      </c>
      <c r="T112" s="5">
        <f>IF(J112&lt;&gt;"",M112*N112/365/100*('Cashflow Projection'!$B$2-Investors!J112),0)</f>
        <v>420164.38356164383</v>
      </c>
    </row>
    <row r="113" spans="1:20" x14ac:dyDescent="0.2">
      <c r="A113" s="3" t="s">
        <v>288</v>
      </c>
      <c r="B113" s="3" t="s">
        <v>289</v>
      </c>
      <c r="C113" s="3" t="s">
        <v>290</v>
      </c>
      <c r="D113" s="3" t="s">
        <v>24</v>
      </c>
      <c r="E113" s="3" t="s">
        <v>291</v>
      </c>
      <c r="F113" s="3" t="b">
        <v>1</v>
      </c>
      <c r="G113" s="3" t="b">
        <v>1</v>
      </c>
      <c r="H113" s="3" t="s">
        <v>209</v>
      </c>
      <c r="I113" s="4">
        <v>44280</v>
      </c>
      <c r="J113" s="4">
        <v>44378</v>
      </c>
      <c r="K113" s="4">
        <v>44895</v>
      </c>
      <c r="L113" s="3">
        <v>1</v>
      </c>
      <c r="M113" s="3">
        <v>500000</v>
      </c>
      <c r="N113" s="3">
        <v>18</v>
      </c>
      <c r="O113" s="3" t="b">
        <v>1</v>
      </c>
      <c r="P113" s="3" t="b">
        <v>0</v>
      </c>
      <c r="Q113" s="3">
        <v>8390.4109589041163</v>
      </c>
      <c r="R113" s="3">
        <v>127479.4520547945</v>
      </c>
      <c r="S113" s="3">
        <v>135869.8630136986</v>
      </c>
      <c r="T113" s="5">
        <f>IF(J113&lt;&gt;"",M113*N113/365/100*('Cashflow Projection'!$B$2-Investors!J113),0)</f>
        <v>262602.73972602736</v>
      </c>
    </row>
    <row r="114" spans="1:20" x14ac:dyDescent="0.2">
      <c r="A114" s="3" t="s">
        <v>292</v>
      </c>
      <c r="B114" s="3" t="s">
        <v>293</v>
      </c>
      <c r="C114" s="3" t="s">
        <v>294</v>
      </c>
      <c r="D114" s="3" t="s">
        <v>24</v>
      </c>
      <c r="E114" s="3" t="s">
        <v>291</v>
      </c>
      <c r="F114" s="3" t="b">
        <v>1</v>
      </c>
      <c r="G114" s="3" t="b">
        <v>1</v>
      </c>
      <c r="H114" s="3" t="s">
        <v>209</v>
      </c>
      <c r="I114" s="4">
        <v>44287</v>
      </c>
      <c r="J114" s="4">
        <v>44352</v>
      </c>
      <c r="K114" s="4">
        <v>45007</v>
      </c>
      <c r="L114" s="3">
        <v>1</v>
      </c>
      <c r="M114" s="3">
        <v>250000</v>
      </c>
      <c r="N114" s="3">
        <v>15</v>
      </c>
      <c r="O114" s="3" t="b">
        <v>0</v>
      </c>
      <c r="P114" s="3" t="b">
        <v>0</v>
      </c>
      <c r="Q114" s="3">
        <v>2782.5342465753438</v>
      </c>
      <c r="R114" s="3">
        <v>67294.520547945198</v>
      </c>
      <c r="S114" s="3">
        <v>70077.054794520547</v>
      </c>
      <c r="T114" s="5">
        <f>IF(J114&lt;&gt;"",M114*N114/365/100*('Cashflow Projection'!$B$2-Investors!J114),0)</f>
        <v>112089.04109589042</v>
      </c>
    </row>
    <row r="115" spans="1:20" x14ac:dyDescent="0.2">
      <c r="A115" s="3" t="s">
        <v>295</v>
      </c>
      <c r="B115" s="3" t="s">
        <v>296</v>
      </c>
      <c r="C115" s="3" t="s">
        <v>297</v>
      </c>
      <c r="D115" s="3" t="s">
        <v>24</v>
      </c>
      <c r="E115" s="3" t="s">
        <v>291</v>
      </c>
      <c r="F115" s="3" t="b">
        <v>1</v>
      </c>
      <c r="G115" s="3" t="b">
        <v>1</v>
      </c>
      <c r="H115" s="3" t="s">
        <v>209</v>
      </c>
      <c r="I115" s="4">
        <v>44286</v>
      </c>
      <c r="J115" s="4">
        <v>44352</v>
      </c>
      <c r="K115" s="4">
        <v>45007</v>
      </c>
      <c r="L115" s="3">
        <v>1</v>
      </c>
      <c r="M115" s="3">
        <v>150000</v>
      </c>
      <c r="N115" s="3">
        <v>15</v>
      </c>
      <c r="O115" s="3" t="b">
        <v>0</v>
      </c>
      <c r="P115" s="3" t="b">
        <v>0</v>
      </c>
      <c r="Q115" s="3">
        <v>1695.2054794520559</v>
      </c>
      <c r="R115" s="3">
        <v>40376.712328767127</v>
      </c>
      <c r="S115" s="3">
        <v>42071.917808219187</v>
      </c>
      <c r="T115" s="5">
        <f>IF(J115&lt;&gt;"",M115*N115/365/100*('Cashflow Projection'!$B$2-Investors!J115),0)</f>
        <v>67253.42465753424</v>
      </c>
    </row>
    <row r="116" spans="1:20" x14ac:dyDescent="0.2">
      <c r="A116" s="3" t="s">
        <v>253</v>
      </c>
      <c r="B116" s="3" t="s">
        <v>254</v>
      </c>
      <c r="C116" s="3" t="s">
        <v>255</v>
      </c>
      <c r="D116" s="3" t="s">
        <v>24</v>
      </c>
      <c r="E116" s="3" t="s">
        <v>298</v>
      </c>
      <c r="F116" s="3" t="b">
        <v>1</v>
      </c>
      <c r="G116" s="3" t="b">
        <v>1</v>
      </c>
      <c r="H116" s="3" t="s">
        <v>209</v>
      </c>
      <c r="I116" s="4">
        <v>44286</v>
      </c>
      <c r="J116" s="4">
        <v>44352</v>
      </c>
      <c r="K116" s="4">
        <v>44895</v>
      </c>
      <c r="L116" s="3">
        <v>4</v>
      </c>
      <c r="M116" s="3">
        <v>600000</v>
      </c>
      <c r="N116" s="3">
        <v>18</v>
      </c>
      <c r="O116" s="3" t="b">
        <v>1</v>
      </c>
      <c r="P116" s="3" t="b">
        <v>0</v>
      </c>
      <c r="Q116" s="3">
        <v>6780.8219178082254</v>
      </c>
      <c r="R116" s="3">
        <v>160668.4931506849</v>
      </c>
      <c r="S116" s="3">
        <v>167449.31506849319</v>
      </c>
      <c r="T116" s="5">
        <f>IF(J116&lt;&gt;"",M116*N116/365/100*('Cashflow Projection'!$B$2-Investors!J116),0)</f>
        <v>322816.43835616438</v>
      </c>
    </row>
    <row r="117" spans="1:20" x14ac:dyDescent="0.2">
      <c r="A117" s="3" t="s">
        <v>299</v>
      </c>
      <c r="B117" s="3" t="s">
        <v>300</v>
      </c>
      <c r="C117" s="3" t="s">
        <v>301</v>
      </c>
      <c r="D117" s="3" t="s">
        <v>24</v>
      </c>
      <c r="E117" s="3" t="s">
        <v>298</v>
      </c>
      <c r="F117" s="3" t="b">
        <v>1</v>
      </c>
      <c r="G117" s="3" t="b">
        <v>1</v>
      </c>
      <c r="H117" s="3" t="s">
        <v>209</v>
      </c>
      <c r="I117" s="4">
        <v>44293</v>
      </c>
      <c r="J117" s="4">
        <v>44352</v>
      </c>
      <c r="K117" s="4">
        <v>44936</v>
      </c>
      <c r="L117" s="3">
        <v>1</v>
      </c>
      <c r="M117" s="3">
        <v>150000</v>
      </c>
      <c r="N117" s="3">
        <v>15</v>
      </c>
      <c r="O117" s="3" t="b">
        <v>0</v>
      </c>
      <c r="P117" s="3" t="b">
        <v>0</v>
      </c>
      <c r="Q117" s="3">
        <v>1515.4109589041111</v>
      </c>
      <c r="R117" s="3">
        <v>36000</v>
      </c>
      <c r="S117" s="3">
        <v>37515.410958904111</v>
      </c>
      <c r="T117" s="5">
        <f>IF(J117&lt;&gt;"",M117*N117/365/100*('Cashflow Projection'!$B$2-Investors!J117),0)</f>
        <v>67253.42465753424</v>
      </c>
    </row>
    <row r="118" spans="1:20" x14ac:dyDescent="0.2">
      <c r="A118" s="3" t="s">
        <v>44</v>
      </c>
      <c r="B118" s="3" t="s">
        <v>45</v>
      </c>
      <c r="C118" s="3" t="s">
        <v>46</v>
      </c>
      <c r="D118" s="3" t="s">
        <v>24</v>
      </c>
      <c r="E118" s="3" t="s">
        <v>302</v>
      </c>
      <c r="F118" s="3" t="b">
        <v>1</v>
      </c>
      <c r="G118" s="3" t="b">
        <v>1</v>
      </c>
      <c r="H118" s="3" t="s">
        <v>209</v>
      </c>
      <c r="I118" s="4">
        <v>44278</v>
      </c>
      <c r="J118" s="4">
        <v>44352</v>
      </c>
      <c r="K118" s="4">
        <v>44998</v>
      </c>
      <c r="L118" s="3">
        <v>2</v>
      </c>
      <c r="M118" s="3">
        <v>900000</v>
      </c>
      <c r="N118" s="3">
        <v>18</v>
      </c>
      <c r="O118" s="3" t="b">
        <v>1</v>
      </c>
      <c r="P118" s="3" t="b">
        <v>0</v>
      </c>
      <c r="Q118" s="3">
        <v>11404.109589041111</v>
      </c>
      <c r="R118" s="3">
        <v>286717.80821917811</v>
      </c>
      <c r="S118" s="3">
        <v>298121.91780821921</v>
      </c>
      <c r="T118" s="5">
        <f>IF(J118&lt;&gt;"",M118*N118/365/100*('Cashflow Projection'!$B$2-Investors!J118),0)</f>
        <v>484224.65753424657</v>
      </c>
    </row>
    <row r="119" spans="1:20" x14ac:dyDescent="0.2">
      <c r="A119" s="3" t="s">
        <v>44</v>
      </c>
      <c r="B119" s="3" t="s">
        <v>45</v>
      </c>
      <c r="C119" s="3" t="s">
        <v>46</v>
      </c>
      <c r="D119" s="3" t="s">
        <v>24</v>
      </c>
      <c r="E119" s="3" t="s">
        <v>303</v>
      </c>
      <c r="F119" s="3" t="b">
        <v>1</v>
      </c>
      <c r="G119" s="3" t="b">
        <v>1</v>
      </c>
      <c r="H119" s="3" t="s">
        <v>209</v>
      </c>
      <c r="I119" s="4">
        <v>44278</v>
      </c>
      <c r="J119" s="4">
        <v>44352</v>
      </c>
      <c r="K119" s="4">
        <v>44974</v>
      </c>
      <c r="L119" s="3">
        <v>3</v>
      </c>
      <c r="M119" s="3">
        <v>900000</v>
      </c>
      <c r="N119" s="3">
        <v>18</v>
      </c>
      <c r="O119" s="3" t="b">
        <v>0</v>
      </c>
      <c r="P119" s="3" t="b">
        <v>0</v>
      </c>
      <c r="Q119" s="3">
        <v>11404.109589041111</v>
      </c>
      <c r="R119" s="3">
        <v>276065.75342465751</v>
      </c>
      <c r="S119" s="3">
        <v>287469.8630136986</v>
      </c>
      <c r="T119" s="5">
        <f>IF(J119&lt;&gt;"",M119*N119/365/100*('Cashflow Projection'!$B$2-Investors!J119),0)</f>
        <v>484224.65753424657</v>
      </c>
    </row>
    <row r="120" spans="1:20" x14ac:dyDescent="0.2">
      <c r="A120" s="3" t="s">
        <v>304</v>
      </c>
      <c r="B120" s="3" t="s">
        <v>305</v>
      </c>
      <c r="C120" s="3" t="s">
        <v>306</v>
      </c>
      <c r="D120" s="3" t="s">
        <v>24</v>
      </c>
      <c r="E120" s="3" t="s">
        <v>307</v>
      </c>
      <c r="F120" s="3" t="b">
        <v>1</v>
      </c>
      <c r="G120" s="3" t="b">
        <v>0</v>
      </c>
      <c r="H120" s="3" t="s">
        <v>209</v>
      </c>
      <c r="I120" s="4">
        <v>44473</v>
      </c>
      <c r="J120" s="4">
        <v>44618</v>
      </c>
      <c r="K120" s="4">
        <v>45343</v>
      </c>
      <c r="L120" s="3">
        <v>1</v>
      </c>
      <c r="M120" s="3">
        <v>1000000</v>
      </c>
      <c r="N120" s="3">
        <v>18</v>
      </c>
      <c r="O120" s="3" t="b">
        <v>1</v>
      </c>
      <c r="P120" s="3" t="b">
        <v>0</v>
      </c>
      <c r="Q120" s="3">
        <v>25609.589041095911</v>
      </c>
      <c r="R120" s="3">
        <v>357534.24657534249</v>
      </c>
      <c r="S120" s="3">
        <v>383143.83561643842</v>
      </c>
      <c r="T120" s="5">
        <f>IF(J120&lt;&gt;"",M120*N120/365/100*('Cashflow Projection'!$B$2-Investors!J120),0)</f>
        <v>406849.31506849313</v>
      </c>
    </row>
    <row r="121" spans="1:20" x14ac:dyDescent="0.2">
      <c r="A121" s="3" t="s">
        <v>78</v>
      </c>
      <c r="B121" s="3" t="s">
        <v>79</v>
      </c>
      <c r="C121" s="3" t="s">
        <v>80</v>
      </c>
      <c r="D121" s="3" t="s">
        <v>24</v>
      </c>
      <c r="E121" s="3" t="s">
        <v>308</v>
      </c>
      <c r="F121" s="3" t="b">
        <v>0</v>
      </c>
      <c r="G121" s="3" t="b">
        <v>0</v>
      </c>
      <c r="H121" s="3" t="s">
        <v>209</v>
      </c>
      <c r="I121" s="4">
        <v>44287</v>
      </c>
      <c r="J121" s="4">
        <v>44352</v>
      </c>
      <c r="K121" s="4">
        <v>45035</v>
      </c>
      <c r="L121" s="3">
        <v>2</v>
      </c>
      <c r="M121" s="3">
        <v>500000</v>
      </c>
      <c r="N121" s="3">
        <v>18</v>
      </c>
      <c r="O121" s="3" t="b">
        <v>1</v>
      </c>
      <c r="P121" s="3" t="b">
        <v>0</v>
      </c>
      <c r="Q121" s="3">
        <v>5565.0684931506876</v>
      </c>
      <c r="R121" s="3">
        <v>168410.9589041096</v>
      </c>
      <c r="S121" s="3">
        <v>173976.0273972603</v>
      </c>
      <c r="T121" s="5">
        <f>IF(J121&lt;&gt;"",M121*N121/365/100*('Cashflow Projection'!$B$2-Investors!J121),0)</f>
        <v>269013.69863013696</v>
      </c>
    </row>
    <row r="122" spans="1:20" x14ac:dyDescent="0.2">
      <c r="A122" s="3" t="s">
        <v>268</v>
      </c>
      <c r="B122" s="3" t="s">
        <v>269</v>
      </c>
      <c r="C122" s="3" t="s">
        <v>270</v>
      </c>
      <c r="D122" s="3" t="s">
        <v>24</v>
      </c>
      <c r="E122" s="3" t="s">
        <v>308</v>
      </c>
      <c r="F122" s="3" t="b">
        <v>0</v>
      </c>
      <c r="G122" s="3" t="b">
        <v>0</v>
      </c>
      <c r="H122" s="3" t="s">
        <v>209</v>
      </c>
      <c r="I122" s="4">
        <v>44298</v>
      </c>
      <c r="J122" s="4">
        <v>44352</v>
      </c>
      <c r="K122" s="4">
        <v>45106</v>
      </c>
      <c r="L122" s="3">
        <v>2</v>
      </c>
      <c r="M122" s="3">
        <v>400000</v>
      </c>
      <c r="N122" s="3">
        <v>18</v>
      </c>
      <c r="O122" s="3" t="b">
        <v>1</v>
      </c>
      <c r="P122" s="3" t="b">
        <v>0</v>
      </c>
      <c r="Q122" s="3">
        <v>3698.6301369863049</v>
      </c>
      <c r="R122" s="3">
        <v>148734.24657534249</v>
      </c>
      <c r="S122" s="3">
        <v>152432.87671232881</v>
      </c>
      <c r="T122" s="5">
        <f>IF(J122&lt;&gt;"",M122*N122/365/100*('Cashflow Projection'!$B$2-Investors!J122),0)</f>
        <v>215210.95890410958</v>
      </c>
    </row>
    <row r="123" spans="1:20" x14ac:dyDescent="0.2">
      <c r="A123" s="3" t="s">
        <v>309</v>
      </c>
      <c r="B123" s="3" t="s">
        <v>310</v>
      </c>
      <c r="C123" s="3" t="s">
        <v>311</v>
      </c>
      <c r="D123" s="3" t="s">
        <v>24</v>
      </c>
      <c r="E123" s="3" t="s">
        <v>312</v>
      </c>
      <c r="F123" s="3" t="b">
        <v>1</v>
      </c>
      <c r="G123" s="3" t="b">
        <v>1</v>
      </c>
      <c r="H123" s="3" t="s">
        <v>209</v>
      </c>
      <c r="I123" s="4">
        <v>44763</v>
      </c>
      <c r="J123" s="4">
        <v>44840</v>
      </c>
      <c r="K123" s="4">
        <v>45002</v>
      </c>
      <c r="L123" s="3">
        <v>1</v>
      </c>
      <c r="M123" s="3">
        <v>400000</v>
      </c>
      <c r="N123" s="3">
        <v>15</v>
      </c>
      <c r="O123" s="3" t="b">
        <v>0</v>
      </c>
      <c r="P123" s="3" t="b">
        <v>0</v>
      </c>
      <c r="Q123" s="3">
        <v>6928.7671232876783</v>
      </c>
      <c r="R123" s="3">
        <v>26630.136986301372</v>
      </c>
      <c r="S123" s="3">
        <v>33558.904109589042</v>
      </c>
      <c r="T123" s="5">
        <f>IF(J123&lt;&gt;"",M123*N123/365/100*('Cashflow Projection'!$B$2-Investors!J123),0)</f>
        <v>99123.287671232873</v>
      </c>
    </row>
    <row r="124" spans="1:20" x14ac:dyDescent="0.2">
      <c r="A124" s="3" t="s">
        <v>313</v>
      </c>
      <c r="B124" s="3" t="s">
        <v>314</v>
      </c>
      <c r="C124" s="3" t="s">
        <v>315</v>
      </c>
      <c r="D124" s="3" t="s">
        <v>24</v>
      </c>
      <c r="E124" s="3" t="s">
        <v>312</v>
      </c>
      <c r="F124" s="3" t="b">
        <v>1</v>
      </c>
      <c r="G124" s="3" t="b">
        <v>1</v>
      </c>
      <c r="H124" s="3" t="s">
        <v>209</v>
      </c>
      <c r="I124" s="4">
        <v>44286</v>
      </c>
      <c r="J124" s="4">
        <v>44352</v>
      </c>
      <c r="K124" s="4">
        <v>45002</v>
      </c>
      <c r="L124" s="3">
        <v>1</v>
      </c>
      <c r="M124" s="3">
        <v>500000</v>
      </c>
      <c r="N124" s="3">
        <v>18</v>
      </c>
      <c r="O124" s="3" t="b">
        <v>0</v>
      </c>
      <c r="P124" s="3" t="b">
        <v>0</v>
      </c>
      <c r="Q124" s="3">
        <v>5650.684931506853</v>
      </c>
      <c r="R124" s="3">
        <v>160273.9726027397</v>
      </c>
      <c r="S124" s="3">
        <v>165924.65753424659</v>
      </c>
      <c r="T124" s="5">
        <f>IF(J124&lt;&gt;"",M124*N124/365/100*('Cashflow Projection'!$B$2-Investors!J124),0)</f>
        <v>269013.69863013696</v>
      </c>
    </row>
    <row r="125" spans="1:20" x14ac:dyDescent="0.2">
      <c r="A125" s="3" t="s">
        <v>44</v>
      </c>
      <c r="B125" s="3" t="s">
        <v>45</v>
      </c>
      <c r="C125" s="3" t="s">
        <v>46</v>
      </c>
      <c r="D125" s="3" t="s">
        <v>24</v>
      </c>
      <c r="E125" s="3" t="s">
        <v>316</v>
      </c>
      <c r="F125" s="3" t="b">
        <v>1</v>
      </c>
      <c r="G125" s="3" t="b">
        <v>1</v>
      </c>
      <c r="H125" s="3" t="s">
        <v>209</v>
      </c>
      <c r="I125" s="4">
        <v>44286</v>
      </c>
      <c r="J125" s="4">
        <v>44352</v>
      </c>
      <c r="K125" s="4">
        <v>45036</v>
      </c>
      <c r="L125" s="3">
        <v>4</v>
      </c>
      <c r="M125" s="3">
        <v>900000</v>
      </c>
      <c r="N125" s="3">
        <v>18</v>
      </c>
      <c r="O125" s="3" t="b">
        <v>1</v>
      </c>
      <c r="P125" s="3" t="b">
        <v>0</v>
      </c>
      <c r="Q125" s="3">
        <v>10171.23287671234</v>
      </c>
      <c r="R125" s="3">
        <v>303583.56164383562</v>
      </c>
      <c r="S125" s="3">
        <v>313754.79452054802</v>
      </c>
      <c r="T125" s="5">
        <f>IF(J125&lt;&gt;"",M125*N125/365/100*('Cashflow Projection'!$B$2-Investors!J125),0)</f>
        <v>484224.65753424657</v>
      </c>
    </row>
    <row r="126" spans="1:20" x14ac:dyDescent="0.2">
      <c r="A126" s="3" t="s">
        <v>317</v>
      </c>
      <c r="B126" s="3" t="s">
        <v>318</v>
      </c>
      <c r="C126" s="3" t="s">
        <v>319</v>
      </c>
      <c r="D126" s="3" t="s">
        <v>24</v>
      </c>
      <c r="E126" s="3" t="s">
        <v>320</v>
      </c>
      <c r="F126" s="3" t="b">
        <v>0</v>
      </c>
      <c r="G126" s="3" t="b">
        <v>0</v>
      </c>
      <c r="H126" s="3" t="s">
        <v>209</v>
      </c>
      <c r="I126" s="4">
        <v>44294</v>
      </c>
      <c r="J126" s="4">
        <v>44352</v>
      </c>
      <c r="K126" s="4">
        <v>45035</v>
      </c>
      <c r="L126" s="3">
        <v>1</v>
      </c>
      <c r="M126" s="3">
        <v>500000</v>
      </c>
      <c r="N126" s="3">
        <v>18</v>
      </c>
      <c r="O126" s="3" t="b">
        <v>1</v>
      </c>
      <c r="P126" s="3" t="b">
        <v>0</v>
      </c>
      <c r="Q126" s="3">
        <v>4965.7534246575369</v>
      </c>
      <c r="R126" s="3">
        <v>168410.9589041096</v>
      </c>
      <c r="S126" s="3">
        <v>173376.71232876711</v>
      </c>
      <c r="T126" s="5">
        <f>IF(J126&lt;&gt;"",M126*N126/365/100*('Cashflow Projection'!$B$2-Investors!J126),0)</f>
        <v>269013.69863013696</v>
      </c>
    </row>
    <row r="127" spans="1:20" x14ac:dyDescent="0.2">
      <c r="A127" s="3" t="s">
        <v>321</v>
      </c>
      <c r="B127" s="3" t="s">
        <v>322</v>
      </c>
      <c r="C127" s="3" t="s">
        <v>306</v>
      </c>
      <c r="D127" s="3" t="s">
        <v>24</v>
      </c>
      <c r="E127" s="3" t="s">
        <v>320</v>
      </c>
      <c r="F127" s="3" t="b">
        <v>0</v>
      </c>
      <c r="G127" s="3" t="b">
        <v>0</v>
      </c>
      <c r="H127" s="3" t="s">
        <v>209</v>
      </c>
      <c r="I127" s="4">
        <v>44494</v>
      </c>
      <c r="J127" s="4">
        <v>44664</v>
      </c>
      <c r="K127" s="4">
        <v>45343</v>
      </c>
      <c r="L127" s="3">
        <v>1</v>
      </c>
      <c r="M127" s="3">
        <v>100000</v>
      </c>
      <c r="N127" s="3">
        <v>14</v>
      </c>
      <c r="O127" s="3" t="b">
        <v>1</v>
      </c>
      <c r="P127" s="3" t="b">
        <v>0</v>
      </c>
      <c r="Q127" s="3">
        <v>3060.9589041095978</v>
      </c>
      <c r="R127" s="3">
        <v>26043.835616438351</v>
      </c>
      <c r="S127" s="3">
        <v>29104.794520547948</v>
      </c>
      <c r="T127" s="5">
        <f>IF(J127&lt;&gt;"",M127*N127/365/100*('Cashflow Projection'!$B$2-Investors!J127),0)</f>
        <v>29879.452054794525</v>
      </c>
    </row>
    <row r="128" spans="1:20" x14ac:dyDescent="0.2">
      <c r="A128" s="3" t="s">
        <v>323</v>
      </c>
      <c r="B128" s="3" t="s">
        <v>324</v>
      </c>
      <c r="C128" s="3" t="s">
        <v>325</v>
      </c>
      <c r="D128" s="3" t="s">
        <v>24</v>
      </c>
      <c r="E128" s="3" t="s">
        <v>320</v>
      </c>
      <c r="F128" s="3" t="b">
        <v>0</v>
      </c>
      <c r="G128" s="3" t="b">
        <v>0</v>
      </c>
      <c r="H128" s="3" t="s">
        <v>209</v>
      </c>
      <c r="I128" s="4">
        <v>44477</v>
      </c>
      <c r="J128" s="4">
        <v>44618</v>
      </c>
      <c r="K128" s="4">
        <v>45323</v>
      </c>
      <c r="L128" s="3">
        <v>1</v>
      </c>
      <c r="M128" s="3">
        <v>200000</v>
      </c>
      <c r="N128" s="3">
        <v>14</v>
      </c>
      <c r="O128" s="3" t="b">
        <v>1</v>
      </c>
      <c r="P128" s="3" t="b">
        <v>0</v>
      </c>
      <c r="Q128" s="3">
        <v>4984.9315068493279</v>
      </c>
      <c r="R128" s="3">
        <v>54082.191780821922</v>
      </c>
      <c r="S128" s="3">
        <v>59067.123287671253</v>
      </c>
      <c r="T128" s="5">
        <f>IF(J128&lt;&gt;"",M128*N128/365/100*('Cashflow Projection'!$B$2-Investors!J128),0)</f>
        <v>63287.671232876717</v>
      </c>
    </row>
    <row r="129" spans="1:20" x14ac:dyDescent="0.2">
      <c r="A129" s="3" t="s">
        <v>326</v>
      </c>
      <c r="B129" s="3" t="s">
        <v>327</v>
      </c>
      <c r="C129" s="3" t="s">
        <v>32</v>
      </c>
      <c r="D129" s="3" t="s">
        <v>24</v>
      </c>
      <c r="E129" s="3" t="s">
        <v>328</v>
      </c>
      <c r="F129" s="3" t="b">
        <v>0</v>
      </c>
      <c r="G129" s="3" t="b">
        <v>0</v>
      </c>
      <c r="H129" s="3" t="s">
        <v>209</v>
      </c>
      <c r="I129" s="4">
        <v>44287</v>
      </c>
      <c r="J129" s="4">
        <v>44352</v>
      </c>
      <c r="K129" s="4">
        <v>45035</v>
      </c>
      <c r="L129" s="3">
        <v>1</v>
      </c>
      <c r="M129" s="3">
        <v>700000</v>
      </c>
      <c r="N129" s="3">
        <v>18</v>
      </c>
      <c r="O129" s="3" t="b">
        <v>1</v>
      </c>
      <c r="P129" s="3" t="b">
        <v>0</v>
      </c>
      <c r="Q129" s="3">
        <v>7791.0958904109666</v>
      </c>
      <c r="R129" s="3">
        <v>235775.34246575341</v>
      </c>
      <c r="S129" s="3">
        <v>243566.43835616441</v>
      </c>
      <c r="T129" s="5">
        <f>IF(J129&lt;&gt;"",M129*N129/365/100*('Cashflow Projection'!$B$2-Investors!J129),0)</f>
        <v>376619.17808219173</v>
      </c>
    </row>
    <row r="130" spans="1:20" x14ac:dyDescent="0.2">
      <c r="A130" s="3" t="s">
        <v>329</v>
      </c>
      <c r="B130" s="3" t="s">
        <v>330</v>
      </c>
      <c r="C130" s="3" t="s">
        <v>283</v>
      </c>
      <c r="D130" s="3" t="s">
        <v>24</v>
      </c>
      <c r="E130" s="3" t="s">
        <v>328</v>
      </c>
      <c r="F130" s="3" t="b">
        <v>0</v>
      </c>
      <c r="G130" s="3" t="b">
        <v>0</v>
      </c>
      <c r="H130" s="3" t="s">
        <v>209</v>
      </c>
      <c r="I130" s="4">
        <v>44315</v>
      </c>
      <c r="J130" s="4">
        <v>44352</v>
      </c>
      <c r="K130" s="4">
        <v>45106</v>
      </c>
      <c r="L130" s="3">
        <v>1</v>
      </c>
      <c r="M130" s="3">
        <v>200000</v>
      </c>
      <c r="N130" s="3">
        <v>15</v>
      </c>
      <c r="O130" s="3" t="b">
        <v>1</v>
      </c>
      <c r="P130" s="3" t="b">
        <v>0</v>
      </c>
      <c r="Q130" s="3">
        <v>1267.123287671234</v>
      </c>
      <c r="R130" s="3">
        <v>61972.602739726033</v>
      </c>
      <c r="S130" s="3">
        <v>63239.726027397257</v>
      </c>
      <c r="T130" s="5">
        <f>IF(J130&lt;&gt;"",M130*N130/365/100*('Cashflow Projection'!$B$2-Investors!J130),0)</f>
        <v>89671.232876712325</v>
      </c>
    </row>
    <row r="131" spans="1:20" x14ac:dyDescent="0.2">
      <c r="A131" s="3" t="s">
        <v>253</v>
      </c>
      <c r="B131" s="3" t="s">
        <v>254</v>
      </c>
      <c r="C131" s="3" t="s">
        <v>255</v>
      </c>
      <c r="D131" s="3" t="s">
        <v>24</v>
      </c>
      <c r="E131" s="3" t="s">
        <v>331</v>
      </c>
      <c r="F131" s="3" t="b">
        <v>0</v>
      </c>
      <c r="G131" s="3" t="b">
        <v>0</v>
      </c>
      <c r="H131" s="3" t="s">
        <v>209</v>
      </c>
      <c r="I131" s="4">
        <v>44286</v>
      </c>
      <c r="J131" s="4">
        <v>44352</v>
      </c>
      <c r="K131" s="4">
        <v>45056</v>
      </c>
      <c r="L131" s="3">
        <v>5</v>
      </c>
      <c r="M131" s="3">
        <v>900000</v>
      </c>
      <c r="N131" s="3">
        <v>18</v>
      </c>
      <c r="O131" s="3" t="b">
        <v>1</v>
      </c>
      <c r="P131" s="3" t="b">
        <v>0</v>
      </c>
      <c r="Q131" s="3">
        <v>10171.23287671234</v>
      </c>
      <c r="R131" s="3">
        <v>312460.27397260268</v>
      </c>
      <c r="S131" s="3">
        <v>322631.50684931508</v>
      </c>
      <c r="T131" s="5">
        <f>IF(J131&lt;&gt;"",M131*N131/365/100*('Cashflow Projection'!$B$2-Investors!J131),0)</f>
        <v>484224.65753424657</v>
      </c>
    </row>
    <row r="132" spans="1:20" x14ac:dyDescent="0.2">
      <c r="A132" s="3" t="s">
        <v>332</v>
      </c>
      <c r="B132" s="3" t="s">
        <v>333</v>
      </c>
      <c r="C132" s="3" t="s">
        <v>122</v>
      </c>
      <c r="D132" s="3" t="s">
        <v>24</v>
      </c>
      <c r="E132" s="3" t="s">
        <v>334</v>
      </c>
      <c r="F132" s="3" t="b">
        <v>0</v>
      </c>
      <c r="G132" s="3" t="b">
        <v>0</v>
      </c>
      <c r="H132" s="3" t="s">
        <v>209</v>
      </c>
      <c r="I132" s="4">
        <v>44460</v>
      </c>
      <c r="J132" s="4">
        <v>44550</v>
      </c>
      <c r="K132" s="4">
        <v>45267</v>
      </c>
      <c r="L132" s="3">
        <v>1</v>
      </c>
      <c r="M132" s="3">
        <v>1000000</v>
      </c>
      <c r="N132" s="3">
        <v>18</v>
      </c>
      <c r="O132" s="3" t="b">
        <v>1</v>
      </c>
      <c r="P132" s="3" t="b">
        <v>0</v>
      </c>
      <c r="Q132" s="3">
        <v>15547.945205479469</v>
      </c>
      <c r="R132" s="3">
        <v>353589.04109589051</v>
      </c>
      <c r="S132" s="3">
        <v>369136.98630136991</v>
      </c>
      <c r="T132" s="5">
        <f>IF(J132&lt;&gt;"",M132*N132/365/100*('Cashflow Projection'!$B$2-Investors!J132),0)</f>
        <v>440383.56164383556</v>
      </c>
    </row>
    <row r="133" spans="1:20" x14ac:dyDescent="0.2">
      <c r="A133" s="3" t="s">
        <v>304</v>
      </c>
      <c r="B133" s="3" t="s">
        <v>305</v>
      </c>
      <c r="C133" s="3" t="s">
        <v>306</v>
      </c>
      <c r="D133" s="3" t="s">
        <v>24</v>
      </c>
      <c r="E133" s="3" t="s">
        <v>335</v>
      </c>
      <c r="F133" s="3" t="b">
        <v>1</v>
      </c>
      <c r="G133" s="3" t="b">
        <v>1</v>
      </c>
      <c r="H133" s="3" t="s">
        <v>209</v>
      </c>
      <c r="I133" s="4">
        <v>44473</v>
      </c>
      <c r="J133" s="4">
        <v>44618</v>
      </c>
      <c r="K133" s="4">
        <v>45128</v>
      </c>
      <c r="L133" s="3">
        <v>2</v>
      </c>
      <c r="M133" s="3">
        <v>1000000</v>
      </c>
      <c r="N133" s="3">
        <v>18</v>
      </c>
      <c r="O133" s="3" t="b">
        <v>0</v>
      </c>
      <c r="P133" s="3" t="b">
        <v>0</v>
      </c>
      <c r="Q133" s="3">
        <v>25609.589041095911</v>
      </c>
      <c r="R133" s="3">
        <v>251506.84931506851</v>
      </c>
      <c r="S133" s="3">
        <v>277116.43835616438</v>
      </c>
      <c r="T133" s="5">
        <f>IF(J133&lt;&gt;"",M133*N133/365/100*('Cashflow Projection'!$B$2-Investors!J133),0)</f>
        <v>406849.31506849313</v>
      </c>
    </row>
    <row r="134" spans="1:20" x14ac:dyDescent="0.2">
      <c r="A134" s="3" t="s">
        <v>336</v>
      </c>
      <c r="B134" s="3" t="s">
        <v>337</v>
      </c>
      <c r="C134" s="3" t="s">
        <v>338</v>
      </c>
      <c r="D134" s="3" t="s">
        <v>24</v>
      </c>
      <c r="E134" s="3" t="s">
        <v>339</v>
      </c>
      <c r="F134" s="3" t="b">
        <v>1</v>
      </c>
      <c r="G134" s="3" t="b">
        <v>1</v>
      </c>
      <c r="H134" s="3" t="s">
        <v>209</v>
      </c>
      <c r="I134" s="4">
        <v>44490</v>
      </c>
      <c r="J134" s="4">
        <v>44664</v>
      </c>
      <c r="K134" s="4">
        <v>44956</v>
      </c>
      <c r="L134" s="3">
        <v>1</v>
      </c>
      <c r="M134" s="3">
        <v>500000</v>
      </c>
      <c r="N134" s="3">
        <v>16</v>
      </c>
      <c r="O134" s="3" t="b">
        <v>0</v>
      </c>
      <c r="P134" s="3" t="b">
        <v>0</v>
      </c>
      <c r="Q134" s="3">
        <v>15647.260273972641</v>
      </c>
      <c r="R134" s="3">
        <v>64000</v>
      </c>
      <c r="S134" s="3">
        <v>79647.260273972643</v>
      </c>
      <c r="T134" s="5">
        <f>IF(J134&lt;&gt;"",M134*N134/365/100*('Cashflow Projection'!$B$2-Investors!J134),0)</f>
        <v>170739.72602739726</v>
      </c>
    </row>
    <row r="135" spans="1:20" x14ac:dyDescent="0.2">
      <c r="A135" s="3" t="s">
        <v>340</v>
      </c>
      <c r="B135" s="3" t="s">
        <v>341</v>
      </c>
      <c r="C135" s="3" t="s">
        <v>57</v>
      </c>
      <c r="D135" s="3" t="s">
        <v>24</v>
      </c>
      <c r="E135" s="3" t="s">
        <v>339</v>
      </c>
      <c r="F135" s="3" t="b">
        <v>1</v>
      </c>
      <c r="G135" s="3" t="b">
        <v>1</v>
      </c>
      <c r="H135" s="3" t="s">
        <v>209</v>
      </c>
      <c r="I135" s="4">
        <v>44474</v>
      </c>
      <c r="J135" s="4">
        <v>44618</v>
      </c>
      <c r="K135" s="4">
        <v>44956</v>
      </c>
      <c r="L135" s="3">
        <v>1</v>
      </c>
      <c r="M135" s="3">
        <v>500000</v>
      </c>
      <c r="N135" s="3">
        <v>16</v>
      </c>
      <c r="O135" s="3" t="b">
        <v>0</v>
      </c>
      <c r="P135" s="3" t="b">
        <v>0</v>
      </c>
      <c r="Q135" s="3">
        <v>12719.178082191789</v>
      </c>
      <c r="R135" s="3">
        <v>74082.191780821915</v>
      </c>
      <c r="S135" s="3">
        <v>86801.369863013708</v>
      </c>
      <c r="T135" s="5">
        <f>IF(J135&lt;&gt;"",M135*N135/365/100*('Cashflow Projection'!$B$2-Investors!J135),0)</f>
        <v>180821.91780821918</v>
      </c>
    </row>
    <row r="136" spans="1:20" x14ac:dyDescent="0.2">
      <c r="A136" s="3" t="s">
        <v>342</v>
      </c>
      <c r="B136" s="3" t="s">
        <v>343</v>
      </c>
      <c r="C136" s="3" t="s">
        <v>344</v>
      </c>
      <c r="D136" s="3" t="s">
        <v>24</v>
      </c>
      <c r="E136" s="3" t="s">
        <v>345</v>
      </c>
      <c r="F136" s="3" t="b">
        <v>1</v>
      </c>
      <c r="G136" s="3" t="b">
        <v>1</v>
      </c>
      <c r="H136" s="3" t="s">
        <v>209</v>
      </c>
      <c r="I136" s="4">
        <v>44488</v>
      </c>
      <c r="J136" s="4">
        <v>44550</v>
      </c>
      <c r="K136" s="4">
        <v>44952</v>
      </c>
      <c r="L136" s="3">
        <v>3</v>
      </c>
      <c r="M136" s="3">
        <v>1000000</v>
      </c>
      <c r="N136" s="3">
        <v>18</v>
      </c>
      <c r="O136" s="3" t="b">
        <v>0</v>
      </c>
      <c r="P136" s="3" t="b">
        <v>0</v>
      </c>
      <c r="Q136" s="3">
        <v>10753.42465753426</v>
      </c>
      <c r="R136" s="3">
        <v>198246.5753424658</v>
      </c>
      <c r="S136" s="3">
        <v>209000</v>
      </c>
      <c r="T136" s="5">
        <f>IF(J136&lt;&gt;"",M136*N136/365/100*('Cashflow Projection'!$B$2-Investors!J136),0)</f>
        <v>440383.56164383556</v>
      </c>
    </row>
    <row r="137" spans="1:20" x14ac:dyDescent="0.2">
      <c r="A137" s="3" t="s">
        <v>346</v>
      </c>
      <c r="B137" s="3" t="s">
        <v>347</v>
      </c>
      <c r="C137" s="3" t="s">
        <v>348</v>
      </c>
      <c r="D137" s="3" t="s">
        <v>24</v>
      </c>
      <c r="E137" s="3" t="s">
        <v>349</v>
      </c>
      <c r="F137" s="3" t="b">
        <v>1</v>
      </c>
      <c r="G137" s="3" t="b">
        <v>1</v>
      </c>
      <c r="H137" s="3" t="s">
        <v>209</v>
      </c>
      <c r="I137" s="4">
        <v>44601</v>
      </c>
      <c r="J137" s="4">
        <v>44664</v>
      </c>
      <c r="K137" s="4">
        <v>44942</v>
      </c>
      <c r="L137" s="3">
        <v>1</v>
      </c>
      <c r="M137" s="3">
        <v>350000</v>
      </c>
      <c r="N137" s="3">
        <v>14</v>
      </c>
      <c r="O137" s="3" t="b">
        <v>0</v>
      </c>
      <c r="P137" s="3" t="b">
        <v>0</v>
      </c>
      <c r="Q137" s="3">
        <v>4108.9041095890379</v>
      </c>
      <c r="R137" s="3">
        <v>37320.547945205479</v>
      </c>
      <c r="S137" s="3">
        <v>41429.452054794507</v>
      </c>
      <c r="T137" s="5">
        <f>IF(J137&lt;&gt;"",M137*N137/365/100*('Cashflow Projection'!$B$2-Investors!J137),0)</f>
        <v>104578.08219178082</v>
      </c>
    </row>
    <row r="138" spans="1:20" x14ac:dyDescent="0.2">
      <c r="A138" s="3" t="s">
        <v>350</v>
      </c>
      <c r="B138" s="3" t="s">
        <v>305</v>
      </c>
      <c r="C138" s="3" t="s">
        <v>306</v>
      </c>
      <c r="D138" s="3" t="s">
        <v>24</v>
      </c>
      <c r="E138" s="3" t="s">
        <v>349</v>
      </c>
      <c r="F138" s="3" t="b">
        <v>1</v>
      </c>
      <c r="G138" s="3" t="b">
        <v>1</v>
      </c>
      <c r="H138" s="3" t="s">
        <v>209</v>
      </c>
      <c r="I138" s="4">
        <v>44494</v>
      </c>
      <c r="J138" s="4">
        <v>44664</v>
      </c>
      <c r="K138" s="4">
        <v>44942</v>
      </c>
      <c r="L138" s="3">
        <v>1</v>
      </c>
      <c r="M138" s="3">
        <v>150000</v>
      </c>
      <c r="N138" s="3">
        <v>14</v>
      </c>
      <c r="O138" s="3" t="b">
        <v>0</v>
      </c>
      <c r="P138" s="3" t="b">
        <v>0</v>
      </c>
      <c r="Q138" s="3">
        <v>4591.4383561643936</v>
      </c>
      <c r="R138" s="3">
        <v>15994.520547945211</v>
      </c>
      <c r="S138" s="3">
        <v>20585.958904109601</v>
      </c>
      <c r="T138" s="5">
        <f>IF(J138&lt;&gt;"",M138*N138/365/100*('Cashflow Projection'!$B$2-Investors!J138),0)</f>
        <v>44819.178082191778</v>
      </c>
    </row>
    <row r="139" spans="1:20" x14ac:dyDescent="0.2">
      <c r="A139" s="3" t="s">
        <v>351</v>
      </c>
      <c r="B139" s="3" t="s">
        <v>352</v>
      </c>
      <c r="C139" s="3" t="s">
        <v>353</v>
      </c>
      <c r="D139" s="3" t="s">
        <v>24</v>
      </c>
      <c r="E139" s="3" t="s">
        <v>354</v>
      </c>
      <c r="F139" s="3" t="b">
        <v>1</v>
      </c>
      <c r="G139" s="3" t="b">
        <v>1</v>
      </c>
      <c r="H139" s="3" t="s">
        <v>209</v>
      </c>
      <c r="I139" s="4">
        <v>44517</v>
      </c>
      <c r="J139" s="4">
        <v>44690</v>
      </c>
      <c r="K139" s="4">
        <v>45027</v>
      </c>
      <c r="L139" s="3">
        <v>1</v>
      </c>
      <c r="M139" s="3">
        <v>1000000</v>
      </c>
      <c r="N139" s="3">
        <v>18</v>
      </c>
      <c r="O139" s="3" t="b">
        <v>0</v>
      </c>
      <c r="P139" s="3" t="b">
        <v>0</v>
      </c>
      <c r="Q139" s="3">
        <v>31657.534246575371</v>
      </c>
      <c r="R139" s="3">
        <v>166191.78082191781</v>
      </c>
      <c r="S139" s="3">
        <v>197849.31506849319</v>
      </c>
      <c r="T139" s="5">
        <f>IF(J139&lt;&gt;"",M139*N139/365/100*('Cashflow Projection'!$B$2-Investors!J139),0)</f>
        <v>371342.46575342462</v>
      </c>
    </row>
    <row r="140" spans="1:20" x14ac:dyDescent="0.2">
      <c r="A140" s="3" t="s">
        <v>355</v>
      </c>
      <c r="B140" s="3" t="s">
        <v>356</v>
      </c>
      <c r="C140" s="3" t="s">
        <v>357</v>
      </c>
      <c r="D140" s="3" t="s">
        <v>24</v>
      </c>
      <c r="E140" s="3" t="s">
        <v>358</v>
      </c>
      <c r="F140" s="3" t="b">
        <v>1</v>
      </c>
      <c r="G140" s="3" t="b">
        <v>1</v>
      </c>
      <c r="H140" s="3" t="s">
        <v>209</v>
      </c>
      <c r="I140" s="4">
        <v>44491</v>
      </c>
      <c r="J140" s="4">
        <v>44644</v>
      </c>
      <c r="K140" s="4">
        <v>45020</v>
      </c>
      <c r="L140" s="3">
        <v>1</v>
      </c>
      <c r="M140" s="3">
        <v>1000000</v>
      </c>
      <c r="N140" s="3">
        <v>18</v>
      </c>
      <c r="O140" s="3" t="b">
        <v>1</v>
      </c>
      <c r="P140" s="3" t="b">
        <v>0</v>
      </c>
      <c r="Q140" s="3">
        <v>27335.616438356239</v>
      </c>
      <c r="R140" s="3">
        <v>185424.65753424659</v>
      </c>
      <c r="S140" s="3">
        <v>212760.27397260279</v>
      </c>
      <c r="T140" s="5">
        <f>IF(J140&lt;&gt;"",M140*N140/365/100*('Cashflow Projection'!$B$2-Investors!J140),0)</f>
        <v>394027.39726027392</v>
      </c>
    </row>
    <row r="141" spans="1:20" x14ac:dyDescent="0.2">
      <c r="A141" s="3" t="s">
        <v>359</v>
      </c>
      <c r="B141" s="3" t="s">
        <v>360</v>
      </c>
      <c r="C141" s="3" t="s">
        <v>361</v>
      </c>
      <c r="D141" s="3" t="s">
        <v>24</v>
      </c>
      <c r="E141" s="3" t="s">
        <v>362</v>
      </c>
      <c r="F141" s="3" t="b">
        <v>1</v>
      </c>
      <c r="G141" s="3" t="b">
        <v>1</v>
      </c>
      <c r="H141" s="3" t="s">
        <v>209</v>
      </c>
      <c r="I141" s="4">
        <v>44488</v>
      </c>
      <c r="J141" s="4">
        <v>44643</v>
      </c>
      <c r="K141" s="4">
        <v>45020</v>
      </c>
      <c r="L141" s="3">
        <v>1</v>
      </c>
      <c r="M141" s="3">
        <v>200000</v>
      </c>
      <c r="N141" s="3">
        <v>14</v>
      </c>
      <c r="O141" s="3" t="b">
        <v>1</v>
      </c>
      <c r="P141" s="3" t="b">
        <v>0</v>
      </c>
      <c r="Q141" s="3">
        <v>5532.8767123287817</v>
      </c>
      <c r="R141" s="3">
        <v>28920.547945205479</v>
      </c>
      <c r="S141" s="3">
        <v>34453.424657534262</v>
      </c>
      <c r="T141" s="5">
        <f>IF(J141&lt;&gt;"",M141*N141/365/100*('Cashflow Projection'!$B$2-Investors!J141),0)</f>
        <v>61369.863013698639</v>
      </c>
    </row>
    <row r="142" spans="1:20" x14ac:dyDescent="0.2">
      <c r="A142" s="3" t="s">
        <v>363</v>
      </c>
      <c r="B142" s="3" t="s">
        <v>364</v>
      </c>
      <c r="C142" s="3" t="s">
        <v>365</v>
      </c>
      <c r="D142" s="3" t="s">
        <v>24</v>
      </c>
      <c r="E142" s="3" t="s">
        <v>362</v>
      </c>
      <c r="F142" s="3" t="b">
        <v>1</v>
      </c>
      <c r="G142" s="3" t="b">
        <v>1</v>
      </c>
      <c r="H142" s="3" t="s">
        <v>209</v>
      </c>
      <c r="I142" s="4">
        <v>44490</v>
      </c>
      <c r="J142" s="4">
        <v>44643</v>
      </c>
      <c r="K142" s="4">
        <v>45020</v>
      </c>
      <c r="L142" s="3">
        <v>3</v>
      </c>
      <c r="M142" s="3">
        <v>200000</v>
      </c>
      <c r="N142" s="3">
        <v>16</v>
      </c>
      <c r="O142" s="3" t="b">
        <v>1</v>
      </c>
      <c r="P142" s="3" t="b">
        <v>0</v>
      </c>
      <c r="Q142" s="3">
        <v>5464.38356164385</v>
      </c>
      <c r="R142" s="3">
        <v>33052.054794520547</v>
      </c>
      <c r="S142" s="3">
        <v>38516.438356164399</v>
      </c>
      <c r="T142" s="5">
        <f>IF(J142&lt;&gt;"",M142*N142/365/100*('Cashflow Projection'!$B$2-Investors!J142),0)</f>
        <v>70136.986301369863</v>
      </c>
    </row>
    <row r="143" spans="1:20" x14ac:dyDescent="0.2">
      <c r="A143" s="3" t="s">
        <v>366</v>
      </c>
      <c r="B143" s="3" t="s">
        <v>367</v>
      </c>
      <c r="C143" s="3" t="s">
        <v>368</v>
      </c>
      <c r="D143" s="3" t="s">
        <v>24</v>
      </c>
      <c r="E143" s="3" t="s">
        <v>369</v>
      </c>
      <c r="F143" s="3" t="b">
        <v>1</v>
      </c>
      <c r="G143" s="3" t="b">
        <v>1</v>
      </c>
      <c r="H143" s="3" t="s">
        <v>209</v>
      </c>
      <c r="I143" s="4">
        <v>44491</v>
      </c>
      <c r="J143" s="4">
        <v>44664</v>
      </c>
      <c r="K143" s="4">
        <v>45009</v>
      </c>
      <c r="L143" s="3">
        <v>1</v>
      </c>
      <c r="M143" s="3">
        <v>1000000</v>
      </c>
      <c r="N143" s="3">
        <v>18</v>
      </c>
      <c r="O143" s="3" t="b">
        <v>1</v>
      </c>
      <c r="P143" s="3" t="b">
        <v>0</v>
      </c>
      <c r="Q143" s="3">
        <v>31123.287671232949</v>
      </c>
      <c r="R143" s="3">
        <v>170136.98630136991</v>
      </c>
      <c r="S143" s="3">
        <v>201260.27397260279</v>
      </c>
      <c r="T143" s="5">
        <f>IF(J143&lt;&gt;"",M143*N143/365/100*('Cashflow Projection'!$B$2-Investors!J143),0)</f>
        <v>384164.38356164383</v>
      </c>
    </row>
    <row r="144" spans="1:20" x14ac:dyDescent="0.2">
      <c r="A144" s="3" t="s">
        <v>370</v>
      </c>
      <c r="B144" s="3" t="s">
        <v>371</v>
      </c>
      <c r="C144" s="3" t="s">
        <v>372</v>
      </c>
      <c r="D144" s="3" t="s">
        <v>24</v>
      </c>
      <c r="E144" s="3" t="s">
        <v>373</v>
      </c>
      <c r="F144" s="3" t="b">
        <v>1</v>
      </c>
      <c r="G144" s="3" t="b">
        <v>1</v>
      </c>
      <c r="H144" s="3" t="s">
        <v>209</v>
      </c>
      <c r="I144" s="4">
        <v>44480</v>
      </c>
      <c r="J144" s="4">
        <v>44618</v>
      </c>
      <c r="K144" s="4">
        <v>45086</v>
      </c>
      <c r="L144" s="3">
        <v>1</v>
      </c>
      <c r="M144" s="3">
        <v>400000</v>
      </c>
      <c r="N144" s="3">
        <v>14</v>
      </c>
      <c r="O144" s="3" t="b">
        <v>0</v>
      </c>
      <c r="P144" s="3" t="b">
        <v>0</v>
      </c>
      <c r="Q144" s="3">
        <v>9764.3835616438591</v>
      </c>
      <c r="R144" s="3">
        <v>71802.739726027386</v>
      </c>
      <c r="S144" s="3">
        <v>81567.123287671246</v>
      </c>
      <c r="T144" s="5">
        <f>IF(J144&lt;&gt;"",M144*N144/365/100*('Cashflow Projection'!$B$2-Investors!J144),0)</f>
        <v>126575.34246575343</v>
      </c>
    </row>
    <row r="145" spans="1:20" x14ac:dyDescent="0.2">
      <c r="A145" s="3" t="s">
        <v>374</v>
      </c>
      <c r="B145" s="3" t="s">
        <v>375</v>
      </c>
      <c r="C145" s="3" t="s">
        <v>306</v>
      </c>
      <c r="D145" s="3" t="s">
        <v>24</v>
      </c>
      <c r="E145" s="3" t="s">
        <v>373</v>
      </c>
      <c r="F145" s="3" t="b">
        <v>1</v>
      </c>
      <c r="G145" s="3" t="b">
        <v>1</v>
      </c>
      <c r="H145" s="3" t="s">
        <v>209</v>
      </c>
      <c r="I145" s="4">
        <v>44494</v>
      </c>
      <c r="J145" s="4">
        <v>44664</v>
      </c>
      <c r="K145" s="4">
        <v>45086</v>
      </c>
      <c r="L145" s="3">
        <v>1</v>
      </c>
      <c r="M145" s="3">
        <v>100000</v>
      </c>
      <c r="N145" s="3">
        <v>14</v>
      </c>
      <c r="O145" s="3" t="b">
        <v>0</v>
      </c>
      <c r="P145" s="3" t="b">
        <v>0</v>
      </c>
      <c r="Q145" s="3">
        <v>3060.9589041095978</v>
      </c>
      <c r="R145" s="3">
        <v>16186.301369863009</v>
      </c>
      <c r="S145" s="3">
        <v>19247.26027397261</v>
      </c>
      <c r="T145" s="5">
        <f>IF(J145&lt;&gt;"",M145*N145/365/100*('Cashflow Projection'!$B$2-Investors!J145),0)</f>
        <v>29879.452054794525</v>
      </c>
    </row>
    <row r="146" spans="1:20" x14ac:dyDescent="0.2">
      <c r="A146" s="3" t="s">
        <v>376</v>
      </c>
      <c r="B146" s="3" t="s">
        <v>377</v>
      </c>
      <c r="C146" s="3" t="s">
        <v>378</v>
      </c>
      <c r="D146" s="3" t="s">
        <v>24</v>
      </c>
      <c r="E146" s="3" t="s">
        <v>373</v>
      </c>
      <c r="F146" s="3" t="b">
        <v>1</v>
      </c>
      <c r="G146" s="3" t="b">
        <v>1</v>
      </c>
      <c r="H146" s="3" t="s">
        <v>209</v>
      </c>
      <c r="I146" s="4">
        <v>44705</v>
      </c>
      <c r="J146" s="4">
        <v>44719</v>
      </c>
      <c r="K146" s="4">
        <v>45086</v>
      </c>
      <c r="L146" s="3">
        <v>4</v>
      </c>
      <c r="M146" s="3">
        <v>299172.38</v>
      </c>
      <c r="N146" s="3">
        <v>14</v>
      </c>
      <c r="O146" s="3" t="b">
        <v>0</v>
      </c>
      <c r="P146" s="3" t="b">
        <v>0</v>
      </c>
      <c r="Q146" s="3">
        <v>831.94511150684946</v>
      </c>
      <c r="R146" s="3">
        <v>42113.635299726033</v>
      </c>
      <c r="S146" s="3">
        <v>42945.580411232877</v>
      </c>
      <c r="T146" s="5">
        <f>IF(J146&lt;&gt;"",M146*N146/365/100*('Cashflow Projection'!$B$2-Investors!J146),0)</f>
        <v>83079.760100821921</v>
      </c>
    </row>
    <row r="147" spans="1:20" x14ac:dyDescent="0.2">
      <c r="A147" s="3" t="s">
        <v>342</v>
      </c>
      <c r="B147" s="3" t="s">
        <v>343</v>
      </c>
      <c r="C147" s="3" t="s">
        <v>344</v>
      </c>
      <c r="D147" s="3" t="s">
        <v>24</v>
      </c>
      <c r="E147" s="3" t="s">
        <v>379</v>
      </c>
      <c r="F147" s="3" t="b">
        <v>1</v>
      </c>
      <c r="G147" s="3" t="b">
        <v>1</v>
      </c>
      <c r="H147" s="3" t="s">
        <v>209</v>
      </c>
      <c r="I147" s="4">
        <v>44488</v>
      </c>
      <c r="J147" s="4">
        <v>44550</v>
      </c>
      <c r="K147" s="4">
        <v>45014</v>
      </c>
      <c r="L147" s="3">
        <v>4</v>
      </c>
      <c r="M147" s="3">
        <v>1000000</v>
      </c>
      <c r="N147" s="3">
        <v>18</v>
      </c>
      <c r="O147" s="3" t="b">
        <v>0</v>
      </c>
      <c r="P147" s="3" t="b">
        <v>0</v>
      </c>
      <c r="Q147" s="3">
        <v>10753.42465753426</v>
      </c>
      <c r="R147" s="3">
        <v>228821.91780821921</v>
      </c>
      <c r="S147" s="3">
        <v>239575.34246575341</v>
      </c>
      <c r="T147" s="5">
        <f>IF(J147&lt;&gt;"",M147*N147/365/100*('Cashflow Projection'!$B$2-Investors!J147),0)</f>
        <v>440383.56164383556</v>
      </c>
    </row>
    <row r="148" spans="1:20" x14ac:dyDescent="0.2">
      <c r="A148" s="3" t="s">
        <v>332</v>
      </c>
      <c r="B148" s="3" t="s">
        <v>333</v>
      </c>
      <c r="C148" s="3" t="s">
        <v>122</v>
      </c>
      <c r="D148" s="3" t="s">
        <v>24</v>
      </c>
      <c r="E148" s="3" t="s">
        <v>380</v>
      </c>
      <c r="F148" s="3" t="b">
        <v>1</v>
      </c>
      <c r="G148" s="3" t="b">
        <v>1</v>
      </c>
      <c r="H148" s="3" t="s">
        <v>209</v>
      </c>
      <c r="I148" s="4">
        <v>44460</v>
      </c>
      <c r="J148" s="4">
        <v>44590</v>
      </c>
      <c r="K148" s="4">
        <v>45035</v>
      </c>
      <c r="L148" s="3">
        <v>2</v>
      </c>
      <c r="M148" s="3">
        <v>500000</v>
      </c>
      <c r="N148" s="3">
        <v>18</v>
      </c>
      <c r="O148" s="3" t="b">
        <v>0</v>
      </c>
      <c r="P148" s="3" t="b">
        <v>0</v>
      </c>
      <c r="Q148" s="3">
        <v>11335.616438356161</v>
      </c>
      <c r="R148" s="3">
        <v>109726.0273972603</v>
      </c>
      <c r="S148" s="3">
        <v>121061.6438356164</v>
      </c>
      <c r="T148" s="5">
        <f>IF(J148&lt;&gt;"",M148*N148/365/100*('Cashflow Projection'!$B$2-Investors!J148),0)</f>
        <v>210328.76712328766</v>
      </c>
    </row>
    <row r="149" spans="1:20" x14ac:dyDescent="0.2">
      <c r="A149" s="3" t="s">
        <v>363</v>
      </c>
      <c r="B149" s="3" t="s">
        <v>364</v>
      </c>
      <c r="C149" s="3" t="s">
        <v>365</v>
      </c>
      <c r="D149" s="3" t="s">
        <v>24</v>
      </c>
      <c r="E149" s="3" t="s">
        <v>380</v>
      </c>
      <c r="F149" s="3" t="b">
        <v>1</v>
      </c>
      <c r="G149" s="3" t="b">
        <v>1</v>
      </c>
      <c r="H149" s="3" t="s">
        <v>209</v>
      </c>
      <c r="I149" s="4">
        <v>44544</v>
      </c>
      <c r="J149" s="4">
        <v>44706</v>
      </c>
      <c r="K149" s="4">
        <v>45035</v>
      </c>
      <c r="L149" s="3">
        <v>4</v>
      </c>
      <c r="M149" s="3">
        <v>100000</v>
      </c>
      <c r="N149" s="3">
        <v>16</v>
      </c>
      <c r="O149" s="3" t="b">
        <v>0</v>
      </c>
      <c r="P149" s="3" t="b">
        <v>0</v>
      </c>
      <c r="Q149" s="3">
        <v>3000.6849315068589</v>
      </c>
      <c r="R149" s="3">
        <v>14421.917808219179</v>
      </c>
      <c r="S149" s="3">
        <v>17422.60273972604</v>
      </c>
      <c r="T149" s="5">
        <f>IF(J149&lt;&gt;"",M149*N149/365/100*('Cashflow Projection'!$B$2-Investors!J149),0)</f>
        <v>32306.849315068492</v>
      </c>
    </row>
    <row r="150" spans="1:20" x14ac:dyDescent="0.2">
      <c r="A150" s="3" t="s">
        <v>332</v>
      </c>
      <c r="B150" s="3" t="s">
        <v>333</v>
      </c>
      <c r="C150" s="3" t="s">
        <v>122</v>
      </c>
      <c r="D150" s="3" t="s">
        <v>24</v>
      </c>
      <c r="E150" s="3" t="s">
        <v>381</v>
      </c>
      <c r="F150" s="3" t="b">
        <v>1</v>
      </c>
      <c r="G150" s="3" t="b">
        <v>1</v>
      </c>
      <c r="H150" s="3" t="s">
        <v>209</v>
      </c>
      <c r="I150" s="4">
        <v>44460</v>
      </c>
      <c r="J150" s="4">
        <v>44581</v>
      </c>
      <c r="K150" s="4">
        <v>45027</v>
      </c>
      <c r="L150" s="3">
        <v>3</v>
      </c>
      <c r="M150" s="3">
        <v>1000000</v>
      </c>
      <c r="N150" s="3">
        <v>18</v>
      </c>
      <c r="O150" s="3" t="b">
        <v>0</v>
      </c>
      <c r="P150" s="3" t="b">
        <v>0</v>
      </c>
      <c r="Q150" s="3">
        <v>21068.493150684921</v>
      </c>
      <c r="R150" s="3">
        <v>219945.2054794521</v>
      </c>
      <c r="S150" s="3">
        <v>241013.69863013699</v>
      </c>
      <c r="T150" s="5">
        <f>IF(J150&lt;&gt;"",M150*N150/365/100*('Cashflow Projection'!$B$2-Investors!J150),0)</f>
        <v>425095.89041095885</v>
      </c>
    </row>
    <row r="151" spans="1:20" x14ac:dyDescent="0.2">
      <c r="A151" s="3" t="s">
        <v>382</v>
      </c>
      <c r="B151" s="3" t="s">
        <v>383</v>
      </c>
      <c r="C151" s="3" t="s">
        <v>384</v>
      </c>
      <c r="D151" s="3" t="s">
        <v>24</v>
      </c>
      <c r="E151" s="3" t="s">
        <v>385</v>
      </c>
      <c r="F151" s="3" t="b">
        <v>1</v>
      </c>
      <c r="G151" s="3" t="b">
        <v>1</v>
      </c>
      <c r="H151" s="3" t="s">
        <v>209</v>
      </c>
      <c r="I151" s="4">
        <v>44650</v>
      </c>
      <c r="J151" s="4">
        <v>44650</v>
      </c>
      <c r="K151" s="4">
        <v>45051</v>
      </c>
      <c r="L151" s="3">
        <v>1</v>
      </c>
      <c r="M151" s="3">
        <v>1068455</v>
      </c>
      <c r="N151" s="3">
        <v>14</v>
      </c>
      <c r="O151" s="3" t="b">
        <v>0</v>
      </c>
      <c r="P151" s="3" t="b">
        <v>0</v>
      </c>
      <c r="Q151" s="3">
        <v>0</v>
      </c>
      <c r="R151" s="3">
        <v>164337.16082191779</v>
      </c>
      <c r="S151" s="3">
        <v>164337.16082191779</v>
      </c>
      <c r="T151" s="5">
        <f>IF(J151&lt;&gt;"",M151*N151/365/100*('Cashflow Projection'!$B$2-Investors!J151),0)</f>
        <v>324985.9564383562</v>
      </c>
    </row>
    <row r="152" spans="1:20" x14ac:dyDescent="0.2">
      <c r="A152" s="3" t="s">
        <v>382</v>
      </c>
      <c r="B152" s="3" t="s">
        <v>383</v>
      </c>
      <c r="C152" s="3" t="s">
        <v>384</v>
      </c>
      <c r="D152" s="3" t="s">
        <v>386</v>
      </c>
      <c r="E152" s="3" t="s">
        <v>387</v>
      </c>
      <c r="F152" s="3" t="b">
        <v>1</v>
      </c>
      <c r="G152" s="3" t="b">
        <v>1</v>
      </c>
      <c r="H152" s="3" t="s">
        <v>388</v>
      </c>
      <c r="I152" s="4">
        <v>44674</v>
      </c>
      <c r="J152" s="4">
        <v>44681</v>
      </c>
      <c r="K152" s="4">
        <v>45154</v>
      </c>
      <c r="L152" s="3">
        <v>2</v>
      </c>
      <c r="M152" s="3">
        <v>503089.15</v>
      </c>
      <c r="N152" s="3">
        <v>14</v>
      </c>
      <c r="O152" s="3" t="b">
        <v>0</v>
      </c>
      <c r="P152" s="3" t="b">
        <v>0</v>
      </c>
      <c r="Q152" s="3">
        <v>675.3799547945207</v>
      </c>
      <c r="R152" s="3">
        <v>91272.776747945201</v>
      </c>
      <c r="S152" s="3">
        <v>91948.156702739725</v>
      </c>
      <c r="T152" s="5">
        <f>IF(J152&lt;&gt;"",M152*N152/365/100*('Cashflow Projection'!$B$2-Investors!J152),0)</f>
        <v>147039.86444383563</v>
      </c>
    </row>
    <row r="153" spans="1:20" x14ac:dyDescent="0.2">
      <c r="A153" s="3" t="s">
        <v>389</v>
      </c>
      <c r="B153" s="3" t="s">
        <v>390</v>
      </c>
      <c r="C153" s="3" t="s">
        <v>391</v>
      </c>
      <c r="D153" s="3" t="s">
        <v>386</v>
      </c>
      <c r="E153" s="3" t="s">
        <v>387</v>
      </c>
      <c r="F153" s="3" t="b">
        <v>1</v>
      </c>
      <c r="G153" s="3" t="b">
        <v>1</v>
      </c>
      <c r="H153" s="3" t="s">
        <v>388</v>
      </c>
      <c r="I153" s="4">
        <v>44854</v>
      </c>
      <c r="J153" s="4">
        <v>44889</v>
      </c>
      <c r="K153" s="4">
        <v>45154</v>
      </c>
      <c r="L153" s="3">
        <v>2</v>
      </c>
      <c r="M153" s="3">
        <v>229383.56</v>
      </c>
      <c r="N153" s="3">
        <v>14</v>
      </c>
      <c r="O153" s="3" t="b">
        <v>0</v>
      </c>
      <c r="P153" s="3" t="b">
        <v>0</v>
      </c>
      <c r="Q153" s="3">
        <v>1979.611545205481</v>
      </c>
      <c r="R153" s="3">
        <v>23315.424865753419</v>
      </c>
      <c r="S153" s="3">
        <v>25295.036410958899</v>
      </c>
      <c r="T153" s="5">
        <f>IF(J153&lt;&gt;"",M153*N153/365/100*('Cashflow Projection'!$B$2-Investors!J153),0)</f>
        <v>48742.435379726019</v>
      </c>
    </row>
    <row r="154" spans="1:20" x14ac:dyDescent="0.2">
      <c r="A154" s="3" t="s">
        <v>392</v>
      </c>
      <c r="B154" s="3" t="s">
        <v>393</v>
      </c>
      <c r="C154" s="3" t="s">
        <v>394</v>
      </c>
      <c r="D154" s="3" t="s">
        <v>386</v>
      </c>
      <c r="E154" s="3" t="s">
        <v>387</v>
      </c>
      <c r="F154" s="3" t="b">
        <v>1</v>
      </c>
      <c r="G154" s="3" t="b">
        <v>1</v>
      </c>
      <c r="H154" s="3" t="s">
        <v>388</v>
      </c>
      <c r="I154" s="4">
        <v>44854</v>
      </c>
      <c r="J154" s="4">
        <v>44889</v>
      </c>
      <c r="K154" s="4">
        <v>45154</v>
      </c>
      <c r="L154" s="3">
        <v>2</v>
      </c>
      <c r="M154" s="3">
        <v>380000</v>
      </c>
      <c r="N154" s="3">
        <v>14</v>
      </c>
      <c r="O154" s="3" t="b">
        <v>0</v>
      </c>
      <c r="P154" s="3" t="b">
        <v>0</v>
      </c>
      <c r="Q154" s="3">
        <v>3279.452054794519</v>
      </c>
      <c r="R154" s="3">
        <v>38624.65753424658</v>
      </c>
      <c r="S154" s="3">
        <v>41904.109589041102</v>
      </c>
      <c r="T154" s="5">
        <f>IF(J154&lt;&gt;"",M154*N154/365/100*('Cashflow Projection'!$B$2-Investors!J154),0)</f>
        <v>80747.397260273981</v>
      </c>
    </row>
    <row r="155" spans="1:20" x14ac:dyDescent="0.2">
      <c r="A155" s="3" t="s">
        <v>395</v>
      </c>
      <c r="B155" s="3" t="s">
        <v>396</v>
      </c>
      <c r="C155" s="3" t="s">
        <v>397</v>
      </c>
      <c r="D155" s="3" t="s">
        <v>386</v>
      </c>
      <c r="E155" s="3" t="s">
        <v>398</v>
      </c>
      <c r="F155" s="3" t="b">
        <v>1</v>
      </c>
      <c r="G155" s="3" t="b">
        <v>1</v>
      </c>
      <c r="H155" s="3" t="s">
        <v>388</v>
      </c>
      <c r="I155" s="4">
        <v>44846</v>
      </c>
      <c r="J155" s="4">
        <v>44861</v>
      </c>
      <c r="K155" s="4">
        <v>45154</v>
      </c>
      <c r="L155" s="3">
        <v>2</v>
      </c>
      <c r="M155" s="3">
        <v>1100000</v>
      </c>
      <c r="N155" s="3">
        <v>18</v>
      </c>
      <c r="O155" s="3" t="b">
        <v>0</v>
      </c>
      <c r="P155" s="3" t="b">
        <v>0</v>
      </c>
      <c r="Q155" s="3">
        <v>4068.493150684933</v>
      </c>
      <c r="R155" s="3">
        <v>158942.46575342471</v>
      </c>
      <c r="S155" s="3">
        <v>163010.9589041096</v>
      </c>
      <c r="T155" s="5">
        <f>IF(J155&lt;&gt;"",M155*N155/365/100*('Cashflow Projection'!$B$2-Investors!J155),0)</f>
        <v>315715.0684931507</v>
      </c>
    </row>
    <row r="156" spans="1:20" x14ac:dyDescent="0.2">
      <c r="A156" s="3" t="s">
        <v>399</v>
      </c>
      <c r="B156" s="3" t="s">
        <v>400</v>
      </c>
      <c r="C156" s="3" t="s">
        <v>401</v>
      </c>
      <c r="D156" s="3" t="s">
        <v>386</v>
      </c>
      <c r="E156" s="3" t="s">
        <v>402</v>
      </c>
      <c r="F156" s="3" t="b">
        <v>1</v>
      </c>
      <c r="G156" s="3" t="b">
        <v>1</v>
      </c>
      <c r="H156" s="3" t="s">
        <v>388</v>
      </c>
      <c r="I156" s="4">
        <v>44833</v>
      </c>
      <c r="J156" s="4">
        <v>44861</v>
      </c>
      <c r="K156" s="4">
        <v>45174</v>
      </c>
      <c r="L156" s="3">
        <v>1</v>
      </c>
      <c r="M156" s="3">
        <v>1000000</v>
      </c>
      <c r="N156" s="3">
        <v>18</v>
      </c>
      <c r="O156" s="3" t="b">
        <v>0</v>
      </c>
      <c r="P156" s="3" t="b">
        <v>0</v>
      </c>
      <c r="Q156" s="3">
        <v>6883.5616438356128</v>
      </c>
      <c r="R156" s="3">
        <v>154356.16438356161</v>
      </c>
      <c r="S156" s="3">
        <v>161239.72602739729</v>
      </c>
      <c r="T156" s="5">
        <f>IF(J156&lt;&gt;"",M156*N156/365/100*('Cashflow Projection'!$B$2-Investors!J156),0)</f>
        <v>287013.69863013696</v>
      </c>
    </row>
    <row r="157" spans="1:20" x14ac:dyDescent="0.2">
      <c r="A157" s="3" t="s">
        <v>403</v>
      </c>
      <c r="B157" s="3" t="s">
        <v>160</v>
      </c>
      <c r="C157" s="3" t="s">
        <v>161</v>
      </c>
      <c r="D157" s="3" t="s">
        <v>386</v>
      </c>
      <c r="E157" s="3" t="s">
        <v>402</v>
      </c>
      <c r="F157" s="3" t="b">
        <v>1</v>
      </c>
      <c r="G157" s="3" t="b">
        <v>1</v>
      </c>
      <c r="H157" s="3" t="s">
        <v>388</v>
      </c>
      <c r="I157" s="4">
        <v>44851</v>
      </c>
      <c r="J157" s="4">
        <v>44868</v>
      </c>
      <c r="K157" s="4">
        <v>45174</v>
      </c>
      <c r="L157" s="3">
        <v>2</v>
      </c>
      <c r="M157" s="3">
        <v>118391.41</v>
      </c>
      <c r="N157" s="3">
        <v>14</v>
      </c>
      <c r="O157" s="3" t="b">
        <v>0</v>
      </c>
      <c r="P157" s="3" t="b">
        <v>0</v>
      </c>
      <c r="Q157" s="3">
        <v>496.27084191780841</v>
      </c>
      <c r="R157" s="3">
        <v>13895.58357369863</v>
      </c>
      <c r="S157" s="3">
        <v>14391.854415616441</v>
      </c>
      <c r="T157" s="5">
        <f>IF(J157&lt;&gt;"",M157*N157/365/100*('Cashflow Projection'!$B$2-Investors!J157),0)</f>
        <v>26110.982205479449</v>
      </c>
    </row>
    <row r="158" spans="1:20" x14ac:dyDescent="0.2">
      <c r="A158" s="3" t="s">
        <v>85</v>
      </c>
      <c r="B158" s="3" t="s">
        <v>86</v>
      </c>
      <c r="C158" s="3" t="s">
        <v>87</v>
      </c>
      <c r="D158" s="3" t="s">
        <v>386</v>
      </c>
      <c r="E158" s="3" t="s">
        <v>404</v>
      </c>
      <c r="F158" s="3" t="b">
        <v>1</v>
      </c>
      <c r="G158" s="3" t="b">
        <v>1</v>
      </c>
      <c r="H158" s="3" t="s">
        <v>388</v>
      </c>
      <c r="I158" s="4">
        <v>44846</v>
      </c>
      <c r="J158" s="4">
        <v>44868</v>
      </c>
      <c r="K158" s="4">
        <v>45167</v>
      </c>
      <c r="L158" s="3">
        <v>4</v>
      </c>
      <c r="M158" s="3">
        <v>280000</v>
      </c>
      <c r="N158" s="3">
        <v>16</v>
      </c>
      <c r="O158" s="3" t="b">
        <v>0</v>
      </c>
      <c r="P158" s="3" t="b">
        <v>0</v>
      </c>
      <c r="Q158" s="3">
        <v>1518.9041095890409</v>
      </c>
      <c r="R158" s="3">
        <v>36699.178082191778</v>
      </c>
      <c r="S158" s="3">
        <v>38218.082191780821</v>
      </c>
      <c r="T158" s="5">
        <f>IF(J158&lt;&gt;"",M158*N158/365/100*('Cashflow Projection'!$B$2-Investors!J158),0)</f>
        <v>70575.342465753434</v>
      </c>
    </row>
    <row r="159" spans="1:20" x14ac:dyDescent="0.2">
      <c r="A159" s="3" t="s">
        <v>92</v>
      </c>
      <c r="B159" s="3" t="s">
        <v>93</v>
      </c>
      <c r="C159" s="3" t="s">
        <v>94</v>
      </c>
      <c r="D159" s="3" t="s">
        <v>386</v>
      </c>
      <c r="E159" s="3" t="s">
        <v>404</v>
      </c>
      <c r="F159" s="3" t="b">
        <v>1</v>
      </c>
      <c r="G159" s="3" t="b">
        <v>1</v>
      </c>
      <c r="H159" s="3" t="s">
        <v>388</v>
      </c>
      <c r="I159" s="4">
        <v>44840</v>
      </c>
      <c r="J159" s="4">
        <v>44889</v>
      </c>
      <c r="K159" s="4">
        <v>45167</v>
      </c>
      <c r="L159" s="3">
        <v>8</v>
      </c>
      <c r="M159" s="3">
        <v>800000</v>
      </c>
      <c r="N159" s="3">
        <v>18</v>
      </c>
      <c r="O159" s="3" t="b">
        <v>0</v>
      </c>
      <c r="P159" s="3" t="b">
        <v>0</v>
      </c>
      <c r="Q159" s="3">
        <v>9665.7534246575287</v>
      </c>
      <c r="R159" s="3">
        <v>109676.7123287671</v>
      </c>
      <c r="S159" s="3">
        <v>119342.46575342461</v>
      </c>
      <c r="T159" s="5">
        <f>IF(J159&lt;&gt;"",M159*N159/365/100*('Cashflow Projection'!$B$2-Investors!J159),0)</f>
        <v>218564.38356164383</v>
      </c>
    </row>
    <row r="160" spans="1:20" x14ac:dyDescent="0.2">
      <c r="A160" s="3" t="s">
        <v>405</v>
      </c>
      <c r="B160" s="3" t="s">
        <v>406</v>
      </c>
      <c r="C160" s="3" t="s">
        <v>407</v>
      </c>
      <c r="D160" s="3" t="s">
        <v>386</v>
      </c>
      <c r="E160" s="3" t="s">
        <v>408</v>
      </c>
      <c r="F160" s="3" t="b">
        <v>1</v>
      </c>
      <c r="G160" s="3" t="b">
        <v>1</v>
      </c>
      <c r="H160" s="3" t="s">
        <v>388</v>
      </c>
      <c r="I160" s="4">
        <v>44858</v>
      </c>
      <c r="J160" s="4">
        <v>44889</v>
      </c>
      <c r="K160" s="4">
        <v>45175</v>
      </c>
      <c r="L160" s="3">
        <v>2</v>
      </c>
      <c r="M160" s="3">
        <v>118537.67</v>
      </c>
      <c r="N160" s="3">
        <v>14</v>
      </c>
      <c r="O160" s="3" t="b">
        <v>0</v>
      </c>
      <c r="P160" s="3" t="b">
        <v>0</v>
      </c>
      <c r="Q160" s="3">
        <v>906.08246383561686</v>
      </c>
      <c r="R160" s="3">
        <v>13003.42001863014</v>
      </c>
      <c r="S160" s="3">
        <v>13909.50248246575</v>
      </c>
      <c r="T160" s="5">
        <f>IF(J160&lt;&gt;"",M160*N160/365/100*('Cashflow Projection'!$B$2-Investors!J160),0)</f>
        <v>25188.442973150683</v>
      </c>
    </row>
    <row r="161" spans="1:20" x14ac:dyDescent="0.2">
      <c r="A161" s="3" t="s">
        <v>409</v>
      </c>
      <c r="B161" s="3" t="s">
        <v>410</v>
      </c>
      <c r="C161" s="3" t="s">
        <v>411</v>
      </c>
      <c r="D161" s="3" t="s">
        <v>386</v>
      </c>
      <c r="E161" s="3" t="s">
        <v>408</v>
      </c>
      <c r="F161" s="3" t="b">
        <v>1</v>
      </c>
      <c r="G161" s="3" t="b">
        <v>1</v>
      </c>
      <c r="H161" s="3" t="s">
        <v>388</v>
      </c>
      <c r="I161" s="4">
        <v>44840</v>
      </c>
      <c r="J161" s="4">
        <v>44861</v>
      </c>
      <c r="K161" s="4">
        <v>45175</v>
      </c>
      <c r="L161" s="3">
        <v>6</v>
      </c>
      <c r="M161" s="3">
        <v>1000000</v>
      </c>
      <c r="N161" s="3">
        <v>18</v>
      </c>
      <c r="O161" s="3" t="b">
        <v>0</v>
      </c>
      <c r="P161" s="3" t="b">
        <v>0</v>
      </c>
      <c r="Q161" s="3">
        <v>5178.0821917808198</v>
      </c>
      <c r="R161" s="3">
        <v>154849.31506849319</v>
      </c>
      <c r="S161" s="3">
        <v>160027.39726027401</v>
      </c>
      <c r="T161" s="5">
        <f>IF(J161&lt;&gt;"",M161*N161/365/100*('Cashflow Projection'!$B$2-Investors!J161),0)</f>
        <v>287013.69863013696</v>
      </c>
    </row>
    <row r="162" spans="1:20" x14ac:dyDescent="0.2">
      <c r="A162" s="3" t="s">
        <v>412</v>
      </c>
      <c r="B162" s="3" t="s">
        <v>413</v>
      </c>
      <c r="C162" s="3" t="s">
        <v>414</v>
      </c>
      <c r="D162" s="3" t="s">
        <v>386</v>
      </c>
      <c r="E162" s="3" t="s">
        <v>415</v>
      </c>
      <c r="F162" s="3" t="b">
        <v>1</v>
      </c>
      <c r="G162" s="3" t="b">
        <v>1</v>
      </c>
      <c r="H162" s="3" t="s">
        <v>388</v>
      </c>
      <c r="I162" s="4">
        <v>44847</v>
      </c>
      <c r="J162" s="4">
        <v>44876</v>
      </c>
      <c r="K162" s="4">
        <v>45170</v>
      </c>
      <c r="L162" s="3">
        <v>7</v>
      </c>
      <c r="M162" s="3">
        <v>250000</v>
      </c>
      <c r="N162" s="3">
        <v>18</v>
      </c>
      <c r="O162" s="3" t="b">
        <v>0</v>
      </c>
      <c r="P162" s="3" t="b">
        <v>0</v>
      </c>
      <c r="Q162" s="3">
        <v>1787.671232876711</v>
      </c>
      <c r="R162" s="3">
        <v>36246.575342465752</v>
      </c>
      <c r="S162" s="3">
        <v>38034.246575342462</v>
      </c>
      <c r="T162" s="5">
        <f>IF(J162&lt;&gt;"",M162*N162/365/100*('Cashflow Projection'!$B$2-Investors!J162),0)</f>
        <v>69904.109589041094</v>
      </c>
    </row>
    <row r="163" spans="1:20" x14ac:dyDescent="0.2">
      <c r="A163" s="3" t="s">
        <v>416</v>
      </c>
      <c r="B163" s="3" t="s">
        <v>417</v>
      </c>
      <c r="C163" s="3" t="s">
        <v>418</v>
      </c>
      <c r="D163" s="3" t="s">
        <v>386</v>
      </c>
      <c r="E163" s="3" t="s">
        <v>415</v>
      </c>
      <c r="F163" s="3" t="b">
        <v>1</v>
      </c>
      <c r="G163" s="3" t="b">
        <v>1</v>
      </c>
      <c r="H163" s="3" t="s">
        <v>388</v>
      </c>
      <c r="I163" s="4">
        <v>44858</v>
      </c>
      <c r="J163" s="4">
        <v>44889</v>
      </c>
      <c r="K163" s="4">
        <v>45170</v>
      </c>
      <c r="L163" s="3">
        <v>3</v>
      </c>
      <c r="M163" s="3">
        <v>560000</v>
      </c>
      <c r="N163" s="3">
        <v>18</v>
      </c>
      <c r="O163" s="3" t="b">
        <v>0</v>
      </c>
      <c r="P163" s="3" t="b">
        <v>0</v>
      </c>
      <c r="Q163" s="3">
        <v>4280.5479452054806</v>
      </c>
      <c r="R163" s="3">
        <v>77602.191780821915</v>
      </c>
      <c r="S163" s="3">
        <v>81882.739726027401</v>
      </c>
      <c r="T163" s="5">
        <f>IF(J163&lt;&gt;"",M163*N163/365/100*('Cashflow Projection'!$B$2-Investors!J163),0)</f>
        <v>152995.06849315067</v>
      </c>
    </row>
    <row r="164" spans="1:20" x14ac:dyDescent="0.2">
      <c r="A164" s="3" t="s">
        <v>419</v>
      </c>
      <c r="B164" s="3" t="s">
        <v>420</v>
      </c>
      <c r="C164" s="3" t="s">
        <v>421</v>
      </c>
      <c r="D164" s="3" t="s">
        <v>386</v>
      </c>
      <c r="E164" s="3" t="s">
        <v>415</v>
      </c>
      <c r="F164" s="3" t="b">
        <v>1</v>
      </c>
      <c r="G164" s="3" t="b">
        <v>1</v>
      </c>
      <c r="H164" s="3" t="s">
        <v>388</v>
      </c>
      <c r="I164" s="4">
        <v>44858</v>
      </c>
      <c r="J164" s="4">
        <v>44889</v>
      </c>
      <c r="K164" s="4">
        <v>45170</v>
      </c>
      <c r="L164" s="3">
        <v>5</v>
      </c>
      <c r="M164" s="3">
        <v>300000</v>
      </c>
      <c r="N164" s="3">
        <v>18</v>
      </c>
      <c r="O164" s="3" t="b">
        <v>0</v>
      </c>
      <c r="P164" s="3" t="b">
        <v>0</v>
      </c>
      <c r="Q164" s="3">
        <v>2293.150684931506</v>
      </c>
      <c r="R164" s="3">
        <v>41572.602739726033</v>
      </c>
      <c r="S164" s="3">
        <v>43865.753424657531</v>
      </c>
      <c r="T164" s="5">
        <f>IF(J164&lt;&gt;"",M164*N164/365/100*('Cashflow Projection'!$B$2-Investors!J164),0)</f>
        <v>81961.643835616444</v>
      </c>
    </row>
    <row r="165" spans="1:20" x14ac:dyDescent="0.2">
      <c r="A165" s="3" t="s">
        <v>382</v>
      </c>
      <c r="B165" s="3" t="s">
        <v>383</v>
      </c>
      <c r="C165" s="3" t="s">
        <v>384</v>
      </c>
      <c r="D165" s="3" t="s">
        <v>386</v>
      </c>
      <c r="E165" s="3" t="s">
        <v>422</v>
      </c>
      <c r="F165" s="3" t="b">
        <v>1</v>
      </c>
      <c r="G165" s="3" t="b">
        <v>1</v>
      </c>
      <c r="H165" s="3" t="s">
        <v>388</v>
      </c>
      <c r="I165" s="4">
        <v>44704</v>
      </c>
      <c r="J165" s="4">
        <v>44711</v>
      </c>
      <c r="K165" s="4">
        <v>45177</v>
      </c>
      <c r="L165" s="3">
        <v>3</v>
      </c>
      <c r="M165" s="3">
        <v>694542.34</v>
      </c>
      <c r="N165" s="3">
        <v>14</v>
      </c>
      <c r="O165" s="3" t="b">
        <v>0</v>
      </c>
      <c r="P165" s="3" t="b">
        <v>0</v>
      </c>
      <c r="Q165" s="3">
        <v>932.39930575342476</v>
      </c>
      <c r="R165" s="3">
        <v>124142.3075660274</v>
      </c>
      <c r="S165" s="3">
        <v>125074.7068717808</v>
      </c>
      <c r="T165" s="5">
        <f>IF(J165&lt;&gt;"",M165*N165/365/100*('Cashflow Projection'!$B$2-Investors!J165),0)</f>
        <v>195004.65480328765</v>
      </c>
    </row>
    <row r="166" spans="1:20" x14ac:dyDescent="0.2">
      <c r="A166" s="3" t="s">
        <v>102</v>
      </c>
      <c r="B166" s="3" t="s">
        <v>103</v>
      </c>
      <c r="C166" s="3" t="s">
        <v>104</v>
      </c>
      <c r="D166" s="3" t="s">
        <v>386</v>
      </c>
      <c r="E166" s="3" t="s">
        <v>422</v>
      </c>
      <c r="F166" s="3" t="b">
        <v>1</v>
      </c>
      <c r="G166" s="3" t="b">
        <v>1</v>
      </c>
      <c r="H166" s="3" t="s">
        <v>388</v>
      </c>
      <c r="I166" s="4">
        <v>44851</v>
      </c>
      <c r="J166" s="4">
        <v>44889</v>
      </c>
      <c r="K166" s="4">
        <v>45177</v>
      </c>
      <c r="L166" s="3">
        <v>4</v>
      </c>
      <c r="M166" s="3">
        <v>250000</v>
      </c>
      <c r="N166" s="3">
        <v>16</v>
      </c>
      <c r="O166" s="3" t="b">
        <v>0</v>
      </c>
      <c r="P166" s="3" t="b">
        <v>0</v>
      </c>
      <c r="Q166" s="3">
        <v>2342.4657534246571</v>
      </c>
      <c r="R166" s="3">
        <v>31561.64383561644</v>
      </c>
      <c r="S166" s="3">
        <v>33904.109589041087</v>
      </c>
      <c r="T166" s="5">
        <f>IF(J166&lt;&gt;"",M166*N166/365/100*('Cashflow Projection'!$B$2-Investors!J166),0)</f>
        <v>60712.328767123283</v>
      </c>
    </row>
    <row r="167" spans="1:20" x14ac:dyDescent="0.2">
      <c r="A167" s="3" t="s">
        <v>423</v>
      </c>
      <c r="B167" s="3" t="s">
        <v>424</v>
      </c>
      <c r="C167" s="3" t="s">
        <v>425</v>
      </c>
      <c r="D167" s="3" t="s">
        <v>386</v>
      </c>
      <c r="E167" s="3" t="s">
        <v>422</v>
      </c>
      <c r="F167" s="3" t="b">
        <v>1</v>
      </c>
      <c r="G167" s="3" t="b">
        <v>1</v>
      </c>
      <c r="H167" s="3" t="s">
        <v>388</v>
      </c>
      <c r="I167" s="4">
        <v>44862</v>
      </c>
      <c r="J167" s="4">
        <v>44903</v>
      </c>
      <c r="K167" s="4">
        <v>45177</v>
      </c>
      <c r="L167" s="3">
        <v>4</v>
      </c>
      <c r="M167" s="3">
        <v>112071.92</v>
      </c>
      <c r="N167" s="3">
        <v>14</v>
      </c>
      <c r="O167" s="3" t="b">
        <v>0</v>
      </c>
      <c r="P167" s="3" t="b">
        <v>0</v>
      </c>
      <c r="Q167" s="3">
        <v>1151.4238356164381</v>
      </c>
      <c r="R167" s="3">
        <v>11778.29822246575</v>
      </c>
      <c r="S167" s="3">
        <v>12929.72205808219</v>
      </c>
      <c r="T167" s="5">
        <f>IF(J167&lt;&gt;"",M167*N167/365/100*('Cashflow Projection'!$B$2-Investors!J167),0)</f>
        <v>23212.704526027395</v>
      </c>
    </row>
    <row r="168" spans="1:20" x14ac:dyDescent="0.2">
      <c r="A168" s="3" t="s">
        <v>426</v>
      </c>
      <c r="B168" s="3" t="s">
        <v>53</v>
      </c>
      <c r="C168" s="3" t="s">
        <v>54</v>
      </c>
      <c r="D168" s="3" t="s">
        <v>386</v>
      </c>
      <c r="E168" s="3" t="s">
        <v>427</v>
      </c>
      <c r="F168" s="3" t="b">
        <v>0</v>
      </c>
      <c r="G168" s="3" t="b">
        <v>0</v>
      </c>
      <c r="H168" s="3" t="s">
        <v>388</v>
      </c>
      <c r="I168" s="4">
        <v>44854</v>
      </c>
      <c r="J168" s="4">
        <v>44889</v>
      </c>
      <c r="K168" s="4">
        <v>45505</v>
      </c>
      <c r="L168" s="3">
        <v>6</v>
      </c>
      <c r="M168" s="3">
        <v>100000</v>
      </c>
      <c r="N168" s="3">
        <v>18</v>
      </c>
      <c r="O168" s="3" t="b">
        <v>0</v>
      </c>
      <c r="P168" s="3" t="b">
        <v>0</v>
      </c>
      <c r="Q168" s="3">
        <v>863.01369863013656</v>
      </c>
      <c r="R168" s="3">
        <v>30378.082191780821</v>
      </c>
      <c r="S168" s="3">
        <v>31241.095890410961</v>
      </c>
      <c r="T168" s="5">
        <f>IF(J168&lt;&gt;"",M168*N168/365/100*('Cashflow Projection'!$B$2-Investors!J168),0)</f>
        <v>27320.547945205479</v>
      </c>
    </row>
    <row r="169" spans="1:20" x14ac:dyDescent="0.2">
      <c r="A169" s="3" t="s">
        <v>207</v>
      </c>
      <c r="B169" s="3" t="s">
        <v>53</v>
      </c>
      <c r="C169" s="3" t="s">
        <v>54</v>
      </c>
      <c r="D169" s="3" t="s">
        <v>386</v>
      </c>
      <c r="E169" s="3" t="s">
        <v>427</v>
      </c>
      <c r="F169" s="3" t="b">
        <v>0</v>
      </c>
      <c r="G169" s="3" t="b">
        <v>0</v>
      </c>
      <c r="H169" s="3" t="s">
        <v>388</v>
      </c>
      <c r="I169" s="4">
        <v>44967</v>
      </c>
      <c r="J169" s="4">
        <v>45072</v>
      </c>
      <c r="K169" s="4">
        <v>45505</v>
      </c>
      <c r="L169" s="3">
        <v>14</v>
      </c>
      <c r="M169" s="3">
        <v>100000</v>
      </c>
      <c r="N169" s="3">
        <v>18</v>
      </c>
      <c r="O169" s="3" t="b">
        <v>0</v>
      </c>
      <c r="P169" s="3" t="b">
        <v>0</v>
      </c>
      <c r="Q169" s="3">
        <v>2953.4246575342522</v>
      </c>
      <c r="R169" s="3">
        <v>21353.42465753424</v>
      </c>
      <c r="S169" s="3">
        <v>24306.849315068499</v>
      </c>
      <c r="T169" s="5">
        <f>IF(J169&lt;&gt;"",M169*N169/365/100*('Cashflow Projection'!$B$2-Investors!J169),0)</f>
        <v>18295.890410958902</v>
      </c>
    </row>
    <row r="170" spans="1:20" x14ac:dyDescent="0.2">
      <c r="A170" s="3" t="s">
        <v>428</v>
      </c>
      <c r="B170" s="3" t="s">
        <v>429</v>
      </c>
      <c r="C170" s="3" t="s">
        <v>430</v>
      </c>
      <c r="D170" s="3" t="s">
        <v>386</v>
      </c>
      <c r="E170" s="3" t="s">
        <v>427</v>
      </c>
      <c r="F170" s="3" t="b">
        <v>0</v>
      </c>
      <c r="G170" s="3" t="b">
        <v>0</v>
      </c>
      <c r="H170" s="3" t="s">
        <v>388</v>
      </c>
      <c r="I170" s="4">
        <v>44942</v>
      </c>
      <c r="J170" s="4">
        <v>45016</v>
      </c>
      <c r="K170" s="4">
        <v>45505</v>
      </c>
      <c r="L170" s="3">
        <v>1</v>
      </c>
      <c r="M170" s="3">
        <v>100000</v>
      </c>
      <c r="N170" s="3">
        <v>14</v>
      </c>
      <c r="O170" s="3" t="b">
        <v>0</v>
      </c>
      <c r="P170" s="3" t="b">
        <v>0</v>
      </c>
      <c r="Q170" s="3">
        <v>2017.1232876712299</v>
      </c>
      <c r="R170" s="3">
        <v>18756.164383561641</v>
      </c>
      <c r="S170" s="3">
        <v>20773.287671232869</v>
      </c>
      <c r="T170" s="5">
        <f>IF(J170&lt;&gt;"",M170*N170/365/100*('Cashflow Projection'!$B$2-Investors!J170),0)</f>
        <v>16378.082191780824</v>
      </c>
    </row>
    <row r="171" spans="1:20" x14ac:dyDescent="0.2">
      <c r="A171" s="3" t="s">
        <v>431</v>
      </c>
      <c r="B171" s="3" t="s">
        <v>432</v>
      </c>
      <c r="C171" s="3" t="s">
        <v>418</v>
      </c>
      <c r="D171" s="3" t="s">
        <v>386</v>
      </c>
      <c r="E171" s="3" t="s">
        <v>427</v>
      </c>
      <c r="F171" s="3" t="b">
        <v>0</v>
      </c>
      <c r="G171" s="3" t="b">
        <v>0</v>
      </c>
      <c r="H171" s="3" t="s">
        <v>388</v>
      </c>
      <c r="I171" s="4">
        <v>44886</v>
      </c>
      <c r="J171" s="4">
        <v>44903</v>
      </c>
      <c r="K171" s="4">
        <v>45505</v>
      </c>
      <c r="L171" s="3">
        <v>1</v>
      </c>
      <c r="M171" s="3">
        <v>100000</v>
      </c>
      <c r="N171" s="3">
        <v>14</v>
      </c>
      <c r="O171" s="3" t="b">
        <v>0</v>
      </c>
      <c r="P171" s="3" t="b">
        <v>0</v>
      </c>
      <c r="Q171" s="3">
        <v>435.61643835616428</v>
      </c>
      <c r="R171" s="3">
        <v>23090.410958904111</v>
      </c>
      <c r="S171" s="3">
        <v>23526.02739726027</v>
      </c>
      <c r="T171" s="5">
        <f>IF(J171&lt;&gt;"",M171*N171/365/100*('Cashflow Projection'!$B$2-Investors!J171),0)</f>
        <v>20712.32876712329</v>
      </c>
    </row>
    <row r="172" spans="1:20" x14ac:dyDescent="0.2">
      <c r="A172" s="3" t="s">
        <v>433</v>
      </c>
      <c r="B172" s="3" t="s">
        <v>434</v>
      </c>
      <c r="C172" s="3" t="s">
        <v>435</v>
      </c>
      <c r="D172" s="3" t="s">
        <v>386</v>
      </c>
      <c r="E172" s="3" t="s">
        <v>427</v>
      </c>
      <c r="F172" s="3" t="b">
        <v>0</v>
      </c>
      <c r="G172" s="3" t="b">
        <v>0</v>
      </c>
      <c r="H172" s="3" t="s">
        <v>388</v>
      </c>
      <c r="I172" s="4">
        <v>44872</v>
      </c>
      <c r="J172" s="4">
        <v>44903</v>
      </c>
      <c r="K172" s="4">
        <v>45505</v>
      </c>
      <c r="L172" s="3">
        <v>2</v>
      </c>
      <c r="M172" s="3">
        <v>300000</v>
      </c>
      <c r="N172" s="3">
        <v>14</v>
      </c>
      <c r="O172" s="3" t="b">
        <v>0</v>
      </c>
      <c r="P172" s="3" t="b">
        <v>0</v>
      </c>
      <c r="Q172" s="3">
        <v>2342.4657534246562</v>
      </c>
      <c r="R172" s="3">
        <v>69271.232876712325</v>
      </c>
      <c r="S172" s="3">
        <v>71613.698630136976</v>
      </c>
      <c r="T172" s="5">
        <f>IF(J172&lt;&gt;"",M172*N172/365/100*('Cashflow Projection'!$B$2-Investors!J172),0)</f>
        <v>62136.986301369863</v>
      </c>
    </row>
    <row r="173" spans="1:20" x14ac:dyDescent="0.2">
      <c r="A173" s="3" t="s">
        <v>419</v>
      </c>
      <c r="B173" s="3" t="s">
        <v>420</v>
      </c>
      <c r="C173" s="3" t="s">
        <v>421</v>
      </c>
      <c r="D173" s="3" t="s">
        <v>386</v>
      </c>
      <c r="E173" s="3" t="s">
        <v>427</v>
      </c>
      <c r="F173" s="3" t="b">
        <v>0</v>
      </c>
      <c r="G173" s="3" t="b">
        <v>0</v>
      </c>
      <c r="H173" s="3" t="s">
        <v>388</v>
      </c>
      <c r="I173" s="4">
        <v>44858</v>
      </c>
      <c r="J173" s="4">
        <v>44889</v>
      </c>
      <c r="K173" s="4">
        <v>45505</v>
      </c>
      <c r="L173" s="3">
        <v>6</v>
      </c>
      <c r="M173" s="3">
        <v>300000</v>
      </c>
      <c r="N173" s="3">
        <v>18</v>
      </c>
      <c r="O173" s="3" t="b">
        <v>0</v>
      </c>
      <c r="P173" s="3" t="b">
        <v>0</v>
      </c>
      <c r="Q173" s="3">
        <v>2293.150684931506</v>
      </c>
      <c r="R173" s="3">
        <v>91134.246575342462</v>
      </c>
      <c r="S173" s="3">
        <v>93427.397260273967</v>
      </c>
      <c r="T173" s="5">
        <f>IF(J173&lt;&gt;"",M173*N173/365/100*('Cashflow Projection'!$B$2-Investors!J173),0)</f>
        <v>81961.643835616444</v>
      </c>
    </row>
    <row r="174" spans="1:20" x14ac:dyDescent="0.2">
      <c r="A174" s="3" t="s">
        <v>436</v>
      </c>
      <c r="B174" s="3" t="s">
        <v>437</v>
      </c>
      <c r="C174" s="3" t="s">
        <v>438</v>
      </c>
      <c r="D174" s="3" t="s">
        <v>386</v>
      </c>
      <c r="E174" s="3" t="s">
        <v>427</v>
      </c>
      <c r="F174" s="3" t="b">
        <v>0</v>
      </c>
      <c r="G174" s="3" t="b">
        <v>0</v>
      </c>
      <c r="H174" s="3" t="s">
        <v>388</v>
      </c>
      <c r="I174" s="4">
        <v>44880</v>
      </c>
      <c r="J174" s="4">
        <v>44903</v>
      </c>
      <c r="K174" s="4">
        <v>45505</v>
      </c>
      <c r="L174" s="3">
        <v>1</v>
      </c>
      <c r="M174" s="3">
        <v>100000</v>
      </c>
      <c r="N174" s="3">
        <v>14</v>
      </c>
      <c r="O174" s="3" t="b">
        <v>0</v>
      </c>
      <c r="P174" s="3" t="b">
        <v>0</v>
      </c>
      <c r="Q174" s="3">
        <v>583.56164383561622</v>
      </c>
      <c r="R174" s="3">
        <v>23090.410958904111</v>
      </c>
      <c r="S174" s="3">
        <v>23673.972602739719</v>
      </c>
      <c r="T174" s="5">
        <f>IF(J174&lt;&gt;"",M174*N174/365/100*('Cashflow Projection'!$B$2-Investors!J174),0)</f>
        <v>20712.32876712329</v>
      </c>
    </row>
    <row r="175" spans="1:20" x14ac:dyDescent="0.2">
      <c r="A175" s="3" t="s">
        <v>439</v>
      </c>
      <c r="B175" s="3" t="s">
        <v>440</v>
      </c>
      <c r="C175" s="3" t="s">
        <v>441</v>
      </c>
      <c r="D175" s="3" t="s">
        <v>386</v>
      </c>
      <c r="E175" s="3" t="s">
        <v>442</v>
      </c>
      <c r="F175" s="3" t="b">
        <v>1</v>
      </c>
      <c r="G175" s="3" t="b">
        <v>1</v>
      </c>
      <c r="H175" s="3" t="s">
        <v>388</v>
      </c>
      <c r="I175" s="4">
        <v>44861</v>
      </c>
      <c r="J175" s="4">
        <v>44889</v>
      </c>
      <c r="K175" s="4">
        <v>45154</v>
      </c>
      <c r="L175" s="3">
        <v>2</v>
      </c>
      <c r="M175" s="3">
        <v>1000000</v>
      </c>
      <c r="N175" s="3">
        <v>18</v>
      </c>
      <c r="O175" s="3" t="b">
        <v>0</v>
      </c>
      <c r="P175" s="3" t="b">
        <v>0</v>
      </c>
      <c r="Q175" s="3">
        <v>6904.1095890410916</v>
      </c>
      <c r="R175" s="3">
        <v>130684.9315068493</v>
      </c>
      <c r="S175" s="3">
        <v>137589.0410958904</v>
      </c>
      <c r="T175" s="5">
        <f>IF(J175&lt;&gt;"",M175*N175/365/100*('Cashflow Projection'!$B$2-Investors!J175),0)</f>
        <v>273205.47945205477</v>
      </c>
    </row>
    <row r="176" spans="1:20" x14ac:dyDescent="0.2">
      <c r="A176" s="3" t="s">
        <v>443</v>
      </c>
      <c r="B176" s="3" t="s">
        <v>444</v>
      </c>
      <c r="C176" s="3" t="s">
        <v>445</v>
      </c>
      <c r="D176" s="3" t="s">
        <v>386</v>
      </c>
      <c r="E176" s="3" t="s">
        <v>442</v>
      </c>
      <c r="F176" s="3" t="b">
        <v>1</v>
      </c>
      <c r="G176" s="3" t="b">
        <v>1</v>
      </c>
      <c r="H176" s="3" t="s">
        <v>388</v>
      </c>
      <c r="I176" s="4">
        <v>44858</v>
      </c>
      <c r="J176" s="4">
        <v>44889</v>
      </c>
      <c r="K176" s="4">
        <v>45154</v>
      </c>
      <c r="L176" s="3">
        <v>2</v>
      </c>
      <c r="M176" s="3">
        <v>100000</v>
      </c>
      <c r="N176" s="3">
        <v>14</v>
      </c>
      <c r="O176" s="3" t="b">
        <v>0</v>
      </c>
      <c r="P176" s="3" t="b">
        <v>0</v>
      </c>
      <c r="Q176" s="3">
        <v>764.38356164383526</v>
      </c>
      <c r="R176" s="3">
        <v>10164.383561643839</v>
      </c>
      <c r="S176" s="3">
        <v>10928.767123287669</v>
      </c>
      <c r="T176" s="5">
        <f>IF(J176&lt;&gt;"",M176*N176/365/100*('Cashflow Projection'!$B$2-Investors!J176),0)</f>
        <v>21249.315068493153</v>
      </c>
    </row>
    <row r="177" spans="1:20" x14ac:dyDescent="0.2">
      <c r="A177" s="3" t="s">
        <v>52</v>
      </c>
      <c r="B177" s="3" t="s">
        <v>53</v>
      </c>
      <c r="C177" s="3" t="s">
        <v>54</v>
      </c>
      <c r="D177" s="3" t="s">
        <v>386</v>
      </c>
      <c r="E177" s="3" t="s">
        <v>446</v>
      </c>
      <c r="F177" s="3" t="b">
        <v>0</v>
      </c>
      <c r="G177" s="3" t="b">
        <v>0</v>
      </c>
      <c r="H177" s="3" t="s">
        <v>388</v>
      </c>
      <c r="I177" s="4">
        <v>44992</v>
      </c>
      <c r="J177" s="4">
        <v>45107</v>
      </c>
      <c r="K177" s="4">
        <v>45530</v>
      </c>
      <c r="L177" s="3">
        <v>13</v>
      </c>
      <c r="M177" s="3">
        <v>150000</v>
      </c>
      <c r="N177" s="3">
        <v>18</v>
      </c>
      <c r="O177" s="3" t="b">
        <v>0</v>
      </c>
      <c r="P177" s="3" t="b">
        <v>0</v>
      </c>
      <c r="Q177" s="3">
        <v>4974.6575342465767</v>
      </c>
      <c r="R177" s="3">
        <v>31290.410958904111</v>
      </c>
      <c r="S177" s="3">
        <v>36265.068493150677</v>
      </c>
      <c r="T177" s="5">
        <f>IF(J177&lt;&gt;"",M177*N177/365/100*('Cashflow Projection'!$B$2-Investors!J177),0)</f>
        <v>24854.794520547945</v>
      </c>
    </row>
    <row r="178" spans="1:20" x14ac:dyDescent="0.2">
      <c r="A178" s="3" t="s">
        <v>111</v>
      </c>
      <c r="B178" s="3" t="s">
        <v>112</v>
      </c>
      <c r="C178" s="3" t="s">
        <v>113</v>
      </c>
      <c r="D178" s="3" t="s">
        <v>386</v>
      </c>
      <c r="E178" s="3" t="s">
        <v>446</v>
      </c>
      <c r="F178" s="3" t="b">
        <v>0</v>
      </c>
      <c r="G178" s="3" t="b">
        <v>0</v>
      </c>
      <c r="H178" s="3" t="s">
        <v>388</v>
      </c>
      <c r="I178" s="4">
        <v>44887</v>
      </c>
      <c r="J178" s="4">
        <v>44916</v>
      </c>
      <c r="K178" s="4">
        <v>45530</v>
      </c>
      <c r="L178" s="3">
        <v>3</v>
      </c>
      <c r="M178" s="3">
        <v>113202.05</v>
      </c>
      <c r="N178" s="3">
        <v>14</v>
      </c>
      <c r="O178" s="3" t="b">
        <v>0</v>
      </c>
      <c r="P178" s="3" t="b">
        <v>0</v>
      </c>
      <c r="Q178" s="3">
        <v>858.31965308219139</v>
      </c>
      <c r="R178" s="3">
        <v>26659.858131506851</v>
      </c>
      <c r="S178" s="3">
        <v>27518.177784589039</v>
      </c>
      <c r="T178" s="5">
        <f>IF(J178&lt;&gt;"",M178*N178/365/100*('Cashflow Projection'!$B$2-Investors!J178),0)</f>
        <v>22882.321230136989</v>
      </c>
    </row>
    <row r="179" spans="1:20" x14ac:dyDescent="0.2">
      <c r="A179" s="3" t="s">
        <v>447</v>
      </c>
      <c r="B179" s="3" t="s">
        <v>448</v>
      </c>
      <c r="C179" s="3" t="s">
        <v>425</v>
      </c>
      <c r="D179" s="3" t="s">
        <v>386</v>
      </c>
      <c r="E179" s="3" t="s">
        <v>446</v>
      </c>
      <c r="F179" s="3" t="b">
        <v>0</v>
      </c>
      <c r="G179" s="3" t="b">
        <v>0</v>
      </c>
      <c r="H179" s="3" t="s">
        <v>388</v>
      </c>
      <c r="I179" s="4">
        <v>44854</v>
      </c>
      <c r="J179" s="4">
        <v>44889</v>
      </c>
      <c r="K179" s="4">
        <v>45530</v>
      </c>
      <c r="L179" s="3">
        <v>3</v>
      </c>
      <c r="M179" s="3">
        <v>275583.65000000002</v>
      </c>
      <c r="N179" s="3">
        <v>14</v>
      </c>
      <c r="O179" s="3" t="b">
        <v>0</v>
      </c>
      <c r="P179" s="3" t="b">
        <v>0</v>
      </c>
      <c r="Q179" s="3">
        <v>2378.3246506849309</v>
      </c>
      <c r="R179" s="3">
        <v>67755.826715068499</v>
      </c>
      <c r="S179" s="3">
        <v>70134.151365753423</v>
      </c>
      <c r="T179" s="5">
        <f>IF(J179&lt;&gt;"",M179*N179/365/100*('Cashflow Projection'!$B$2-Investors!J179),0)</f>
        <v>58559.638065753432</v>
      </c>
    </row>
    <row r="180" spans="1:20" x14ac:dyDescent="0.2">
      <c r="A180" s="3" t="s">
        <v>449</v>
      </c>
      <c r="B180" s="3" t="s">
        <v>450</v>
      </c>
      <c r="C180" s="3" t="s">
        <v>451</v>
      </c>
      <c r="D180" s="3" t="s">
        <v>386</v>
      </c>
      <c r="E180" s="3" t="s">
        <v>446</v>
      </c>
      <c r="F180" s="3" t="b">
        <v>0</v>
      </c>
      <c r="G180" s="3" t="b">
        <v>0</v>
      </c>
      <c r="H180" s="3" t="s">
        <v>388</v>
      </c>
      <c r="I180" s="4">
        <v>44858</v>
      </c>
      <c r="J180" s="4">
        <v>44889</v>
      </c>
      <c r="K180" s="4">
        <v>45530</v>
      </c>
      <c r="L180" s="3">
        <v>3</v>
      </c>
      <c r="M180" s="3">
        <v>200000</v>
      </c>
      <c r="N180" s="3">
        <v>16</v>
      </c>
      <c r="O180" s="3" t="b">
        <v>0</v>
      </c>
      <c r="P180" s="3" t="b">
        <v>0</v>
      </c>
      <c r="Q180" s="3">
        <v>1528.767123287671</v>
      </c>
      <c r="R180" s="3">
        <v>56197.260273972599</v>
      </c>
      <c r="S180" s="3">
        <v>57726.027397260274</v>
      </c>
      <c r="T180" s="5">
        <f>IF(J180&lt;&gt;"",M180*N180/365/100*('Cashflow Projection'!$B$2-Investors!J180),0)</f>
        <v>48569.863013698625</v>
      </c>
    </row>
    <row r="181" spans="1:20" x14ac:dyDescent="0.2">
      <c r="A181" s="3" t="s">
        <v>452</v>
      </c>
      <c r="B181" s="3" t="s">
        <v>453</v>
      </c>
      <c r="C181" s="3" t="s">
        <v>178</v>
      </c>
      <c r="D181" s="3" t="s">
        <v>386</v>
      </c>
      <c r="E181" s="3" t="s">
        <v>446</v>
      </c>
      <c r="F181" s="3" t="b">
        <v>0</v>
      </c>
      <c r="G181" s="3" t="b">
        <v>0</v>
      </c>
      <c r="H181" s="3" t="s">
        <v>388</v>
      </c>
      <c r="I181" s="4">
        <v>44859</v>
      </c>
      <c r="J181" s="4">
        <v>44889</v>
      </c>
      <c r="K181" s="4">
        <v>45530</v>
      </c>
      <c r="L181" s="3">
        <v>1</v>
      </c>
      <c r="M181" s="3">
        <v>250000</v>
      </c>
      <c r="N181" s="3">
        <v>14</v>
      </c>
      <c r="O181" s="3" t="b">
        <v>0</v>
      </c>
      <c r="P181" s="3" t="b">
        <v>0</v>
      </c>
      <c r="Q181" s="3">
        <v>1849.31506849315</v>
      </c>
      <c r="R181" s="3">
        <v>61465.753424657538</v>
      </c>
      <c r="S181" s="3">
        <v>63315.068493150677</v>
      </c>
      <c r="T181" s="5">
        <f>IF(J181&lt;&gt;"",M181*N181/365/100*('Cashflow Projection'!$B$2-Investors!J181),0)</f>
        <v>53123.287671232873</v>
      </c>
    </row>
    <row r="182" spans="1:20" x14ac:dyDescent="0.2">
      <c r="A182" s="3" t="s">
        <v>454</v>
      </c>
      <c r="B182" s="3" t="s">
        <v>455</v>
      </c>
      <c r="C182" s="3" t="s">
        <v>456</v>
      </c>
      <c r="D182" s="3" t="s">
        <v>386</v>
      </c>
      <c r="E182" s="3" t="s">
        <v>446</v>
      </c>
      <c r="F182" s="3" t="b">
        <v>0</v>
      </c>
      <c r="G182" s="3" t="b">
        <v>0</v>
      </c>
      <c r="H182" s="3" t="s">
        <v>388</v>
      </c>
      <c r="I182" s="4">
        <v>44872</v>
      </c>
      <c r="J182" s="4">
        <v>44903</v>
      </c>
      <c r="K182" s="4">
        <v>45530</v>
      </c>
      <c r="L182" s="3">
        <v>2</v>
      </c>
      <c r="M182" s="3">
        <v>118664.38</v>
      </c>
      <c r="N182" s="3">
        <v>14</v>
      </c>
      <c r="O182" s="3" t="b">
        <v>0</v>
      </c>
      <c r="P182" s="3" t="b">
        <v>0</v>
      </c>
      <c r="Q182" s="3">
        <v>926.55748767123271</v>
      </c>
      <c r="R182" s="3">
        <v>28537.97062027398</v>
      </c>
      <c r="S182" s="3">
        <v>29464.528107945211</v>
      </c>
      <c r="T182" s="5">
        <f>IF(J182&lt;&gt;"",M182*N182/365/100*('Cashflow Projection'!$B$2-Investors!J182),0)</f>
        <v>24578.156515068491</v>
      </c>
    </row>
    <row r="183" spans="1:20" x14ac:dyDescent="0.2">
      <c r="A183" s="3" t="s">
        <v>457</v>
      </c>
      <c r="B183" s="3" t="s">
        <v>458</v>
      </c>
      <c r="C183" s="3" t="s">
        <v>459</v>
      </c>
      <c r="D183" s="3" t="s">
        <v>386</v>
      </c>
      <c r="E183" s="3" t="s">
        <v>460</v>
      </c>
      <c r="F183" s="3" t="b">
        <v>1</v>
      </c>
      <c r="G183" s="3" t="b">
        <v>0</v>
      </c>
      <c r="H183" s="3" t="s">
        <v>388</v>
      </c>
      <c r="I183" s="4">
        <v>44876</v>
      </c>
      <c r="J183" s="4">
        <v>44903</v>
      </c>
      <c r="K183" s="4">
        <v>45442</v>
      </c>
      <c r="L183" s="3">
        <v>1</v>
      </c>
      <c r="M183" s="3">
        <v>500000</v>
      </c>
      <c r="N183" s="3">
        <v>16</v>
      </c>
      <c r="O183" s="3" t="b">
        <v>0</v>
      </c>
      <c r="P183" s="3" t="b">
        <v>0</v>
      </c>
      <c r="Q183" s="3">
        <v>3410.9589041095878</v>
      </c>
      <c r="R183" s="3">
        <v>118136.98630136991</v>
      </c>
      <c r="S183" s="3">
        <v>121547.9452054795</v>
      </c>
      <c r="T183" s="5">
        <f>IF(J183&lt;&gt;"",M183*N183/365/100*('Cashflow Projection'!$B$2-Investors!J183),0)</f>
        <v>118356.16438356164</v>
      </c>
    </row>
    <row r="184" spans="1:20" x14ac:dyDescent="0.2">
      <c r="A184" s="3" t="s">
        <v>461</v>
      </c>
      <c r="B184" s="3" t="s">
        <v>462</v>
      </c>
      <c r="C184" s="3" t="s">
        <v>266</v>
      </c>
      <c r="D184" s="3" t="s">
        <v>386</v>
      </c>
      <c r="E184" s="3" t="s">
        <v>460</v>
      </c>
      <c r="F184" s="3" t="b">
        <v>1</v>
      </c>
      <c r="G184" s="3" t="b">
        <v>0</v>
      </c>
      <c r="H184" s="3" t="s">
        <v>388</v>
      </c>
      <c r="I184" s="4">
        <v>44862</v>
      </c>
      <c r="J184" s="4">
        <v>44903</v>
      </c>
      <c r="K184" s="4">
        <v>45442</v>
      </c>
      <c r="L184" s="3">
        <v>2</v>
      </c>
      <c r="M184" s="3">
        <v>111894.52</v>
      </c>
      <c r="N184" s="3">
        <v>14</v>
      </c>
      <c r="O184" s="3" t="b">
        <v>0</v>
      </c>
      <c r="P184" s="3" t="b">
        <v>0</v>
      </c>
      <c r="Q184" s="3">
        <v>1149.6012328767131</v>
      </c>
      <c r="R184" s="3">
        <v>23133.04240876712</v>
      </c>
      <c r="S184" s="3">
        <v>24282.643641643841</v>
      </c>
      <c r="T184" s="5">
        <f>IF(J184&lt;&gt;"",M184*N184/365/100*('Cashflow Projection'!$B$2-Investors!J184),0)</f>
        <v>23175.960854794521</v>
      </c>
    </row>
    <row r="185" spans="1:20" x14ac:dyDescent="0.2">
      <c r="A185" s="3" t="s">
        <v>463</v>
      </c>
      <c r="B185" s="3" t="s">
        <v>464</v>
      </c>
      <c r="C185" s="3" t="s">
        <v>465</v>
      </c>
      <c r="D185" s="3" t="s">
        <v>386</v>
      </c>
      <c r="E185" s="3" t="s">
        <v>460</v>
      </c>
      <c r="F185" s="3" t="b">
        <v>1</v>
      </c>
      <c r="G185" s="3" t="b">
        <v>0</v>
      </c>
      <c r="H185" s="3" t="s">
        <v>388</v>
      </c>
      <c r="I185" s="4">
        <v>44876</v>
      </c>
      <c r="J185" s="4">
        <v>44903</v>
      </c>
      <c r="K185" s="4">
        <v>45442</v>
      </c>
      <c r="L185" s="3">
        <v>1</v>
      </c>
      <c r="M185" s="3">
        <v>400000</v>
      </c>
      <c r="N185" s="3">
        <v>14</v>
      </c>
      <c r="O185" s="3" t="b">
        <v>0</v>
      </c>
      <c r="P185" s="3" t="b">
        <v>0</v>
      </c>
      <c r="Q185" s="3">
        <v>2728.7671232876701</v>
      </c>
      <c r="R185" s="3">
        <v>82695.890410958891</v>
      </c>
      <c r="S185" s="3">
        <v>85424.657534246566</v>
      </c>
      <c r="T185" s="5">
        <f>IF(J185&lt;&gt;"",M185*N185/365/100*('Cashflow Projection'!$B$2-Investors!J185),0)</f>
        <v>82849.315068493161</v>
      </c>
    </row>
    <row r="186" spans="1:20" x14ac:dyDescent="0.2">
      <c r="A186" s="3" t="s">
        <v>466</v>
      </c>
      <c r="B186" s="3" t="s">
        <v>467</v>
      </c>
      <c r="C186" s="3" t="s">
        <v>468</v>
      </c>
      <c r="D186" s="3" t="s">
        <v>386</v>
      </c>
      <c r="E186" s="3" t="s">
        <v>460</v>
      </c>
      <c r="F186" s="3" t="b">
        <v>1</v>
      </c>
      <c r="G186" s="3" t="b">
        <v>0</v>
      </c>
      <c r="H186" s="3" t="s">
        <v>388</v>
      </c>
      <c r="I186" s="4">
        <v>44887</v>
      </c>
      <c r="J186" s="4">
        <v>44903</v>
      </c>
      <c r="K186" s="4">
        <v>45442</v>
      </c>
      <c r="L186" s="3">
        <v>4</v>
      </c>
      <c r="M186" s="3">
        <v>100000</v>
      </c>
      <c r="N186" s="3">
        <v>14</v>
      </c>
      <c r="O186" s="3" t="b">
        <v>0</v>
      </c>
      <c r="P186" s="3" t="b">
        <v>0</v>
      </c>
      <c r="Q186" s="3">
        <v>410.95890410958901</v>
      </c>
      <c r="R186" s="3">
        <v>20673.972602739719</v>
      </c>
      <c r="S186" s="3">
        <v>21084.931506849309</v>
      </c>
      <c r="T186" s="5">
        <f>IF(J186&lt;&gt;"",M186*N186/365/100*('Cashflow Projection'!$B$2-Investors!J186),0)</f>
        <v>20712.32876712329</v>
      </c>
    </row>
    <row r="187" spans="1:20" x14ac:dyDescent="0.2">
      <c r="A187" s="3" t="s">
        <v>395</v>
      </c>
      <c r="B187" s="3" t="s">
        <v>396</v>
      </c>
      <c r="C187" s="3" t="s">
        <v>397</v>
      </c>
      <c r="D187" s="3" t="s">
        <v>386</v>
      </c>
      <c r="E187" s="3" t="s">
        <v>469</v>
      </c>
      <c r="F187" s="3" t="b">
        <v>1</v>
      </c>
      <c r="G187" s="3" t="b">
        <v>0</v>
      </c>
      <c r="H187" s="3" t="s">
        <v>388</v>
      </c>
      <c r="I187" s="4">
        <v>44846</v>
      </c>
      <c r="J187" s="4">
        <v>44861</v>
      </c>
      <c r="K187" s="4">
        <v>45442</v>
      </c>
      <c r="L187" s="3">
        <v>3</v>
      </c>
      <c r="M187" s="3">
        <v>1100000</v>
      </c>
      <c r="N187" s="3">
        <v>18</v>
      </c>
      <c r="O187" s="3" t="b">
        <v>0</v>
      </c>
      <c r="P187" s="3" t="b">
        <v>0</v>
      </c>
      <c r="Q187" s="3">
        <v>4068.493150684933</v>
      </c>
      <c r="R187" s="3">
        <v>315172.60273972608</v>
      </c>
      <c r="S187" s="3">
        <v>319241.095890411</v>
      </c>
      <c r="T187" s="5">
        <f>IF(J187&lt;&gt;"",M187*N187/365/100*('Cashflow Projection'!$B$2-Investors!J187),0)</f>
        <v>315715.0684931507</v>
      </c>
    </row>
    <row r="188" spans="1:20" x14ac:dyDescent="0.2">
      <c r="A188" s="3" t="s">
        <v>382</v>
      </c>
      <c r="B188" s="3" t="s">
        <v>383</v>
      </c>
      <c r="C188" s="3" t="s">
        <v>384</v>
      </c>
      <c r="D188" s="3" t="s">
        <v>386</v>
      </c>
      <c r="E188" s="3" t="s">
        <v>470</v>
      </c>
      <c r="F188" s="3" t="b">
        <v>1</v>
      </c>
      <c r="G188" s="3" t="b">
        <v>1</v>
      </c>
      <c r="H188" s="3" t="s">
        <v>388</v>
      </c>
      <c r="I188" s="4">
        <v>44748</v>
      </c>
      <c r="J188" s="4">
        <v>44755</v>
      </c>
      <c r="K188" s="4">
        <v>45154</v>
      </c>
      <c r="L188" s="3">
        <v>4</v>
      </c>
      <c r="M188" s="3">
        <v>990694.47</v>
      </c>
      <c r="N188" s="3">
        <v>14</v>
      </c>
      <c r="O188" s="3" t="b">
        <v>0</v>
      </c>
      <c r="P188" s="3" t="b">
        <v>0</v>
      </c>
      <c r="Q188" s="3">
        <v>1424.9714979452051</v>
      </c>
      <c r="R188" s="3">
        <v>151616.9673813699</v>
      </c>
      <c r="S188" s="3">
        <v>153041.9388793151</v>
      </c>
      <c r="T188" s="5">
        <f>IF(J188&lt;&gt;"",M188*N188/365/100*('Cashflow Projection'!$B$2-Investors!J188),0)</f>
        <v>261434.77082301371</v>
      </c>
    </row>
    <row r="189" spans="1:20" x14ac:dyDescent="0.2">
      <c r="A189" s="3" t="s">
        <v>207</v>
      </c>
      <c r="B189" s="3" t="s">
        <v>53</v>
      </c>
      <c r="C189" s="3" t="s">
        <v>54</v>
      </c>
      <c r="D189" s="3" t="s">
        <v>386</v>
      </c>
      <c r="E189" s="3" t="s">
        <v>470</v>
      </c>
      <c r="F189" s="3" t="b">
        <v>1</v>
      </c>
      <c r="G189" s="3" t="b">
        <v>1</v>
      </c>
      <c r="H189" s="3" t="s">
        <v>388</v>
      </c>
      <c r="I189" s="4">
        <v>44967</v>
      </c>
      <c r="J189" s="4">
        <v>45072</v>
      </c>
      <c r="K189" s="4">
        <v>45154</v>
      </c>
      <c r="L189" s="3">
        <v>15</v>
      </c>
      <c r="M189" s="3">
        <v>100000</v>
      </c>
      <c r="N189" s="3">
        <v>18</v>
      </c>
      <c r="O189" s="3" t="b">
        <v>0</v>
      </c>
      <c r="P189" s="3" t="b">
        <v>0</v>
      </c>
      <c r="Q189" s="3">
        <v>2953.4246575342522</v>
      </c>
      <c r="R189" s="3">
        <v>4043.8356164383558</v>
      </c>
      <c r="S189" s="3">
        <v>6997.260273972608</v>
      </c>
      <c r="T189" s="5">
        <f>IF(J189&lt;&gt;"",M189*N189/365/100*('Cashflow Projection'!$B$2-Investors!J189),0)</f>
        <v>18295.890410958902</v>
      </c>
    </row>
    <row r="190" spans="1:20" x14ac:dyDescent="0.2">
      <c r="A190" s="3" t="s">
        <v>382</v>
      </c>
      <c r="B190" s="3" t="s">
        <v>383</v>
      </c>
      <c r="C190" s="3" t="s">
        <v>384</v>
      </c>
      <c r="D190" s="3" t="s">
        <v>386</v>
      </c>
      <c r="E190" s="3" t="s">
        <v>471</v>
      </c>
      <c r="F190" s="3" t="b">
        <v>0</v>
      </c>
      <c r="G190" s="3" t="b">
        <v>0</v>
      </c>
      <c r="H190" s="3" t="s">
        <v>388</v>
      </c>
      <c r="I190" s="4">
        <v>44748</v>
      </c>
      <c r="J190" s="4">
        <v>44755</v>
      </c>
      <c r="K190" s="4">
        <v>45475</v>
      </c>
      <c r="L190" s="3">
        <v>5</v>
      </c>
      <c r="M190" s="3">
        <v>990694.47</v>
      </c>
      <c r="N190" s="3">
        <v>14</v>
      </c>
      <c r="O190" s="3" t="b">
        <v>0</v>
      </c>
      <c r="P190" s="3" t="b">
        <v>0</v>
      </c>
      <c r="Q190" s="3">
        <v>1424.9714979452051</v>
      </c>
      <c r="R190" s="3">
        <v>273594.52760547952</v>
      </c>
      <c r="S190" s="3">
        <v>275019.49910342472</v>
      </c>
      <c r="T190" s="5">
        <f>IF(J190&lt;&gt;"",M190*N190/365/100*('Cashflow Projection'!$B$2-Investors!J190),0)</f>
        <v>261434.77082301371</v>
      </c>
    </row>
    <row r="191" spans="1:20" x14ac:dyDescent="0.2">
      <c r="A191" s="3" t="s">
        <v>472</v>
      </c>
      <c r="B191" s="3" t="s">
        <v>473</v>
      </c>
      <c r="C191" s="3" t="s">
        <v>474</v>
      </c>
      <c r="D191" s="3" t="s">
        <v>386</v>
      </c>
      <c r="E191" s="3" t="s">
        <v>471</v>
      </c>
      <c r="F191" s="3" t="b">
        <v>0</v>
      </c>
      <c r="G191" s="3" t="b">
        <v>0</v>
      </c>
      <c r="H191" s="3" t="s">
        <v>388</v>
      </c>
      <c r="I191" s="4">
        <v>44862</v>
      </c>
      <c r="J191" s="4">
        <v>44903</v>
      </c>
      <c r="K191" s="4">
        <v>45475</v>
      </c>
      <c r="L191" s="3">
        <v>2</v>
      </c>
      <c r="M191" s="3">
        <v>117205.48</v>
      </c>
      <c r="N191" s="3">
        <v>14</v>
      </c>
      <c r="O191" s="3" t="b">
        <v>0</v>
      </c>
      <c r="P191" s="3" t="b">
        <v>0</v>
      </c>
      <c r="Q191" s="3">
        <v>1204.1658904109579</v>
      </c>
      <c r="R191" s="3">
        <v>25714.56120109589</v>
      </c>
      <c r="S191" s="3">
        <v>26918.72709150684</v>
      </c>
      <c r="T191" s="5">
        <f>IF(J191&lt;&gt;"",M191*N191/365/100*('Cashflow Projection'!$B$2-Investors!J191),0)</f>
        <v>24275.984350684932</v>
      </c>
    </row>
    <row r="192" spans="1:20" x14ac:dyDescent="0.2">
      <c r="A192" s="3" t="s">
        <v>475</v>
      </c>
      <c r="B192" s="3" t="s">
        <v>476</v>
      </c>
      <c r="C192" s="3" t="s">
        <v>477</v>
      </c>
      <c r="D192" s="3" t="s">
        <v>386</v>
      </c>
      <c r="E192" s="3" t="s">
        <v>478</v>
      </c>
      <c r="F192" s="3" t="b">
        <v>1</v>
      </c>
      <c r="G192" s="3" t="b">
        <v>1</v>
      </c>
      <c r="H192" s="3" t="s">
        <v>388</v>
      </c>
      <c r="I192" s="4">
        <v>44876</v>
      </c>
      <c r="J192" s="4">
        <v>44903</v>
      </c>
      <c r="K192" s="4">
        <v>45177</v>
      </c>
      <c r="L192" s="3">
        <v>2</v>
      </c>
      <c r="M192" s="3">
        <v>118969.18</v>
      </c>
      <c r="N192" s="3">
        <v>14</v>
      </c>
      <c r="O192" s="3" t="b">
        <v>0</v>
      </c>
      <c r="P192" s="3" t="b">
        <v>0</v>
      </c>
      <c r="Q192" s="3">
        <v>811.59796767123282</v>
      </c>
      <c r="R192" s="3">
        <v>12503.171903561641</v>
      </c>
      <c r="S192" s="3">
        <v>13314.76987123288</v>
      </c>
      <c r="T192" s="5">
        <f>IF(J192&lt;&gt;"",M192*N192/365/100*('Cashflow Projection'!$B$2-Investors!J192),0)</f>
        <v>24641.287693150687</v>
      </c>
    </row>
    <row r="193" spans="1:20" x14ac:dyDescent="0.2">
      <c r="A193" s="3" t="s">
        <v>479</v>
      </c>
      <c r="B193" s="3" t="s">
        <v>480</v>
      </c>
      <c r="C193" s="3" t="s">
        <v>481</v>
      </c>
      <c r="D193" s="3" t="s">
        <v>386</v>
      </c>
      <c r="E193" s="3" t="s">
        <v>478</v>
      </c>
      <c r="F193" s="3" t="b">
        <v>1</v>
      </c>
      <c r="G193" s="3" t="b">
        <v>1</v>
      </c>
      <c r="H193" s="3" t="s">
        <v>388</v>
      </c>
      <c r="I193" s="4">
        <v>44862</v>
      </c>
      <c r="J193" s="4">
        <v>44903</v>
      </c>
      <c r="K193" s="4">
        <v>45177</v>
      </c>
      <c r="L193" s="3">
        <v>2</v>
      </c>
      <c r="M193" s="3">
        <v>223789.04</v>
      </c>
      <c r="N193" s="3">
        <v>14</v>
      </c>
      <c r="O193" s="3" t="b">
        <v>0</v>
      </c>
      <c r="P193" s="3" t="b">
        <v>0</v>
      </c>
      <c r="Q193" s="3">
        <v>2299.2024657534262</v>
      </c>
      <c r="R193" s="3">
        <v>23519.308423013699</v>
      </c>
      <c r="S193" s="3">
        <v>25818.510888767119</v>
      </c>
      <c r="T193" s="5">
        <f>IF(J193&lt;&gt;"",M193*N193/365/100*('Cashflow Projection'!$B$2-Investors!J193),0)</f>
        <v>46351.921709589042</v>
      </c>
    </row>
    <row r="194" spans="1:20" x14ac:dyDescent="0.2">
      <c r="A194" s="3" t="s">
        <v>419</v>
      </c>
      <c r="B194" s="3" t="s">
        <v>420</v>
      </c>
      <c r="C194" s="3" t="s">
        <v>421</v>
      </c>
      <c r="D194" s="3" t="s">
        <v>386</v>
      </c>
      <c r="E194" s="3" t="s">
        <v>478</v>
      </c>
      <c r="F194" s="3" t="b">
        <v>1</v>
      </c>
      <c r="G194" s="3" t="b">
        <v>1</v>
      </c>
      <c r="H194" s="3" t="s">
        <v>388</v>
      </c>
      <c r="I194" s="4">
        <v>44862</v>
      </c>
      <c r="J194" s="4">
        <v>44903</v>
      </c>
      <c r="K194" s="4">
        <v>45177</v>
      </c>
      <c r="L194" s="3">
        <v>7</v>
      </c>
      <c r="M194" s="3">
        <v>232778.08</v>
      </c>
      <c r="N194" s="3">
        <v>18</v>
      </c>
      <c r="O194" s="3" t="b">
        <v>0</v>
      </c>
      <c r="P194" s="3" t="b">
        <v>0</v>
      </c>
      <c r="Q194" s="3">
        <v>2391.555616438357</v>
      </c>
      <c r="R194" s="3">
        <v>31453.739467397259</v>
      </c>
      <c r="S194" s="3">
        <v>33845.295083835619</v>
      </c>
      <c r="T194" s="5">
        <f>IF(J194&lt;&gt;"",M194*N194/365/100*('Cashflow Projection'!$B$2-Investors!J194),0)</f>
        <v>61989.121578082188</v>
      </c>
    </row>
    <row r="195" spans="1:20" x14ac:dyDescent="0.2">
      <c r="A195" s="3" t="s">
        <v>482</v>
      </c>
      <c r="B195" s="3" t="s">
        <v>483</v>
      </c>
      <c r="C195" s="3" t="s">
        <v>484</v>
      </c>
      <c r="D195" s="3" t="s">
        <v>386</v>
      </c>
      <c r="E195" s="3" t="s">
        <v>478</v>
      </c>
      <c r="F195" s="3" t="b">
        <v>1</v>
      </c>
      <c r="G195" s="3" t="b">
        <v>1</v>
      </c>
      <c r="H195" s="3" t="s">
        <v>388</v>
      </c>
      <c r="I195" s="4">
        <v>44862</v>
      </c>
      <c r="J195" s="4">
        <v>44903</v>
      </c>
      <c r="K195" s="4">
        <v>45177</v>
      </c>
      <c r="L195" s="3">
        <v>2</v>
      </c>
      <c r="M195" s="3">
        <v>500000</v>
      </c>
      <c r="N195" s="3">
        <v>16</v>
      </c>
      <c r="O195" s="3" t="b">
        <v>0</v>
      </c>
      <c r="P195" s="3" t="b">
        <v>0</v>
      </c>
      <c r="Q195" s="3">
        <v>5136.9863013698596</v>
      </c>
      <c r="R195" s="3">
        <v>60054.794520547941</v>
      </c>
      <c r="S195" s="3">
        <v>65191.780821917797</v>
      </c>
      <c r="T195" s="5">
        <f>IF(J195&lt;&gt;"",M195*N195/365/100*('Cashflow Projection'!$B$2-Investors!J195),0)</f>
        <v>118356.16438356164</v>
      </c>
    </row>
    <row r="196" spans="1:20" x14ac:dyDescent="0.2">
      <c r="A196" s="3" t="s">
        <v>485</v>
      </c>
      <c r="B196" s="3" t="s">
        <v>486</v>
      </c>
      <c r="C196" s="3" t="s">
        <v>487</v>
      </c>
      <c r="D196" s="3" t="s">
        <v>386</v>
      </c>
      <c r="E196" s="3" t="s">
        <v>488</v>
      </c>
      <c r="F196" s="3" t="b">
        <v>0</v>
      </c>
      <c r="G196" s="3" t="b">
        <v>0</v>
      </c>
      <c r="H196" s="3" t="s">
        <v>388</v>
      </c>
      <c r="I196" s="4">
        <v>44862</v>
      </c>
      <c r="J196" s="4">
        <v>44903</v>
      </c>
      <c r="K196" s="4">
        <v>45533</v>
      </c>
      <c r="L196" s="3">
        <v>3</v>
      </c>
      <c r="M196" s="3">
        <v>1028006.85</v>
      </c>
      <c r="N196" s="3">
        <v>18</v>
      </c>
      <c r="O196" s="3" t="b">
        <v>0</v>
      </c>
      <c r="P196" s="3" t="b">
        <v>0</v>
      </c>
      <c r="Q196" s="3">
        <v>10561.71421232877</v>
      </c>
      <c r="R196" s="3">
        <v>319386.23778082192</v>
      </c>
      <c r="S196" s="3">
        <v>329947.95199315069</v>
      </c>
      <c r="T196" s="5">
        <f>IF(J196&lt;&gt;"",M196*N196/365/100*('Cashflow Projection'!$B$2-Investors!J196),0)</f>
        <v>273759.63238356163</v>
      </c>
    </row>
    <row r="197" spans="1:20" x14ac:dyDescent="0.2">
      <c r="A197" s="3" t="s">
        <v>489</v>
      </c>
      <c r="B197" s="3" t="s">
        <v>490</v>
      </c>
      <c r="C197" s="3" t="s">
        <v>491</v>
      </c>
      <c r="D197" s="3" t="s">
        <v>386</v>
      </c>
      <c r="E197" s="3" t="s">
        <v>492</v>
      </c>
      <c r="F197" s="3" t="b">
        <v>0</v>
      </c>
      <c r="G197" s="3" t="b">
        <v>0</v>
      </c>
      <c r="H197" s="3" t="s">
        <v>388</v>
      </c>
      <c r="I197" s="4">
        <v>44868</v>
      </c>
      <c r="J197" s="4">
        <v>44909</v>
      </c>
      <c r="K197" s="4">
        <v>45533</v>
      </c>
      <c r="L197" s="3">
        <v>1</v>
      </c>
      <c r="M197" s="3">
        <v>350000</v>
      </c>
      <c r="N197" s="3">
        <v>18</v>
      </c>
      <c r="O197" s="3" t="b">
        <v>0</v>
      </c>
      <c r="P197" s="3" t="b">
        <v>0</v>
      </c>
      <c r="Q197" s="3">
        <v>3639.0410958904131</v>
      </c>
      <c r="R197" s="3">
        <v>107704.10958904109</v>
      </c>
      <c r="S197" s="3">
        <v>111343.1506849315</v>
      </c>
      <c r="T197" s="5">
        <f>IF(J197&lt;&gt;"",M197*N197/365/100*('Cashflow Projection'!$B$2-Investors!J197),0)</f>
        <v>92169.863013698618</v>
      </c>
    </row>
    <row r="198" spans="1:20" x14ac:dyDescent="0.2">
      <c r="A198" s="3" t="s">
        <v>261</v>
      </c>
      <c r="B198" s="3" t="s">
        <v>262</v>
      </c>
      <c r="C198" s="3" t="s">
        <v>263</v>
      </c>
      <c r="D198" s="3" t="s">
        <v>386</v>
      </c>
      <c r="E198" s="3" t="s">
        <v>492</v>
      </c>
      <c r="F198" s="3" t="b">
        <v>0</v>
      </c>
      <c r="G198" s="3" t="b">
        <v>0</v>
      </c>
      <c r="H198" s="3" t="s">
        <v>388</v>
      </c>
      <c r="I198" s="4">
        <v>44988</v>
      </c>
      <c r="J198" s="4">
        <v>45107</v>
      </c>
      <c r="K198" s="4">
        <v>45533</v>
      </c>
      <c r="L198" s="3">
        <v>3</v>
      </c>
      <c r="M198" s="3">
        <v>254616.44</v>
      </c>
      <c r="N198" s="3">
        <v>16</v>
      </c>
      <c r="O198" s="3" t="b">
        <v>0</v>
      </c>
      <c r="P198" s="3" t="b">
        <v>0</v>
      </c>
      <c r="Q198" s="3">
        <v>8723.228992328759</v>
      </c>
      <c r="R198" s="3">
        <v>47547.004247671233</v>
      </c>
      <c r="S198" s="3">
        <v>56270.233239999987</v>
      </c>
      <c r="T198" s="5">
        <f>IF(J198&lt;&gt;"",M198*N198/365/100*('Cashflow Projection'!$B$2-Investors!J198),0)</f>
        <v>37501.862505205485</v>
      </c>
    </row>
    <row r="199" spans="1:20" x14ac:dyDescent="0.2">
      <c r="A199" s="3" t="s">
        <v>493</v>
      </c>
      <c r="B199" s="3" t="s">
        <v>494</v>
      </c>
      <c r="C199" s="3" t="s">
        <v>344</v>
      </c>
      <c r="D199" s="3" t="s">
        <v>386</v>
      </c>
      <c r="E199" s="3" t="s">
        <v>492</v>
      </c>
      <c r="F199" s="3" t="b">
        <v>0</v>
      </c>
      <c r="G199" s="3" t="b">
        <v>0</v>
      </c>
      <c r="H199" s="3" t="s">
        <v>388</v>
      </c>
      <c r="I199" s="4">
        <v>44876</v>
      </c>
      <c r="J199" s="4">
        <v>44903</v>
      </c>
      <c r="K199" s="4">
        <v>45533</v>
      </c>
      <c r="L199" s="3">
        <v>1</v>
      </c>
      <c r="M199" s="3">
        <v>100000</v>
      </c>
      <c r="N199" s="3">
        <v>14</v>
      </c>
      <c r="O199" s="3" t="b">
        <v>0</v>
      </c>
      <c r="P199" s="3" t="b">
        <v>0</v>
      </c>
      <c r="Q199" s="3">
        <v>682.19178082191752</v>
      </c>
      <c r="R199" s="3">
        <v>24164.38356164383</v>
      </c>
      <c r="S199" s="3">
        <v>24846.575342465749</v>
      </c>
      <c r="T199" s="5">
        <f>IF(J199&lt;&gt;"",M199*N199/365/100*('Cashflow Projection'!$B$2-Investors!J199),0)</f>
        <v>20712.32876712329</v>
      </c>
    </row>
    <row r="200" spans="1:20" x14ac:dyDescent="0.2">
      <c r="A200" s="3" t="s">
        <v>176</v>
      </c>
      <c r="B200" s="3" t="s">
        <v>177</v>
      </c>
      <c r="C200" s="3" t="s">
        <v>178</v>
      </c>
      <c r="D200" s="3" t="s">
        <v>386</v>
      </c>
      <c r="E200" s="3" t="s">
        <v>492</v>
      </c>
      <c r="F200" s="3" t="b">
        <v>0</v>
      </c>
      <c r="G200" s="3" t="b">
        <v>0</v>
      </c>
      <c r="H200" s="3" t="s">
        <v>388</v>
      </c>
      <c r="I200" s="4">
        <v>44887</v>
      </c>
      <c r="J200" s="4">
        <v>44916</v>
      </c>
      <c r="K200" s="4">
        <v>45533</v>
      </c>
      <c r="L200" s="3">
        <v>3</v>
      </c>
      <c r="M200" s="3">
        <v>100000</v>
      </c>
      <c r="N200" s="3">
        <v>16</v>
      </c>
      <c r="O200" s="3" t="b">
        <v>0</v>
      </c>
      <c r="P200" s="3" t="b">
        <v>0</v>
      </c>
      <c r="Q200" s="3">
        <v>758.21917808219143</v>
      </c>
      <c r="R200" s="3">
        <v>27046.575342465749</v>
      </c>
      <c r="S200" s="3">
        <v>27804.794520547941</v>
      </c>
      <c r="T200" s="5">
        <f>IF(J200&lt;&gt;"",M200*N200/365/100*('Cashflow Projection'!$B$2-Investors!J200),0)</f>
        <v>23101.369863013697</v>
      </c>
    </row>
    <row r="201" spans="1:20" x14ac:dyDescent="0.2">
      <c r="A201" s="3" t="s">
        <v>204</v>
      </c>
      <c r="B201" s="3" t="s">
        <v>205</v>
      </c>
      <c r="C201" s="3" t="s">
        <v>206</v>
      </c>
      <c r="D201" s="3" t="s">
        <v>386</v>
      </c>
      <c r="E201" s="3" t="s">
        <v>492</v>
      </c>
      <c r="F201" s="3" t="b">
        <v>0</v>
      </c>
      <c r="G201" s="3" t="b">
        <v>0</v>
      </c>
      <c r="H201" s="3" t="s">
        <v>388</v>
      </c>
      <c r="I201" s="4">
        <v>44876</v>
      </c>
      <c r="J201" s="4">
        <v>44903</v>
      </c>
      <c r="K201" s="4">
        <v>45533</v>
      </c>
      <c r="L201" s="3">
        <v>4</v>
      </c>
      <c r="M201" s="3">
        <v>313690.76</v>
      </c>
      <c r="N201" s="3">
        <v>14</v>
      </c>
      <c r="O201" s="3" t="b">
        <v>0</v>
      </c>
      <c r="P201" s="3" t="b">
        <v>0</v>
      </c>
      <c r="Q201" s="3">
        <v>2139.9725819178079</v>
      </c>
      <c r="R201" s="3">
        <v>75801.438443835621</v>
      </c>
      <c r="S201" s="3">
        <v>77941.411025753434</v>
      </c>
      <c r="T201" s="5">
        <f>IF(J201&lt;&gt;"",M201*N201/365/100*('Cashflow Projection'!$B$2-Investors!J201),0)</f>
        <v>64972.661523287679</v>
      </c>
    </row>
    <row r="202" spans="1:20" x14ac:dyDescent="0.2">
      <c r="A202" s="3" t="s">
        <v>485</v>
      </c>
      <c r="B202" s="3" t="s">
        <v>486</v>
      </c>
      <c r="C202" s="3" t="s">
        <v>487</v>
      </c>
      <c r="D202" s="3" t="s">
        <v>386</v>
      </c>
      <c r="E202" s="3" t="s">
        <v>495</v>
      </c>
      <c r="F202" s="3" t="b">
        <v>1</v>
      </c>
      <c r="G202" s="3" t="b">
        <v>1</v>
      </c>
      <c r="H202" s="3" t="s">
        <v>388</v>
      </c>
      <c r="I202" s="4">
        <v>44866</v>
      </c>
      <c r="J202" s="4">
        <v>44903</v>
      </c>
      <c r="K202" s="4">
        <v>45394</v>
      </c>
      <c r="L202" s="3">
        <v>4</v>
      </c>
      <c r="M202" s="3">
        <v>1100000</v>
      </c>
      <c r="N202" s="3">
        <v>18</v>
      </c>
      <c r="O202" s="3" t="b">
        <v>0</v>
      </c>
      <c r="P202" s="3" t="b">
        <v>0</v>
      </c>
      <c r="Q202" s="3">
        <v>10216.43835616439</v>
      </c>
      <c r="R202" s="3">
        <v>266350.68493150693</v>
      </c>
      <c r="S202" s="3">
        <v>276567.12328767119</v>
      </c>
      <c r="T202" s="5">
        <f>IF(J202&lt;&gt;"",M202*N202/365/100*('Cashflow Projection'!$B$2-Investors!J202),0)</f>
        <v>292931.50684931508</v>
      </c>
    </row>
    <row r="203" spans="1:20" x14ac:dyDescent="0.2">
      <c r="A203" s="3" t="s">
        <v>207</v>
      </c>
      <c r="B203" s="3" t="s">
        <v>53</v>
      </c>
      <c r="C203" s="3" t="s">
        <v>54</v>
      </c>
      <c r="D203" s="3" t="s">
        <v>386</v>
      </c>
      <c r="E203" s="3" t="s">
        <v>496</v>
      </c>
      <c r="F203" s="3" t="b">
        <v>1</v>
      </c>
      <c r="G203" s="3" t="b">
        <v>1</v>
      </c>
      <c r="H203" s="3" t="s">
        <v>497</v>
      </c>
      <c r="I203" s="4">
        <v>44658</v>
      </c>
      <c r="J203" s="4">
        <v>44706</v>
      </c>
      <c r="K203" s="4">
        <v>45272</v>
      </c>
      <c r="L203" s="3">
        <v>9</v>
      </c>
      <c r="M203" s="3">
        <v>100000</v>
      </c>
      <c r="N203" s="3">
        <v>18</v>
      </c>
      <c r="O203" s="3" t="b">
        <v>1</v>
      </c>
      <c r="P203" s="3" t="b">
        <v>0</v>
      </c>
      <c r="Q203" s="3">
        <v>920.54794520548023</v>
      </c>
      <c r="R203" s="3">
        <v>27912.32876712329</v>
      </c>
      <c r="S203" s="3">
        <v>28832.876712328769</v>
      </c>
      <c r="T203" s="5">
        <f>IF(J203&lt;&gt;"",M203*N203/365/100*('Cashflow Projection'!$B$2-Investors!J203),0)</f>
        <v>36345.205479452052</v>
      </c>
    </row>
    <row r="204" spans="1:20" x14ac:dyDescent="0.2">
      <c r="A204" s="3" t="s">
        <v>202</v>
      </c>
      <c r="B204" s="3" t="s">
        <v>203</v>
      </c>
      <c r="C204" s="3" t="s">
        <v>161</v>
      </c>
      <c r="D204" s="3" t="s">
        <v>386</v>
      </c>
      <c r="E204" s="3" t="s">
        <v>496</v>
      </c>
      <c r="F204" s="3" t="b">
        <v>1</v>
      </c>
      <c r="G204" s="3" t="b">
        <v>1</v>
      </c>
      <c r="H204" s="3" t="s">
        <v>497</v>
      </c>
      <c r="I204" s="4">
        <v>44697</v>
      </c>
      <c r="J204" s="4">
        <v>44706</v>
      </c>
      <c r="K204" s="4">
        <v>45308</v>
      </c>
      <c r="L204" s="3">
        <v>3</v>
      </c>
      <c r="M204" s="3">
        <v>200000</v>
      </c>
      <c r="N204" s="3">
        <v>16</v>
      </c>
      <c r="O204" s="3" t="b">
        <v>0</v>
      </c>
      <c r="P204" s="3" t="b">
        <v>0</v>
      </c>
      <c r="Q204" s="3">
        <v>345.20547945205482</v>
      </c>
      <c r="R204" s="3">
        <v>52778.082191780821</v>
      </c>
      <c r="S204" s="3">
        <v>53123.287671232873</v>
      </c>
      <c r="T204" s="5">
        <f>IF(J204&lt;&gt;"",M204*N204/365/100*('Cashflow Projection'!$B$2-Investors!J204),0)</f>
        <v>64613.698630136983</v>
      </c>
    </row>
    <row r="205" spans="1:20" x14ac:dyDescent="0.2">
      <c r="A205" s="3" t="s">
        <v>498</v>
      </c>
      <c r="B205" s="3" t="s">
        <v>499</v>
      </c>
      <c r="C205" s="3" t="s">
        <v>500</v>
      </c>
      <c r="D205" s="3" t="s">
        <v>386</v>
      </c>
      <c r="E205" s="3" t="s">
        <v>496</v>
      </c>
      <c r="F205" s="3" t="b">
        <v>1</v>
      </c>
      <c r="G205" s="3" t="b">
        <v>1</v>
      </c>
      <c r="H205" s="3" t="s">
        <v>497</v>
      </c>
      <c r="I205" s="4">
        <v>44657</v>
      </c>
      <c r="J205" s="4">
        <v>44713</v>
      </c>
      <c r="K205" s="4">
        <v>45272</v>
      </c>
      <c r="L205" s="3">
        <v>10</v>
      </c>
      <c r="M205" s="3">
        <v>715859.19</v>
      </c>
      <c r="N205" s="3">
        <v>18</v>
      </c>
      <c r="O205" s="3" t="b">
        <v>1</v>
      </c>
      <c r="P205" s="3" t="b">
        <v>0</v>
      </c>
      <c r="Q205" s="3">
        <v>7697.937865068493</v>
      </c>
      <c r="R205" s="3">
        <v>197341.78547342459</v>
      </c>
      <c r="S205" s="3">
        <v>205039.72333849309</v>
      </c>
      <c r="T205" s="5">
        <f>IF(J205&lt;&gt;"",M205*N205/365/100*('Cashflow Projection'!$B$2-Investors!J205),0)</f>
        <v>257709.30839999995</v>
      </c>
    </row>
    <row r="206" spans="1:20" x14ac:dyDescent="0.2">
      <c r="A206" s="3" t="s">
        <v>501</v>
      </c>
      <c r="B206" s="3" t="s">
        <v>502</v>
      </c>
      <c r="C206" s="3" t="s">
        <v>503</v>
      </c>
      <c r="D206" s="3" t="s">
        <v>386</v>
      </c>
      <c r="E206" s="3" t="s">
        <v>504</v>
      </c>
      <c r="F206" s="3" t="b">
        <v>1</v>
      </c>
      <c r="G206" s="3" t="b">
        <v>1</v>
      </c>
      <c r="H206" s="3" t="s">
        <v>497</v>
      </c>
      <c r="I206" s="4">
        <v>44775</v>
      </c>
      <c r="J206" s="4">
        <v>44819</v>
      </c>
      <c r="K206" s="4">
        <v>45272</v>
      </c>
      <c r="L206" s="3">
        <v>1</v>
      </c>
      <c r="M206" s="3">
        <v>500000</v>
      </c>
      <c r="N206" s="3">
        <v>16</v>
      </c>
      <c r="O206" s="3" t="b">
        <v>1</v>
      </c>
      <c r="P206" s="3" t="b">
        <v>0</v>
      </c>
      <c r="Q206" s="3">
        <v>4972.6027397260232</v>
      </c>
      <c r="R206" s="3">
        <v>99287.671232876717</v>
      </c>
      <c r="S206" s="3">
        <v>104260.27397260271</v>
      </c>
      <c r="T206" s="5">
        <f>IF(J206&lt;&gt;"",M206*N206/365/100*('Cashflow Projection'!$B$2-Investors!J206),0)</f>
        <v>136767.12328767122</v>
      </c>
    </row>
    <row r="207" spans="1:20" x14ac:dyDescent="0.2">
      <c r="A207" s="3" t="s">
        <v>505</v>
      </c>
      <c r="B207" s="3" t="s">
        <v>506</v>
      </c>
      <c r="C207" s="3" t="s">
        <v>507</v>
      </c>
      <c r="D207" s="3" t="s">
        <v>386</v>
      </c>
      <c r="E207" s="3" t="s">
        <v>504</v>
      </c>
      <c r="F207" s="3" t="b">
        <v>1</v>
      </c>
      <c r="G207" s="3" t="b">
        <v>1</v>
      </c>
      <c r="H207" s="3" t="s">
        <v>497</v>
      </c>
      <c r="I207" s="4">
        <v>44657</v>
      </c>
      <c r="J207" s="4">
        <v>44694</v>
      </c>
      <c r="K207" s="4">
        <v>45323</v>
      </c>
      <c r="L207" s="3">
        <v>10</v>
      </c>
      <c r="M207" s="3">
        <v>500000</v>
      </c>
      <c r="N207" s="3">
        <v>18</v>
      </c>
      <c r="O207" s="3" t="b">
        <v>1</v>
      </c>
      <c r="P207" s="3" t="b">
        <v>0</v>
      </c>
      <c r="Q207" s="3">
        <v>3547.9452054794492</v>
      </c>
      <c r="R207" s="3">
        <v>155095.89041095891</v>
      </c>
      <c r="S207" s="3">
        <v>158643.83561643839</v>
      </c>
      <c r="T207" s="5">
        <f>IF(J207&lt;&gt;"",M207*N207/365/100*('Cashflow Projection'!$B$2-Investors!J207),0)</f>
        <v>184684.9315068493</v>
      </c>
    </row>
    <row r="208" spans="1:20" x14ac:dyDescent="0.2">
      <c r="A208" s="3" t="s">
        <v>508</v>
      </c>
      <c r="B208" s="3" t="s">
        <v>509</v>
      </c>
      <c r="C208" s="3" t="s">
        <v>510</v>
      </c>
      <c r="D208" s="3" t="s">
        <v>386</v>
      </c>
      <c r="E208" s="3" t="s">
        <v>511</v>
      </c>
      <c r="F208" s="3" t="b">
        <v>1</v>
      </c>
      <c r="G208" s="3" t="b">
        <v>1</v>
      </c>
      <c r="H208" s="3" t="s">
        <v>497</v>
      </c>
      <c r="I208" s="4">
        <v>44914</v>
      </c>
      <c r="J208" s="4">
        <v>45008</v>
      </c>
      <c r="K208" s="4">
        <v>45323</v>
      </c>
      <c r="L208" s="3">
        <v>2</v>
      </c>
      <c r="M208" s="3">
        <v>100000</v>
      </c>
      <c r="N208" s="3">
        <v>14</v>
      </c>
      <c r="O208" s="3" t="b">
        <v>0</v>
      </c>
      <c r="P208" s="3" t="b">
        <v>0</v>
      </c>
      <c r="Q208" s="3">
        <v>2545.890410958903</v>
      </c>
      <c r="R208" s="3">
        <v>12082.19178082192</v>
      </c>
      <c r="S208" s="3">
        <v>14628.082191780821</v>
      </c>
      <c r="T208" s="5">
        <f>IF(J208&lt;&gt;"",M208*N208/365/100*('Cashflow Projection'!$B$2-Investors!J208),0)</f>
        <v>16684.931506849316</v>
      </c>
    </row>
    <row r="209" spans="1:20" x14ac:dyDescent="0.2">
      <c r="A209" s="3" t="s">
        <v>512</v>
      </c>
      <c r="B209" s="3" t="s">
        <v>513</v>
      </c>
      <c r="C209" s="3" t="s">
        <v>514</v>
      </c>
      <c r="D209" s="3" t="s">
        <v>386</v>
      </c>
      <c r="E209" s="3" t="s">
        <v>511</v>
      </c>
      <c r="F209" s="3" t="b">
        <v>1</v>
      </c>
      <c r="G209" s="3" t="b">
        <v>1</v>
      </c>
      <c r="H209" s="3" t="s">
        <v>497</v>
      </c>
      <c r="I209" s="4">
        <v>44705</v>
      </c>
      <c r="J209" s="4">
        <v>44719</v>
      </c>
      <c r="K209" s="4">
        <v>45272</v>
      </c>
      <c r="L209" s="3">
        <v>3</v>
      </c>
      <c r="M209" s="3">
        <v>100000</v>
      </c>
      <c r="N209" s="3">
        <v>14</v>
      </c>
      <c r="O209" s="3" t="b">
        <v>1</v>
      </c>
      <c r="P209" s="3" t="b">
        <v>0</v>
      </c>
      <c r="Q209" s="3">
        <v>278.0821917808218</v>
      </c>
      <c r="R209" s="3">
        <v>21210.95890410959</v>
      </c>
      <c r="S209" s="3">
        <v>21489.04109589041</v>
      </c>
      <c r="T209" s="5">
        <f>IF(J209&lt;&gt;"",M209*N209/365/100*('Cashflow Projection'!$B$2-Investors!J209),0)</f>
        <v>27769.863013698632</v>
      </c>
    </row>
    <row r="210" spans="1:20" x14ac:dyDescent="0.2">
      <c r="A210" s="3" t="s">
        <v>505</v>
      </c>
      <c r="B210" s="3" t="s">
        <v>506</v>
      </c>
      <c r="C210" s="3" t="s">
        <v>507</v>
      </c>
      <c r="D210" s="3" t="s">
        <v>386</v>
      </c>
      <c r="E210" s="3" t="s">
        <v>511</v>
      </c>
      <c r="F210" s="3" t="b">
        <v>1</v>
      </c>
      <c r="G210" s="3" t="b">
        <v>1</v>
      </c>
      <c r="H210" s="3" t="s">
        <v>497</v>
      </c>
      <c r="I210" s="4">
        <v>44657</v>
      </c>
      <c r="J210" s="4">
        <v>44694</v>
      </c>
      <c r="K210" s="4">
        <v>45323</v>
      </c>
      <c r="L210" s="3">
        <v>11</v>
      </c>
      <c r="M210" s="3">
        <v>551117.11</v>
      </c>
      <c r="N210" s="3">
        <v>18</v>
      </c>
      <c r="O210" s="3" t="b">
        <v>0</v>
      </c>
      <c r="P210" s="3" t="b">
        <v>0</v>
      </c>
      <c r="Q210" s="3">
        <v>3910.6666161643839</v>
      </c>
      <c r="R210" s="3">
        <v>170951.9977923288</v>
      </c>
      <c r="S210" s="3">
        <v>174862.6644084932</v>
      </c>
      <c r="T210" s="5">
        <f>IF(J210&lt;&gt;"",M210*N210/365/100*('Cashflow Projection'!$B$2-Investors!J210),0)</f>
        <v>203566.05142520551</v>
      </c>
    </row>
    <row r="211" spans="1:20" x14ac:dyDescent="0.2">
      <c r="A211" s="3" t="s">
        <v>515</v>
      </c>
      <c r="B211" s="3" t="s">
        <v>516</v>
      </c>
      <c r="C211" s="3" t="s">
        <v>517</v>
      </c>
      <c r="D211" s="3" t="s">
        <v>386</v>
      </c>
      <c r="E211" s="3" t="s">
        <v>511</v>
      </c>
      <c r="F211" s="3" t="b">
        <v>1</v>
      </c>
      <c r="G211" s="3" t="b">
        <v>1</v>
      </c>
      <c r="H211" s="3" t="s">
        <v>497</v>
      </c>
      <c r="I211" s="4">
        <v>44938</v>
      </c>
      <c r="J211" s="4">
        <v>45016</v>
      </c>
      <c r="K211" s="4">
        <v>45272</v>
      </c>
      <c r="L211" s="3">
        <v>1</v>
      </c>
      <c r="M211" s="3">
        <v>150000</v>
      </c>
      <c r="N211" s="3">
        <v>14</v>
      </c>
      <c r="O211" s="3" t="b">
        <v>1</v>
      </c>
      <c r="P211" s="3" t="b">
        <v>0</v>
      </c>
      <c r="Q211" s="3">
        <v>3185.9589041095878</v>
      </c>
      <c r="R211" s="3">
        <v>14728.767123287669</v>
      </c>
      <c r="S211" s="3">
        <v>17914.726027397261</v>
      </c>
      <c r="T211" s="5">
        <f>IF(J211&lt;&gt;"",M211*N211/365/100*('Cashflow Projection'!$B$2-Investors!J211),0)</f>
        <v>24567.123287671231</v>
      </c>
    </row>
    <row r="212" spans="1:20" x14ac:dyDescent="0.2">
      <c r="A212" s="3" t="s">
        <v>518</v>
      </c>
      <c r="B212" s="3" t="s">
        <v>519</v>
      </c>
      <c r="C212" s="3" t="s">
        <v>32</v>
      </c>
      <c r="D212" s="3" t="s">
        <v>386</v>
      </c>
      <c r="E212" s="3" t="s">
        <v>511</v>
      </c>
      <c r="F212" s="3" t="b">
        <v>1</v>
      </c>
      <c r="G212" s="3" t="b">
        <v>1</v>
      </c>
      <c r="H212" s="3" t="s">
        <v>497</v>
      </c>
      <c r="I212" s="4">
        <v>44697</v>
      </c>
      <c r="J212" s="4">
        <v>44706</v>
      </c>
      <c r="K212" s="4">
        <v>45299</v>
      </c>
      <c r="L212" s="3">
        <v>1</v>
      </c>
      <c r="M212" s="3">
        <v>100000</v>
      </c>
      <c r="N212" s="3">
        <v>14</v>
      </c>
      <c r="O212" s="3" t="b">
        <v>1</v>
      </c>
      <c r="P212" s="3" t="b">
        <v>0</v>
      </c>
      <c r="Q212" s="3">
        <v>172.60273972602741</v>
      </c>
      <c r="R212" s="3">
        <v>22745.205479452052</v>
      </c>
      <c r="S212" s="3">
        <v>22917.808219178081</v>
      </c>
      <c r="T212" s="5">
        <f>IF(J212&lt;&gt;"",M212*N212/365/100*('Cashflow Projection'!$B$2-Investors!J212),0)</f>
        <v>28268.493150684935</v>
      </c>
    </row>
    <row r="213" spans="1:20" x14ac:dyDescent="0.2">
      <c r="A213" s="3" t="s">
        <v>520</v>
      </c>
      <c r="B213" s="3" t="s">
        <v>521</v>
      </c>
      <c r="C213" s="3" t="s">
        <v>522</v>
      </c>
      <c r="D213" s="3" t="s">
        <v>386</v>
      </c>
      <c r="E213" s="3" t="s">
        <v>523</v>
      </c>
      <c r="F213" s="3" t="b">
        <v>1</v>
      </c>
      <c r="G213" s="3" t="b">
        <v>1</v>
      </c>
      <c r="H213" s="3" t="s">
        <v>497</v>
      </c>
      <c r="I213" s="4">
        <v>44676</v>
      </c>
      <c r="J213" s="4">
        <v>44706</v>
      </c>
      <c r="K213" s="4">
        <v>45272</v>
      </c>
      <c r="L213" s="3">
        <v>4</v>
      </c>
      <c r="M213" s="3">
        <v>622783.56000000006</v>
      </c>
      <c r="N213" s="3">
        <v>16</v>
      </c>
      <c r="O213" s="3" t="b">
        <v>1</v>
      </c>
      <c r="P213" s="3" t="b">
        <v>0</v>
      </c>
      <c r="Q213" s="3">
        <v>3583.138290410961</v>
      </c>
      <c r="R213" s="3">
        <v>154518.5731331507</v>
      </c>
      <c r="S213" s="3">
        <v>158101.71142356159</v>
      </c>
      <c r="T213" s="5">
        <f>IF(J213&lt;&gt;"",M213*N213/365/100*('Cashflow Projection'!$B$2-Investors!J213),0)</f>
        <v>201201.7462882192</v>
      </c>
    </row>
    <row r="214" spans="1:20" x14ac:dyDescent="0.2">
      <c r="A214" s="3" t="s">
        <v>159</v>
      </c>
      <c r="B214" s="3" t="s">
        <v>160</v>
      </c>
      <c r="C214" s="3" t="s">
        <v>161</v>
      </c>
      <c r="D214" s="3" t="s">
        <v>386</v>
      </c>
      <c r="E214" s="3" t="s">
        <v>523</v>
      </c>
      <c r="F214" s="3" t="b">
        <v>1</v>
      </c>
      <c r="G214" s="3" t="b">
        <v>1</v>
      </c>
      <c r="H214" s="3" t="s">
        <v>497</v>
      </c>
      <c r="I214" s="4">
        <v>44684</v>
      </c>
      <c r="J214" s="4">
        <v>44706</v>
      </c>
      <c r="K214" s="4">
        <v>45323</v>
      </c>
      <c r="L214" s="3">
        <v>2</v>
      </c>
      <c r="M214" s="3">
        <v>200000</v>
      </c>
      <c r="N214" s="3">
        <v>14</v>
      </c>
      <c r="O214" s="3" t="b">
        <v>1</v>
      </c>
      <c r="P214" s="3" t="b">
        <v>0</v>
      </c>
      <c r="Q214" s="3">
        <v>843.83561643835651</v>
      </c>
      <c r="R214" s="3">
        <v>47331.506849315068</v>
      </c>
      <c r="S214" s="3">
        <v>48175.342465753427</v>
      </c>
      <c r="T214" s="5">
        <f>IF(J214&lt;&gt;"",M214*N214/365/100*('Cashflow Projection'!$B$2-Investors!J214),0)</f>
        <v>56536.98630136987</v>
      </c>
    </row>
    <row r="215" spans="1:20" x14ac:dyDescent="0.2">
      <c r="A215" s="3" t="s">
        <v>524</v>
      </c>
      <c r="B215" s="3" t="s">
        <v>525</v>
      </c>
      <c r="C215" s="3" t="s">
        <v>297</v>
      </c>
      <c r="D215" s="3" t="s">
        <v>386</v>
      </c>
      <c r="E215" s="3" t="s">
        <v>523</v>
      </c>
      <c r="F215" s="3" t="b">
        <v>1</v>
      </c>
      <c r="G215" s="3" t="b">
        <v>1</v>
      </c>
      <c r="H215" s="3" t="s">
        <v>497</v>
      </c>
      <c r="I215" s="4">
        <v>44697</v>
      </c>
      <c r="J215" s="4">
        <v>44706</v>
      </c>
      <c r="K215" s="4">
        <v>45323</v>
      </c>
      <c r="L215" s="3">
        <v>1</v>
      </c>
      <c r="M215" s="3">
        <v>200000</v>
      </c>
      <c r="N215" s="3">
        <v>14</v>
      </c>
      <c r="O215" s="3" t="b">
        <v>1</v>
      </c>
      <c r="P215" s="3" t="b">
        <v>0</v>
      </c>
      <c r="Q215" s="3">
        <v>345.20547945205482</v>
      </c>
      <c r="R215" s="3">
        <v>47331.506849315068</v>
      </c>
      <c r="S215" s="3">
        <v>47676.71232876712</v>
      </c>
      <c r="T215" s="5">
        <f>IF(J215&lt;&gt;"",M215*N215/365/100*('Cashflow Projection'!$B$2-Investors!J215),0)</f>
        <v>56536.98630136987</v>
      </c>
    </row>
    <row r="216" spans="1:20" x14ac:dyDescent="0.2">
      <c r="A216" s="3" t="s">
        <v>123</v>
      </c>
      <c r="B216" s="3" t="s">
        <v>124</v>
      </c>
      <c r="C216" s="3" t="s">
        <v>125</v>
      </c>
      <c r="D216" s="3" t="s">
        <v>386</v>
      </c>
      <c r="E216" s="3" t="s">
        <v>526</v>
      </c>
      <c r="F216" s="3" t="b">
        <v>1</v>
      </c>
      <c r="G216" s="3" t="b">
        <v>1</v>
      </c>
      <c r="H216" s="3" t="s">
        <v>497</v>
      </c>
      <c r="I216" s="4">
        <v>44706</v>
      </c>
      <c r="J216" s="4">
        <v>44719</v>
      </c>
      <c r="K216" s="4">
        <v>45272</v>
      </c>
      <c r="L216" s="3">
        <v>9</v>
      </c>
      <c r="M216" s="3">
        <v>771986.94</v>
      </c>
      <c r="N216" s="3">
        <v>18</v>
      </c>
      <c r="O216" s="3" t="b">
        <v>1</v>
      </c>
      <c r="P216" s="3" t="b">
        <v>0</v>
      </c>
      <c r="Q216" s="3">
        <v>1998.705913150684</v>
      </c>
      <c r="R216" s="3">
        <v>210530.35618520551</v>
      </c>
      <c r="S216" s="3">
        <v>212529.06209835611</v>
      </c>
      <c r="T216" s="5">
        <f>IF(J216&lt;&gt;"",M216*N216/365/100*('Cashflow Projection'!$B$2-Investors!J216),0)</f>
        <v>275631.0630706849</v>
      </c>
    </row>
    <row r="217" spans="1:20" x14ac:dyDescent="0.2">
      <c r="A217" s="3" t="s">
        <v>527</v>
      </c>
      <c r="B217" s="3" t="s">
        <v>528</v>
      </c>
      <c r="C217" s="3" t="s">
        <v>529</v>
      </c>
      <c r="D217" s="3" t="s">
        <v>386</v>
      </c>
      <c r="E217" s="3" t="s">
        <v>526</v>
      </c>
      <c r="F217" s="3" t="b">
        <v>1</v>
      </c>
      <c r="G217" s="3" t="b">
        <v>1</v>
      </c>
      <c r="H217" s="3" t="s">
        <v>497</v>
      </c>
      <c r="I217" s="4">
        <v>44705</v>
      </c>
      <c r="J217" s="4">
        <v>44721</v>
      </c>
      <c r="K217" s="4">
        <v>45272</v>
      </c>
      <c r="L217" s="3">
        <v>7</v>
      </c>
      <c r="M217" s="3">
        <v>250000</v>
      </c>
      <c r="N217" s="3">
        <v>16</v>
      </c>
      <c r="O217" s="3" t="b">
        <v>1</v>
      </c>
      <c r="P217" s="3" t="b">
        <v>0</v>
      </c>
      <c r="Q217" s="3">
        <v>797.94520547945194</v>
      </c>
      <c r="R217" s="3">
        <v>60383.561643835623</v>
      </c>
      <c r="S217" s="3">
        <v>61181.506849315068</v>
      </c>
      <c r="T217" s="5">
        <f>IF(J217&lt;&gt;"",M217*N217/365/100*('Cashflow Projection'!$B$2-Investors!J217),0)</f>
        <v>79123.287671232873</v>
      </c>
    </row>
    <row r="218" spans="1:20" x14ac:dyDescent="0.2">
      <c r="A218" s="3" t="s">
        <v>530</v>
      </c>
      <c r="B218" s="3" t="s">
        <v>138</v>
      </c>
      <c r="C218" s="3" t="s">
        <v>531</v>
      </c>
      <c r="D218" s="3" t="s">
        <v>386</v>
      </c>
      <c r="E218" s="3" t="s">
        <v>532</v>
      </c>
      <c r="F218" s="3" t="b">
        <v>1</v>
      </c>
      <c r="G218" s="3" t="b">
        <v>0</v>
      </c>
      <c r="H218" s="3" t="s">
        <v>497</v>
      </c>
      <c r="I218" s="4">
        <v>44762</v>
      </c>
      <c r="J218" s="4">
        <v>44791</v>
      </c>
      <c r="K218" s="4">
        <v>45462</v>
      </c>
      <c r="L218" s="3">
        <v>2</v>
      </c>
      <c r="M218" s="3">
        <v>100000</v>
      </c>
      <c r="N218" s="3">
        <v>14</v>
      </c>
      <c r="O218" s="3" t="b">
        <v>0</v>
      </c>
      <c r="P218" s="3" t="b">
        <v>0</v>
      </c>
      <c r="Q218" s="3">
        <v>632.87671232876687</v>
      </c>
      <c r="R218" s="3">
        <v>25736.98630136986</v>
      </c>
      <c r="S218" s="3">
        <v>26369.863013698621</v>
      </c>
      <c r="T218" s="5">
        <f>IF(J218&lt;&gt;"",M218*N218/365/100*('Cashflow Projection'!$B$2-Investors!J218),0)</f>
        <v>25008.219178082196</v>
      </c>
    </row>
    <row r="219" spans="1:20" x14ac:dyDescent="0.2">
      <c r="A219" s="3" t="s">
        <v>533</v>
      </c>
      <c r="B219" s="3" t="s">
        <v>534</v>
      </c>
      <c r="C219" s="3" t="s">
        <v>535</v>
      </c>
      <c r="D219" s="3" t="s">
        <v>386</v>
      </c>
      <c r="E219" s="3" t="s">
        <v>532</v>
      </c>
      <c r="F219" s="3" t="b">
        <v>1</v>
      </c>
      <c r="G219" s="3" t="b">
        <v>0</v>
      </c>
      <c r="H219" s="3" t="s">
        <v>497</v>
      </c>
      <c r="I219" s="4">
        <v>44708</v>
      </c>
      <c r="J219" s="4">
        <v>44735</v>
      </c>
      <c r="K219" s="4">
        <v>45450</v>
      </c>
      <c r="L219" s="3">
        <v>2</v>
      </c>
      <c r="M219" s="3">
        <v>126369.86</v>
      </c>
      <c r="N219" s="3">
        <v>14</v>
      </c>
      <c r="O219" s="3" t="b">
        <v>1</v>
      </c>
      <c r="P219" s="3" t="b">
        <v>0</v>
      </c>
      <c r="Q219" s="3">
        <v>694.16868301369857</v>
      </c>
      <c r="R219" s="3">
        <v>34656.50133150685</v>
      </c>
      <c r="S219" s="3">
        <v>35350.670014520547</v>
      </c>
      <c r="T219" s="5">
        <f>IF(J219&lt;&gt;"",M219*N219/365/100*('Cashflow Projection'!$B$2-Investors!J219),0)</f>
        <v>34317.206912876711</v>
      </c>
    </row>
    <row r="220" spans="1:20" x14ac:dyDescent="0.2">
      <c r="A220" s="3" t="s">
        <v>536</v>
      </c>
      <c r="B220" s="3" t="s">
        <v>537</v>
      </c>
      <c r="C220" s="3" t="s">
        <v>538</v>
      </c>
      <c r="D220" s="3" t="s">
        <v>386</v>
      </c>
      <c r="E220" s="3" t="s">
        <v>532</v>
      </c>
      <c r="F220" s="3" t="b">
        <v>1</v>
      </c>
      <c r="G220" s="3" t="b">
        <v>0</v>
      </c>
      <c r="H220" s="3" t="s">
        <v>497</v>
      </c>
      <c r="I220" s="4">
        <v>44705</v>
      </c>
      <c r="J220" s="4">
        <v>44721</v>
      </c>
      <c r="K220" s="4">
        <v>45462</v>
      </c>
      <c r="L220" s="3">
        <v>2</v>
      </c>
      <c r="M220" s="3">
        <v>350000</v>
      </c>
      <c r="N220" s="3">
        <v>14</v>
      </c>
      <c r="O220" s="3" t="b">
        <v>0</v>
      </c>
      <c r="P220" s="3" t="b">
        <v>0</v>
      </c>
      <c r="Q220" s="3">
        <v>1117.1232876712329</v>
      </c>
      <c r="R220" s="3">
        <v>99476.712328767113</v>
      </c>
      <c r="S220" s="3">
        <v>100593.8356164383</v>
      </c>
      <c r="T220" s="5">
        <f>IF(J220&lt;&gt;"",M220*N220/365/100*('Cashflow Projection'!$B$2-Investors!J220),0)</f>
        <v>96926.027397260274</v>
      </c>
    </row>
    <row r="221" spans="1:20" x14ac:dyDescent="0.2">
      <c r="A221" s="3" t="s">
        <v>539</v>
      </c>
      <c r="B221" s="3" t="s">
        <v>540</v>
      </c>
      <c r="C221" s="3" t="s">
        <v>541</v>
      </c>
      <c r="D221" s="3" t="s">
        <v>386</v>
      </c>
      <c r="E221" s="3" t="s">
        <v>532</v>
      </c>
      <c r="F221" s="3" t="b">
        <v>1</v>
      </c>
      <c r="G221" s="3" t="b">
        <v>0</v>
      </c>
      <c r="H221" s="3" t="s">
        <v>497</v>
      </c>
      <c r="I221" s="4">
        <v>44791</v>
      </c>
      <c r="J221" s="4">
        <v>44819</v>
      </c>
      <c r="K221" s="4">
        <v>45462</v>
      </c>
      <c r="L221" s="3">
        <v>12</v>
      </c>
      <c r="M221" s="3">
        <v>288241.52</v>
      </c>
      <c r="N221" s="3">
        <v>18</v>
      </c>
      <c r="O221" s="3" t="b">
        <v>0</v>
      </c>
      <c r="P221" s="3" t="b">
        <v>0</v>
      </c>
      <c r="Q221" s="3">
        <v>1824.213455342468</v>
      </c>
      <c r="R221" s="3">
        <v>91400.201437808224</v>
      </c>
      <c r="S221" s="3">
        <v>93224.414893150693</v>
      </c>
      <c r="T221" s="5">
        <f>IF(J221&lt;&gt;"",M221*N221/365/100*('Cashflow Projection'!$B$2-Investors!J221),0)</f>
        <v>88699.417880547946</v>
      </c>
    </row>
    <row r="222" spans="1:20" x14ac:dyDescent="0.2">
      <c r="A222" s="3" t="s">
        <v>542</v>
      </c>
      <c r="B222" s="3" t="s">
        <v>543</v>
      </c>
      <c r="C222" s="3" t="s">
        <v>544</v>
      </c>
      <c r="D222" s="3" t="s">
        <v>386</v>
      </c>
      <c r="E222" s="3" t="s">
        <v>532</v>
      </c>
      <c r="F222" s="3" t="b">
        <v>1</v>
      </c>
      <c r="G222" s="3" t="b">
        <v>0</v>
      </c>
      <c r="H222" s="3" t="s">
        <v>497</v>
      </c>
      <c r="I222" s="4">
        <v>44707</v>
      </c>
      <c r="J222" s="4">
        <v>44721</v>
      </c>
      <c r="K222" s="4">
        <v>45462</v>
      </c>
      <c r="L222" s="3">
        <v>3</v>
      </c>
      <c r="M222" s="3">
        <v>146383.1</v>
      </c>
      <c r="N222" s="3">
        <v>16</v>
      </c>
      <c r="O222" s="3" t="b">
        <v>0</v>
      </c>
      <c r="P222" s="3" t="b">
        <v>0</v>
      </c>
      <c r="Q222" s="3">
        <v>411.0758287671232</v>
      </c>
      <c r="R222" s="3">
        <v>47548.439276712328</v>
      </c>
      <c r="S222" s="3">
        <v>47959.515105479448</v>
      </c>
      <c r="T222" s="5">
        <f>IF(J222&lt;&gt;"",M222*N222/365/100*('Cashflow Projection'!$B$2-Investors!J222),0)</f>
        <v>46329.248526027397</v>
      </c>
    </row>
    <row r="223" spans="1:20" x14ac:dyDescent="0.2">
      <c r="A223" s="3" t="s">
        <v>253</v>
      </c>
      <c r="B223" s="3" t="s">
        <v>254</v>
      </c>
      <c r="C223" s="3" t="s">
        <v>255</v>
      </c>
      <c r="D223" s="3" t="s">
        <v>386</v>
      </c>
      <c r="E223" s="3" t="s">
        <v>545</v>
      </c>
      <c r="F223" s="3" t="b">
        <v>1</v>
      </c>
      <c r="G223" s="3" t="b">
        <v>1</v>
      </c>
      <c r="H223" s="3" t="s">
        <v>497</v>
      </c>
      <c r="I223" s="4">
        <v>44706</v>
      </c>
      <c r="J223" s="4">
        <v>44721</v>
      </c>
      <c r="K223" s="4">
        <v>45377</v>
      </c>
      <c r="L223" s="3">
        <v>8</v>
      </c>
      <c r="M223" s="3">
        <v>1000000</v>
      </c>
      <c r="N223" s="3">
        <v>18</v>
      </c>
      <c r="O223" s="3" t="b">
        <v>0</v>
      </c>
      <c r="P223" s="3" t="b">
        <v>0</v>
      </c>
      <c r="Q223" s="3">
        <v>3000</v>
      </c>
      <c r="R223" s="3">
        <v>323506.84931506851</v>
      </c>
      <c r="S223" s="3">
        <v>326506.84931506851</v>
      </c>
      <c r="T223" s="5">
        <f>IF(J223&lt;&gt;"",M223*N223/365/100*('Cashflow Projection'!$B$2-Investors!J223),0)</f>
        <v>356054.7945205479</v>
      </c>
    </row>
    <row r="224" spans="1:20" x14ac:dyDescent="0.2">
      <c r="A224" s="3" t="s">
        <v>546</v>
      </c>
      <c r="B224" s="3" t="s">
        <v>547</v>
      </c>
      <c r="C224" s="3" t="s">
        <v>548</v>
      </c>
      <c r="D224" s="3" t="s">
        <v>386</v>
      </c>
      <c r="E224" s="3" t="s">
        <v>549</v>
      </c>
      <c r="F224" s="3" t="b">
        <v>1</v>
      </c>
      <c r="G224" s="3" t="b">
        <v>1</v>
      </c>
      <c r="H224" s="3" t="s">
        <v>497</v>
      </c>
      <c r="I224" s="4">
        <v>44705</v>
      </c>
      <c r="J224" s="4">
        <v>44719</v>
      </c>
      <c r="K224" s="4">
        <v>45330</v>
      </c>
      <c r="L224" s="3">
        <v>4</v>
      </c>
      <c r="M224" s="3">
        <v>149779.92000000001</v>
      </c>
      <c r="N224" s="3">
        <v>14</v>
      </c>
      <c r="O224" s="3" t="b">
        <v>0</v>
      </c>
      <c r="P224" s="3" t="b">
        <v>0</v>
      </c>
      <c r="Q224" s="3">
        <v>416.51128438356159</v>
      </c>
      <c r="R224" s="3">
        <v>35101.847552876709</v>
      </c>
      <c r="S224" s="3">
        <v>35518.358837260268</v>
      </c>
      <c r="T224" s="5">
        <f>IF(J224&lt;&gt;"",M224*N224/365/100*('Cashflow Projection'!$B$2-Investors!J224),0)</f>
        <v>41593.678606027395</v>
      </c>
    </row>
    <row r="225" spans="1:20" x14ac:dyDescent="0.2">
      <c r="A225" s="3" t="s">
        <v>550</v>
      </c>
      <c r="B225" s="3" t="s">
        <v>551</v>
      </c>
      <c r="C225" s="3" t="s">
        <v>552</v>
      </c>
      <c r="D225" s="3" t="s">
        <v>386</v>
      </c>
      <c r="E225" s="3" t="s">
        <v>549</v>
      </c>
      <c r="F225" s="3" t="b">
        <v>1</v>
      </c>
      <c r="G225" s="3" t="b">
        <v>1</v>
      </c>
      <c r="H225" s="3" t="s">
        <v>497</v>
      </c>
      <c r="I225" s="4">
        <v>44713</v>
      </c>
      <c r="J225" s="4">
        <v>44735</v>
      </c>
      <c r="K225" s="4">
        <v>45233</v>
      </c>
      <c r="L225" s="3">
        <v>4</v>
      </c>
      <c r="M225" s="3">
        <v>324145.21000000002</v>
      </c>
      <c r="N225" s="3">
        <v>14</v>
      </c>
      <c r="O225" s="3" t="b">
        <v>1</v>
      </c>
      <c r="P225" s="3" t="b">
        <v>0</v>
      </c>
      <c r="Q225" s="3">
        <v>1465.3139630136991</v>
      </c>
      <c r="R225" s="3">
        <v>61916.175455342469</v>
      </c>
      <c r="S225" s="3">
        <v>63381.48941835617</v>
      </c>
      <c r="T225" s="5">
        <f>IF(J225&lt;&gt;"",M225*N225/365/100*('Cashflow Projection'!$B$2-Investors!J225),0)</f>
        <v>88025.406069041113</v>
      </c>
    </row>
    <row r="226" spans="1:20" x14ac:dyDescent="0.2">
      <c r="A226" s="3" t="s">
        <v>27</v>
      </c>
      <c r="B226" s="3" t="s">
        <v>28</v>
      </c>
      <c r="C226" s="3" t="s">
        <v>29</v>
      </c>
      <c r="D226" s="3" t="s">
        <v>386</v>
      </c>
      <c r="E226" s="3" t="s">
        <v>549</v>
      </c>
      <c r="F226" s="3" t="b">
        <v>1</v>
      </c>
      <c r="G226" s="3" t="b">
        <v>1</v>
      </c>
      <c r="H226" s="3" t="s">
        <v>497</v>
      </c>
      <c r="I226" s="4">
        <v>44705</v>
      </c>
      <c r="J226" s="4">
        <v>44719</v>
      </c>
      <c r="K226" s="4">
        <v>45330</v>
      </c>
      <c r="L226" s="3">
        <v>13</v>
      </c>
      <c r="M226" s="3">
        <v>549828.71</v>
      </c>
      <c r="N226" s="3">
        <v>18</v>
      </c>
      <c r="O226" s="3" t="b">
        <v>0</v>
      </c>
      <c r="P226" s="3" t="b">
        <v>0</v>
      </c>
      <c r="Q226" s="3">
        <v>1528.9757278082191</v>
      </c>
      <c r="R226" s="3">
        <v>165671.67541315069</v>
      </c>
      <c r="S226" s="3">
        <v>167200.65114095889</v>
      </c>
      <c r="T226" s="5">
        <f>IF(J226&lt;&gt;"",M226*N226/365/100*('Cashflow Projection'!$B$2-Investors!J226),0)</f>
        <v>196311.44517041094</v>
      </c>
    </row>
    <row r="227" spans="1:20" x14ac:dyDescent="0.2">
      <c r="A227" s="3" t="s">
        <v>539</v>
      </c>
      <c r="B227" s="3" t="s">
        <v>540</v>
      </c>
      <c r="C227" s="3" t="s">
        <v>541</v>
      </c>
      <c r="D227" s="3" t="s">
        <v>386</v>
      </c>
      <c r="E227" s="3" t="s">
        <v>553</v>
      </c>
      <c r="F227" s="3" t="b">
        <v>1</v>
      </c>
      <c r="G227" s="3" t="b">
        <v>1</v>
      </c>
      <c r="H227" s="3" t="s">
        <v>497</v>
      </c>
      <c r="I227" s="4">
        <v>44707</v>
      </c>
      <c r="J227" s="4">
        <v>44735</v>
      </c>
      <c r="K227" s="4">
        <v>45299</v>
      </c>
      <c r="L227" s="3">
        <v>11</v>
      </c>
      <c r="M227" s="3">
        <v>1000000</v>
      </c>
      <c r="N227" s="3">
        <v>18</v>
      </c>
      <c r="O227" s="3" t="b">
        <v>1</v>
      </c>
      <c r="P227" s="3" t="b">
        <v>0</v>
      </c>
      <c r="Q227" s="3">
        <v>5684.9315068493161</v>
      </c>
      <c r="R227" s="3">
        <v>278136.98630136979</v>
      </c>
      <c r="S227" s="3">
        <v>283821.91780821921</v>
      </c>
      <c r="T227" s="5">
        <f>IF(J227&lt;&gt;"",M227*N227/365/100*('Cashflow Projection'!$B$2-Investors!J227),0)</f>
        <v>349150.68493150681</v>
      </c>
    </row>
    <row r="228" spans="1:20" x14ac:dyDescent="0.2">
      <c r="A228" s="3" t="s">
        <v>554</v>
      </c>
      <c r="B228" s="3" t="s">
        <v>555</v>
      </c>
      <c r="C228" s="3" t="s">
        <v>556</v>
      </c>
      <c r="D228" s="3" t="s">
        <v>386</v>
      </c>
      <c r="E228" s="3" t="s">
        <v>557</v>
      </c>
      <c r="F228" s="3" t="b">
        <v>0</v>
      </c>
      <c r="G228" s="3" t="b">
        <v>0</v>
      </c>
      <c r="H228" s="3" t="s">
        <v>497</v>
      </c>
      <c r="I228" s="4">
        <v>45443</v>
      </c>
      <c r="J228" s="4">
        <v>45443</v>
      </c>
      <c r="K228" s="4">
        <v>45468</v>
      </c>
      <c r="L228" s="3">
        <v>1</v>
      </c>
      <c r="M228" s="3">
        <v>1320414.3</v>
      </c>
      <c r="N228" s="3">
        <v>13</v>
      </c>
      <c r="O228" s="3" t="b">
        <v>0</v>
      </c>
      <c r="P228" s="3" t="b">
        <v>0</v>
      </c>
      <c r="Q228" s="3">
        <v>0</v>
      </c>
      <c r="R228" s="3">
        <v>11757.11363013699</v>
      </c>
      <c r="S228" s="3">
        <v>11757.11363013699</v>
      </c>
      <c r="T228" s="5">
        <f>IF(J228&lt;&gt;"",M228*N228/365/100*('Cashflow Projection'!$B$2-Investors!J228),0)</f>
        <v>0</v>
      </c>
    </row>
    <row r="229" spans="1:20" x14ac:dyDescent="0.2">
      <c r="A229" s="3" t="s">
        <v>240</v>
      </c>
      <c r="B229" s="3" t="s">
        <v>241</v>
      </c>
      <c r="C229" s="3" t="s">
        <v>242</v>
      </c>
      <c r="D229" s="3" t="s">
        <v>386</v>
      </c>
      <c r="E229" s="3" t="s">
        <v>557</v>
      </c>
      <c r="F229" s="3" t="b">
        <v>0</v>
      </c>
      <c r="G229" s="3" t="b">
        <v>0</v>
      </c>
      <c r="H229" s="3" t="s">
        <v>497</v>
      </c>
      <c r="I229" s="4">
        <v>44700</v>
      </c>
      <c r="J229" s="4">
        <v>44713</v>
      </c>
      <c r="K229" s="4">
        <v>45435</v>
      </c>
      <c r="L229" s="3">
        <v>5</v>
      </c>
      <c r="M229" s="3">
        <v>630284.25</v>
      </c>
      <c r="N229" s="3">
        <v>18</v>
      </c>
      <c r="O229" s="3" t="b">
        <v>1</v>
      </c>
      <c r="P229" s="3" t="b">
        <v>0</v>
      </c>
      <c r="Q229" s="3">
        <v>1580.0276404109591</v>
      </c>
      <c r="R229" s="3">
        <v>224415.72912328769</v>
      </c>
      <c r="S229" s="3">
        <v>225995.75676369859</v>
      </c>
      <c r="T229" s="5">
        <f>IF(J229&lt;&gt;"",M229*N229/365/100*('Cashflow Projection'!$B$2-Investors!J229),0)</f>
        <v>226902.33000000002</v>
      </c>
    </row>
    <row r="230" spans="1:20" x14ac:dyDescent="0.2">
      <c r="A230" s="3" t="s">
        <v>542</v>
      </c>
      <c r="B230" s="3" t="s">
        <v>543</v>
      </c>
      <c r="C230" s="3" t="s">
        <v>544</v>
      </c>
      <c r="D230" s="3" t="s">
        <v>386</v>
      </c>
      <c r="E230" s="3" t="s">
        <v>557</v>
      </c>
      <c r="F230" s="3" t="b">
        <v>0</v>
      </c>
      <c r="G230" s="3" t="b">
        <v>0</v>
      </c>
      <c r="H230" s="3" t="s">
        <v>497</v>
      </c>
      <c r="I230" s="4">
        <v>44707</v>
      </c>
      <c r="J230" s="4">
        <v>44735</v>
      </c>
      <c r="K230" s="4">
        <v>45435</v>
      </c>
      <c r="L230" s="3">
        <v>4</v>
      </c>
      <c r="M230" s="3">
        <v>353616.9</v>
      </c>
      <c r="N230" s="3">
        <v>16</v>
      </c>
      <c r="O230" s="3" t="b">
        <v>1</v>
      </c>
      <c r="P230" s="3" t="b">
        <v>0</v>
      </c>
      <c r="Q230" s="3">
        <v>2010.287856164384</v>
      </c>
      <c r="R230" s="3">
        <v>108507.1035616438</v>
      </c>
      <c r="S230" s="3">
        <v>110517.39141780821</v>
      </c>
      <c r="T230" s="5">
        <f>IF(J230&lt;&gt;"",M230*N230/365/100*('Cashflow Projection'!$B$2-Investors!J230),0)</f>
        <v>109747.18474520548</v>
      </c>
    </row>
    <row r="231" spans="1:20" x14ac:dyDescent="0.2">
      <c r="A231" s="3" t="s">
        <v>253</v>
      </c>
      <c r="B231" s="3" t="s">
        <v>254</v>
      </c>
      <c r="C231" s="3" t="s">
        <v>255</v>
      </c>
      <c r="D231" s="3" t="s">
        <v>386</v>
      </c>
      <c r="E231" s="3" t="s">
        <v>558</v>
      </c>
      <c r="F231" s="3" t="b">
        <v>0</v>
      </c>
      <c r="G231" s="3" t="b">
        <v>0</v>
      </c>
      <c r="H231" s="3" t="s">
        <v>497</v>
      </c>
      <c r="I231" s="4">
        <v>44706</v>
      </c>
      <c r="J231" s="4">
        <v>44735</v>
      </c>
      <c r="K231" s="4">
        <v>45469</v>
      </c>
      <c r="L231" s="3">
        <v>9</v>
      </c>
      <c r="M231" s="3">
        <v>418733.56</v>
      </c>
      <c r="N231" s="3">
        <v>18</v>
      </c>
      <c r="O231" s="3" t="b">
        <v>0</v>
      </c>
      <c r="P231" s="3" t="b">
        <v>0</v>
      </c>
      <c r="Q231" s="3">
        <v>2460.776674520549</v>
      </c>
      <c r="R231" s="3">
        <v>151570.0765676712</v>
      </c>
      <c r="S231" s="3">
        <v>154030.85324219181</v>
      </c>
      <c r="T231" s="5">
        <f>IF(J231&lt;&gt;"",M231*N231/365/100*('Cashflow Projection'!$B$2-Investors!J231),0)</f>
        <v>146201.10927780822</v>
      </c>
    </row>
    <row r="232" spans="1:20" x14ac:dyDescent="0.2">
      <c r="A232" s="3" t="s">
        <v>554</v>
      </c>
      <c r="B232" s="3" t="s">
        <v>555</v>
      </c>
      <c r="C232" s="3" t="s">
        <v>556</v>
      </c>
      <c r="D232" s="3" t="s">
        <v>386</v>
      </c>
      <c r="E232" s="3" t="s">
        <v>558</v>
      </c>
      <c r="F232" s="3" t="b">
        <v>0</v>
      </c>
      <c r="G232" s="3" t="b">
        <v>0</v>
      </c>
      <c r="H232" s="3" t="s">
        <v>497</v>
      </c>
      <c r="I232" s="4">
        <v>45443</v>
      </c>
      <c r="J232" s="4">
        <v>45443</v>
      </c>
      <c r="K232" s="4">
        <v>45469</v>
      </c>
      <c r="L232" s="3">
        <v>2</v>
      </c>
      <c r="M232" s="3">
        <v>789706.85</v>
      </c>
      <c r="N232" s="3">
        <v>13</v>
      </c>
      <c r="O232" s="3" t="b">
        <v>0</v>
      </c>
      <c r="P232" s="3" t="b">
        <v>0</v>
      </c>
      <c r="Q232" s="3">
        <v>0</v>
      </c>
      <c r="R232" s="3">
        <v>7312.9017890410951</v>
      </c>
      <c r="S232" s="3">
        <v>7312.9017890410951</v>
      </c>
      <c r="T232" s="5">
        <f>IF(J232&lt;&gt;"",M232*N232/365/100*('Cashflow Projection'!$B$2-Investors!J232),0)</f>
        <v>0</v>
      </c>
    </row>
    <row r="233" spans="1:20" x14ac:dyDescent="0.2">
      <c r="A233" s="3" t="s">
        <v>559</v>
      </c>
      <c r="B233" s="3" t="s">
        <v>560</v>
      </c>
      <c r="C233" s="3" t="s">
        <v>561</v>
      </c>
      <c r="D233" s="3" t="s">
        <v>386</v>
      </c>
      <c r="E233" s="3" t="s">
        <v>558</v>
      </c>
      <c r="F233" s="3" t="b">
        <v>0</v>
      </c>
      <c r="G233" s="3" t="b">
        <v>0</v>
      </c>
      <c r="H233" s="3" t="s">
        <v>497</v>
      </c>
      <c r="I233" s="4">
        <v>44705</v>
      </c>
      <c r="J233" s="4">
        <v>44721</v>
      </c>
      <c r="K233" s="4">
        <v>45435</v>
      </c>
      <c r="L233" s="3">
        <v>2</v>
      </c>
      <c r="M233" s="3">
        <v>600000</v>
      </c>
      <c r="N233" s="3">
        <v>16</v>
      </c>
      <c r="O233" s="3" t="b">
        <v>1</v>
      </c>
      <c r="P233" s="3" t="b">
        <v>0</v>
      </c>
      <c r="Q233" s="3">
        <v>1915.0684931506839</v>
      </c>
      <c r="R233" s="3">
        <v>187791.78082191781</v>
      </c>
      <c r="S233" s="3">
        <v>189706.84931506851</v>
      </c>
      <c r="T233" s="5">
        <f>IF(J233&lt;&gt;"",M233*N233/365/100*('Cashflow Projection'!$B$2-Investors!J233),0)</f>
        <v>189895.89041095888</v>
      </c>
    </row>
    <row r="234" spans="1:20" x14ac:dyDescent="0.2">
      <c r="A234" s="3" t="s">
        <v>562</v>
      </c>
      <c r="B234" s="3" t="s">
        <v>563</v>
      </c>
      <c r="C234" s="3" t="s">
        <v>564</v>
      </c>
      <c r="D234" s="3" t="s">
        <v>386</v>
      </c>
      <c r="E234" s="3" t="s">
        <v>565</v>
      </c>
      <c r="F234" s="3" t="b">
        <v>0</v>
      </c>
      <c r="G234" s="3" t="b">
        <v>0</v>
      </c>
      <c r="H234" s="3" t="s">
        <v>497</v>
      </c>
      <c r="I234" s="4">
        <v>44713</v>
      </c>
      <c r="J234" s="4">
        <v>44743</v>
      </c>
      <c r="K234" s="4">
        <v>45484</v>
      </c>
      <c r="L234" s="3">
        <v>1</v>
      </c>
      <c r="M234" s="3">
        <v>150000</v>
      </c>
      <c r="N234" s="3">
        <v>14</v>
      </c>
      <c r="O234" s="3" t="b">
        <v>0</v>
      </c>
      <c r="P234" s="3" t="b">
        <v>0</v>
      </c>
      <c r="Q234" s="3">
        <v>924.65753424657487</v>
      </c>
      <c r="R234" s="3">
        <v>42632.876712328769</v>
      </c>
      <c r="S234" s="3">
        <v>43557.534246575342</v>
      </c>
      <c r="T234" s="5">
        <f>IF(J234&lt;&gt;"",M234*N234/365/100*('Cashflow Projection'!$B$2-Investors!J234),0)</f>
        <v>40273.972602739726</v>
      </c>
    </row>
    <row r="235" spans="1:20" x14ac:dyDescent="0.2">
      <c r="A235" s="3" t="s">
        <v>59</v>
      </c>
      <c r="B235" s="3" t="s">
        <v>60</v>
      </c>
      <c r="C235" s="3" t="s">
        <v>61</v>
      </c>
      <c r="D235" s="3" t="s">
        <v>386</v>
      </c>
      <c r="E235" s="3" t="s">
        <v>565</v>
      </c>
      <c r="F235" s="3" t="b">
        <v>0</v>
      </c>
      <c r="G235" s="3" t="b">
        <v>0</v>
      </c>
      <c r="H235" s="3" t="s">
        <v>497</v>
      </c>
      <c r="I235" s="4">
        <v>44706</v>
      </c>
      <c r="J235" s="4">
        <v>44735</v>
      </c>
      <c r="K235" s="4">
        <v>45484</v>
      </c>
      <c r="L235" s="3">
        <v>22</v>
      </c>
      <c r="M235" s="3">
        <v>850000</v>
      </c>
      <c r="N235" s="3">
        <v>18</v>
      </c>
      <c r="O235" s="3" t="b">
        <v>0</v>
      </c>
      <c r="P235" s="3" t="b">
        <v>0</v>
      </c>
      <c r="Q235" s="3">
        <v>4995.2054794520573</v>
      </c>
      <c r="R235" s="3">
        <v>313964.38356164377</v>
      </c>
      <c r="S235" s="3">
        <v>318959.58904109593</v>
      </c>
      <c r="T235" s="5">
        <f>IF(J235&lt;&gt;"",M235*N235/365/100*('Cashflow Projection'!$B$2-Investors!J235),0)</f>
        <v>296778.08219178085</v>
      </c>
    </row>
    <row r="236" spans="1:20" x14ac:dyDescent="0.2">
      <c r="A236" s="3" t="s">
        <v>566</v>
      </c>
      <c r="B236" s="3" t="s">
        <v>567</v>
      </c>
      <c r="C236" s="3" t="s">
        <v>315</v>
      </c>
      <c r="D236" s="3" t="s">
        <v>386</v>
      </c>
      <c r="E236" s="3" t="s">
        <v>568</v>
      </c>
      <c r="F236" s="3" t="b">
        <v>0</v>
      </c>
      <c r="G236" s="3" t="b">
        <v>0</v>
      </c>
      <c r="H236" s="3" t="s">
        <v>569</v>
      </c>
      <c r="I236" s="4">
        <v>45447</v>
      </c>
      <c r="J236" s="3"/>
      <c r="K236" s="4">
        <v>45685</v>
      </c>
      <c r="L236" s="3">
        <v>1</v>
      </c>
      <c r="M236" s="3">
        <v>600000</v>
      </c>
      <c r="N236" s="3">
        <v>18</v>
      </c>
      <c r="O236" s="3" t="b">
        <v>0</v>
      </c>
      <c r="P236" s="3" t="b">
        <v>0</v>
      </c>
      <c r="Q236" s="3">
        <v>5424.657534246574</v>
      </c>
      <c r="R236" s="3">
        <v>61545.205479452052</v>
      </c>
      <c r="S236" s="3">
        <v>66969.863013698632</v>
      </c>
      <c r="T236" s="5">
        <f>IF(J236&lt;&gt;"",M236*N236/365/100*('Cashflow Projection'!$B$2-Investors!J236),0)</f>
        <v>0</v>
      </c>
    </row>
    <row r="237" spans="1:20" x14ac:dyDescent="0.2">
      <c r="A237" s="3" t="s">
        <v>479</v>
      </c>
      <c r="B237" s="3" t="s">
        <v>480</v>
      </c>
      <c r="C237" s="3" t="s">
        <v>481</v>
      </c>
      <c r="D237" s="3" t="s">
        <v>386</v>
      </c>
      <c r="E237" s="3" t="s">
        <v>568</v>
      </c>
      <c r="F237" s="3" t="b">
        <v>0</v>
      </c>
      <c r="G237" s="3" t="b">
        <v>0</v>
      </c>
      <c r="H237" s="3" t="s">
        <v>569</v>
      </c>
      <c r="I237" s="4">
        <v>45187</v>
      </c>
      <c r="J237" s="4">
        <v>45321</v>
      </c>
      <c r="K237" s="4">
        <v>45685</v>
      </c>
      <c r="L237" s="3">
        <v>3</v>
      </c>
      <c r="M237" s="3">
        <v>249607.55</v>
      </c>
      <c r="N237" s="3">
        <v>14</v>
      </c>
      <c r="O237" s="3" t="b">
        <v>0</v>
      </c>
      <c r="P237" s="3" t="b">
        <v>0</v>
      </c>
      <c r="Q237" s="3">
        <v>10080.041882191799</v>
      </c>
      <c r="R237" s="3">
        <v>34849.317117808219</v>
      </c>
      <c r="S237" s="3">
        <v>44929.359000000011</v>
      </c>
      <c r="T237" s="5">
        <f>IF(J237&lt;&gt;"",M237*N237/365/100*('Cashflow Projection'!$B$2-Investors!J237),0)</f>
        <v>11680.265627397261</v>
      </c>
    </row>
    <row r="238" spans="1:20" x14ac:dyDescent="0.2">
      <c r="A238" s="3" t="s">
        <v>403</v>
      </c>
      <c r="B238" s="3" t="s">
        <v>160</v>
      </c>
      <c r="C238" s="3" t="s">
        <v>161</v>
      </c>
      <c r="D238" s="3" t="s">
        <v>386</v>
      </c>
      <c r="E238" s="3" t="s">
        <v>568</v>
      </c>
      <c r="F238" s="3" t="b">
        <v>0</v>
      </c>
      <c r="G238" s="3" t="b">
        <v>0</v>
      </c>
      <c r="H238" s="3" t="s">
        <v>569</v>
      </c>
      <c r="I238" s="4">
        <v>45330</v>
      </c>
      <c r="J238" s="4">
        <v>45408</v>
      </c>
      <c r="K238" s="4">
        <v>45685</v>
      </c>
      <c r="L238" s="3">
        <v>11</v>
      </c>
      <c r="M238" s="3">
        <v>238175.34</v>
      </c>
      <c r="N238" s="3">
        <v>18</v>
      </c>
      <c r="O238" s="3" t="b">
        <v>0</v>
      </c>
      <c r="P238" s="3" t="b">
        <v>0</v>
      </c>
      <c r="Q238" s="3">
        <v>5598.7518279452133</v>
      </c>
      <c r="R238" s="3">
        <v>32535.403979178089</v>
      </c>
      <c r="S238" s="3">
        <v>38134.155807123301</v>
      </c>
      <c r="T238" s="5">
        <f>IF(J238&lt;&gt;"",M238*N238/365/100*('Cashflow Projection'!$B$2-Investors!J238),0)</f>
        <v>4110.9716219178081</v>
      </c>
    </row>
    <row r="239" spans="1:20" x14ac:dyDescent="0.2">
      <c r="A239" s="3" t="s">
        <v>185</v>
      </c>
      <c r="B239" s="3" t="s">
        <v>186</v>
      </c>
      <c r="C239" s="3" t="s">
        <v>187</v>
      </c>
      <c r="D239" s="3" t="s">
        <v>386</v>
      </c>
      <c r="E239" s="3" t="s">
        <v>568</v>
      </c>
      <c r="F239" s="3" t="b">
        <v>0</v>
      </c>
      <c r="G239" s="3" t="b">
        <v>0</v>
      </c>
      <c r="H239" s="3" t="s">
        <v>569</v>
      </c>
      <c r="I239" s="4">
        <v>45187</v>
      </c>
      <c r="J239" s="4">
        <v>45321</v>
      </c>
      <c r="K239" s="4">
        <v>45685</v>
      </c>
      <c r="L239" s="3">
        <v>7</v>
      </c>
      <c r="M239" s="3">
        <v>115294.52</v>
      </c>
      <c r="N239" s="3">
        <v>14</v>
      </c>
      <c r="O239" s="3" t="b">
        <v>0</v>
      </c>
      <c r="P239" s="3" t="b">
        <v>0</v>
      </c>
      <c r="Q239" s="3">
        <v>4656.0033556164508</v>
      </c>
      <c r="R239" s="3">
        <v>16097.01024438356</v>
      </c>
      <c r="S239" s="3">
        <v>20753.013600000009</v>
      </c>
      <c r="T239" s="5">
        <f>IF(J239&lt;&gt;"",M239*N239/365/100*('Cashflow Projection'!$B$2-Investors!J239),0)</f>
        <v>5395.1517852054794</v>
      </c>
    </row>
    <row r="240" spans="1:20" x14ac:dyDescent="0.2">
      <c r="A240" s="3" t="s">
        <v>570</v>
      </c>
      <c r="B240" s="3" t="s">
        <v>571</v>
      </c>
      <c r="C240" s="3" t="s">
        <v>572</v>
      </c>
      <c r="D240" s="3" t="s">
        <v>386</v>
      </c>
      <c r="E240" s="3" t="s">
        <v>573</v>
      </c>
      <c r="F240" s="3" t="b">
        <v>0</v>
      </c>
      <c r="G240" s="3" t="b">
        <v>0</v>
      </c>
      <c r="H240" s="3" t="s">
        <v>569</v>
      </c>
      <c r="I240" s="4">
        <v>45187</v>
      </c>
      <c r="J240" s="4">
        <v>45321</v>
      </c>
      <c r="K240" s="4">
        <v>45685</v>
      </c>
      <c r="L240" s="3">
        <v>2</v>
      </c>
      <c r="M240" s="3">
        <v>115099.32</v>
      </c>
      <c r="N240" s="3">
        <v>14</v>
      </c>
      <c r="O240" s="3" t="b">
        <v>0</v>
      </c>
      <c r="P240" s="3" t="b">
        <v>0</v>
      </c>
      <c r="Q240" s="3">
        <v>4648.1204843835649</v>
      </c>
      <c r="R240" s="3">
        <v>16069.757115616439</v>
      </c>
      <c r="S240" s="3">
        <v>20717.8776</v>
      </c>
      <c r="T240" s="5">
        <f>IF(J240&lt;&gt;"",M240*N240/365/100*('Cashflow Projection'!$B$2-Investors!J240),0)</f>
        <v>5386.0174947945206</v>
      </c>
    </row>
    <row r="241" spans="1:20" x14ac:dyDescent="0.2">
      <c r="A241" s="3" t="s">
        <v>419</v>
      </c>
      <c r="B241" s="3" t="s">
        <v>420</v>
      </c>
      <c r="C241" s="3" t="s">
        <v>421</v>
      </c>
      <c r="D241" s="3" t="s">
        <v>386</v>
      </c>
      <c r="E241" s="3" t="s">
        <v>573</v>
      </c>
      <c r="F241" s="3" t="b">
        <v>0</v>
      </c>
      <c r="G241" s="3" t="b">
        <v>0</v>
      </c>
      <c r="H241" s="3" t="s">
        <v>569</v>
      </c>
      <c r="I241" s="4">
        <v>45447</v>
      </c>
      <c r="J241" s="3"/>
      <c r="K241" s="4">
        <v>45685</v>
      </c>
      <c r="L241" s="3">
        <v>18</v>
      </c>
      <c r="M241" s="3">
        <v>900000</v>
      </c>
      <c r="N241" s="3">
        <v>18</v>
      </c>
      <c r="O241" s="3" t="b">
        <v>0</v>
      </c>
      <c r="P241" s="3" t="b">
        <v>0</v>
      </c>
      <c r="Q241" s="3">
        <v>8136.9863013698687</v>
      </c>
      <c r="R241" s="3">
        <v>92317.808219178085</v>
      </c>
      <c r="S241" s="3">
        <v>100454.7945205479</v>
      </c>
      <c r="T241" s="5">
        <f>IF(J241&lt;&gt;"",M241*N241/365/100*('Cashflow Projection'!$B$2-Investors!J241),0)</f>
        <v>0</v>
      </c>
    </row>
    <row r="242" spans="1:20" x14ac:dyDescent="0.2">
      <c r="A242" s="3" t="s">
        <v>574</v>
      </c>
      <c r="B242" s="3" t="s">
        <v>327</v>
      </c>
      <c r="C242" s="3" t="s">
        <v>32</v>
      </c>
      <c r="D242" s="3" t="s">
        <v>386</v>
      </c>
      <c r="E242" s="3" t="s">
        <v>573</v>
      </c>
      <c r="F242" s="3" t="b">
        <v>0</v>
      </c>
      <c r="G242" s="3" t="b">
        <v>0</v>
      </c>
      <c r="H242" s="3" t="s">
        <v>569</v>
      </c>
      <c r="I242" s="4">
        <v>45426</v>
      </c>
      <c r="J242" s="4">
        <v>45443</v>
      </c>
      <c r="K242" s="4">
        <v>45685</v>
      </c>
      <c r="L242" s="3">
        <v>6</v>
      </c>
      <c r="M242" s="3">
        <v>129589.04</v>
      </c>
      <c r="N242" s="3">
        <v>18</v>
      </c>
      <c r="O242" s="3" t="b">
        <v>0</v>
      </c>
      <c r="P242" s="3" t="b">
        <v>0</v>
      </c>
      <c r="Q242" s="3">
        <v>663.92193095890423</v>
      </c>
      <c r="R242" s="3">
        <v>15465.475568219181</v>
      </c>
      <c r="S242" s="3">
        <v>16129.39749917808</v>
      </c>
      <c r="T242" s="5">
        <f>IF(J242&lt;&gt;"",M242*N242/365/100*('Cashflow Projection'!$B$2-Investors!J242),0)</f>
        <v>0</v>
      </c>
    </row>
    <row r="243" spans="1:20" x14ac:dyDescent="0.2">
      <c r="A243" s="3" t="s">
        <v>574</v>
      </c>
      <c r="B243" s="3" t="s">
        <v>327</v>
      </c>
      <c r="C243" s="3" t="s">
        <v>32</v>
      </c>
      <c r="D243" s="3" t="s">
        <v>386</v>
      </c>
      <c r="E243" s="3" t="s">
        <v>575</v>
      </c>
      <c r="F243" s="3" t="b">
        <v>0</v>
      </c>
      <c r="G243" s="3" t="b">
        <v>0</v>
      </c>
      <c r="H243" s="3" t="s">
        <v>569</v>
      </c>
      <c r="I243" s="4">
        <v>45426</v>
      </c>
      <c r="J243" s="4">
        <v>45443</v>
      </c>
      <c r="K243" s="4">
        <v>45685</v>
      </c>
      <c r="L243" s="3">
        <v>7</v>
      </c>
      <c r="M243" s="3">
        <v>1200000</v>
      </c>
      <c r="N243" s="3">
        <v>18</v>
      </c>
      <c r="O243" s="3" t="b">
        <v>0</v>
      </c>
      <c r="P243" s="3" t="b">
        <v>0</v>
      </c>
      <c r="Q243" s="3">
        <v>6147.9452054794519</v>
      </c>
      <c r="R243" s="3">
        <v>143210.9589041096</v>
      </c>
      <c r="S243" s="3">
        <v>149358.90410958909</v>
      </c>
      <c r="T243" s="5">
        <f>IF(J243&lt;&gt;"",M243*N243/365/100*('Cashflow Projection'!$B$2-Investors!J243),0)</f>
        <v>0</v>
      </c>
    </row>
    <row r="244" spans="1:20" x14ac:dyDescent="0.2">
      <c r="A244" s="3" t="s">
        <v>576</v>
      </c>
      <c r="B244" s="3" t="s">
        <v>577</v>
      </c>
      <c r="C244" s="3" t="s">
        <v>578</v>
      </c>
      <c r="D244" s="3" t="s">
        <v>386</v>
      </c>
      <c r="E244" s="3" t="s">
        <v>579</v>
      </c>
      <c r="F244" s="3" t="b">
        <v>0</v>
      </c>
      <c r="G244" s="3" t="b">
        <v>0</v>
      </c>
      <c r="H244" s="3" t="s">
        <v>569</v>
      </c>
      <c r="I244" s="4">
        <v>45188</v>
      </c>
      <c r="J244" s="4">
        <v>45371</v>
      </c>
      <c r="K244" s="4">
        <v>45685</v>
      </c>
      <c r="L244" s="3">
        <v>6</v>
      </c>
      <c r="M244" s="3">
        <v>1200000</v>
      </c>
      <c r="N244" s="3">
        <v>18</v>
      </c>
      <c r="O244" s="3" t="b">
        <v>0</v>
      </c>
      <c r="P244" s="3" t="b">
        <v>0</v>
      </c>
      <c r="Q244" s="3">
        <v>66180.821917808105</v>
      </c>
      <c r="R244" s="3">
        <v>185819.17808219179</v>
      </c>
      <c r="S244" s="3">
        <v>251999.99999999991</v>
      </c>
      <c r="T244" s="5">
        <f>IF(J244&lt;&gt;"",M244*N244/365/100*('Cashflow Projection'!$B$2-Investors!J244),0)</f>
        <v>42608.219178082189</v>
      </c>
    </row>
    <row r="245" spans="1:20" x14ac:dyDescent="0.2">
      <c r="A245" s="3" t="s">
        <v>505</v>
      </c>
      <c r="B245" s="3" t="s">
        <v>506</v>
      </c>
      <c r="C245" s="3" t="s">
        <v>507</v>
      </c>
      <c r="D245" s="3" t="s">
        <v>386</v>
      </c>
      <c r="E245" s="3" t="s">
        <v>580</v>
      </c>
      <c r="F245" s="3" t="b">
        <v>0</v>
      </c>
      <c r="G245" s="3" t="b">
        <v>0</v>
      </c>
      <c r="H245" s="3" t="s">
        <v>569</v>
      </c>
      <c r="I245" s="4">
        <v>45328</v>
      </c>
      <c r="J245" s="4">
        <v>45408</v>
      </c>
      <c r="K245" s="4">
        <v>45685</v>
      </c>
      <c r="L245" s="3">
        <v>13</v>
      </c>
      <c r="M245" s="3">
        <v>725979.77</v>
      </c>
      <c r="N245" s="3">
        <v>18</v>
      </c>
      <c r="O245" s="3" t="b">
        <v>0</v>
      </c>
      <c r="P245" s="3" t="b">
        <v>0</v>
      </c>
      <c r="Q245" s="3">
        <v>17503.07390684932</v>
      </c>
      <c r="R245" s="3">
        <v>99170.825567671214</v>
      </c>
      <c r="S245" s="3">
        <v>116673.8994745205</v>
      </c>
      <c r="T245" s="5">
        <f>IF(J245&lt;&gt;"",M245*N245/365/100*('Cashflow Projection'!$B$2-Investors!J245),0)</f>
        <v>12530.609728767122</v>
      </c>
    </row>
    <row r="246" spans="1:20" x14ac:dyDescent="0.2">
      <c r="A246" s="3" t="s">
        <v>581</v>
      </c>
      <c r="B246" s="3" t="s">
        <v>582</v>
      </c>
      <c r="C246" s="3" t="s">
        <v>583</v>
      </c>
      <c r="D246" s="3" t="s">
        <v>386</v>
      </c>
      <c r="E246" s="3" t="s">
        <v>580</v>
      </c>
      <c r="F246" s="3" t="b">
        <v>0</v>
      </c>
      <c r="G246" s="3" t="b">
        <v>0</v>
      </c>
      <c r="H246" s="3" t="s">
        <v>569</v>
      </c>
      <c r="I246" s="4">
        <v>45195</v>
      </c>
      <c r="J246" s="4">
        <v>45350</v>
      </c>
      <c r="K246" s="4">
        <v>45685</v>
      </c>
      <c r="L246" s="3">
        <v>2</v>
      </c>
      <c r="M246" s="3">
        <v>500000</v>
      </c>
      <c r="N246" s="3">
        <v>16</v>
      </c>
      <c r="O246" s="3" t="b">
        <v>0</v>
      </c>
      <c r="P246" s="3" t="b">
        <v>0</v>
      </c>
      <c r="Q246" s="3">
        <v>23356.164383561641</v>
      </c>
      <c r="R246" s="3">
        <v>73424.65753424658</v>
      </c>
      <c r="S246" s="3">
        <v>96780.821917808222</v>
      </c>
      <c r="T246" s="5">
        <f>IF(J246&lt;&gt;"",M246*N246/365/100*('Cashflow Projection'!$B$2-Investors!J246),0)</f>
        <v>20383.561643835616</v>
      </c>
    </row>
    <row r="247" spans="1:20" x14ac:dyDescent="0.2">
      <c r="A247" s="3" t="s">
        <v>576</v>
      </c>
      <c r="B247" s="3" t="s">
        <v>577</v>
      </c>
      <c r="C247" s="3" t="s">
        <v>578</v>
      </c>
      <c r="D247" s="3" t="s">
        <v>386</v>
      </c>
      <c r="E247" s="3" t="s">
        <v>584</v>
      </c>
      <c r="F247" s="3" t="b">
        <v>0</v>
      </c>
      <c r="G247" s="3" t="b">
        <v>0</v>
      </c>
      <c r="H247" s="3" t="s">
        <v>569</v>
      </c>
      <c r="I247" s="4">
        <v>45188</v>
      </c>
      <c r="J247" s="4">
        <v>45371</v>
      </c>
      <c r="K247" s="4">
        <v>45685</v>
      </c>
      <c r="L247" s="3">
        <v>7</v>
      </c>
      <c r="M247" s="3">
        <v>1200000</v>
      </c>
      <c r="N247" s="3">
        <v>18</v>
      </c>
      <c r="O247" s="3" t="b">
        <v>0</v>
      </c>
      <c r="P247" s="3" t="b">
        <v>0</v>
      </c>
      <c r="Q247" s="3">
        <v>66180.821917808105</v>
      </c>
      <c r="R247" s="3">
        <v>185819.17808219179</v>
      </c>
      <c r="S247" s="3">
        <v>251999.99999999991</v>
      </c>
      <c r="T247" s="5">
        <f>IF(J247&lt;&gt;"",M247*N247/365/100*('Cashflow Projection'!$B$2-Investors!J247),0)</f>
        <v>42608.219178082189</v>
      </c>
    </row>
    <row r="248" spans="1:20" x14ac:dyDescent="0.2">
      <c r="A248" s="3" t="s">
        <v>585</v>
      </c>
      <c r="B248" s="3" t="s">
        <v>586</v>
      </c>
      <c r="C248" s="3" t="s">
        <v>587</v>
      </c>
      <c r="D248" s="3" t="s">
        <v>386</v>
      </c>
      <c r="E248" s="3" t="s">
        <v>588</v>
      </c>
      <c r="F248" s="3" t="b">
        <v>0</v>
      </c>
      <c r="G248" s="3" t="b">
        <v>0</v>
      </c>
      <c r="H248" s="3" t="s">
        <v>569</v>
      </c>
      <c r="I248" s="4">
        <v>45195</v>
      </c>
      <c r="J248" s="4">
        <v>45321</v>
      </c>
      <c r="K248" s="4">
        <v>45685</v>
      </c>
      <c r="L248" s="3">
        <v>1</v>
      </c>
      <c r="M248" s="3">
        <v>1200000</v>
      </c>
      <c r="N248" s="3">
        <v>18</v>
      </c>
      <c r="O248" s="3" t="b">
        <v>0</v>
      </c>
      <c r="P248" s="3" t="b">
        <v>0</v>
      </c>
      <c r="Q248" s="3">
        <v>45567.123287671217</v>
      </c>
      <c r="R248" s="3">
        <v>215408.21917808219</v>
      </c>
      <c r="S248" s="3">
        <v>260975.34246575341</v>
      </c>
      <c r="T248" s="5">
        <f>IF(J248&lt;&gt;"",M248*N248/365/100*('Cashflow Projection'!$B$2-Investors!J248),0)</f>
        <v>72197.260273972599</v>
      </c>
    </row>
    <row r="249" spans="1:20" x14ac:dyDescent="0.2">
      <c r="A249" s="3" t="s">
        <v>576</v>
      </c>
      <c r="B249" s="3" t="s">
        <v>577</v>
      </c>
      <c r="C249" s="3" t="s">
        <v>578</v>
      </c>
      <c r="D249" s="3" t="s">
        <v>386</v>
      </c>
      <c r="E249" s="3" t="s">
        <v>589</v>
      </c>
      <c r="F249" s="3" t="b">
        <v>0</v>
      </c>
      <c r="G249" s="3" t="b">
        <v>0</v>
      </c>
      <c r="H249" s="3" t="s">
        <v>569</v>
      </c>
      <c r="I249" s="4">
        <v>45188</v>
      </c>
      <c r="J249" s="4">
        <v>45371</v>
      </c>
      <c r="K249" s="4">
        <v>45685</v>
      </c>
      <c r="L249" s="3">
        <v>8</v>
      </c>
      <c r="M249" s="3">
        <v>1200000</v>
      </c>
      <c r="N249" s="3">
        <v>18</v>
      </c>
      <c r="O249" s="3" t="b">
        <v>0</v>
      </c>
      <c r="P249" s="3" t="b">
        <v>0</v>
      </c>
      <c r="Q249" s="3">
        <v>66180.821917808105</v>
      </c>
      <c r="R249" s="3">
        <v>185819.17808219179</v>
      </c>
      <c r="S249" s="3">
        <v>251999.99999999991</v>
      </c>
      <c r="T249" s="5">
        <f>IF(J249&lt;&gt;"",M249*N249/365/100*('Cashflow Projection'!$B$2-Investors!J249),0)</f>
        <v>42608.219178082189</v>
      </c>
    </row>
    <row r="250" spans="1:20" x14ac:dyDescent="0.2">
      <c r="A250" s="3" t="s">
        <v>576</v>
      </c>
      <c r="B250" s="3" t="s">
        <v>577</v>
      </c>
      <c r="C250" s="3" t="s">
        <v>578</v>
      </c>
      <c r="D250" s="3" t="s">
        <v>386</v>
      </c>
      <c r="E250" s="3" t="s">
        <v>590</v>
      </c>
      <c r="F250" s="3" t="b">
        <v>0</v>
      </c>
      <c r="G250" s="3" t="b">
        <v>0</v>
      </c>
      <c r="H250" s="3" t="s">
        <v>569</v>
      </c>
      <c r="I250" s="4">
        <v>45188</v>
      </c>
      <c r="J250" s="4">
        <v>45350</v>
      </c>
      <c r="K250" s="4">
        <v>45685</v>
      </c>
      <c r="L250" s="3">
        <v>9</v>
      </c>
      <c r="M250" s="3">
        <v>1200000</v>
      </c>
      <c r="N250" s="3">
        <v>18</v>
      </c>
      <c r="O250" s="3" t="b">
        <v>0</v>
      </c>
      <c r="P250" s="3" t="b">
        <v>0</v>
      </c>
      <c r="Q250" s="3">
        <v>58586.301369862929</v>
      </c>
      <c r="R250" s="3">
        <v>198246.57534246569</v>
      </c>
      <c r="S250" s="3">
        <v>256832.8767123287</v>
      </c>
      <c r="T250" s="5">
        <f>IF(J250&lt;&gt;"",M250*N250/365/100*('Cashflow Projection'!$B$2-Investors!J250),0)</f>
        <v>55035.616438356163</v>
      </c>
    </row>
    <row r="251" spans="1:20" x14ac:dyDescent="0.2">
      <c r="A251" s="3" t="s">
        <v>585</v>
      </c>
      <c r="B251" s="3" t="s">
        <v>586</v>
      </c>
      <c r="C251" s="3" t="s">
        <v>587</v>
      </c>
      <c r="D251" s="3" t="s">
        <v>386</v>
      </c>
      <c r="E251" s="3" t="s">
        <v>591</v>
      </c>
      <c r="F251" s="3" t="b">
        <v>0</v>
      </c>
      <c r="G251" s="3" t="b">
        <v>0</v>
      </c>
      <c r="H251" s="3" t="s">
        <v>569</v>
      </c>
      <c r="I251" s="4">
        <v>45195</v>
      </c>
      <c r="J251" s="4">
        <v>45321</v>
      </c>
      <c r="K251" s="4">
        <v>45685</v>
      </c>
      <c r="L251" s="3">
        <v>2</v>
      </c>
      <c r="M251" s="3">
        <v>1200000</v>
      </c>
      <c r="N251" s="3">
        <v>18</v>
      </c>
      <c r="O251" s="3" t="b">
        <v>0</v>
      </c>
      <c r="P251" s="3" t="b">
        <v>0</v>
      </c>
      <c r="Q251" s="3">
        <v>45567.123287671217</v>
      </c>
      <c r="R251" s="3">
        <v>215408.21917808219</v>
      </c>
      <c r="S251" s="3">
        <v>260975.34246575341</v>
      </c>
      <c r="T251" s="5">
        <f>IF(J251&lt;&gt;"",M251*N251/365/100*('Cashflow Projection'!$B$2-Investors!J251),0)</f>
        <v>72197.260273972599</v>
      </c>
    </row>
    <row r="252" spans="1:20" x14ac:dyDescent="0.2">
      <c r="A252" s="3" t="s">
        <v>52</v>
      </c>
      <c r="B252" s="3" t="s">
        <v>53</v>
      </c>
      <c r="C252" s="3" t="s">
        <v>54</v>
      </c>
      <c r="D252" s="3" t="s">
        <v>386</v>
      </c>
      <c r="E252" s="3" t="s">
        <v>592</v>
      </c>
      <c r="F252" s="3" t="b">
        <v>0</v>
      </c>
      <c r="G252" s="3" t="b">
        <v>0</v>
      </c>
      <c r="H252" s="3" t="s">
        <v>569</v>
      </c>
      <c r="I252" s="4">
        <v>45198</v>
      </c>
      <c r="J252" s="4">
        <v>45224</v>
      </c>
      <c r="K252" s="4">
        <v>45685</v>
      </c>
      <c r="L252" s="3">
        <v>17</v>
      </c>
      <c r="M252" s="3">
        <v>110000</v>
      </c>
      <c r="N252" s="3">
        <v>18</v>
      </c>
      <c r="O252" s="3" t="b">
        <v>0</v>
      </c>
      <c r="P252" s="3" t="b">
        <v>0</v>
      </c>
      <c r="Q252" s="3">
        <v>861.91780821917791</v>
      </c>
      <c r="R252" s="3">
        <v>25007.67123287671</v>
      </c>
      <c r="S252" s="3">
        <v>25869.589041095889</v>
      </c>
      <c r="T252" s="5">
        <f>IF(J252&lt;&gt;"",M252*N252/365/100*('Cashflow Projection'!$B$2-Investors!J252),0)</f>
        <v>11880.000000000002</v>
      </c>
    </row>
    <row r="253" spans="1:20" x14ac:dyDescent="0.2">
      <c r="A253" s="3" t="s">
        <v>566</v>
      </c>
      <c r="B253" s="3" t="s">
        <v>567</v>
      </c>
      <c r="C253" s="3" t="s">
        <v>315</v>
      </c>
      <c r="D253" s="3" t="s">
        <v>386</v>
      </c>
      <c r="E253" s="3" t="s">
        <v>592</v>
      </c>
      <c r="F253" s="3" t="b">
        <v>0</v>
      </c>
      <c r="G253" s="3" t="b">
        <v>0</v>
      </c>
      <c r="H253" s="3" t="s">
        <v>569</v>
      </c>
      <c r="I253" s="4">
        <v>45448</v>
      </c>
      <c r="J253" s="3"/>
      <c r="K253" s="4">
        <v>45685</v>
      </c>
      <c r="L253" s="3">
        <v>2</v>
      </c>
      <c r="M253" s="3">
        <v>400000</v>
      </c>
      <c r="N253" s="3">
        <v>18</v>
      </c>
      <c r="O253" s="3" t="b">
        <v>0</v>
      </c>
      <c r="P253" s="3" t="b">
        <v>0</v>
      </c>
      <c r="Q253" s="3">
        <v>3616.4383561643858</v>
      </c>
      <c r="R253" s="3">
        <v>40832.876712328769</v>
      </c>
      <c r="S253" s="3">
        <v>44449.315068493153</v>
      </c>
      <c r="T253" s="5">
        <f>IF(J253&lt;&gt;"",M253*N253/365/100*('Cashflow Projection'!$B$2-Investors!J253),0)</f>
        <v>0</v>
      </c>
    </row>
    <row r="254" spans="1:20" x14ac:dyDescent="0.2">
      <c r="A254" s="3" t="s">
        <v>585</v>
      </c>
      <c r="B254" s="3" t="s">
        <v>586</v>
      </c>
      <c r="C254" s="3" t="s">
        <v>587</v>
      </c>
      <c r="D254" s="3" t="s">
        <v>386</v>
      </c>
      <c r="E254" s="3" t="s">
        <v>592</v>
      </c>
      <c r="F254" s="3" t="b">
        <v>0</v>
      </c>
      <c r="G254" s="3" t="b">
        <v>0</v>
      </c>
      <c r="H254" s="3" t="s">
        <v>569</v>
      </c>
      <c r="I254" s="4">
        <v>45195</v>
      </c>
      <c r="J254" s="4">
        <v>45321</v>
      </c>
      <c r="K254" s="4">
        <v>45685</v>
      </c>
      <c r="L254" s="3">
        <v>3</v>
      </c>
      <c r="M254" s="3">
        <v>600000</v>
      </c>
      <c r="N254" s="3">
        <v>18</v>
      </c>
      <c r="O254" s="3" t="b">
        <v>0</v>
      </c>
      <c r="P254" s="3" t="b">
        <v>0</v>
      </c>
      <c r="Q254" s="3">
        <v>22783.561643835608</v>
      </c>
      <c r="R254" s="3">
        <v>107704.10958904109</v>
      </c>
      <c r="S254" s="3">
        <v>130487.6712328767</v>
      </c>
      <c r="T254" s="5">
        <f>IF(J254&lt;&gt;"",M254*N254/365/100*('Cashflow Projection'!$B$2-Investors!J254),0)</f>
        <v>36098.630136986299</v>
      </c>
    </row>
    <row r="255" spans="1:20" x14ac:dyDescent="0.2">
      <c r="A255" s="3" t="s">
        <v>593</v>
      </c>
      <c r="B255" s="3" t="s">
        <v>594</v>
      </c>
      <c r="C255" s="3" t="s">
        <v>595</v>
      </c>
      <c r="D255" s="3" t="s">
        <v>386</v>
      </c>
      <c r="E255" s="3" t="s">
        <v>592</v>
      </c>
      <c r="F255" s="3" t="b">
        <v>0</v>
      </c>
      <c r="G255" s="3" t="b">
        <v>0</v>
      </c>
      <c r="H255" s="3" t="s">
        <v>569</v>
      </c>
      <c r="I255" s="4">
        <v>45433</v>
      </c>
      <c r="J255" s="4">
        <v>45443</v>
      </c>
      <c r="K255" s="4">
        <v>45685</v>
      </c>
      <c r="L255" s="3">
        <v>1</v>
      </c>
      <c r="M255" s="3">
        <v>100000</v>
      </c>
      <c r="N255" s="3">
        <v>14</v>
      </c>
      <c r="O255" s="3" t="b">
        <v>0</v>
      </c>
      <c r="P255" s="3" t="b">
        <v>0</v>
      </c>
      <c r="Q255" s="3">
        <v>301.36986301369859</v>
      </c>
      <c r="R255" s="3">
        <v>9282.1917808219168</v>
      </c>
      <c r="S255" s="3">
        <v>9583.5616438356155</v>
      </c>
      <c r="T255" s="5">
        <f>IF(J255&lt;&gt;"",M255*N255/365/100*('Cashflow Projection'!$B$2-Investors!J255),0)</f>
        <v>0</v>
      </c>
    </row>
    <row r="256" spans="1:20" x14ac:dyDescent="0.2">
      <c r="A256" s="3" t="s">
        <v>576</v>
      </c>
      <c r="B256" s="3" t="s">
        <v>577</v>
      </c>
      <c r="C256" s="3" t="s">
        <v>578</v>
      </c>
      <c r="D256" s="3" t="s">
        <v>386</v>
      </c>
      <c r="E256" s="3" t="s">
        <v>596</v>
      </c>
      <c r="F256" s="3" t="b">
        <v>0</v>
      </c>
      <c r="G256" s="3" t="b">
        <v>0</v>
      </c>
      <c r="H256" s="3" t="s">
        <v>569</v>
      </c>
      <c r="I256" s="4">
        <v>45188</v>
      </c>
      <c r="J256" s="4">
        <v>45350</v>
      </c>
      <c r="K256" s="4">
        <v>45685</v>
      </c>
      <c r="L256" s="3">
        <v>10</v>
      </c>
      <c r="M256" s="3">
        <v>1200000</v>
      </c>
      <c r="N256" s="3">
        <v>18</v>
      </c>
      <c r="O256" s="3" t="b">
        <v>0</v>
      </c>
      <c r="P256" s="3" t="b">
        <v>0</v>
      </c>
      <c r="Q256" s="3">
        <v>58586.301369862929</v>
      </c>
      <c r="R256" s="3">
        <v>198246.57534246569</v>
      </c>
      <c r="S256" s="3">
        <v>256832.8767123287</v>
      </c>
      <c r="T256" s="5">
        <f>IF(J256&lt;&gt;"",M256*N256/365/100*('Cashflow Projection'!$B$2-Investors!J256),0)</f>
        <v>55035.616438356163</v>
      </c>
    </row>
    <row r="257" spans="1:20" x14ac:dyDescent="0.2">
      <c r="A257" s="3" t="s">
        <v>515</v>
      </c>
      <c r="B257" s="3" t="s">
        <v>516</v>
      </c>
      <c r="C257" s="3" t="s">
        <v>517</v>
      </c>
      <c r="D257" s="3" t="s">
        <v>386</v>
      </c>
      <c r="E257" s="3" t="s">
        <v>597</v>
      </c>
      <c r="F257" s="3" t="b">
        <v>0</v>
      </c>
      <c r="G257" s="3" t="b">
        <v>0</v>
      </c>
      <c r="H257" s="3" t="s">
        <v>598</v>
      </c>
      <c r="I257" s="4">
        <v>45279</v>
      </c>
      <c r="J257" s="4">
        <v>45371</v>
      </c>
      <c r="K257" s="4">
        <v>45588</v>
      </c>
      <c r="L257" s="3">
        <v>2</v>
      </c>
      <c r="M257" s="3">
        <v>167914.73</v>
      </c>
      <c r="N257" s="3">
        <v>14</v>
      </c>
      <c r="O257" s="3" t="b">
        <v>0</v>
      </c>
      <c r="P257" s="3" t="b">
        <v>0</v>
      </c>
      <c r="Q257" s="3">
        <v>4655.6084043835563</v>
      </c>
      <c r="R257" s="3">
        <v>13976.02602027397</v>
      </c>
      <c r="S257" s="3">
        <v>18631.634424657532</v>
      </c>
      <c r="T257" s="5">
        <f>IF(J257&lt;&gt;"",M257*N257/365/100*('Cashflow Projection'!$B$2-Investors!J257),0)</f>
        <v>4637.2067901369865</v>
      </c>
    </row>
    <row r="258" spans="1:20" x14ac:dyDescent="0.2">
      <c r="A258" s="3" t="s">
        <v>403</v>
      </c>
      <c r="B258" s="3" t="s">
        <v>160</v>
      </c>
      <c r="C258" s="3" t="s">
        <v>161</v>
      </c>
      <c r="D258" s="3" t="s">
        <v>386</v>
      </c>
      <c r="E258" s="3" t="s">
        <v>597</v>
      </c>
      <c r="F258" s="3" t="b">
        <v>0</v>
      </c>
      <c r="G258" s="3" t="b">
        <v>0</v>
      </c>
      <c r="H258" s="3" t="s">
        <v>598</v>
      </c>
      <c r="I258" s="4">
        <v>45371</v>
      </c>
      <c r="J258" s="4">
        <v>45443</v>
      </c>
      <c r="K258" s="4">
        <v>45588</v>
      </c>
      <c r="L258" s="3">
        <v>12</v>
      </c>
      <c r="M258" s="3">
        <v>100000</v>
      </c>
      <c r="N258" s="3">
        <v>18</v>
      </c>
      <c r="O258" s="3" t="b">
        <v>0</v>
      </c>
      <c r="P258" s="3" t="b">
        <v>0</v>
      </c>
      <c r="Q258" s="3">
        <v>2169.8630136986321</v>
      </c>
      <c r="R258" s="3">
        <v>7150.6849315068494</v>
      </c>
      <c r="S258" s="3">
        <v>9320.5479452054824</v>
      </c>
      <c r="T258" s="5">
        <f>IF(J258&lt;&gt;"",M258*N258/365/100*('Cashflow Projection'!$B$2-Investors!J258),0)</f>
        <v>0</v>
      </c>
    </row>
    <row r="259" spans="1:20" x14ac:dyDescent="0.2">
      <c r="A259" s="3" t="s">
        <v>498</v>
      </c>
      <c r="B259" s="3" t="s">
        <v>499</v>
      </c>
      <c r="C259" s="3" t="s">
        <v>500</v>
      </c>
      <c r="D259" s="3" t="s">
        <v>386</v>
      </c>
      <c r="E259" s="3" t="s">
        <v>597</v>
      </c>
      <c r="F259" s="3" t="b">
        <v>0</v>
      </c>
      <c r="G259" s="3" t="b">
        <v>0</v>
      </c>
      <c r="H259" s="3" t="s">
        <v>598</v>
      </c>
      <c r="I259" s="4">
        <v>45279</v>
      </c>
      <c r="J259" s="4">
        <v>45371</v>
      </c>
      <c r="K259" s="4">
        <v>45588</v>
      </c>
      <c r="L259" s="3">
        <v>14</v>
      </c>
      <c r="M259" s="3">
        <v>920898.91</v>
      </c>
      <c r="N259" s="3">
        <v>18</v>
      </c>
      <c r="O259" s="3" t="b">
        <v>0</v>
      </c>
      <c r="P259" s="3" t="b">
        <v>0</v>
      </c>
      <c r="Q259" s="3">
        <v>25532.868408767081</v>
      </c>
      <c r="R259" s="3">
        <v>98548.798423561631</v>
      </c>
      <c r="S259" s="3">
        <v>124081.6668323287</v>
      </c>
      <c r="T259" s="5">
        <f>IF(J259&lt;&gt;"",M259*N259/365/100*('Cashflow Projection'!$B$2-Investors!J259),0)</f>
        <v>32698.218831780821</v>
      </c>
    </row>
    <row r="260" spans="1:20" x14ac:dyDescent="0.2">
      <c r="A260" s="3" t="s">
        <v>520</v>
      </c>
      <c r="B260" s="3" t="s">
        <v>521</v>
      </c>
      <c r="C260" s="3" t="s">
        <v>522</v>
      </c>
      <c r="D260" s="3" t="s">
        <v>386</v>
      </c>
      <c r="E260" s="3" t="s">
        <v>599</v>
      </c>
      <c r="F260" s="3" t="b">
        <v>0</v>
      </c>
      <c r="G260" s="3" t="b">
        <v>0</v>
      </c>
      <c r="H260" s="3" t="s">
        <v>598</v>
      </c>
      <c r="I260" s="4">
        <v>45279</v>
      </c>
      <c r="J260" s="4">
        <v>45371</v>
      </c>
      <c r="K260" s="4">
        <v>45588</v>
      </c>
      <c r="L260" s="3">
        <v>5</v>
      </c>
      <c r="M260" s="3">
        <v>780885.27</v>
      </c>
      <c r="N260" s="3">
        <v>16</v>
      </c>
      <c r="O260" s="3" t="b">
        <v>0</v>
      </c>
      <c r="P260" s="3" t="b">
        <v>0</v>
      </c>
      <c r="Q260" s="3">
        <v>21650.846390137009</v>
      </c>
      <c r="R260" s="3">
        <v>74280.374176438359</v>
      </c>
      <c r="S260" s="3">
        <v>95931.220566575372</v>
      </c>
      <c r="T260" s="5">
        <f>IF(J260&lt;&gt;"",M260*N260/365/100*('Cashflow Projection'!$B$2-Investors!J260),0)</f>
        <v>24646.022768219176</v>
      </c>
    </row>
    <row r="261" spans="1:20" x14ac:dyDescent="0.2">
      <c r="A261" s="3" t="s">
        <v>600</v>
      </c>
      <c r="B261" s="3" t="s">
        <v>601</v>
      </c>
      <c r="C261" s="3" t="s">
        <v>602</v>
      </c>
      <c r="D261" s="3" t="s">
        <v>386</v>
      </c>
      <c r="E261" s="3" t="s">
        <v>599</v>
      </c>
      <c r="F261" s="3" t="b">
        <v>0</v>
      </c>
      <c r="G261" s="3" t="b">
        <v>0</v>
      </c>
      <c r="H261" s="3" t="s">
        <v>598</v>
      </c>
      <c r="I261" s="4">
        <v>45421</v>
      </c>
      <c r="J261" s="4">
        <v>45443</v>
      </c>
      <c r="K261" s="4">
        <v>45588</v>
      </c>
      <c r="L261" s="3">
        <v>1</v>
      </c>
      <c r="M261" s="3">
        <v>200000</v>
      </c>
      <c r="N261" s="3">
        <v>14</v>
      </c>
      <c r="O261" s="3" t="b">
        <v>0</v>
      </c>
      <c r="P261" s="3" t="b">
        <v>0</v>
      </c>
      <c r="Q261" s="3">
        <v>1326.027397260274</v>
      </c>
      <c r="R261" s="3">
        <v>11123.28767123288</v>
      </c>
      <c r="S261" s="3">
        <v>12449.31506849315</v>
      </c>
      <c r="T261" s="5">
        <f>IF(J261&lt;&gt;"",M261*N261/365/100*('Cashflow Projection'!$B$2-Investors!J261),0)</f>
        <v>0</v>
      </c>
    </row>
    <row r="262" spans="1:20" x14ac:dyDescent="0.2">
      <c r="A262" s="3" t="s">
        <v>403</v>
      </c>
      <c r="B262" s="3" t="s">
        <v>160</v>
      </c>
      <c r="C262" s="3" t="s">
        <v>161</v>
      </c>
      <c r="D262" s="3" t="s">
        <v>386</v>
      </c>
      <c r="E262" s="3" t="s">
        <v>599</v>
      </c>
      <c r="F262" s="3" t="b">
        <v>0</v>
      </c>
      <c r="G262" s="3" t="b">
        <v>0</v>
      </c>
      <c r="H262" s="3" t="s">
        <v>598</v>
      </c>
      <c r="I262" s="4">
        <v>45314</v>
      </c>
      <c r="J262" s="4">
        <v>45371</v>
      </c>
      <c r="K262" s="4">
        <v>45588</v>
      </c>
      <c r="L262" s="3">
        <v>10</v>
      </c>
      <c r="M262" s="3">
        <v>243123.29</v>
      </c>
      <c r="N262" s="3">
        <v>18</v>
      </c>
      <c r="O262" s="3" t="b">
        <v>0</v>
      </c>
      <c r="P262" s="3" t="b">
        <v>0</v>
      </c>
      <c r="Q262" s="3">
        <v>4176.3918583561663</v>
      </c>
      <c r="R262" s="3">
        <v>26017.522486027399</v>
      </c>
      <c r="S262" s="3">
        <v>30193.91434438356</v>
      </c>
      <c r="T262" s="5">
        <f>IF(J262&lt;&gt;"",M262*N262/365/100*('Cashflow Projection'!$B$2-Investors!J262),0)</f>
        <v>8632.5420230136988</v>
      </c>
    </row>
    <row r="263" spans="1:20" x14ac:dyDescent="0.2">
      <c r="A263" s="3" t="s">
        <v>559</v>
      </c>
      <c r="B263" s="3" t="s">
        <v>560</v>
      </c>
      <c r="C263" s="3" t="s">
        <v>561</v>
      </c>
      <c r="D263" s="3" t="s">
        <v>386</v>
      </c>
      <c r="E263" s="3" t="s">
        <v>603</v>
      </c>
      <c r="F263" s="3" t="b">
        <v>0</v>
      </c>
      <c r="G263" s="3" t="b">
        <v>0</v>
      </c>
      <c r="H263" s="3" t="s">
        <v>598</v>
      </c>
      <c r="I263" s="4">
        <v>45387</v>
      </c>
      <c r="J263" s="4">
        <v>45443</v>
      </c>
      <c r="K263" s="4">
        <v>45588</v>
      </c>
      <c r="L263" s="3">
        <v>3</v>
      </c>
      <c r="M263" s="3">
        <v>296340</v>
      </c>
      <c r="N263" s="3">
        <v>16</v>
      </c>
      <c r="O263" s="3" t="b">
        <v>0</v>
      </c>
      <c r="P263" s="3" t="b">
        <v>0</v>
      </c>
      <c r="Q263" s="3">
        <v>5001.2449315068534</v>
      </c>
      <c r="R263" s="3">
        <v>18835.85753424657</v>
      </c>
      <c r="S263" s="3">
        <v>23837.102465753429</v>
      </c>
      <c r="T263" s="5">
        <f>IF(J263&lt;&gt;"",M263*N263/365/100*('Cashflow Projection'!$B$2-Investors!J263),0)</f>
        <v>0</v>
      </c>
    </row>
    <row r="264" spans="1:20" x14ac:dyDescent="0.2">
      <c r="A264" s="3" t="s">
        <v>498</v>
      </c>
      <c r="B264" s="3" t="s">
        <v>499</v>
      </c>
      <c r="C264" s="3" t="s">
        <v>500</v>
      </c>
      <c r="D264" s="3" t="s">
        <v>386</v>
      </c>
      <c r="E264" s="3" t="s">
        <v>603</v>
      </c>
      <c r="F264" s="3" t="b">
        <v>0</v>
      </c>
      <c r="G264" s="3" t="b">
        <v>0</v>
      </c>
      <c r="H264" s="3" t="s">
        <v>598</v>
      </c>
      <c r="I264" s="4">
        <v>45279</v>
      </c>
      <c r="J264" s="4">
        <v>45408</v>
      </c>
      <c r="K264" s="4">
        <v>45588</v>
      </c>
      <c r="L264" s="3">
        <v>15</v>
      </c>
      <c r="M264" s="3">
        <v>889121.53</v>
      </c>
      <c r="N264" s="3">
        <v>18</v>
      </c>
      <c r="O264" s="3" t="b">
        <v>0</v>
      </c>
      <c r="P264" s="3" t="b">
        <v>0</v>
      </c>
      <c r="Q264" s="3">
        <v>34566.121947123247</v>
      </c>
      <c r="R264" s="3">
        <v>78924.760471232876</v>
      </c>
      <c r="S264" s="3">
        <v>113490.88241835609</v>
      </c>
      <c r="T264" s="5">
        <f>IF(J264&lt;&gt;"",M264*N264/365/100*('Cashflow Projection'!$B$2-Investors!J264),0)</f>
        <v>15346.481202739727</v>
      </c>
    </row>
    <row r="265" spans="1:20" x14ac:dyDescent="0.2">
      <c r="A265" s="3" t="s">
        <v>416</v>
      </c>
      <c r="B265" s="3" t="s">
        <v>417</v>
      </c>
      <c r="C265" s="3" t="s">
        <v>418</v>
      </c>
      <c r="D265" s="3" t="s">
        <v>386</v>
      </c>
      <c r="E265" s="3" t="s">
        <v>604</v>
      </c>
      <c r="F265" s="3" t="b">
        <v>0</v>
      </c>
      <c r="G265" s="3" t="b">
        <v>0</v>
      </c>
      <c r="H265" s="3" t="s">
        <v>598</v>
      </c>
      <c r="I265" s="4">
        <v>45177</v>
      </c>
      <c r="J265" s="4">
        <v>45280</v>
      </c>
      <c r="K265" s="4">
        <v>45588</v>
      </c>
      <c r="L265" s="3">
        <v>4</v>
      </c>
      <c r="M265" s="3">
        <v>560000</v>
      </c>
      <c r="N265" s="3">
        <v>18</v>
      </c>
      <c r="O265" s="3" t="b">
        <v>0</v>
      </c>
      <c r="P265" s="3" t="b">
        <v>0</v>
      </c>
      <c r="Q265" s="3">
        <v>17383.013698630119</v>
      </c>
      <c r="R265" s="3">
        <v>85058.630136986307</v>
      </c>
      <c r="S265" s="3">
        <v>102441.6438356164</v>
      </c>
      <c r="T265" s="5">
        <f>IF(J265&lt;&gt;"",M265*N265/365/100*('Cashflow Projection'!$B$2-Investors!J265),0)</f>
        <v>45014.794520547941</v>
      </c>
    </row>
    <row r="266" spans="1:20" x14ac:dyDescent="0.2">
      <c r="A266" s="3" t="s">
        <v>419</v>
      </c>
      <c r="B266" s="3" t="s">
        <v>420</v>
      </c>
      <c r="C266" s="3" t="s">
        <v>421</v>
      </c>
      <c r="D266" s="3" t="s">
        <v>386</v>
      </c>
      <c r="E266" s="3" t="s">
        <v>604</v>
      </c>
      <c r="F266" s="3" t="b">
        <v>0</v>
      </c>
      <c r="G266" s="3" t="b">
        <v>0</v>
      </c>
      <c r="H266" s="3" t="s">
        <v>598</v>
      </c>
      <c r="I266" s="4">
        <v>45175</v>
      </c>
      <c r="J266" s="4">
        <v>45224</v>
      </c>
      <c r="K266" s="4">
        <v>45588</v>
      </c>
      <c r="L266" s="3">
        <v>16</v>
      </c>
      <c r="M266" s="3">
        <v>343865.75</v>
      </c>
      <c r="N266" s="3">
        <v>18</v>
      </c>
      <c r="O266" s="3" t="b">
        <v>0</v>
      </c>
      <c r="P266" s="3" t="b">
        <v>0</v>
      </c>
      <c r="Q266" s="3">
        <v>5077.9079246575302</v>
      </c>
      <c r="R266" s="3">
        <v>61726.257369863008</v>
      </c>
      <c r="S266" s="3">
        <v>66804.165294520542</v>
      </c>
      <c r="T266" s="5">
        <f>IF(J266&lt;&gt;"",M266*N266/365/100*('Cashflow Projection'!$B$2-Investors!J266),0)</f>
        <v>37137.500999999997</v>
      </c>
    </row>
    <row r="267" spans="1:20" x14ac:dyDescent="0.2">
      <c r="A267" s="3" t="s">
        <v>605</v>
      </c>
      <c r="B267" s="3" t="s">
        <v>606</v>
      </c>
      <c r="C267" s="3" t="s">
        <v>607</v>
      </c>
      <c r="D267" s="3" t="s">
        <v>386</v>
      </c>
      <c r="E267" s="3" t="s">
        <v>604</v>
      </c>
      <c r="F267" s="3" t="b">
        <v>0</v>
      </c>
      <c r="G267" s="3" t="b">
        <v>0</v>
      </c>
      <c r="H267" s="3" t="s">
        <v>598</v>
      </c>
      <c r="I267" s="4">
        <v>45432</v>
      </c>
      <c r="J267" s="4">
        <v>45443</v>
      </c>
      <c r="K267" s="4">
        <v>45588</v>
      </c>
      <c r="L267" s="3">
        <v>1</v>
      </c>
      <c r="M267" s="3">
        <v>200000</v>
      </c>
      <c r="N267" s="3">
        <v>14</v>
      </c>
      <c r="O267" s="3" t="b">
        <v>0</v>
      </c>
      <c r="P267" s="3" t="b">
        <v>0</v>
      </c>
      <c r="Q267" s="3">
        <v>663.01369863013701</v>
      </c>
      <c r="R267" s="3">
        <v>11123.28767123288</v>
      </c>
      <c r="S267" s="3">
        <v>11786.301369863009</v>
      </c>
      <c r="T267" s="5">
        <f>IF(J267&lt;&gt;"",M267*N267/365/100*('Cashflow Projection'!$B$2-Investors!J267),0)</f>
        <v>0</v>
      </c>
    </row>
    <row r="268" spans="1:20" x14ac:dyDescent="0.2">
      <c r="A268" s="3" t="s">
        <v>608</v>
      </c>
      <c r="B268" s="3" t="s">
        <v>609</v>
      </c>
      <c r="C268" s="3" t="s">
        <v>610</v>
      </c>
      <c r="D268" s="3" t="s">
        <v>386</v>
      </c>
      <c r="E268" s="3" t="s">
        <v>604</v>
      </c>
      <c r="F268" s="3" t="b">
        <v>0</v>
      </c>
      <c r="G268" s="3" t="b">
        <v>0</v>
      </c>
      <c r="H268" s="3" t="s">
        <v>598</v>
      </c>
      <c r="I268" s="4">
        <v>45418</v>
      </c>
      <c r="J268" s="4">
        <v>45443</v>
      </c>
      <c r="K268" s="4">
        <v>45588</v>
      </c>
      <c r="L268" s="3">
        <v>1</v>
      </c>
      <c r="M268" s="3">
        <v>100000</v>
      </c>
      <c r="N268" s="3">
        <v>14</v>
      </c>
      <c r="O268" s="3" t="b">
        <v>0</v>
      </c>
      <c r="P268" s="3" t="b">
        <v>0</v>
      </c>
      <c r="Q268" s="3">
        <v>753.42465753424699</v>
      </c>
      <c r="R268" s="3">
        <v>5561.6438356164381</v>
      </c>
      <c r="S268" s="3">
        <v>6315.0684931506848</v>
      </c>
      <c r="T268" s="5">
        <f>IF(J268&lt;&gt;"",M268*N268/365/100*('Cashflow Projection'!$B$2-Investors!J268),0)</f>
        <v>0</v>
      </c>
    </row>
    <row r="269" spans="1:20" x14ac:dyDescent="0.2">
      <c r="A269" s="3" t="s">
        <v>611</v>
      </c>
      <c r="B269" s="3" t="s">
        <v>612</v>
      </c>
      <c r="C269" s="3" t="s">
        <v>613</v>
      </c>
      <c r="D269" s="3" t="s">
        <v>386</v>
      </c>
      <c r="E269" s="3" t="s">
        <v>614</v>
      </c>
      <c r="F269" s="3" t="b">
        <v>0</v>
      </c>
      <c r="G269" s="3" t="b">
        <v>0</v>
      </c>
      <c r="H269" s="3" t="s">
        <v>598</v>
      </c>
      <c r="I269" s="4">
        <v>45330</v>
      </c>
      <c r="J269" s="4">
        <v>45408</v>
      </c>
      <c r="K269" s="4">
        <v>45588</v>
      </c>
      <c r="L269" s="3">
        <v>2</v>
      </c>
      <c r="M269" s="3">
        <v>1000000</v>
      </c>
      <c r="N269" s="3">
        <v>18</v>
      </c>
      <c r="O269" s="3" t="b">
        <v>0</v>
      </c>
      <c r="P269" s="3" t="b">
        <v>0</v>
      </c>
      <c r="Q269" s="3">
        <v>23506.849315068459</v>
      </c>
      <c r="R269" s="3">
        <v>88767.123287671231</v>
      </c>
      <c r="S269" s="3">
        <v>112273.9726027397</v>
      </c>
      <c r="T269" s="5">
        <f>IF(J269&lt;&gt;"",M269*N269/365/100*('Cashflow Projection'!$B$2-Investors!J269),0)</f>
        <v>17260.273972602739</v>
      </c>
    </row>
    <row r="270" spans="1:20" x14ac:dyDescent="0.2">
      <c r="A270" s="3" t="s">
        <v>485</v>
      </c>
      <c r="B270" s="3" t="s">
        <v>486</v>
      </c>
      <c r="C270" s="3" t="s">
        <v>487</v>
      </c>
      <c r="D270" s="3" t="s">
        <v>386</v>
      </c>
      <c r="E270" s="3" t="s">
        <v>614</v>
      </c>
      <c r="F270" s="3" t="b">
        <v>0</v>
      </c>
      <c r="G270" s="3" t="b">
        <v>0</v>
      </c>
      <c r="H270" s="3" t="s">
        <v>598</v>
      </c>
      <c r="I270" s="4">
        <v>45399</v>
      </c>
      <c r="J270" s="4">
        <v>45443</v>
      </c>
      <c r="K270" s="4">
        <v>45588</v>
      </c>
      <c r="L270" s="3">
        <v>11</v>
      </c>
      <c r="M270" s="3">
        <v>176567.12</v>
      </c>
      <c r="N270" s="3">
        <v>18</v>
      </c>
      <c r="O270" s="3" t="b">
        <v>0</v>
      </c>
      <c r="P270" s="3" t="b">
        <v>0</v>
      </c>
      <c r="Q270" s="3">
        <v>2341.3283857534252</v>
      </c>
      <c r="R270" s="3">
        <v>12625.758443835621</v>
      </c>
      <c r="S270" s="3">
        <v>14967.08682958904</v>
      </c>
      <c r="T270" s="5">
        <f>IF(J270&lt;&gt;"",M270*N270/365/100*('Cashflow Projection'!$B$2-Investors!J270),0)</f>
        <v>0</v>
      </c>
    </row>
    <row r="271" spans="1:20" x14ac:dyDescent="0.2">
      <c r="A271" s="3" t="s">
        <v>615</v>
      </c>
      <c r="B271" s="3" t="s">
        <v>616</v>
      </c>
      <c r="C271" s="3" t="s">
        <v>617</v>
      </c>
      <c r="D271" s="3" t="s">
        <v>386</v>
      </c>
      <c r="E271" s="3" t="s">
        <v>618</v>
      </c>
      <c r="F271" s="3" t="b">
        <v>0</v>
      </c>
      <c r="G271" s="3" t="b">
        <v>0</v>
      </c>
      <c r="H271" s="3" t="s">
        <v>598</v>
      </c>
      <c r="I271" s="4">
        <v>45401</v>
      </c>
      <c r="J271" s="4">
        <v>45443</v>
      </c>
      <c r="K271" s="4">
        <v>45588</v>
      </c>
      <c r="L271" s="3">
        <v>1</v>
      </c>
      <c r="M271" s="3">
        <v>100000</v>
      </c>
      <c r="N271" s="3">
        <v>14</v>
      </c>
      <c r="O271" s="3" t="b">
        <v>0</v>
      </c>
      <c r="P271" s="3" t="b">
        <v>0</v>
      </c>
      <c r="Q271" s="3">
        <v>1265.753424657536</v>
      </c>
      <c r="R271" s="3">
        <v>5561.6438356164381</v>
      </c>
      <c r="S271" s="3">
        <v>6827.3972602739741</v>
      </c>
      <c r="T271" s="5">
        <f>IF(J271&lt;&gt;"",M271*N271/365/100*('Cashflow Projection'!$B$2-Investors!J271),0)</f>
        <v>0</v>
      </c>
    </row>
    <row r="272" spans="1:20" x14ac:dyDescent="0.2">
      <c r="A272" s="3" t="s">
        <v>619</v>
      </c>
      <c r="B272" s="3" t="s">
        <v>620</v>
      </c>
      <c r="C272" s="3" t="s">
        <v>621</v>
      </c>
      <c r="D272" s="3" t="s">
        <v>386</v>
      </c>
      <c r="E272" s="3" t="s">
        <v>618</v>
      </c>
      <c r="F272" s="3" t="b">
        <v>0</v>
      </c>
      <c r="G272" s="3" t="b">
        <v>0</v>
      </c>
      <c r="H272" s="3" t="s">
        <v>598</v>
      </c>
      <c r="I272" s="4">
        <v>45190</v>
      </c>
      <c r="J272" s="4">
        <v>45321</v>
      </c>
      <c r="K272" s="4">
        <v>45588</v>
      </c>
      <c r="L272" s="3">
        <v>1</v>
      </c>
      <c r="M272" s="3">
        <v>681304.79</v>
      </c>
      <c r="N272" s="3">
        <v>16</v>
      </c>
      <c r="O272" s="3" t="b">
        <v>0</v>
      </c>
      <c r="P272" s="3" t="b">
        <v>0</v>
      </c>
      <c r="Q272" s="3">
        <v>26897.539791506952</v>
      </c>
      <c r="R272" s="3">
        <v>79740.659256986313</v>
      </c>
      <c r="S272" s="3">
        <v>106638.1990484933</v>
      </c>
      <c r="T272" s="5">
        <f>IF(J272&lt;&gt;"",M272*N272/365/100*('Cashflow Projection'!$B$2-Investors!J272),0)</f>
        <v>36435.806851506852</v>
      </c>
    </row>
    <row r="273" spans="1:20" x14ac:dyDescent="0.2">
      <c r="A273" s="3" t="s">
        <v>475</v>
      </c>
      <c r="B273" s="3" t="s">
        <v>476</v>
      </c>
      <c r="C273" s="3" t="s">
        <v>477</v>
      </c>
      <c r="D273" s="3" t="s">
        <v>386</v>
      </c>
      <c r="E273" s="3" t="s">
        <v>618</v>
      </c>
      <c r="F273" s="3" t="b">
        <v>0</v>
      </c>
      <c r="G273" s="3" t="b">
        <v>0</v>
      </c>
      <c r="H273" s="3" t="s">
        <v>598</v>
      </c>
      <c r="I273" s="4">
        <v>45187</v>
      </c>
      <c r="J273" s="4">
        <v>45321</v>
      </c>
      <c r="K273" s="4">
        <v>45588</v>
      </c>
      <c r="L273" s="3">
        <v>3</v>
      </c>
      <c r="M273" s="3">
        <v>132283.95000000001</v>
      </c>
      <c r="N273" s="3">
        <v>14</v>
      </c>
      <c r="O273" s="3" t="b">
        <v>0</v>
      </c>
      <c r="P273" s="3" t="b">
        <v>0</v>
      </c>
      <c r="Q273" s="3">
        <v>5342.0970493150562</v>
      </c>
      <c r="R273" s="3">
        <v>13547.32616712329</v>
      </c>
      <c r="S273" s="3">
        <v>18889.42321643835</v>
      </c>
      <c r="T273" s="5">
        <f>IF(J273&lt;&gt;"",M273*N273/365/100*('Cashflow Projection'!$B$2-Investors!J273),0)</f>
        <v>6190.164016438358</v>
      </c>
    </row>
    <row r="274" spans="1:20" x14ac:dyDescent="0.2">
      <c r="A274" s="3" t="s">
        <v>419</v>
      </c>
      <c r="B274" s="3" t="s">
        <v>420</v>
      </c>
      <c r="C274" s="3" t="s">
        <v>421</v>
      </c>
      <c r="D274" s="3" t="s">
        <v>386</v>
      </c>
      <c r="E274" s="3" t="s">
        <v>618</v>
      </c>
      <c r="F274" s="3" t="b">
        <v>0</v>
      </c>
      <c r="G274" s="3" t="b">
        <v>0</v>
      </c>
      <c r="H274" s="3" t="s">
        <v>598</v>
      </c>
      <c r="I274" s="4">
        <v>45187</v>
      </c>
      <c r="J274" s="4">
        <v>45224</v>
      </c>
      <c r="K274" s="4">
        <v>45588</v>
      </c>
      <c r="L274" s="3">
        <v>17</v>
      </c>
      <c r="M274" s="3">
        <v>266623.38</v>
      </c>
      <c r="N274" s="3">
        <v>18</v>
      </c>
      <c r="O274" s="3" t="b">
        <v>0</v>
      </c>
      <c r="P274" s="3" t="b">
        <v>0</v>
      </c>
      <c r="Q274" s="3">
        <v>2973.0333057534258</v>
      </c>
      <c r="R274" s="3">
        <v>47860.722897534237</v>
      </c>
      <c r="S274" s="3">
        <v>50833.756203287667</v>
      </c>
      <c r="T274" s="5">
        <f>IF(J274&lt;&gt;"",M274*N274/365/100*('Cashflow Projection'!$B$2-Investors!J274),0)</f>
        <v>28795.32504</v>
      </c>
    </row>
    <row r="275" spans="1:20" x14ac:dyDescent="0.2">
      <c r="A275" s="3" t="s">
        <v>123</v>
      </c>
      <c r="B275" s="3" t="s">
        <v>124</v>
      </c>
      <c r="C275" s="3" t="s">
        <v>125</v>
      </c>
      <c r="D275" s="3" t="s">
        <v>386</v>
      </c>
      <c r="E275" s="3" t="s">
        <v>622</v>
      </c>
      <c r="F275" s="3" t="b">
        <v>0</v>
      </c>
      <c r="G275" s="3" t="b">
        <v>0</v>
      </c>
      <c r="H275" s="3" t="s">
        <v>598</v>
      </c>
      <c r="I275" s="4">
        <v>45342</v>
      </c>
      <c r="J275" s="4">
        <v>45408</v>
      </c>
      <c r="K275" s="4">
        <v>45588</v>
      </c>
      <c r="L275" s="3">
        <v>15</v>
      </c>
      <c r="M275" s="3">
        <v>352090.41</v>
      </c>
      <c r="N275" s="3">
        <v>18</v>
      </c>
      <c r="O275" s="3" t="b">
        <v>0</v>
      </c>
      <c r="P275" s="3" t="b">
        <v>0</v>
      </c>
      <c r="Q275" s="3">
        <v>7003.2229495890288</v>
      </c>
      <c r="R275" s="3">
        <v>31254.05283287671</v>
      </c>
      <c r="S275" s="3">
        <v>38257.275782465738</v>
      </c>
      <c r="T275" s="5">
        <f>IF(J275&lt;&gt;"",M275*N275/365/100*('Cashflow Projection'!$B$2-Investors!J275),0)</f>
        <v>6077.1769397260277</v>
      </c>
    </row>
    <row r="276" spans="1:20" x14ac:dyDescent="0.2">
      <c r="A276" s="3" t="s">
        <v>623</v>
      </c>
      <c r="B276" s="3" t="s">
        <v>624</v>
      </c>
      <c r="C276" s="3" t="s">
        <v>625</v>
      </c>
      <c r="D276" s="3" t="s">
        <v>386</v>
      </c>
      <c r="E276" s="3" t="s">
        <v>622</v>
      </c>
      <c r="F276" s="3" t="b">
        <v>0</v>
      </c>
      <c r="G276" s="3" t="b">
        <v>0</v>
      </c>
      <c r="H276" s="3" t="s">
        <v>598</v>
      </c>
      <c r="I276" s="4">
        <v>45187</v>
      </c>
      <c r="J276" s="4">
        <v>45273</v>
      </c>
      <c r="K276" s="4">
        <v>45588</v>
      </c>
      <c r="L276" s="3">
        <v>2</v>
      </c>
      <c r="M276" s="3">
        <v>100000</v>
      </c>
      <c r="N276" s="3">
        <v>14</v>
      </c>
      <c r="O276" s="3" t="b">
        <v>0</v>
      </c>
      <c r="P276" s="3" t="b">
        <v>0</v>
      </c>
      <c r="Q276" s="3">
        <v>2591.7808219178082</v>
      </c>
      <c r="R276" s="3">
        <v>12082.19178082192</v>
      </c>
      <c r="S276" s="3">
        <v>14673.972602739719</v>
      </c>
      <c r="T276" s="5">
        <f>IF(J276&lt;&gt;"",M276*N276/365/100*('Cashflow Projection'!$B$2-Investors!J276),0)</f>
        <v>6520.5479452054806</v>
      </c>
    </row>
    <row r="277" spans="1:20" x14ac:dyDescent="0.2">
      <c r="A277" s="3" t="s">
        <v>27</v>
      </c>
      <c r="B277" s="3" t="s">
        <v>28</v>
      </c>
      <c r="C277" s="3" t="s">
        <v>29</v>
      </c>
      <c r="D277" s="3" t="s">
        <v>386</v>
      </c>
      <c r="E277" s="3" t="s">
        <v>622</v>
      </c>
      <c r="F277" s="3" t="b">
        <v>0</v>
      </c>
      <c r="G277" s="3" t="b">
        <v>0</v>
      </c>
      <c r="H277" s="3" t="s">
        <v>598</v>
      </c>
      <c r="I277" s="4">
        <v>45335</v>
      </c>
      <c r="J277" s="4">
        <v>45408</v>
      </c>
      <c r="K277" s="4">
        <v>45588</v>
      </c>
      <c r="L277" s="3">
        <v>17</v>
      </c>
      <c r="M277" s="3">
        <v>717029.36</v>
      </c>
      <c r="N277" s="3">
        <v>18</v>
      </c>
      <c r="O277" s="3" t="b">
        <v>0</v>
      </c>
      <c r="P277" s="3" t="b">
        <v>0</v>
      </c>
      <c r="Q277" s="3">
        <v>15774.645919999981</v>
      </c>
      <c r="R277" s="3">
        <v>63648.633600000001</v>
      </c>
      <c r="S277" s="3">
        <v>79423.279519999982</v>
      </c>
      <c r="T277" s="5">
        <f>IF(J277&lt;&gt;"",M277*N277/365/100*('Cashflow Projection'!$B$2-Investors!J277),0)</f>
        <v>12376.1232</v>
      </c>
    </row>
    <row r="278" spans="1:20" x14ac:dyDescent="0.2">
      <c r="A278" s="3" t="s">
        <v>485</v>
      </c>
      <c r="B278" s="3" t="s">
        <v>486</v>
      </c>
      <c r="C278" s="3" t="s">
        <v>487</v>
      </c>
      <c r="D278" s="3" t="s">
        <v>386</v>
      </c>
      <c r="E278" s="3" t="s">
        <v>626</v>
      </c>
      <c r="F278" s="3" t="b">
        <v>0</v>
      </c>
      <c r="G278" s="3" t="b">
        <v>0</v>
      </c>
      <c r="H278" s="3" t="s">
        <v>598</v>
      </c>
      <c r="I278" s="4">
        <v>45399</v>
      </c>
      <c r="J278" s="4">
        <v>45408</v>
      </c>
      <c r="K278" s="4">
        <v>45588</v>
      </c>
      <c r="L278" s="3">
        <v>12</v>
      </c>
      <c r="M278" s="3">
        <v>1200000</v>
      </c>
      <c r="N278" s="3">
        <v>18</v>
      </c>
      <c r="O278" s="3" t="b">
        <v>0</v>
      </c>
      <c r="P278" s="3" t="b">
        <v>0</v>
      </c>
      <c r="Q278" s="3">
        <v>3254.7945205479459</v>
      </c>
      <c r="R278" s="3">
        <v>106520.5479452055</v>
      </c>
      <c r="S278" s="3">
        <v>109775.34246575341</v>
      </c>
      <c r="T278" s="5">
        <f>IF(J278&lt;&gt;"",M278*N278/365/100*('Cashflow Projection'!$B$2-Investors!J278),0)</f>
        <v>20712.328767123287</v>
      </c>
    </row>
    <row r="279" spans="1:20" x14ac:dyDescent="0.2">
      <c r="A279" s="3" t="s">
        <v>52</v>
      </c>
      <c r="B279" s="3" t="s">
        <v>53</v>
      </c>
      <c r="C279" s="3" t="s">
        <v>54</v>
      </c>
      <c r="D279" s="3" t="s">
        <v>386</v>
      </c>
      <c r="E279" s="3" t="s">
        <v>627</v>
      </c>
      <c r="F279" s="3" t="b">
        <v>0</v>
      </c>
      <c r="G279" s="3" t="b">
        <v>0</v>
      </c>
      <c r="H279" s="3" t="s">
        <v>628</v>
      </c>
      <c r="I279" s="4">
        <v>45033</v>
      </c>
      <c r="J279" s="4">
        <v>45129</v>
      </c>
      <c r="K279" s="4">
        <v>45532</v>
      </c>
      <c r="L279" s="3">
        <v>16</v>
      </c>
      <c r="M279" s="3">
        <v>110000</v>
      </c>
      <c r="N279" s="3">
        <v>18</v>
      </c>
      <c r="O279" s="3" t="b">
        <v>0</v>
      </c>
      <c r="P279" s="3" t="b">
        <v>0</v>
      </c>
      <c r="Q279" s="3">
        <v>3116.1643835616469</v>
      </c>
      <c r="R279" s="3">
        <v>21861.369863013701</v>
      </c>
      <c r="S279" s="3">
        <v>24977.534246575338</v>
      </c>
      <c r="T279" s="5">
        <f>IF(J279&lt;&gt;"",M279*N279/365/100*('Cashflow Projection'!$B$2-Investors!J279),0)</f>
        <v>17033.424657534248</v>
      </c>
    </row>
    <row r="280" spans="1:20" x14ac:dyDescent="0.2">
      <c r="A280" s="3" t="s">
        <v>629</v>
      </c>
      <c r="B280" s="3" t="s">
        <v>630</v>
      </c>
      <c r="C280" s="3" t="s">
        <v>631</v>
      </c>
      <c r="D280" s="3" t="s">
        <v>386</v>
      </c>
      <c r="E280" s="3" t="s">
        <v>627</v>
      </c>
      <c r="F280" s="3" t="b">
        <v>0</v>
      </c>
      <c r="G280" s="3" t="b">
        <v>0</v>
      </c>
      <c r="H280" s="3" t="s">
        <v>628</v>
      </c>
      <c r="I280" s="4">
        <v>45033</v>
      </c>
      <c r="J280" s="4">
        <v>45168</v>
      </c>
      <c r="K280" s="4">
        <v>45532</v>
      </c>
      <c r="L280" s="3">
        <v>3</v>
      </c>
      <c r="M280" s="3">
        <v>1000000</v>
      </c>
      <c r="N280" s="3">
        <v>18</v>
      </c>
      <c r="O280" s="3" t="b">
        <v>0</v>
      </c>
      <c r="P280" s="3" t="b">
        <v>0</v>
      </c>
      <c r="Q280" s="3">
        <v>40082.191780821857</v>
      </c>
      <c r="R280" s="3">
        <v>179506.84931506851</v>
      </c>
      <c r="S280" s="3">
        <v>219589.0410958904</v>
      </c>
      <c r="T280" s="5">
        <f>IF(J280&lt;&gt;"",M280*N280/365/100*('Cashflow Projection'!$B$2-Investors!J280),0)</f>
        <v>135616.43835616438</v>
      </c>
    </row>
    <row r="281" spans="1:20" x14ac:dyDescent="0.2">
      <c r="A281" s="3" t="s">
        <v>632</v>
      </c>
      <c r="B281" s="3" t="s">
        <v>633</v>
      </c>
      <c r="C281" s="3" t="s">
        <v>634</v>
      </c>
      <c r="D281" s="3" t="s">
        <v>386</v>
      </c>
      <c r="E281" s="3" t="s">
        <v>635</v>
      </c>
      <c r="F281" s="3" t="b">
        <v>0</v>
      </c>
      <c r="G281" s="3" t="b">
        <v>0</v>
      </c>
      <c r="H281" s="3" t="s">
        <v>628</v>
      </c>
      <c r="I281" s="4">
        <v>45033</v>
      </c>
      <c r="J281" s="4">
        <v>45189</v>
      </c>
      <c r="K281" s="4">
        <v>45532</v>
      </c>
      <c r="L281" s="3">
        <v>2</v>
      </c>
      <c r="M281" s="3">
        <v>1000000</v>
      </c>
      <c r="N281" s="3">
        <v>18</v>
      </c>
      <c r="O281" s="3" t="b">
        <v>0</v>
      </c>
      <c r="P281" s="3" t="b">
        <v>0</v>
      </c>
      <c r="Q281" s="3">
        <v>46410.958904109582</v>
      </c>
      <c r="R281" s="3">
        <v>169150.6849315069</v>
      </c>
      <c r="S281" s="3">
        <v>215561.64383561641</v>
      </c>
      <c r="T281" s="5">
        <f>IF(J281&lt;&gt;"",M281*N281/365/100*('Cashflow Projection'!$B$2-Investors!J281),0)</f>
        <v>125260.27397260274</v>
      </c>
    </row>
    <row r="282" spans="1:20" x14ac:dyDescent="0.2">
      <c r="A282" s="3" t="s">
        <v>636</v>
      </c>
      <c r="B282" s="3" t="s">
        <v>637</v>
      </c>
      <c r="C282" s="3" t="s">
        <v>638</v>
      </c>
      <c r="D282" s="3" t="s">
        <v>386</v>
      </c>
      <c r="E282" s="3" t="s">
        <v>635</v>
      </c>
      <c r="F282" s="3" t="b">
        <v>0</v>
      </c>
      <c r="G282" s="3" t="b">
        <v>0</v>
      </c>
      <c r="H282" s="3" t="s">
        <v>628</v>
      </c>
      <c r="I282" s="4">
        <v>45034</v>
      </c>
      <c r="J282" s="4">
        <v>45161</v>
      </c>
      <c r="K282" s="4">
        <v>45532</v>
      </c>
      <c r="L282" s="3">
        <v>2</v>
      </c>
      <c r="M282" s="3">
        <v>121786.3</v>
      </c>
      <c r="N282" s="3">
        <v>14</v>
      </c>
      <c r="O282" s="3" t="b">
        <v>0</v>
      </c>
      <c r="P282" s="3" t="b">
        <v>0</v>
      </c>
      <c r="Q282" s="3">
        <v>4589.5083739726124</v>
      </c>
      <c r="R282" s="3">
        <v>17330.357320547941</v>
      </c>
      <c r="S282" s="3">
        <v>21919.865694520558</v>
      </c>
      <c r="T282" s="5">
        <f>IF(J282&lt;&gt;"",M282*N282/365/100*('Cashflow Projection'!$B$2-Investors!J282),0)</f>
        <v>13172.940065753424</v>
      </c>
    </row>
    <row r="283" spans="1:20" x14ac:dyDescent="0.2">
      <c r="A283" s="3" t="s">
        <v>639</v>
      </c>
      <c r="B283" s="3" t="s">
        <v>640</v>
      </c>
      <c r="C283" s="3" t="s">
        <v>641</v>
      </c>
      <c r="D283" s="3" t="s">
        <v>386</v>
      </c>
      <c r="E283" s="3" t="s">
        <v>642</v>
      </c>
      <c r="F283" s="3" t="b">
        <v>0</v>
      </c>
      <c r="G283" s="3" t="b">
        <v>0</v>
      </c>
      <c r="H283" s="3" t="s">
        <v>628</v>
      </c>
      <c r="I283" s="4">
        <v>45034</v>
      </c>
      <c r="J283" s="4">
        <v>45198</v>
      </c>
      <c r="K283" s="4">
        <v>45532</v>
      </c>
      <c r="L283" s="3">
        <v>1</v>
      </c>
      <c r="M283" s="3">
        <v>550000</v>
      </c>
      <c r="N283" s="3">
        <v>16</v>
      </c>
      <c r="O283" s="3" t="b">
        <v>0</v>
      </c>
      <c r="P283" s="3" t="b">
        <v>0</v>
      </c>
      <c r="Q283" s="3">
        <v>26859.589041095889</v>
      </c>
      <c r="R283" s="3">
        <v>80526.027397260274</v>
      </c>
      <c r="S283" s="3">
        <v>107385.6164383562</v>
      </c>
      <c r="T283" s="5">
        <f>IF(J283&lt;&gt;"",M283*N283/365/100*('Cashflow Projection'!$B$2-Investors!J283),0)</f>
        <v>59068.493150684932</v>
      </c>
    </row>
    <row r="284" spans="1:20" x14ac:dyDescent="0.2">
      <c r="A284" s="3" t="s">
        <v>276</v>
      </c>
      <c r="B284" s="3" t="s">
        <v>277</v>
      </c>
      <c r="C284" s="3" t="s">
        <v>266</v>
      </c>
      <c r="D284" s="3" t="s">
        <v>386</v>
      </c>
      <c r="E284" s="3" t="s">
        <v>642</v>
      </c>
      <c r="F284" s="3" t="b">
        <v>0</v>
      </c>
      <c r="G284" s="3" t="b">
        <v>0</v>
      </c>
      <c r="H284" s="3" t="s">
        <v>628</v>
      </c>
      <c r="I284" s="4">
        <v>45042</v>
      </c>
      <c r="J284" s="4">
        <v>45198</v>
      </c>
      <c r="K284" s="4">
        <v>45532</v>
      </c>
      <c r="L284" s="3">
        <v>3</v>
      </c>
      <c r="M284" s="3">
        <v>550000</v>
      </c>
      <c r="N284" s="3">
        <v>18</v>
      </c>
      <c r="O284" s="3" t="b">
        <v>0</v>
      </c>
      <c r="P284" s="3" t="b">
        <v>0</v>
      </c>
      <c r="Q284" s="3">
        <v>25593.835616438351</v>
      </c>
      <c r="R284" s="3">
        <v>90591.780821917811</v>
      </c>
      <c r="S284" s="3">
        <v>116185.6164383562</v>
      </c>
      <c r="T284" s="5">
        <f>IF(J284&lt;&gt;"",M284*N284/365/100*('Cashflow Projection'!$B$2-Investors!J284),0)</f>
        <v>66452.054794520547</v>
      </c>
    </row>
    <row r="285" spans="1:20" x14ac:dyDescent="0.2">
      <c r="A285" s="3" t="s">
        <v>351</v>
      </c>
      <c r="B285" s="3" t="s">
        <v>352</v>
      </c>
      <c r="C285" s="3" t="s">
        <v>353</v>
      </c>
      <c r="D285" s="3" t="s">
        <v>386</v>
      </c>
      <c r="E285" s="3" t="s">
        <v>643</v>
      </c>
      <c r="F285" s="3" t="b">
        <v>0</v>
      </c>
      <c r="G285" s="3" t="b">
        <v>0</v>
      </c>
      <c r="H285" s="3" t="s">
        <v>628</v>
      </c>
      <c r="I285" s="4">
        <v>45036</v>
      </c>
      <c r="J285" s="4">
        <v>45198</v>
      </c>
      <c r="K285" s="4">
        <v>45532</v>
      </c>
      <c r="L285" s="3">
        <v>2</v>
      </c>
      <c r="M285" s="3">
        <v>1000000</v>
      </c>
      <c r="N285" s="3">
        <v>18</v>
      </c>
      <c r="O285" s="3" t="b">
        <v>0</v>
      </c>
      <c r="P285" s="3" t="b">
        <v>0</v>
      </c>
      <c r="Q285" s="3">
        <v>48260.273972602743</v>
      </c>
      <c r="R285" s="3">
        <v>164712.32876712331</v>
      </c>
      <c r="S285" s="3">
        <v>212972.60273972599</v>
      </c>
      <c r="T285" s="5">
        <f>IF(J285&lt;&gt;"",M285*N285/365/100*('Cashflow Projection'!$B$2-Investors!J285),0)</f>
        <v>120821.91780821916</v>
      </c>
    </row>
    <row r="286" spans="1:20" x14ac:dyDescent="0.2">
      <c r="A286" s="3" t="s">
        <v>363</v>
      </c>
      <c r="B286" s="3" t="s">
        <v>364</v>
      </c>
      <c r="C286" s="3" t="s">
        <v>365</v>
      </c>
      <c r="D286" s="3" t="s">
        <v>386</v>
      </c>
      <c r="E286" s="3" t="s">
        <v>643</v>
      </c>
      <c r="F286" s="3" t="b">
        <v>0</v>
      </c>
      <c r="G286" s="3" t="b">
        <v>0</v>
      </c>
      <c r="H286" s="3" t="s">
        <v>628</v>
      </c>
      <c r="I286" s="4">
        <v>45042</v>
      </c>
      <c r="J286" s="4">
        <v>45224</v>
      </c>
      <c r="K286" s="4">
        <v>45532</v>
      </c>
      <c r="L286" s="3">
        <v>6</v>
      </c>
      <c r="M286" s="3">
        <v>117422.6</v>
      </c>
      <c r="N286" s="3">
        <v>18</v>
      </c>
      <c r="O286" s="3" t="b">
        <v>0</v>
      </c>
      <c r="P286" s="3" t="b">
        <v>0</v>
      </c>
      <c r="Q286" s="3">
        <v>6384.250676712305</v>
      </c>
      <c r="R286" s="3">
        <v>17835.366969863011</v>
      </c>
      <c r="S286" s="3">
        <v>24219.61764657532</v>
      </c>
      <c r="T286" s="5">
        <f>IF(J286&lt;&gt;"",M286*N286/365/100*('Cashflow Projection'!$B$2-Investors!J286),0)</f>
        <v>12681.640800000001</v>
      </c>
    </row>
    <row r="287" spans="1:20" x14ac:dyDescent="0.2">
      <c r="A287" s="3" t="s">
        <v>332</v>
      </c>
      <c r="B287" s="3" t="s">
        <v>333</v>
      </c>
      <c r="C287" s="3" t="s">
        <v>122</v>
      </c>
      <c r="D287" s="3" t="s">
        <v>386</v>
      </c>
      <c r="E287" s="3" t="s">
        <v>644</v>
      </c>
      <c r="F287" s="3" t="b">
        <v>0</v>
      </c>
      <c r="G287" s="3" t="b">
        <v>0</v>
      </c>
      <c r="H287" s="3" t="s">
        <v>628</v>
      </c>
      <c r="I287" s="4">
        <v>45030</v>
      </c>
      <c r="J287" s="4">
        <v>45168</v>
      </c>
      <c r="K287" s="4">
        <v>45532</v>
      </c>
      <c r="L287" s="3">
        <v>4</v>
      </c>
      <c r="M287" s="3">
        <v>1000000</v>
      </c>
      <c r="N287" s="3">
        <v>18</v>
      </c>
      <c r="O287" s="3" t="b">
        <v>0</v>
      </c>
      <c r="P287" s="3" t="b">
        <v>0</v>
      </c>
      <c r="Q287" s="3">
        <v>40945.205479452008</v>
      </c>
      <c r="R287" s="3">
        <v>179506.84931506851</v>
      </c>
      <c r="S287" s="3">
        <v>220452.05479452049</v>
      </c>
      <c r="T287" s="5">
        <f>IF(J287&lt;&gt;"",M287*N287/365/100*('Cashflow Projection'!$B$2-Investors!J287),0)</f>
        <v>135616.43835616438</v>
      </c>
    </row>
    <row r="288" spans="1:20" x14ac:dyDescent="0.2">
      <c r="A288" s="3" t="s">
        <v>485</v>
      </c>
      <c r="B288" s="3" t="s">
        <v>486</v>
      </c>
      <c r="C288" s="3" t="s">
        <v>487</v>
      </c>
      <c r="D288" s="3" t="s">
        <v>386</v>
      </c>
      <c r="E288" s="3" t="s">
        <v>644</v>
      </c>
      <c r="F288" s="3" t="b">
        <v>0</v>
      </c>
      <c r="G288" s="3" t="b">
        <v>0</v>
      </c>
      <c r="H288" s="3" t="s">
        <v>628</v>
      </c>
      <c r="I288" s="4">
        <v>45051</v>
      </c>
      <c r="J288" s="4">
        <v>45198</v>
      </c>
      <c r="K288" s="4">
        <v>45532</v>
      </c>
      <c r="L288" s="3">
        <v>9</v>
      </c>
      <c r="M288" s="3">
        <v>125000</v>
      </c>
      <c r="N288" s="3">
        <v>18</v>
      </c>
      <c r="O288" s="3" t="b">
        <v>0</v>
      </c>
      <c r="P288" s="3" t="b">
        <v>0</v>
      </c>
      <c r="Q288" s="3">
        <v>5493.1506849315047</v>
      </c>
      <c r="R288" s="3">
        <v>20589.04109589041</v>
      </c>
      <c r="S288" s="3">
        <v>26082.191780821919</v>
      </c>
      <c r="T288" s="5">
        <f>IF(J288&lt;&gt;"",M288*N288/365/100*('Cashflow Projection'!$B$2-Investors!J288),0)</f>
        <v>15102.739726027396</v>
      </c>
    </row>
    <row r="289" spans="1:20" x14ac:dyDescent="0.2">
      <c r="A289" s="3" t="s">
        <v>340</v>
      </c>
      <c r="B289" s="3" t="s">
        <v>341</v>
      </c>
      <c r="C289" s="3" t="s">
        <v>57</v>
      </c>
      <c r="D289" s="3" t="s">
        <v>386</v>
      </c>
      <c r="E289" s="3" t="s">
        <v>645</v>
      </c>
      <c r="F289" s="3" t="b">
        <v>0</v>
      </c>
      <c r="G289" s="3" t="b">
        <v>0</v>
      </c>
      <c r="H289" s="3" t="s">
        <v>628</v>
      </c>
      <c r="I289" s="4">
        <v>45033</v>
      </c>
      <c r="J289" s="4">
        <v>45129</v>
      </c>
      <c r="K289" s="4">
        <v>45532</v>
      </c>
      <c r="L289" s="3">
        <v>5</v>
      </c>
      <c r="M289" s="3">
        <v>302195.21000000002</v>
      </c>
      <c r="N289" s="3">
        <v>18</v>
      </c>
      <c r="O289" s="3" t="b">
        <v>0</v>
      </c>
      <c r="P289" s="3" t="b">
        <v>0</v>
      </c>
      <c r="Q289" s="3">
        <v>8560.8177298629962</v>
      </c>
      <c r="R289" s="3">
        <v>60058.193242191781</v>
      </c>
      <c r="S289" s="3">
        <v>68619.010972054777</v>
      </c>
      <c r="T289" s="5">
        <f>IF(J289&lt;&gt;"",M289*N289/365/100*('Cashflow Projection'!$B$2-Investors!J289),0)</f>
        <v>46794.721285479456</v>
      </c>
    </row>
    <row r="290" spans="1:20" x14ac:dyDescent="0.2">
      <c r="A290" s="3" t="s">
        <v>59</v>
      </c>
      <c r="B290" s="3" t="s">
        <v>60</v>
      </c>
      <c r="C290" s="3" t="s">
        <v>61</v>
      </c>
      <c r="D290" s="3" t="s">
        <v>386</v>
      </c>
      <c r="E290" s="3" t="s">
        <v>645</v>
      </c>
      <c r="F290" s="3" t="b">
        <v>0</v>
      </c>
      <c r="G290" s="3" t="b">
        <v>0</v>
      </c>
      <c r="H290" s="3" t="s">
        <v>628</v>
      </c>
      <c r="I290" s="4">
        <v>45065</v>
      </c>
      <c r="J290" s="4">
        <v>45252</v>
      </c>
      <c r="K290" s="4">
        <v>45532</v>
      </c>
      <c r="L290" s="3">
        <v>27</v>
      </c>
      <c r="M290" s="3">
        <v>200000</v>
      </c>
      <c r="N290" s="3">
        <v>18</v>
      </c>
      <c r="O290" s="3" t="b">
        <v>0</v>
      </c>
      <c r="P290" s="3" t="b">
        <v>0</v>
      </c>
      <c r="Q290" s="3">
        <v>11238.356164383529</v>
      </c>
      <c r="R290" s="3">
        <v>27616.438356164381</v>
      </c>
      <c r="S290" s="3">
        <v>38854.794520547897</v>
      </c>
      <c r="T290" s="5">
        <f>IF(J290&lt;&gt;"",M290*N290/365/100*('Cashflow Projection'!$B$2-Investors!J290),0)</f>
        <v>18838.35616438356</v>
      </c>
    </row>
    <row r="291" spans="1:20" x14ac:dyDescent="0.2">
      <c r="A291" s="3" t="s">
        <v>276</v>
      </c>
      <c r="B291" s="3" t="s">
        <v>277</v>
      </c>
      <c r="C291" s="3" t="s">
        <v>266</v>
      </c>
      <c r="D291" s="3" t="s">
        <v>386</v>
      </c>
      <c r="E291" s="3" t="s">
        <v>645</v>
      </c>
      <c r="F291" s="3" t="b">
        <v>0</v>
      </c>
      <c r="G291" s="3" t="b">
        <v>0</v>
      </c>
      <c r="H291" s="3" t="s">
        <v>628</v>
      </c>
      <c r="I291" s="4">
        <v>45033</v>
      </c>
      <c r="J291" s="4">
        <v>45168</v>
      </c>
      <c r="K291" s="4">
        <v>45532</v>
      </c>
      <c r="L291" s="3">
        <v>2</v>
      </c>
      <c r="M291" s="3">
        <v>600000</v>
      </c>
      <c r="N291" s="3">
        <v>18</v>
      </c>
      <c r="O291" s="3" t="b">
        <v>0</v>
      </c>
      <c r="P291" s="3" t="b">
        <v>0</v>
      </c>
      <c r="Q291" s="3">
        <v>24049.31506849315</v>
      </c>
      <c r="R291" s="3">
        <v>107704.10958904109</v>
      </c>
      <c r="S291" s="3">
        <v>131753.4246575342</v>
      </c>
      <c r="T291" s="5">
        <f>IF(J291&lt;&gt;"",M291*N291/365/100*('Cashflow Projection'!$B$2-Investors!J291),0)</f>
        <v>81369.863013698632</v>
      </c>
    </row>
    <row r="292" spans="1:20" x14ac:dyDescent="0.2">
      <c r="A292" s="3" t="s">
        <v>646</v>
      </c>
      <c r="B292" s="3" t="s">
        <v>647</v>
      </c>
      <c r="C292" s="3" t="s">
        <v>648</v>
      </c>
      <c r="D292" s="3" t="s">
        <v>386</v>
      </c>
      <c r="E292" s="3" t="s">
        <v>649</v>
      </c>
      <c r="F292" s="3" t="b">
        <v>0</v>
      </c>
      <c r="G292" s="3" t="b">
        <v>0</v>
      </c>
      <c r="H292" s="3" t="s">
        <v>628</v>
      </c>
      <c r="I292" s="4">
        <v>45065</v>
      </c>
      <c r="J292" s="4">
        <v>45252</v>
      </c>
      <c r="K292" s="4">
        <v>45532</v>
      </c>
      <c r="L292" s="3">
        <v>1</v>
      </c>
      <c r="M292" s="3">
        <v>100000</v>
      </c>
      <c r="N292" s="3">
        <v>14</v>
      </c>
      <c r="O292" s="3" t="b">
        <v>0</v>
      </c>
      <c r="P292" s="3" t="b">
        <v>0</v>
      </c>
      <c r="Q292" s="3">
        <v>5619.1780821917628</v>
      </c>
      <c r="R292" s="3">
        <v>10739.726027397261</v>
      </c>
      <c r="S292" s="3">
        <v>16358.904109589021</v>
      </c>
      <c r="T292" s="5">
        <f>IF(J292&lt;&gt;"",M292*N292/365/100*('Cashflow Projection'!$B$2-Investors!J292),0)</f>
        <v>7326.0273972602745</v>
      </c>
    </row>
    <row r="293" spans="1:20" x14ac:dyDescent="0.2">
      <c r="A293" s="3" t="s">
        <v>59</v>
      </c>
      <c r="B293" s="3" t="s">
        <v>60</v>
      </c>
      <c r="C293" s="3" t="s">
        <v>61</v>
      </c>
      <c r="D293" s="3" t="s">
        <v>386</v>
      </c>
      <c r="E293" s="3" t="s">
        <v>649</v>
      </c>
      <c r="F293" s="3" t="b">
        <v>0</v>
      </c>
      <c r="G293" s="3" t="b">
        <v>0</v>
      </c>
      <c r="H293" s="3" t="s">
        <v>628</v>
      </c>
      <c r="I293" s="4">
        <v>45033</v>
      </c>
      <c r="J293" s="4">
        <v>45129</v>
      </c>
      <c r="K293" s="4">
        <v>45532</v>
      </c>
      <c r="L293" s="3">
        <v>26</v>
      </c>
      <c r="M293" s="3">
        <v>252491.78</v>
      </c>
      <c r="N293" s="3">
        <v>18</v>
      </c>
      <c r="O293" s="3" t="b">
        <v>0</v>
      </c>
      <c r="P293" s="3" t="b">
        <v>0</v>
      </c>
      <c r="Q293" s="3">
        <v>7152.7808361643738</v>
      </c>
      <c r="R293" s="3">
        <v>50180.147181369874</v>
      </c>
      <c r="S293" s="3">
        <v>57332.928017534243</v>
      </c>
      <c r="T293" s="5">
        <f>IF(J293&lt;&gt;"",M293*N293/365/100*('Cashflow Projection'!$B$2-Investors!J293),0)</f>
        <v>39098.179193424658</v>
      </c>
    </row>
    <row r="294" spans="1:20" x14ac:dyDescent="0.2">
      <c r="A294" s="3" t="s">
        <v>650</v>
      </c>
      <c r="B294" s="3" t="s">
        <v>651</v>
      </c>
      <c r="C294" s="3" t="s">
        <v>168</v>
      </c>
      <c r="D294" s="3" t="s">
        <v>386</v>
      </c>
      <c r="E294" s="3" t="s">
        <v>649</v>
      </c>
      <c r="F294" s="3" t="b">
        <v>0</v>
      </c>
      <c r="G294" s="3" t="b">
        <v>0</v>
      </c>
      <c r="H294" s="3" t="s">
        <v>628</v>
      </c>
      <c r="I294" s="4">
        <v>45033</v>
      </c>
      <c r="J294" s="4">
        <v>45168</v>
      </c>
      <c r="K294" s="4">
        <v>45532</v>
      </c>
      <c r="L294" s="3">
        <v>2</v>
      </c>
      <c r="M294" s="3">
        <v>631732.88</v>
      </c>
      <c r="N294" s="3">
        <v>18</v>
      </c>
      <c r="O294" s="3" t="b">
        <v>0</v>
      </c>
      <c r="P294" s="3" t="b">
        <v>0</v>
      </c>
      <c r="Q294" s="3">
        <v>25321.23845041103</v>
      </c>
      <c r="R294" s="3">
        <v>113400.3788975342</v>
      </c>
      <c r="S294" s="3">
        <v>138721.61734794531</v>
      </c>
      <c r="T294" s="5">
        <f>IF(J294&lt;&gt;"",M294*N294/365/100*('Cashflow Projection'!$B$2-Investors!J294),0)</f>
        <v>85673.363178082203</v>
      </c>
    </row>
    <row r="295" spans="1:20" x14ac:dyDescent="0.2">
      <c r="A295" s="3" t="s">
        <v>403</v>
      </c>
      <c r="B295" s="3" t="s">
        <v>160</v>
      </c>
      <c r="C295" s="3" t="s">
        <v>161</v>
      </c>
      <c r="D295" s="3" t="s">
        <v>386</v>
      </c>
      <c r="E295" s="3" t="s">
        <v>649</v>
      </c>
      <c r="F295" s="3" t="b">
        <v>0</v>
      </c>
      <c r="G295" s="3" t="b">
        <v>0</v>
      </c>
      <c r="H295" s="3" t="s">
        <v>628</v>
      </c>
      <c r="I295" s="4">
        <v>45070</v>
      </c>
      <c r="J295" s="4">
        <v>45252</v>
      </c>
      <c r="K295" s="4">
        <v>45532</v>
      </c>
      <c r="L295" s="3">
        <v>5</v>
      </c>
      <c r="M295" s="3">
        <v>100000</v>
      </c>
      <c r="N295" s="3">
        <v>18</v>
      </c>
      <c r="O295" s="3" t="b">
        <v>0</v>
      </c>
      <c r="P295" s="3" t="b">
        <v>0</v>
      </c>
      <c r="Q295" s="3">
        <v>5475.3424657534079</v>
      </c>
      <c r="R295" s="3">
        <v>13808.21917808219</v>
      </c>
      <c r="S295" s="3">
        <v>19283.561643835601</v>
      </c>
      <c r="T295" s="5">
        <f>IF(J295&lt;&gt;"",M295*N295/365/100*('Cashflow Projection'!$B$2-Investors!J295),0)</f>
        <v>9419.17808219178</v>
      </c>
    </row>
    <row r="296" spans="1:20" x14ac:dyDescent="0.2">
      <c r="A296" s="3" t="s">
        <v>652</v>
      </c>
      <c r="B296" s="3" t="s">
        <v>653</v>
      </c>
      <c r="C296" s="3" t="s">
        <v>654</v>
      </c>
      <c r="D296" s="3" t="s">
        <v>386</v>
      </c>
      <c r="E296" s="3" t="s">
        <v>655</v>
      </c>
      <c r="F296" s="3" t="b">
        <v>0</v>
      </c>
      <c r="G296" s="3" t="b">
        <v>0</v>
      </c>
      <c r="H296" s="3" t="s">
        <v>628</v>
      </c>
      <c r="I296" s="4">
        <v>45041</v>
      </c>
      <c r="J296" s="4">
        <v>45198</v>
      </c>
      <c r="K296" s="4">
        <v>45532</v>
      </c>
      <c r="L296" s="3">
        <v>1</v>
      </c>
      <c r="M296" s="3">
        <v>500000</v>
      </c>
      <c r="N296" s="3">
        <v>16</v>
      </c>
      <c r="O296" s="3" t="b">
        <v>0</v>
      </c>
      <c r="P296" s="3" t="b">
        <v>0</v>
      </c>
      <c r="Q296" s="3">
        <v>23410.95890410959</v>
      </c>
      <c r="R296" s="3">
        <v>73205.479452054788</v>
      </c>
      <c r="S296" s="3">
        <v>96616.438356164377</v>
      </c>
      <c r="T296" s="5">
        <f>IF(J296&lt;&gt;"",M296*N296/365/100*('Cashflow Projection'!$B$2-Investors!J296),0)</f>
        <v>53698.630136986299</v>
      </c>
    </row>
    <row r="297" spans="1:20" x14ac:dyDescent="0.2">
      <c r="A297" s="3" t="s">
        <v>85</v>
      </c>
      <c r="B297" s="3" t="s">
        <v>86</v>
      </c>
      <c r="C297" s="3" t="s">
        <v>87</v>
      </c>
      <c r="D297" s="3" t="s">
        <v>386</v>
      </c>
      <c r="E297" s="3" t="s">
        <v>655</v>
      </c>
      <c r="F297" s="3" t="b">
        <v>0</v>
      </c>
      <c r="G297" s="3" t="b">
        <v>0</v>
      </c>
      <c r="H297" s="3" t="s">
        <v>628</v>
      </c>
      <c r="I297" s="4">
        <v>45070</v>
      </c>
      <c r="J297" s="4">
        <v>45252</v>
      </c>
      <c r="K297" s="4">
        <v>45532</v>
      </c>
      <c r="L297" s="3">
        <v>7</v>
      </c>
      <c r="M297" s="3">
        <v>250000</v>
      </c>
      <c r="N297" s="3">
        <v>18</v>
      </c>
      <c r="O297" s="3" t="b">
        <v>0</v>
      </c>
      <c r="P297" s="3" t="b">
        <v>0</v>
      </c>
      <c r="Q297" s="3">
        <v>13688.356164383569</v>
      </c>
      <c r="R297" s="3">
        <v>34520.547945205479</v>
      </c>
      <c r="S297" s="3">
        <v>48208.90410958905</v>
      </c>
      <c r="T297" s="5">
        <f>IF(J297&lt;&gt;"",M297*N297/365/100*('Cashflow Projection'!$B$2-Investors!J297),0)</f>
        <v>23547.945205479449</v>
      </c>
    </row>
    <row r="298" spans="1:20" x14ac:dyDescent="0.2">
      <c r="A298" s="3" t="s">
        <v>656</v>
      </c>
      <c r="B298" s="3" t="s">
        <v>657</v>
      </c>
      <c r="C298" s="3" t="s">
        <v>658</v>
      </c>
      <c r="D298" s="3" t="s">
        <v>386</v>
      </c>
      <c r="E298" s="3" t="s">
        <v>655</v>
      </c>
      <c r="F298" s="3" t="b">
        <v>0</v>
      </c>
      <c r="G298" s="3" t="b">
        <v>0</v>
      </c>
      <c r="H298" s="3" t="s">
        <v>628</v>
      </c>
      <c r="I298" s="4">
        <v>45041</v>
      </c>
      <c r="J298" s="4">
        <v>45198</v>
      </c>
      <c r="K298" s="4">
        <v>45532</v>
      </c>
      <c r="L298" s="3">
        <v>1</v>
      </c>
      <c r="M298" s="3">
        <v>350000</v>
      </c>
      <c r="N298" s="3">
        <v>14</v>
      </c>
      <c r="O298" s="3" t="b">
        <v>0</v>
      </c>
      <c r="P298" s="3" t="b">
        <v>0</v>
      </c>
      <c r="Q298" s="3">
        <v>16387.67123287675</v>
      </c>
      <c r="R298" s="3">
        <v>44838.356164383556</v>
      </c>
      <c r="S298" s="3">
        <v>61226.027397260303</v>
      </c>
      <c r="T298" s="5">
        <f>IF(J298&lt;&gt;"",M298*N298/365/100*('Cashflow Projection'!$B$2-Investors!J298),0)</f>
        <v>32890.410958904111</v>
      </c>
    </row>
    <row r="299" spans="1:20" x14ac:dyDescent="0.2">
      <c r="A299" s="3" t="s">
        <v>659</v>
      </c>
      <c r="B299" s="3" t="s">
        <v>660</v>
      </c>
      <c r="C299" s="3" t="s">
        <v>661</v>
      </c>
      <c r="D299" s="3" t="s">
        <v>386</v>
      </c>
      <c r="E299" s="3" t="s">
        <v>662</v>
      </c>
      <c r="F299" s="3" t="b">
        <v>0</v>
      </c>
      <c r="G299" s="3" t="b">
        <v>0</v>
      </c>
      <c r="H299" s="3" t="s">
        <v>628</v>
      </c>
      <c r="I299" s="4">
        <v>45034</v>
      </c>
      <c r="J299" s="4">
        <v>45198</v>
      </c>
      <c r="K299" s="4">
        <v>45532</v>
      </c>
      <c r="L299" s="3">
        <v>1</v>
      </c>
      <c r="M299" s="3">
        <v>400000</v>
      </c>
      <c r="N299" s="3">
        <v>14</v>
      </c>
      <c r="O299" s="3" t="b">
        <v>0</v>
      </c>
      <c r="P299" s="3" t="b">
        <v>0</v>
      </c>
      <c r="Q299" s="3">
        <v>19534.2465753424</v>
      </c>
      <c r="R299" s="3">
        <v>51243.835616438351</v>
      </c>
      <c r="S299" s="3">
        <v>70778.082191780763</v>
      </c>
      <c r="T299" s="5">
        <f>IF(J299&lt;&gt;"",M299*N299/365/100*('Cashflow Projection'!$B$2-Investors!J299),0)</f>
        <v>37589.041095890418</v>
      </c>
    </row>
    <row r="300" spans="1:20" x14ac:dyDescent="0.2">
      <c r="A300" s="3" t="s">
        <v>663</v>
      </c>
      <c r="B300" s="3" t="s">
        <v>664</v>
      </c>
      <c r="C300" s="3" t="s">
        <v>445</v>
      </c>
      <c r="D300" s="3" t="s">
        <v>386</v>
      </c>
      <c r="E300" s="3" t="s">
        <v>662</v>
      </c>
      <c r="F300" s="3" t="b">
        <v>0</v>
      </c>
      <c r="G300" s="3" t="b">
        <v>0</v>
      </c>
      <c r="H300" s="3" t="s">
        <v>628</v>
      </c>
      <c r="I300" s="4">
        <v>45042</v>
      </c>
      <c r="J300" s="4">
        <v>45198</v>
      </c>
      <c r="K300" s="4">
        <v>45532</v>
      </c>
      <c r="L300" s="3">
        <v>5</v>
      </c>
      <c r="M300" s="3">
        <v>500000</v>
      </c>
      <c r="N300" s="3">
        <v>18</v>
      </c>
      <c r="O300" s="3" t="b">
        <v>0</v>
      </c>
      <c r="P300" s="3" t="b">
        <v>0</v>
      </c>
      <c r="Q300" s="3">
        <v>23267.123287671231</v>
      </c>
      <c r="R300" s="3">
        <v>82356.164383561641</v>
      </c>
      <c r="S300" s="3">
        <v>105623.2876712329</v>
      </c>
      <c r="T300" s="5">
        <f>IF(J300&lt;&gt;"",M300*N300/365/100*('Cashflow Projection'!$B$2-Investors!J300),0)</f>
        <v>60410.958904109582</v>
      </c>
    </row>
    <row r="301" spans="1:20" x14ac:dyDescent="0.2">
      <c r="A301" s="3" t="s">
        <v>485</v>
      </c>
      <c r="B301" s="3" t="s">
        <v>486</v>
      </c>
      <c r="C301" s="3" t="s">
        <v>487</v>
      </c>
      <c r="D301" s="3" t="s">
        <v>386</v>
      </c>
      <c r="E301" s="3" t="s">
        <v>662</v>
      </c>
      <c r="F301" s="3" t="b">
        <v>0</v>
      </c>
      <c r="G301" s="3" t="b">
        <v>0</v>
      </c>
      <c r="H301" s="3" t="s">
        <v>628</v>
      </c>
      <c r="I301" s="4">
        <v>45051</v>
      </c>
      <c r="J301" s="4">
        <v>45198</v>
      </c>
      <c r="K301" s="4">
        <v>45532</v>
      </c>
      <c r="L301" s="3">
        <v>10</v>
      </c>
      <c r="M301" s="3">
        <v>200000</v>
      </c>
      <c r="N301" s="3">
        <v>18</v>
      </c>
      <c r="O301" s="3" t="b">
        <v>0</v>
      </c>
      <c r="P301" s="3" t="b">
        <v>0</v>
      </c>
      <c r="Q301" s="3">
        <v>8789.0410958903885</v>
      </c>
      <c r="R301" s="3">
        <v>32942.465753424658</v>
      </c>
      <c r="S301" s="3">
        <v>41731.506849315047</v>
      </c>
      <c r="T301" s="5">
        <f>IF(J301&lt;&gt;"",M301*N301/365/100*('Cashflow Projection'!$B$2-Investors!J301),0)</f>
        <v>24164.383561643834</v>
      </c>
    </row>
    <row r="302" spans="1:20" x14ac:dyDescent="0.2">
      <c r="A302" s="3" t="s">
        <v>78</v>
      </c>
      <c r="B302" s="3" t="s">
        <v>79</v>
      </c>
      <c r="C302" s="3" t="s">
        <v>80</v>
      </c>
      <c r="D302" s="3" t="s">
        <v>386</v>
      </c>
      <c r="E302" s="3" t="s">
        <v>665</v>
      </c>
      <c r="F302" s="3" t="b">
        <v>0</v>
      </c>
      <c r="G302" s="3" t="b">
        <v>0</v>
      </c>
      <c r="H302" s="3" t="s">
        <v>628</v>
      </c>
      <c r="I302" s="4">
        <v>45042</v>
      </c>
      <c r="J302" s="4">
        <v>45198</v>
      </c>
      <c r="K302" s="4">
        <v>45532</v>
      </c>
      <c r="L302" s="3">
        <v>4</v>
      </c>
      <c r="M302" s="3">
        <v>473976.03</v>
      </c>
      <c r="N302" s="3">
        <v>18</v>
      </c>
      <c r="O302" s="3" t="b">
        <v>0</v>
      </c>
      <c r="P302" s="3" t="b">
        <v>0</v>
      </c>
      <c r="Q302" s="3">
        <v>22056.117450821901</v>
      </c>
      <c r="R302" s="3">
        <v>78069.695681095909</v>
      </c>
      <c r="S302" s="3">
        <v>100125.81313191781</v>
      </c>
      <c r="T302" s="5">
        <f>IF(J302&lt;&gt;"",M302*N302/365/100*('Cashflow Projection'!$B$2-Investors!J302),0)</f>
        <v>57266.692939726039</v>
      </c>
    </row>
    <row r="303" spans="1:20" x14ac:dyDescent="0.2">
      <c r="A303" s="3" t="s">
        <v>317</v>
      </c>
      <c r="B303" s="3" t="s">
        <v>318</v>
      </c>
      <c r="C303" s="3" t="s">
        <v>319</v>
      </c>
      <c r="D303" s="3" t="s">
        <v>386</v>
      </c>
      <c r="E303" s="3" t="s">
        <v>665</v>
      </c>
      <c r="F303" s="3" t="b">
        <v>0</v>
      </c>
      <c r="G303" s="3" t="b">
        <v>0</v>
      </c>
      <c r="H303" s="3" t="s">
        <v>628</v>
      </c>
      <c r="I303" s="4">
        <v>45042</v>
      </c>
      <c r="J303" s="4">
        <v>45224</v>
      </c>
      <c r="K303" s="4">
        <v>45532</v>
      </c>
      <c r="L303" s="3">
        <v>2</v>
      </c>
      <c r="M303" s="3">
        <v>600000</v>
      </c>
      <c r="N303" s="3">
        <v>16</v>
      </c>
      <c r="O303" s="3" t="b">
        <v>0</v>
      </c>
      <c r="P303" s="3" t="b">
        <v>0</v>
      </c>
      <c r="Q303" s="3">
        <v>32621.917808219121</v>
      </c>
      <c r="R303" s="3">
        <v>81008.219178082203</v>
      </c>
      <c r="S303" s="3">
        <v>113630.1369863013</v>
      </c>
      <c r="T303" s="5">
        <f>IF(J303&lt;&gt;"",M303*N303/365/100*('Cashflow Projection'!$B$2-Investors!J303),0)</f>
        <v>57599.999999999993</v>
      </c>
    </row>
    <row r="304" spans="1:20" x14ac:dyDescent="0.2">
      <c r="A304" s="3" t="s">
        <v>326</v>
      </c>
      <c r="B304" s="3" t="s">
        <v>327</v>
      </c>
      <c r="C304" s="3" t="s">
        <v>32</v>
      </c>
      <c r="D304" s="3" t="s">
        <v>386</v>
      </c>
      <c r="E304" s="3" t="s">
        <v>666</v>
      </c>
      <c r="F304" s="3" t="b">
        <v>0</v>
      </c>
      <c r="G304" s="3" t="b">
        <v>0</v>
      </c>
      <c r="H304" s="3" t="s">
        <v>628</v>
      </c>
      <c r="I304" s="4">
        <v>45042</v>
      </c>
      <c r="J304" s="4">
        <v>45224</v>
      </c>
      <c r="K304" s="4">
        <v>45532</v>
      </c>
      <c r="L304" s="3">
        <v>6</v>
      </c>
      <c r="M304" s="3">
        <v>943566.44</v>
      </c>
      <c r="N304" s="3">
        <v>18</v>
      </c>
      <c r="O304" s="3" t="b">
        <v>0</v>
      </c>
      <c r="P304" s="3" t="b">
        <v>0</v>
      </c>
      <c r="Q304" s="3">
        <v>51301.578087123467</v>
      </c>
      <c r="R304" s="3">
        <v>143318.6943386301</v>
      </c>
      <c r="S304" s="3">
        <v>194620.27242575359</v>
      </c>
      <c r="T304" s="5">
        <f>IF(J304&lt;&gt;"",M304*N304/365/100*('Cashflow Projection'!$B$2-Investors!J304),0)</f>
        <v>101905.17551999999</v>
      </c>
    </row>
    <row r="305" spans="1:20" x14ac:dyDescent="0.2">
      <c r="A305" s="3" t="s">
        <v>185</v>
      </c>
      <c r="B305" s="3" t="s">
        <v>186</v>
      </c>
      <c r="C305" s="3" t="s">
        <v>187</v>
      </c>
      <c r="D305" s="3" t="s">
        <v>386</v>
      </c>
      <c r="E305" s="3" t="s">
        <v>666</v>
      </c>
      <c r="F305" s="3" t="b">
        <v>0</v>
      </c>
      <c r="G305" s="3" t="b">
        <v>0</v>
      </c>
      <c r="H305" s="3" t="s">
        <v>628</v>
      </c>
      <c r="I305" s="4">
        <v>45097</v>
      </c>
      <c r="J305" s="4">
        <v>45259</v>
      </c>
      <c r="K305" s="4">
        <v>45532</v>
      </c>
      <c r="L305" s="3">
        <v>6</v>
      </c>
      <c r="M305" s="3">
        <v>139300.72</v>
      </c>
      <c r="N305" s="3">
        <v>14</v>
      </c>
      <c r="O305" s="3" t="b">
        <v>0</v>
      </c>
      <c r="P305" s="3" t="b">
        <v>0</v>
      </c>
      <c r="Q305" s="3">
        <v>6800.9283024657389</v>
      </c>
      <c r="R305" s="3">
        <v>14586.50279013699</v>
      </c>
      <c r="S305" s="3">
        <v>21387.431092602721</v>
      </c>
      <c r="T305" s="5">
        <f>IF(J305&lt;&gt;"",M305*N305/365/100*('Cashflow Projection'!$B$2-Investors!J305),0)</f>
        <v>9831.1960197260287</v>
      </c>
    </row>
    <row r="306" spans="1:20" x14ac:dyDescent="0.2">
      <c r="A306" s="3" t="s">
        <v>667</v>
      </c>
      <c r="B306" s="3" t="s">
        <v>668</v>
      </c>
      <c r="C306" s="3" t="s">
        <v>669</v>
      </c>
      <c r="D306" s="3" t="s">
        <v>386</v>
      </c>
      <c r="E306" s="3" t="s">
        <v>670</v>
      </c>
      <c r="F306" s="3" t="b">
        <v>0</v>
      </c>
      <c r="G306" s="3" t="b">
        <v>0</v>
      </c>
      <c r="H306" s="3" t="s">
        <v>628</v>
      </c>
      <c r="I306" s="4">
        <v>45057</v>
      </c>
      <c r="J306" s="4">
        <v>45252</v>
      </c>
      <c r="K306" s="4">
        <v>45532</v>
      </c>
      <c r="L306" s="3">
        <v>1</v>
      </c>
      <c r="M306" s="3">
        <v>100000</v>
      </c>
      <c r="N306" s="3">
        <v>14</v>
      </c>
      <c r="O306" s="3" t="b">
        <v>0</v>
      </c>
      <c r="P306" s="3" t="b">
        <v>0</v>
      </c>
      <c r="Q306" s="3">
        <v>5849.3150684931315</v>
      </c>
      <c r="R306" s="3">
        <v>10739.726027397261</v>
      </c>
      <c r="S306" s="3">
        <v>16589.041095890389</v>
      </c>
      <c r="T306" s="5">
        <f>IF(J306&lt;&gt;"",M306*N306/365/100*('Cashflow Projection'!$B$2-Investors!J306),0)</f>
        <v>7326.0273972602745</v>
      </c>
    </row>
    <row r="307" spans="1:20" x14ac:dyDescent="0.2">
      <c r="A307" s="3" t="s">
        <v>332</v>
      </c>
      <c r="B307" s="3" t="s">
        <v>333</v>
      </c>
      <c r="C307" s="3" t="s">
        <v>122</v>
      </c>
      <c r="D307" s="3" t="s">
        <v>386</v>
      </c>
      <c r="E307" s="3" t="s">
        <v>670</v>
      </c>
      <c r="F307" s="3" t="b">
        <v>0</v>
      </c>
      <c r="G307" s="3" t="b">
        <v>0</v>
      </c>
      <c r="H307" s="3" t="s">
        <v>628</v>
      </c>
      <c r="I307" s="4">
        <v>45042</v>
      </c>
      <c r="J307" s="4">
        <v>45198</v>
      </c>
      <c r="K307" s="4">
        <v>45532</v>
      </c>
      <c r="L307" s="3">
        <v>5</v>
      </c>
      <c r="M307" s="3">
        <v>500000</v>
      </c>
      <c r="N307" s="3">
        <v>18</v>
      </c>
      <c r="O307" s="3" t="b">
        <v>0</v>
      </c>
      <c r="P307" s="3" t="b">
        <v>0</v>
      </c>
      <c r="Q307" s="3">
        <v>23267.123287671231</v>
      </c>
      <c r="R307" s="3">
        <v>82356.164383561641</v>
      </c>
      <c r="S307" s="3">
        <v>105623.2876712329</v>
      </c>
      <c r="T307" s="5">
        <f>IF(J307&lt;&gt;"",M307*N307/365/100*('Cashflow Projection'!$B$2-Investors!J307),0)</f>
        <v>60410.958904109582</v>
      </c>
    </row>
    <row r="308" spans="1:20" x14ac:dyDescent="0.2">
      <c r="A308" s="3" t="s">
        <v>276</v>
      </c>
      <c r="B308" s="3" t="s">
        <v>277</v>
      </c>
      <c r="C308" s="3" t="s">
        <v>266</v>
      </c>
      <c r="D308" s="3" t="s">
        <v>386</v>
      </c>
      <c r="E308" s="3" t="s">
        <v>670</v>
      </c>
      <c r="F308" s="3" t="b">
        <v>0</v>
      </c>
      <c r="G308" s="3" t="b">
        <v>0</v>
      </c>
      <c r="H308" s="3" t="s">
        <v>628</v>
      </c>
      <c r="I308" s="4">
        <v>45044</v>
      </c>
      <c r="J308" s="4">
        <v>45224</v>
      </c>
      <c r="K308" s="4">
        <v>45532</v>
      </c>
      <c r="L308" s="3">
        <v>4</v>
      </c>
      <c r="M308" s="3">
        <v>500000</v>
      </c>
      <c r="N308" s="3">
        <v>18</v>
      </c>
      <c r="O308" s="3" t="b">
        <v>0</v>
      </c>
      <c r="P308" s="3" t="b">
        <v>0</v>
      </c>
      <c r="Q308" s="3">
        <v>26897.260273972621</v>
      </c>
      <c r="R308" s="3">
        <v>75945.205479452052</v>
      </c>
      <c r="S308" s="3">
        <v>102842.46575342469</v>
      </c>
      <c r="T308" s="5">
        <f>IF(J308&lt;&gt;"",M308*N308/365/100*('Cashflow Projection'!$B$2-Investors!J308),0)</f>
        <v>54000</v>
      </c>
    </row>
    <row r="309" spans="1:20" x14ac:dyDescent="0.2">
      <c r="A309" s="3" t="s">
        <v>671</v>
      </c>
      <c r="B309" s="3" t="s">
        <v>672</v>
      </c>
      <c r="C309" s="3" t="s">
        <v>673</v>
      </c>
      <c r="D309" s="3" t="s">
        <v>386</v>
      </c>
      <c r="E309" s="3" t="s">
        <v>674</v>
      </c>
      <c r="F309" s="3" t="b">
        <v>1</v>
      </c>
      <c r="G309" s="3" t="b">
        <v>0</v>
      </c>
      <c r="H309" s="3" t="s">
        <v>675</v>
      </c>
      <c r="I309" s="4">
        <v>45210</v>
      </c>
      <c r="J309" s="4">
        <v>45224</v>
      </c>
      <c r="K309" s="4">
        <v>45490</v>
      </c>
      <c r="L309" s="3">
        <v>1</v>
      </c>
      <c r="M309" s="3">
        <v>1100000</v>
      </c>
      <c r="N309" s="3">
        <v>18</v>
      </c>
      <c r="O309" s="3" t="b">
        <v>0</v>
      </c>
      <c r="P309" s="3" t="b">
        <v>0</v>
      </c>
      <c r="Q309" s="3">
        <v>4641.0958904109584</v>
      </c>
      <c r="R309" s="3">
        <v>144295.89041095891</v>
      </c>
      <c r="S309" s="3">
        <v>148936.98630136991</v>
      </c>
      <c r="T309" s="5">
        <f>IF(J309&lt;&gt;"",M309*N309/365/100*('Cashflow Projection'!$B$2-Investors!J309),0)</f>
        <v>118800.00000000001</v>
      </c>
    </row>
    <row r="310" spans="1:20" x14ac:dyDescent="0.2">
      <c r="A310" s="3" t="s">
        <v>671</v>
      </c>
      <c r="B310" s="3" t="s">
        <v>672</v>
      </c>
      <c r="C310" s="3" t="s">
        <v>673</v>
      </c>
      <c r="D310" s="3" t="s">
        <v>386</v>
      </c>
      <c r="E310" s="3" t="s">
        <v>676</v>
      </c>
      <c r="F310" s="3" t="b">
        <v>1</v>
      </c>
      <c r="G310" s="3" t="b">
        <v>0</v>
      </c>
      <c r="H310" s="3" t="s">
        <v>675</v>
      </c>
      <c r="I310" s="4">
        <v>45210</v>
      </c>
      <c r="J310" s="4">
        <v>45224</v>
      </c>
      <c r="K310" s="4">
        <v>45490</v>
      </c>
      <c r="L310" s="3">
        <v>2</v>
      </c>
      <c r="M310" s="3">
        <v>1100000</v>
      </c>
      <c r="N310" s="3">
        <v>18</v>
      </c>
      <c r="O310" s="3" t="b">
        <v>0</v>
      </c>
      <c r="P310" s="3" t="b">
        <v>0</v>
      </c>
      <c r="Q310" s="3">
        <v>4641.0958904109584</v>
      </c>
      <c r="R310" s="3">
        <v>144295.89041095891</v>
      </c>
      <c r="S310" s="3">
        <v>148936.98630136991</v>
      </c>
      <c r="T310" s="5">
        <f>IF(J310&lt;&gt;"",M310*N310/365/100*('Cashflow Projection'!$B$2-Investors!J310),0)</f>
        <v>118800.00000000001</v>
      </c>
    </row>
    <row r="311" spans="1:20" x14ac:dyDescent="0.2">
      <c r="A311" s="3" t="s">
        <v>671</v>
      </c>
      <c r="B311" s="3" t="s">
        <v>672</v>
      </c>
      <c r="C311" s="3" t="s">
        <v>673</v>
      </c>
      <c r="D311" s="3" t="s">
        <v>386</v>
      </c>
      <c r="E311" s="3" t="s">
        <v>677</v>
      </c>
      <c r="F311" s="3" t="b">
        <v>1</v>
      </c>
      <c r="G311" s="3" t="b">
        <v>0</v>
      </c>
      <c r="H311" s="3" t="s">
        <v>675</v>
      </c>
      <c r="I311" s="4">
        <v>45210</v>
      </c>
      <c r="J311" s="4">
        <v>45224</v>
      </c>
      <c r="K311" s="4">
        <v>45490</v>
      </c>
      <c r="L311" s="3">
        <v>3</v>
      </c>
      <c r="M311" s="3">
        <v>1100000</v>
      </c>
      <c r="N311" s="3">
        <v>18</v>
      </c>
      <c r="O311" s="3" t="b">
        <v>0</v>
      </c>
      <c r="P311" s="3" t="b">
        <v>0</v>
      </c>
      <c r="Q311" s="3">
        <v>4641.0958904109584</v>
      </c>
      <c r="R311" s="3">
        <v>144295.89041095891</v>
      </c>
      <c r="S311" s="3">
        <v>148936.98630136991</v>
      </c>
      <c r="T311" s="5">
        <f>IF(J311&lt;&gt;"",M311*N311/365/100*('Cashflow Projection'!$B$2-Investors!J311),0)</f>
        <v>118800.00000000001</v>
      </c>
    </row>
    <row r="312" spans="1:20" x14ac:dyDescent="0.2">
      <c r="A312" s="3" t="s">
        <v>671</v>
      </c>
      <c r="B312" s="3" t="s">
        <v>672</v>
      </c>
      <c r="C312" s="3" t="s">
        <v>673</v>
      </c>
      <c r="D312" s="3" t="s">
        <v>386</v>
      </c>
      <c r="E312" s="3" t="s">
        <v>678</v>
      </c>
      <c r="F312" s="3" t="b">
        <v>1</v>
      </c>
      <c r="G312" s="3" t="b">
        <v>0</v>
      </c>
      <c r="H312" s="3" t="s">
        <v>675</v>
      </c>
      <c r="I312" s="4">
        <v>45210</v>
      </c>
      <c r="J312" s="4">
        <v>45224</v>
      </c>
      <c r="K312" s="4">
        <v>45490</v>
      </c>
      <c r="L312" s="3">
        <v>4</v>
      </c>
      <c r="M312" s="3">
        <v>1100000</v>
      </c>
      <c r="N312" s="3">
        <v>18</v>
      </c>
      <c r="O312" s="3" t="b">
        <v>0</v>
      </c>
      <c r="P312" s="3" t="b">
        <v>0</v>
      </c>
      <c r="Q312" s="3">
        <v>4641.0958904109584</v>
      </c>
      <c r="R312" s="3">
        <v>144295.89041095891</v>
      </c>
      <c r="S312" s="3">
        <v>148936.98630136991</v>
      </c>
      <c r="T312" s="5">
        <f>IF(J312&lt;&gt;"",M312*N312/365/100*('Cashflow Projection'!$B$2-Investors!J312),0)</f>
        <v>118800.00000000001</v>
      </c>
    </row>
    <row r="313" spans="1:20" x14ac:dyDescent="0.2">
      <c r="A313" s="3" t="s">
        <v>671</v>
      </c>
      <c r="B313" s="3" t="s">
        <v>672</v>
      </c>
      <c r="C313" s="3" t="s">
        <v>673</v>
      </c>
      <c r="D313" s="3" t="s">
        <v>386</v>
      </c>
      <c r="E313" s="3" t="s">
        <v>679</v>
      </c>
      <c r="F313" s="3" t="b">
        <v>1</v>
      </c>
      <c r="G313" s="3" t="b">
        <v>0</v>
      </c>
      <c r="H313" s="3" t="s">
        <v>675</v>
      </c>
      <c r="I313" s="4">
        <v>45254</v>
      </c>
      <c r="J313" s="4">
        <v>45259</v>
      </c>
      <c r="K313" s="4">
        <v>45490</v>
      </c>
      <c r="L313" s="3">
        <v>5</v>
      </c>
      <c r="M313" s="3">
        <v>1100000</v>
      </c>
      <c r="N313" s="3">
        <v>18</v>
      </c>
      <c r="O313" s="3" t="b">
        <v>0</v>
      </c>
      <c r="P313" s="3" t="b">
        <v>0</v>
      </c>
      <c r="Q313" s="3">
        <v>1657.534246575342</v>
      </c>
      <c r="R313" s="3">
        <v>125309.5890410959</v>
      </c>
      <c r="S313" s="3">
        <v>126967.1232876712</v>
      </c>
      <c r="T313" s="5">
        <f>IF(J313&lt;&gt;"",M313*N313/365/100*('Cashflow Projection'!$B$2-Investors!J313),0)</f>
        <v>99813.698630136991</v>
      </c>
    </row>
    <row r="314" spans="1:20" x14ac:dyDescent="0.2">
      <c r="A314" s="3" t="s">
        <v>671</v>
      </c>
      <c r="B314" s="3" t="s">
        <v>672</v>
      </c>
      <c r="C314" s="3" t="s">
        <v>673</v>
      </c>
      <c r="D314" s="3" t="s">
        <v>386</v>
      </c>
      <c r="E314" s="3" t="s">
        <v>680</v>
      </c>
      <c r="F314" s="3" t="b">
        <v>1</v>
      </c>
      <c r="G314" s="3" t="b">
        <v>0</v>
      </c>
      <c r="H314" s="3" t="s">
        <v>675</v>
      </c>
      <c r="I314" s="4">
        <v>45254</v>
      </c>
      <c r="J314" s="4">
        <v>45273</v>
      </c>
      <c r="K314" s="4">
        <v>45490</v>
      </c>
      <c r="L314" s="3">
        <v>6</v>
      </c>
      <c r="M314" s="3">
        <v>1100000</v>
      </c>
      <c r="N314" s="3">
        <v>18</v>
      </c>
      <c r="O314" s="3" t="b">
        <v>0</v>
      </c>
      <c r="P314" s="3" t="b">
        <v>0</v>
      </c>
      <c r="Q314" s="3">
        <v>6298.6301369863004</v>
      </c>
      <c r="R314" s="3">
        <v>117715.0684931507</v>
      </c>
      <c r="S314" s="3">
        <v>124013.69863013701</v>
      </c>
      <c r="T314" s="5">
        <f>IF(J314&lt;&gt;"",M314*N314/365/100*('Cashflow Projection'!$B$2-Investors!J314),0)</f>
        <v>92219.178082191793</v>
      </c>
    </row>
    <row r="315" spans="1:20" x14ac:dyDescent="0.2">
      <c r="A315" s="3" t="s">
        <v>671</v>
      </c>
      <c r="B315" s="3" t="s">
        <v>672</v>
      </c>
      <c r="C315" s="3" t="s">
        <v>673</v>
      </c>
      <c r="D315" s="3" t="s">
        <v>386</v>
      </c>
      <c r="E315" s="3" t="s">
        <v>681</v>
      </c>
      <c r="F315" s="3" t="b">
        <v>1</v>
      </c>
      <c r="G315" s="3" t="b">
        <v>0</v>
      </c>
      <c r="H315" s="3" t="s">
        <v>675</v>
      </c>
      <c r="I315" s="4">
        <v>45254</v>
      </c>
      <c r="J315" s="4">
        <v>45273</v>
      </c>
      <c r="K315" s="4">
        <v>45490</v>
      </c>
      <c r="L315" s="3">
        <v>7</v>
      </c>
      <c r="M315" s="3">
        <v>1100000</v>
      </c>
      <c r="N315" s="3">
        <v>18</v>
      </c>
      <c r="O315" s="3" t="b">
        <v>0</v>
      </c>
      <c r="P315" s="3" t="b">
        <v>0</v>
      </c>
      <c r="Q315" s="3">
        <v>6298.6301369863004</v>
      </c>
      <c r="R315" s="3">
        <v>117715.0684931507</v>
      </c>
      <c r="S315" s="3">
        <v>124013.69863013701</v>
      </c>
      <c r="T315" s="5">
        <f>IF(J315&lt;&gt;"",M315*N315/365/100*('Cashflow Projection'!$B$2-Investors!J315),0)</f>
        <v>92219.178082191793</v>
      </c>
    </row>
    <row r="316" spans="1:20" x14ac:dyDescent="0.2">
      <c r="A316" s="3" t="s">
        <v>671</v>
      </c>
      <c r="B316" s="3" t="s">
        <v>672</v>
      </c>
      <c r="C316" s="3" t="s">
        <v>673</v>
      </c>
      <c r="D316" s="3" t="s">
        <v>386</v>
      </c>
      <c r="E316" s="3" t="s">
        <v>682</v>
      </c>
      <c r="F316" s="3" t="b">
        <v>1</v>
      </c>
      <c r="G316" s="3" t="b">
        <v>0</v>
      </c>
      <c r="H316" s="3" t="s">
        <v>675</v>
      </c>
      <c r="I316" s="4">
        <v>45254</v>
      </c>
      <c r="J316" s="4">
        <v>45273</v>
      </c>
      <c r="K316" s="4">
        <v>45490</v>
      </c>
      <c r="L316" s="3">
        <v>8</v>
      </c>
      <c r="M316" s="3">
        <v>1100000</v>
      </c>
      <c r="N316" s="3">
        <v>18</v>
      </c>
      <c r="O316" s="3" t="b">
        <v>0</v>
      </c>
      <c r="P316" s="3" t="b">
        <v>0</v>
      </c>
      <c r="Q316" s="3">
        <v>6298.6301369863004</v>
      </c>
      <c r="R316" s="3">
        <v>117715.0684931507</v>
      </c>
      <c r="S316" s="3">
        <v>124013.69863013701</v>
      </c>
      <c r="T316" s="5">
        <f>IF(J316&lt;&gt;"",M316*N316/365/100*('Cashflow Projection'!$B$2-Investors!J316),0)</f>
        <v>92219.178082191793</v>
      </c>
    </row>
    <row r="317" spans="1:20" x14ac:dyDescent="0.2">
      <c r="A317" s="3" t="s">
        <v>44</v>
      </c>
      <c r="B317" s="3" t="s">
        <v>45</v>
      </c>
      <c r="C317" s="3" t="s">
        <v>46</v>
      </c>
      <c r="D317" s="3" t="s">
        <v>386</v>
      </c>
      <c r="E317" s="3" t="s">
        <v>683</v>
      </c>
      <c r="F317" s="3" t="b">
        <v>0</v>
      </c>
      <c r="G317" s="3" t="b">
        <v>0</v>
      </c>
      <c r="H317" s="3" t="s">
        <v>684</v>
      </c>
      <c r="I317" s="4">
        <v>45044</v>
      </c>
      <c r="J317" s="4">
        <v>45224</v>
      </c>
      <c r="K317" s="4">
        <v>45516</v>
      </c>
      <c r="L317" s="3">
        <v>9</v>
      </c>
      <c r="M317" s="3">
        <v>1100000</v>
      </c>
      <c r="N317" s="3">
        <v>18</v>
      </c>
      <c r="O317" s="3" t="b">
        <v>0</v>
      </c>
      <c r="P317" s="3" t="b">
        <v>0</v>
      </c>
      <c r="Q317" s="3">
        <v>59173.972602739719</v>
      </c>
      <c r="R317" s="3">
        <v>158400</v>
      </c>
      <c r="S317" s="3">
        <v>217573.9726027397</v>
      </c>
      <c r="T317" s="5">
        <f>IF(J317&lt;&gt;"",M317*N317/365/100*('Cashflow Projection'!$B$2-Investors!J317),0)</f>
        <v>118800.00000000001</v>
      </c>
    </row>
    <row r="318" spans="1:20" x14ac:dyDescent="0.2">
      <c r="A318" s="3" t="s">
        <v>85</v>
      </c>
      <c r="B318" s="3" t="s">
        <v>86</v>
      </c>
      <c r="C318" s="3" t="s">
        <v>87</v>
      </c>
      <c r="D318" s="3" t="s">
        <v>386</v>
      </c>
      <c r="E318" s="3" t="s">
        <v>685</v>
      </c>
      <c r="F318" s="3" t="b">
        <v>0</v>
      </c>
      <c r="G318" s="3" t="b">
        <v>0</v>
      </c>
      <c r="H318" s="3" t="s">
        <v>684</v>
      </c>
      <c r="I318" s="4">
        <v>45064</v>
      </c>
      <c r="J318" s="4">
        <v>45252</v>
      </c>
      <c r="K318" s="4">
        <v>45516</v>
      </c>
      <c r="L318" s="3">
        <v>6</v>
      </c>
      <c r="M318" s="3">
        <v>351000</v>
      </c>
      <c r="N318" s="3">
        <v>18</v>
      </c>
      <c r="O318" s="3" t="b">
        <v>0</v>
      </c>
      <c r="P318" s="3" t="b">
        <v>0</v>
      </c>
      <c r="Q318" s="3">
        <v>19824.287671232811</v>
      </c>
      <c r="R318" s="3">
        <v>45697.315068493153</v>
      </c>
      <c r="S318" s="3">
        <v>65521.60273972596</v>
      </c>
      <c r="T318" s="5">
        <f>IF(J318&lt;&gt;"",M318*N318/365/100*('Cashflow Projection'!$B$2-Investors!J318),0)</f>
        <v>33061.315068493153</v>
      </c>
    </row>
    <row r="319" spans="1:20" x14ac:dyDescent="0.2">
      <c r="A319" s="3" t="s">
        <v>686</v>
      </c>
      <c r="B319" s="3" t="s">
        <v>687</v>
      </c>
      <c r="C319" s="3" t="s">
        <v>688</v>
      </c>
      <c r="D319" s="3" t="s">
        <v>386</v>
      </c>
      <c r="E319" s="3" t="s">
        <v>685</v>
      </c>
      <c r="F319" s="3" t="b">
        <v>0</v>
      </c>
      <c r="G319" s="3" t="b">
        <v>0</v>
      </c>
      <c r="H319" s="3" t="s">
        <v>684</v>
      </c>
      <c r="I319" s="4">
        <v>45099</v>
      </c>
      <c r="J319" s="4">
        <v>45259</v>
      </c>
      <c r="K319" s="4">
        <v>45516</v>
      </c>
      <c r="L319" s="3">
        <v>1</v>
      </c>
      <c r="M319" s="3">
        <v>150000</v>
      </c>
      <c r="N319" s="3">
        <v>14</v>
      </c>
      <c r="O319" s="3" t="b">
        <v>0</v>
      </c>
      <c r="P319" s="3" t="b">
        <v>0</v>
      </c>
      <c r="Q319" s="3">
        <v>7232.8767123287571</v>
      </c>
      <c r="R319" s="3">
        <v>14786.301369863009</v>
      </c>
      <c r="S319" s="3">
        <v>22019.178082191771</v>
      </c>
      <c r="T319" s="5">
        <f>IF(J319&lt;&gt;"",M319*N319/365/100*('Cashflow Projection'!$B$2-Investors!J319),0)</f>
        <v>10586.301369863013</v>
      </c>
    </row>
    <row r="320" spans="1:20" x14ac:dyDescent="0.2">
      <c r="A320" s="3" t="s">
        <v>689</v>
      </c>
      <c r="B320" s="3" t="s">
        <v>690</v>
      </c>
      <c r="C320" s="3" t="s">
        <v>691</v>
      </c>
      <c r="D320" s="3" t="s">
        <v>386</v>
      </c>
      <c r="E320" s="3" t="s">
        <v>685</v>
      </c>
      <c r="F320" s="3" t="b">
        <v>0</v>
      </c>
      <c r="G320" s="3" t="b">
        <v>0</v>
      </c>
      <c r="H320" s="3" t="s">
        <v>684</v>
      </c>
      <c r="I320" s="4">
        <v>45044</v>
      </c>
      <c r="J320" s="4">
        <v>45224</v>
      </c>
      <c r="K320" s="4">
        <v>45516</v>
      </c>
      <c r="L320" s="3">
        <v>1</v>
      </c>
      <c r="M320" s="3">
        <v>400000</v>
      </c>
      <c r="N320" s="3">
        <v>14</v>
      </c>
      <c r="O320" s="3" t="b">
        <v>0</v>
      </c>
      <c r="P320" s="3" t="b">
        <v>0</v>
      </c>
      <c r="Q320" s="3">
        <v>21517.808219178009</v>
      </c>
      <c r="R320" s="3">
        <v>44800</v>
      </c>
      <c r="S320" s="3">
        <v>66317.808219178012</v>
      </c>
      <c r="T320" s="5">
        <f>IF(J320&lt;&gt;"",M320*N320/365/100*('Cashflow Projection'!$B$2-Investors!J320),0)</f>
        <v>33600</v>
      </c>
    </row>
    <row r="321" spans="1:20" x14ac:dyDescent="0.2">
      <c r="A321" s="3" t="s">
        <v>692</v>
      </c>
      <c r="B321" s="3" t="s">
        <v>693</v>
      </c>
      <c r="C321" s="3" t="s">
        <v>694</v>
      </c>
      <c r="D321" s="3" t="s">
        <v>386</v>
      </c>
      <c r="E321" s="3" t="s">
        <v>685</v>
      </c>
      <c r="F321" s="3" t="b">
        <v>0</v>
      </c>
      <c r="G321" s="3" t="b">
        <v>0</v>
      </c>
      <c r="H321" s="3" t="s">
        <v>684</v>
      </c>
      <c r="I321" s="4">
        <v>45113</v>
      </c>
      <c r="J321" s="4">
        <v>45259</v>
      </c>
      <c r="K321" s="4">
        <v>45516</v>
      </c>
      <c r="L321" s="3">
        <v>1</v>
      </c>
      <c r="M321" s="3">
        <v>200000</v>
      </c>
      <c r="N321" s="3">
        <v>14</v>
      </c>
      <c r="O321" s="3" t="b">
        <v>0</v>
      </c>
      <c r="P321" s="3" t="b">
        <v>0</v>
      </c>
      <c r="Q321" s="3">
        <v>8799.9999999999782</v>
      </c>
      <c r="R321" s="3">
        <v>19715.06849315068</v>
      </c>
      <c r="S321" s="3">
        <v>28515.068493150658</v>
      </c>
      <c r="T321" s="5">
        <f>IF(J321&lt;&gt;"",M321*N321/365/100*('Cashflow Projection'!$B$2-Investors!J321),0)</f>
        <v>14115.068493150686</v>
      </c>
    </row>
    <row r="322" spans="1:20" x14ac:dyDescent="0.2">
      <c r="A322" s="3" t="s">
        <v>695</v>
      </c>
      <c r="B322" s="3" t="s">
        <v>696</v>
      </c>
      <c r="C322" s="3" t="s">
        <v>697</v>
      </c>
      <c r="D322" s="3" t="s">
        <v>386</v>
      </c>
      <c r="E322" s="3" t="s">
        <v>698</v>
      </c>
      <c r="F322" s="3" t="b">
        <v>0</v>
      </c>
      <c r="G322" s="3" t="b">
        <v>0</v>
      </c>
      <c r="H322" s="3" t="s">
        <v>684</v>
      </c>
      <c r="I322" s="4">
        <v>45064</v>
      </c>
      <c r="J322" s="4">
        <v>45259</v>
      </c>
      <c r="K322" s="4">
        <v>45516</v>
      </c>
      <c r="L322" s="3">
        <v>1</v>
      </c>
      <c r="M322" s="3">
        <v>1000000</v>
      </c>
      <c r="N322" s="3">
        <v>18</v>
      </c>
      <c r="O322" s="3" t="b">
        <v>0</v>
      </c>
      <c r="P322" s="3" t="b">
        <v>0</v>
      </c>
      <c r="Q322" s="3">
        <v>58589.041095890483</v>
      </c>
      <c r="R322" s="3">
        <v>126739.72602739729</v>
      </c>
      <c r="S322" s="3">
        <v>185328.76712328769</v>
      </c>
      <c r="T322" s="5">
        <f>IF(J322&lt;&gt;"",M322*N322/365/100*('Cashflow Projection'!$B$2-Investors!J322),0)</f>
        <v>90739.72602739725</v>
      </c>
    </row>
    <row r="323" spans="1:20" x14ac:dyDescent="0.2">
      <c r="A323" s="3" t="s">
        <v>142</v>
      </c>
      <c r="B323" s="3" t="s">
        <v>143</v>
      </c>
      <c r="C323" s="3" t="s">
        <v>144</v>
      </c>
      <c r="D323" s="3" t="s">
        <v>386</v>
      </c>
      <c r="E323" s="3" t="s">
        <v>698</v>
      </c>
      <c r="F323" s="3" t="b">
        <v>0</v>
      </c>
      <c r="G323" s="3" t="b">
        <v>0</v>
      </c>
      <c r="H323" s="3" t="s">
        <v>684</v>
      </c>
      <c r="I323" s="4">
        <v>45328</v>
      </c>
      <c r="J323" s="4">
        <v>45371</v>
      </c>
      <c r="K323" s="4">
        <v>45516</v>
      </c>
      <c r="L323" s="3">
        <v>6</v>
      </c>
      <c r="M323" s="3">
        <v>100000</v>
      </c>
      <c r="N323" s="3">
        <v>14</v>
      </c>
      <c r="O323" s="3" t="b">
        <v>0</v>
      </c>
      <c r="P323" s="3" t="b">
        <v>0</v>
      </c>
      <c r="Q323" s="3">
        <v>1295.890410958905</v>
      </c>
      <c r="R323" s="3">
        <v>5561.6438356164381</v>
      </c>
      <c r="S323" s="3">
        <v>6857.5342465753438</v>
      </c>
      <c r="T323" s="5">
        <f>IF(J323&lt;&gt;"",M323*N323/365/100*('Cashflow Projection'!$B$2-Investors!J323),0)</f>
        <v>2761.6438356164385</v>
      </c>
    </row>
    <row r="324" spans="1:20" x14ac:dyDescent="0.2">
      <c r="A324" s="3" t="s">
        <v>699</v>
      </c>
      <c r="B324" s="3" t="s">
        <v>700</v>
      </c>
      <c r="C324" s="3" t="s">
        <v>701</v>
      </c>
      <c r="D324" s="3" t="s">
        <v>386</v>
      </c>
      <c r="E324" s="3" t="s">
        <v>702</v>
      </c>
      <c r="F324" s="3" t="b">
        <v>0</v>
      </c>
      <c r="G324" s="3" t="b">
        <v>0</v>
      </c>
      <c r="H324" s="3" t="s">
        <v>684</v>
      </c>
      <c r="I324" s="4">
        <v>45097</v>
      </c>
      <c r="J324" s="4">
        <v>45259</v>
      </c>
      <c r="K324" s="4">
        <v>45516</v>
      </c>
      <c r="L324" s="3">
        <v>2</v>
      </c>
      <c r="M324" s="3">
        <v>100000</v>
      </c>
      <c r="N324" s="3">
        <v>14</v>
      </c>
      <c r="O324" s="3" t="b">
        <v>0</v>
      </c>
      <c r="P324" s="3" t="b">
        <v>0</v>
      </c>
      <c r="Q324" s="3">
        <v>4882.1917808219041</v>
      </c>
      <c r="R324" s="3">
        <v>9857.534246575342</v>
      </c>
      <c r="S324" s="3">
        <v>14739.72602739725</v>
      </c>
      <c r="T324" s="5">
        <f>IF(J324&lt;&gt;"",M324*N324/365/100*('Cashflow Projection'!$B$2-Investors!J324),0)</f>
        <v>7057.5342465753429</v>
      </c>
    </row>
    <row r="325" spans="1:20" x14ac:dyDescent="0.2">
      <c r="A325" s="3" t="s">
        <v>292</v>
      </c>
      <c r="B325" s="3" t="s">
        <v>293</v>
      </c>
      <c r="C325" s="3" t="s">
        <v>294</v>
      </c>
      <c r="D325" s="3" t="s">
        <v>386</v>
      </c>
      <c r="E325" s="3" t="s">
        <v>702</v>
      </c>
      <c r="F325" s="3" t="b">
        <v>0</v>
      </c>
      <c r="G325" s="3" t="b">
        <v>0</v>
      </c>
      <c r="H325" s="3" t="s">
        <v>684</v>
      </c>
      <c r="I325" s="4">
        <v>45086</v>
      </c>
      <c r="J325" s="4">
        <v>45259</v>
      </c>
      <c r="K325" s="4">
        <v>45516</v>
      </c>
      <c r="L325" s="3">
        <v>2</v>
      </c>
      <c r="M325" s="3">
        <v>1000000</v>
      </c>
      <c r="N325" s="3">
        <v>18</v>
      </c>
      <c r="O325" s="3" t="b">
        <v>0</v>
      </c>
      <c r="P325" s="3" t="b">
        <v>0</v>
      </c>
      <c r="Q325" s="3">
        <v>52136.986301369892</v>
      </c>
      <c r="R325" s="3">
        <v>126739.72602739729</v>
      </c>
      <c r="S325" s="3">
        <v>178876.7123287672</v>
      </c>
      <c r="T325" s="5">
        <f>IF(J325&lt;&gt;"",M325*N325/365/100*('Cashflow Projection'!$B$2-Investors!J325),0)</f>
        <v>90739.72602739725</v>
      </c>
    </row>
    <row r="326" spans="1:20" x14ac:dyDescent="0.2">
      <c r="A326" s="3" t="s">
        <v>304</v>
      </c>
      <c r="B326" s="3" t="s">
        <v>305</v>
      </c>
      <c r="C326" s="3" t="s">
        <v>306</v>
      </c>
      <c r="D326" s="3" t="s">
        <v>386</v>
      </c>
      <c r="E326" s="3" t="s">
        <v>703</v>
      </c>
      <c r="F326" s="3" t="b">
        <v>0</v>
      </c>
      <c r="G326" s="3" t="b">
        <v>0</v>
      </c>
      <c r="H326" s="3" t="s">
        <v>684</v>
      </c>
      <c r="I326" s="4">
        <v>45141</v>
      </c>
      <c r="J326" s="4">
        <v>45259</v>
      </c>
      <c r="K326" s="4">
        <v>45516</v>
      </c>
      <c r="L326" s="3">
        <v>11</v>
      </c>
      <c r="M326" s="3">
        <v>100000</v>
      </c>
      <c r="N326" s="3">
        <v>18</v>
      </c>
      <c r="O326" s="3" t="b">
        <v>0</v>
      </c>
      <c r="P326" s="3" t="b">
        <v>0</v>
      </c>
      <c r="Q326" s="3">
        <v>3556.1643835616378</v>
      </c>
      <c r="R326" s="3">
        <v>12673.97260273973</v>
      </c>
      <c r="S326" s="3">
        <v>16230.136986301361</v>
      </c>
      <c r="T326" s="5">
        <f>IF(J326&lt;&gt;"",M326*N326/365/100*('Cashflow Projection'!$B$2-Investors!J326),0)</f>
        <v>9073.9726027397264</v>
      </c>
    </row>
    <row r="327" spans="1:20" x14ac:dyDescent="0.2">
      <c r="A327" s="3" t="s">
        <v>704</v>
      </c>
      <c r="B327" s="3" t="s">
        <v>705</v>
      </c>
      <c r="C327" s="3" t="s">
        <v>706</v>
      </c>
      <c r="D327" s="3" t="s">
        <v>386</v>
      </c>
      <c r="E327" s="3" t="s">
        <v>703</v>
      </c>
      <c r="F327" s="3" t="b">
        <v>0</v>
      </c>
      <c r="G327" s="3" t="b">
        <v>0</v>
      </c>
      <c r="H327" s="3" t="s">
        <v>684</v>
      </c>
      <c r="I327" s="4">
        <v>45086</v>
      </c>
      <c r="J327" s="4">
        <v>45252</v>
      </c>
      <c r="K327" s="4">
        <v>45516</v>
      </c>
      <c r="L327" s="3">
        <v>2</v>
      </c>
      <c r="M327" s="3">
        <v>700000</v>
      </c>
      <c r="N327" s="3">
        <v>16</v>
      </c>
      <c r="O327" s="3" t="b">
        <v>0</v>
      </c>
      <c r="P327" s="3" t="b">
        <v>0</v>
      </c>
      <c r="Q327" s="3">
        <v>35019.178082191851</v>
      </c>
      <c r="R327" s="3">
        <v>81008.219178082189</v>
      </c>
      <c r="S327" s="3">
        <v>116027.397260274</v>
      </c>
      <c r="T327" s="5">
        <f>IF(J327&lt;&gt;"",M327*N327/365/100*('Cashflow Projection'!$B$2-Investors!J327),0)</f>
        <v>58608.219178082196</v>
      </c>
    </row>
    <row r="328" spans="1:20" x14ac:dyDescent="0.2">
      <c r="A328" s="3" t="s">
        <v>176</v>
      </c>
      <c r="B328" s="3" t="s">
        <v>177</v>
      </c>
      <c r="C328" s="3" t="s">
        <v>178</v>
      </c>
      <c r="D328" s="3" t="s">
        <v>386</v>
      </c>
      <c r="E328" s="3" t="s">
        <v>703</v>
      </c>
      <c r="F328" s="3" t="b">
        <v>0</v>
      </c>
      <c r="G328" s="3" t="b">
        <v>0</v>
      </c>
      <c r="H328" s="3" t="s">
        <v>684</v>
      </c>
      <c r="I328" s="4">
        <v>45141</v>
      </c>
      <c r="J328" s="4">
        <v>45273</v>
      </c>
      <c r="K328" s="4">
        <v>45516</v>
      </c>
      <c r="L328" s="3">
        <v>5</v>
      </c>
      <c r="M328" s="3">
        <v>300000</v>
      </c>
      <c r="N328" s="3">
        <v>18</v>
      </c>
      <c r="O328" s="3" t="b">
        <v>0</v>
      </c>
      <c r="P328" s="3" t="b">
        <v>0</v>
      </c>
      <c r="Q328" s="3">
        <v>11934.24657534246</v>
      </c>
      <c r="R328" s="3">
        <v>35950.684931506847</v>
      </c>
      <c r="S328" s="3">
        <v>47884.931506849309</v>
      </c>
      <c r="T328" s="5">
        <f>IF(J328&lt;&gt;"",M328*N328/365/100*('Cashflow Projection'!$B$2-Investors!J328),0)</f>
        <v>25150.68493150685</v>
      </c>
    </row>
    <row r="329" spans="1:20" x14ac:dyDescent="0.2">
      <c r="A329" s="3" t="s">
        <v>395</v>
      </c>
      <c r="B329" s="3" t="s">
        <v>396</v>
      </c>
      <c r="C329" s="3" t="s">
        <v>397</v>
      </c>
      <c r="D329" s="3" t="s">
        <v>386</v>
      </c>
      <c r="E329" s="3" t="s">
        <v>707</v>
      </c>
      <c r="F329" s="3" t="b">
        <v>0</v>
      </c>
      <c r="G329" s="3" t="b">
        <v>0</v>
      </c>
      <c r="H329" s="3" t="s">
        <v>684</v>
      </c>
      <c r="I329" s="4">
        <v>45097</v>
      </c>
      <c r="J329" s="4">
        <v>45259</v>
      </c>
      <c r="K329" s="4">
        <v>45516</v>
      </c>
      <c r="L329" s="3">
        <v>5</v>
      </c>
      <c r="M329" s="3">
        <v>1100000</v>
      </c>
      <c r="N329" s="3">
        <v>18</v>
      </c>
      <c r="O329" s="3" t="b">
        <v>0</v>
      </c>
      <c r="P329" s="3" t="b">
        <v>0</v>
      </c>
      <c r="Q329" s="3">
        <v>53704.109589041087</v>
      </c>
      <c r="R329" s="3">
        <v>139413.69863013699</v>
      </c>
      <c r="S329" s="3">
        <v>193117.80821917811</v>
      </c>
      <c r="T329" s="5">
        <f>IF(J329&lt;&gt;"",M329*N329/365/100*('Cashflow Projection'!$B$2-Investors!J329),0)</f>
        <v>99813.698630136991</v>
      </c>
    </row>
    <row r="330" spans="1:20" x14ac:dyDescent="0.2">
      <c r="A330" s="3" t="s">
        <v>395</v>
      </c>
      <c r="B330" s="3" t="s">
        <v>396</v>
      </c>
      <c r="C330" s="3" t="s">
        <v>397</v>
      </c>
      <c r="D330" s="3" t="s">
        <v>386</v>
      </c>
      <c r="E330" s="3" t="s">
        <v>708</v>
      </c>
      <c r="F330" s="3" t="b">
        <v>0</v>
      </c>
      <c r="G330" s="3" t="b">
        <v>0</v>
      </c>
      <c r="H330" s="3" t="s">
        <v>684</v>
      </c>
      <c r="I330" s="4">
        <v>45097</v>
      </c>
      <c r="J330" s="4">
        <v>45259</v>
      </c>
      <c r="K330" s="4">
        <v>45516</v>
      </c>
      <c r="L330" s="3">
        <v>6</v>
      </c>
      <c r="M330" s="3">
        <v>1100000</v>
      </c>
      <c r="N330" s="3">
        <v>18</v>
      </c>
      <c r="O330" s="3" t="b">
        <v>0</v>
      </c>
      <c r="P330" s="3" t="b">
        <v>0</v>
      </c>
      <c r="Q330" s="3">
        <v>53704.109589041087</v>
      </c>
      <c r="R330" s="3">
        <v>139413.69863013699</v>
      </c>
      <c r="S330" s="3">
        <v>193117.80821917811</v>
      </c>
      <c r="T330" s="5">
        <f>IF(J330&lt;&gt;"",M330*N330/365/100*('Cashflow Projection'!$B$2-Investors!J330),0)</f>
        <v>99813.698630136991</v>
      </c>
    </row>
    <row r="331" spans="1:20" x14ac:dyDescent="0.2">
      <c r="A331" s="3" t="s">
        <v>576</v>
      </c>
      <c r="B331" s="3" t="s">
        <v>577</v>
      </c>
      <c r="C331" s="3" t="s">
        <v>578</v>
      </c>
      <c r="D331" s="3" t="s">
        <v>386</v>
      </c>
      <c r="E331" s="3" t="s">
        <v>709</v>
      </c>
      <c r="F331" s="3" t="b">
        <v>0</v>
      </c>
      <c r="G331" s="3" t="b">
        <v>0</v>
      </c>
      <c r="H331" s="3" t="s">
        <v>684</v>
      </c>
      <c r="I331" s="4">
        <v>45099</v>
      </c>
      <c r="J331" s="4">
        <v>45280</v>
      </c>
      <c r="K331" s="4">
        <v>45516</v>
      </c>
      <c r="L331" s="3">
        <v>2</v>
      </c>
      <c r="M331" s="3">
        <v>1100000</v>
      </c>
      <c r="N331" s="3">
        <v>18</v>
      </c>
      <c r="O331" s="3" t="b">
        <v>0</v>
      </c>
      <c r="P331" s="3" t="b">
        <v>0</v>
      </c>
      <c r="Q331" s="3">
        <v>60002.739726027386</v>
      </c>
      <c r="R331" s="3">
        <v>128021.91780821919</v>
      </c>
      <c r="S331" s="3">
        <v>188024.65753424659</v>
      </c>
      <c r="T331" s="5">
        <f>IF(J331&lt;&gt;"",M331*N331/365/100*('Cashflow Projection'!$B$2-Investors!J331),0)</f>
        <v>88421.917808219179</v>
      </c>
    </row>
    <row r="332" spans="1:20" x14ac:dyDescent="0.2">
      <c r="A332" s="3" t="s">
        <v>416</v>
      </c>
      <c r="B332" s="3" t="s">
        <v>417</v>
      </c>
      <c r="C332" s="3" t="s">
        <v>418</v>
      </c>
      <c r="D332" s="3" t="s">
        <v>386</v>
      </c>
      <c r="E332" s="3" t="s">
        <v>710</v>
      </c>
      <c r="F332" s="3" t="b">
        <v>1</v>
      </c>
      <c r="G332" s="3" t="b">
        <v>0</v>
      </c>
      <c r="H332" s="3" t="s">
        <v>711</v>
      </c>
      <c r="I332" s="4">
        <v>44732</v>
      </c>
      <c r="J332" s="4">
        <v>44779</v>
      </c>
      <c r="K332" s="4">
        <v>45552</v>
      </c>
      <c r="L332" s="3">
        <v>2</v>
      </c>
      <c r="M332" s="3">
        <v>500000</v>
      </c>
      <c r="N332" s="3">
        <v>18</v>
      </c>
      <c r="O332" s="3" t="b">
        <v>0</v>
      </c>
      <c r="P332" s="3" t="b">
        <v>0</v>
      </c>
      <c r="Q332" s="3">
        <v>4890.4109589041109</v>
      </c>
      <c r="R332" s="3">
        <v>190602.73972602739</v>
      </c>
      <c r="S332" s="3">
        <v>195493.15068493149</v>
      </c>
      <c r="T332" s="5">
        <f>IF(J332&lt;&gt;"",M332*N332/365/100*('Cashflow Projection'!$B$2-Investors!J332),0)</f>
        <v>163726.02739726027</v>
      </c>
    </row>
    <row r="333" spans="1:20" x14ac:dyDescent="0.2">
      <c r="A333" s="3" t="s">
        <v>485</v>
      </c>
      <c r="B333" s="3" t="s">
        <v>486</v>
      </c>
      <c r="C333" s="3" t="s">
        <v>487</v>
      </c>
      <c r="D333" s="3" t="s">
        <v>386</v>
      </c>
      <c r="E333" s="3" t="s">
        <v>710</v>
      </c>
      <c r="F333" s="3" t="b">
        <v>1</v>
      </c>
      <c r="G333" s="3" t="b">
        <v>0</v>
      </c>
      <c r="H333" s="3" t="s">
        <v>711</v>
      </c>
      <c r="I333" s="4">
        <v>44719</v>
      </c>
      <c r="J333" s="4">
        <v>44777</v>
      </c>
      <c r="K333" s="4">
        <v>45552</v>
      </c>
      <c r="L333" s="3">
        <v>2</v>
      </c>
      <c r="M333" s="3">
        <v>525000</v>
      </c>
      <c r="N333" s="3">
        <v>18</v>
      </c>
      <c r="O333" s="3" t="b">
        <v>0</v>
      </c>
      <c r="P333" s="3" t="b">
        <v>0</v>
      </c>
      <c r="Q333" s="3">
        <v>6300.0000000000009</v>
      </c>
      <c r="R333" s="3">
        <v>200650.68493150681</v>
      </c>
      <c r="S333" s="3">
        <v>206950.68493150681</v>
      </c>
      <c r="T333" s="5">
        <f>IF(J333&lt;&gt;"",M333*N333/365/100*('Cashflow Projection'!$B$2-Investors!J333),0)</f>
        <v>172430.1369863014</v>
      </c>
    </row>
    <row r="334" spans="1:20" x14ac:dyDescent="0.2">
      <c r="A334" s="3" t="s">
        <v>423</v>
      </c>
      <c r="B334" s="3" t="s">
        <v>424</v>
      </c>
      <c r="C334" s="3" t="s">
        <v>425</v>
      </c>
      <c r="D334" s="3" t="s">
        <v>386</v>
      </c>
      <c r="E334" s="3" t="s">
        <v>712</v>
      </c>
      <c r="F334" s="3" t="b">
        <v>1</v>
      </c>
      <c r="G334" s="3" t="b">
        <v>0</v>
      </c>
      <c r="H334" s="3" t="s">
        <v>711</v>
      </c>
      <c r="I334" s="4">
        <v>44719</v>
      </c>
      <c r="J334" s="4">
        <v>44743</v>
      </c>
      <c r="K334" s="4">
        <v>45552</v>
      </c>
      <c r="L334" s="3">
        <v>3</v>
      </c>
      <c r="M334" s="3">
        <v>164674.38</v>
      </c>
      <c r="N334" s="3">
        <v>14</v>
      </c>
      <c r="O334" s="3" t="b">
        <v>0</v>
      </c>
      <c r="P334" s="3" t="b">
        <v>0</v>
      </c>
      <c r="Q334" s="3">
        <v>812.09283287671224</v>
      </c>
      <c r="R334" s="3">
        <v>51098.685695342472</v>
      </c>
      <c r="S334" s="3">
        <v>51910.778528219183</v>
      </c>
      <c r="T334" s="5">
        <f>IF(J334&lt;&gt;"",M334*N334/365/100*('Cashflow Projection'!$B$2-Investors!J334),0)</f>
        <v>44213.943123287681</v>
      </c>
    </row>
    <row r="335" spans="1:20" x14ac:dyDescent="0.2">
      <c r="A335" s="3" t="s">
        <v>713</v>
      </c>
      <c r="B335" s="3" t="s">
        <v>714</v>
      </c>
      <c r="C335" s="3" t="s">
        <v>232</v>
      </c>
      <c r="D335" s="3" t="s">
        <v>386</v>
      </c>
      <c r="E335" s="3" t="s">
        <v>712</v>
      </c>
      <c r="F335" s="3" t="b">
        <v>1</v>
      </c>
      <c r="G335" s="3" t="b">
        <v>0</v>
      </c>
      <c r="H335" s="3" t="s">
        <v>711</v>
      </c>
      <c r="I335" s="4">
        <v>44719</v>
      </c>
      <c r="J335" s="4">
        <v>44743</v>
      </c>
      <c r="K335" s="4">
        <v>45552</v>
      </c>
      <c r="L335" s="3">
        <v>3</v>
      </c>
      <c r="M335" s="3">
        <v>100000</v>
      </c>
      <c r="N335" s="3">
        <v>14</v>
      </c>
      <c r="O335" s="3" t="b">
        <v>0</v>
      </c>
      <c r="P335" s="3" t="b">
        <v>0</v>
      </c>
      <c r="Q335" s="3">
        <v>493.15068493150659</v>
      </c>
      <c r="R335" s="3">
        <v>31030.136986301372</v>
      </c>
      <c r="S335" s="3">
        <v>31523.28767123288</v>
      </c>
      <c r="T335" s="5">
        <f>IF(J335&lt;&gt;"",M335*N335/365/100*('Cashflow Projection'!$B$2-Investors!J335),0)</f>
        <v>26849.315068493153</v>
      </c>
    </row>
    <row r="336" spans="1:20" x14ac:dyDescent="0.2">
      <c r="A336" s="3" t="s">
        <v>27</v>
      </c>
      <c r="B336" s="3" t="s">
        <v>28</v>
      </c>
      <c r="C336" s="3" t="s">
        <v>29</v>
      </c>
      <c r="D336" s="3" t="s">
        <v>386</v>
      </c>
      <c r="E336" s="3" t="s">
        <v>712</v>
      </c>
      <c r="F336" s="3" t="b">
        <v>1</v>
      </c>
      <c r="G336" s="3" t="b">
        <v>0</v>
      </c>
      <c r="H336" s="3" t="s">
        <v>711</v>
      </c>
      <c r="I336" s="4">
        <v>44719</v>
      </c>
      <c r="J336" s="4">
        <v>44757</v>
      </c>
      <c r="K336" s="4">
        <v>45552</v>
      </c>
      <c r="L336" s="3">
        <v>14</v>
      </c>
      <c r="M336" s="3">
        <v>642671.4</v>
      </c>
      <c r="N336" s="3">
        <v>18</v>
      </c>
      <c r="O336" s="3" t="b">
        <v>0</v>
      </c>
      <c r="P336" s="3" t="b">
        <v>0</v>
      </c>
      <c r="Q336" s="3">
        <v>5018.1191506849309</v>
      </c>
      <c r="R336" s="3">
        <v>251962.4036712329</v>
      </c>
      <c r="S336" s="3">
        <v>256980.52282191781</v>
      </c>
      <c r="T336" s="5">
        <f>IF(J336&lt;&gt;"",M336*N336/365/100*('Cashflow Projection'!$B$2-Investors!J336),0)</f>
        <v>217416.61499178084</v>
      </c>
    </row>
    <row r="337" spans="1:20" x14ac:dyDescent="0.2">
      <c r="A337" s="3" t="s">
        <v>466</v>
      </c>
      <c r="B337" s="3" t="s">
        <v>467</v>
      </c>
      <c r="C337" s="3" t="s">
        <v>468</v>
      </c>
      <c r="D337" s="3" t="s">
        <v>386</v>
      </c>
      <c r="E337" s="3" t="s">
        <v>712</v>
      </c>
      <c r="F337" s="3" t="b">
        <v>1</v>
      </c>
      <c r="G337" s="3" t="b">
        <v>0</v>
      </c>
      <c r="H337" s="3" t="s">
        <v>711</v>
      </c>
      <c r="I337" s="4">
        <v>44876</v>
      </c>
      <c r="J337" s="4">
        <v>44903</v>
      </c>
      <c r="K337" s="4">
        <v>45552</v>
      </c>
      <c r="L337" s="3">
        <v>3</v>
      </c>
      <c r="M337" s="3">
        <v>100000</v>
      </c>
      <c r="N337" s="3">
        <v>14</v>
      </c>
      <c r="O337" s="3" t="b">
        <v>0</v>
      </c>
      <c r="P337" s="3" t="b">
        <v>0</v>
      </c>
      <c r="Q337" s="3">
        <v>682.19178082191752</v>
      </c>
      <c r="R337" s="3">
        <v>24893.150684931501</v>
      </c>
      <c r="S337" s="3">
        <v>25575.34246575342</v>
      </c>
      <c r="T337" s="5">
        <f>IF(J337&lt;&gt;"",M337*N337/365/100*('Cashflow Projection'!$B$2-Investors!J337),0)</f>
        <v>20712.32876712329</v>
      </c>
    </row>
    <row r="338" spans="1:20" x14ac:dyDescent="0.2">
      <c r="A338" s="3" t="s">
        <v>253</v>
      </c>
      <c r="B338" s="3" t="s">
        <v>254</v>
      </c>
      <c r="C338" s="3" t="s">
        <v>255</v>
      </c>
      <c r="D338" s="3" t="s">
        <v>386</v>
      </c>
      <c r="E338" s="3" t="s">
        <v>715</v>
      </c>
      <c r="F338" s="3" t="b">
        <v>0</v>
      </c>
      <c r="G338" s="3" t="b">
        <v>0</v>
      </c>
      <c r="H338" s="3" t="s">
        <v>711</v>
      </c>
      <c r="I338" s="4">
        <v>44732</v>
      </c>
      <c r="J338" s="4">
        <v>44783</v>
      </c>
      <c r="K338" s="4">
        <v>45546</v>
      </c>
      <c r="L338" s="3">
        <v>10</v>
      </c>
      <c r="M338" s="3">
        <v>500000</v>
      </c>
      <c r="N338" s="3">
        <v>18</v>
      </c>
      <c r="O338" s="3" t="b">
        <v>0</v>
      </c>
      <c r="P338" s="3" t="b">
        <v>0</v>
      </c>
      <c r="Q338" s="3">
        <v>5342.465753424658</v>
      </c>
      <c r="R338" s="3">
        <v>188136.98630136991</v>
      </c>
      <c r="S338" s="3">
        <v>193479.4520547945</v>
      </c>
      <c r="T338" s="5">
        <f>IF(J338&lt;&gt;"",M338*N338/365/100*('Cashflow Projection'!$B$2-Investors!J338),0)</f>
        <v>162739.72602739724</v>
      </c>
    </row>
    <row r="339" spans="1:20" x14ac:dyDescent="0.2">
      <c r="A339" s="3" t="s">
        <v>716</v>
      </c>
      <c r="B339" s="3" t="s">
        <v>717</v>
      </c>
      <c r="C339" s="3" t="s">
        <v>718</v>
      </c>
      <c r="D339" s="3" t="s">
        <v>386</v>
      </c>
      <c r="E339" s="3" t="s">
        <v>715</v>
      </c>
      <c r="F339" s="3" t="b">
        <v>0</v>
      </c>
      <c r="G339" s="3" t="b">
        <v>0</v>
      </c>
      <c r="H339" s="3" t="s">
        <v>711</v>
      </c>
      <c r="I339" s="4">
        <v>44761</v>
      </c>
      <c r="J339" s="4">
        <v>44798</v>
      </c>
      <c r="K339" s="4">
        <v>45546</v>
      </c>
      <c r="L339" s="3">
        <v>3</v>
      </c>
      <c r="M339" s="3">
        <v>100000</v>
      </c>
      <c r="N339" s="3">
        <v>14</v>
      </c>
      <c r="O339" s="3" t="b">
        <v>0</v>
      </c>
      <c r="P339" s="3" t="b">
        <v>0</v>
      </c>
      <c r="Q339" s="3">
        <v>811.64383561643785</v>
      </c>
      <c r="R339" s="3">
        <v>28690.410958904111</v>
      </c>
      <c r="S339" s="3">
        <v>29502.05479452054</v>
      </c>
      <c r="T339" s="5">
        <f>IF(J339&lt;&gt;"",M339*N339/365/100*('Cashflow Projection'!$B$2-Investors!J339),0)</f>
        <v>24739.726027397264</v>
      </c>
    </row>
    <row r="340" spans="1:20" x14ac:dyDescent="0.2">
      <c r="A340" s="3" t="s">
        <v>719</v>
      </c>
      <c r="B340" s="3" t="s">
        <v>720</v>
      </c>
      <c r="C340" s="3" t="s">
        <v>32</v>
      </c>
      <c r="D340" s="3" t="s">
        <v>386</v>
      </c>
      <c r="E340" s="3" t="s">
        <v>715</v>
      </c>
      <c r="F340" s="3" t="b">
        <v>0</v>
      </c>
      <c r="G340" s="3" t="b">
        <v>0</v>
      </c>
      <c r="H340" s="3" t="s">
        <v>711</v>
      </c>
      <c r="I340" s="4">
        <v>44741</v>
      </c>
      <c r="J340" s="4">
        <v>44777</v>
      </c>
      <c r="K340" s="4">
        <v>45546</v>
      </c>
      <c r="L340" s="3">
        <v>1</v>
      </c>
      <c r="M340" s="3">
        <v>400000</v>
      </c>
      <c r="N340" s="3">
        <v>14</v>
      </c>
      <c r="O340" s="3" t="b">
        <v>0</v>
      </c>
      <c r="P340" s="3" t="b">
        <v>0</v>
      </c>
      <c r="Q340" s="3">
        <v>2991.780821917806</v>
      </c>
      <c r="R340" s="3">
        <v>117983.56164383559</v>
      </c>
      <c r="S340" s="3">
        <v>120975.34246575341</v>
      </c>
      <c r="T340" s="5">
        <f>IF(J340&lt;&gt;"",M340*N340/365/100*('Cashflow Projection'!$B$2-Investors!J340),0)</f>
        <v>102180.82191780824</v>
      </c>
    </row>
    <row r="341" spans="1:20" x14ac:dyDescent="0.2">
      <c r="A341" s="3" t="s">
        <v>721</v>
      </c>
      <c r="B341" s="3" t="s">
        <v>722</v>
      </c>
      <c r="C341" s="3" t="s">
        <v>723</v>
      </c>
      <c r="D341" s="3" t="s">
        <v>386</v>
      </c>
      <c r="E341" s="3" t="s">
        <v>724</v>
      </c>
      <c r="F341" s="3" t="b">
        <v>1</v>
      </c>
      <c r="G341" s="3" t="b">
        <v>0</v>
      </c>
      <c r="H341" s="3" t="s">
        <v>711</v>
      </c>
      <c r="I341" s="4">
        <v>44742</v>
      </c>
      <c r="J341" s="4">
        <v>44783</v>
      </c>
      <c r="K341" s="4">
        <v>45546</v>
      </c>
      <c r="L341" s="3">
        <v>2</v>
      </c>
      <c r="M341" s="3">
        <v>500000</v>
      </c>
      <c r="N341" s="3">
        <v>18</v>
      </c>
      <c r="O341" s="3" t="b">
        <v>0</v>
      </c>
      <c r="P341" s="3" t="b">
        <v>0</v>
      </c>
      <c r="Q341" s="3">
        <v>4315.0684931506839</v>
      </c>
      <c r="R341" s="3">
        <v>188136.98630136991</v>
      </c>
      <c r="S341" s="3">
        <v>192452.05479452049</v>
      </c>
      <c r="T341" s="5">
        <f>IF(J341&lt;&gt;"",M341*N341/365/100*('Cashflow Projection'!$B$2-Investors!J341),0)</f>
        <v>162739.72602739724</v>
      </c>
    </row>
    <row r="342" spans="1:20" x14ac:dyDescent="0.2">
      <c r="A342" s="3" t="s">
        <v>725</v>
      </c>
      <c r="B342" s="3" t="s">
        <v>167</v>
      </c>
      <c r="C342" s="3" t="s">
        <v>168</v>
      </c>
      <c r="D342" s="3" t="s">
        <v>386</v>
      </c>
      <c r="E342" s="3" t="s">
        <v>724</v>
      </c>
      <c r="F342" s="3" t="b">
        <v>1</v>
      </c>
      <c r="G342" s="3" t="b">
        <v>0</v>
      </c>
      <c r="H342" s="3" t="s">
        <v>711</v>
      </c>
      <c r="I342" s="4">
        <v>44763</v>
      </c>
      <c r="J342" s="4">
        <v>44811</v>
      </c>
      <c r="K342" s="4">
        <v>45546</v>
      </c>
      <c r="L342" s="3">
        <v>1</v>
      </c>
      <c r="M342" s="3">
        <v>300000</v>
      </c>
      <c r="N342" s="3">
        <v>16</v>
      </c>
      <c r="O342" s="3" t="b">
        <v>0</v>
      </c>
      <c r="P342" s="3" t="b">
        <v>0</v>
      </c>
      <c r="Q342" s="3">
        <v>3193.1506849315092</v>
      </c>
      <c r="R342" s="3">
        <v>96657.534246575349</v>
      </c>
      <c r="S342" s="3">
        <v>99850.684931506854</v>
      </c>
      <c r="T342" s="5">
        <f>IF(J342&lt;&gt;"",M342*N342/365/100*('Cashflow Projection'!$B$2-Investors!J342),0)</f>
        <v>83112.328767123283</v>
      </c>
    </row>
    <row r="343" spans="1:20" x14ac:dyDescent="0.2">
      <c r="A343" s="3" t="s">
        <v>227</v>
      </c>
      <c r="B343" s="3" t="s">
        <v>228</v>
      </c>
      <c r="C343" s="3" t="s">
        <v>32</v>
      </c>
      <c r="D343" s="3" t="s">
        <v>386</v>
      </c>
      <c r="E343" s="3" t="s">
        <v>724</v>
      </c>
      <c r="F343" s="3" t="b">
        <v>1</v>
      </c>
      <c r="G343" s="3" t="b">
        <v>0</v>
      </c>
      <c r="H343" s="3" t="s">
        <v>711</v>
      </c>
      <c r="I343" s="4">
        <v>44732</v>
      </c>
      <c r="J343" s="4">
        <v>44916</v>
      </c>
      <c r="K343" s="4">
        <v>45546</v>
      </c>
      <c r="L343" s="3">
        <v>2</v>
      </c>
      <c r="M343" s="3">
        <v>200000</v>
      </c>
      <c r="N343" s="3">
        <v>14</v>
      </c>
      <c r="O343" s="3" t="b">
        <v>0</v>
      </c>
      <c r="P343" s="3" t="b">
        <v>0</v>
      </c>
      <c r="Q343" s="3">
        <v>8572.6027397260277</v>
      </c>
      <c r="R343" s="3">
        <v>48328.767123287667</v>
      </c>
      <c r="S343" s="3">
        <v>56901.369863013693</v>
      </c>
      <c r="T343" s="5">
        <f>IF(J343&lt;&gt;"",M343*N343/365/100*('Cashflow Projection'!$B$2-Investors!J343),0)</f>
        <v>40427.397260273974</v>
      </c>
    </row>
    <row r="344" spans="1:20" x14ac:dyDescent="0.2">
      <c r="A344" s="3" t="s">
        <v>340</v>
      </c>
      <c r="B344" s="3" t="s">
        <v>341</v>
      </c>
      <c r="C344" s="3" t="s">
        <v>57</v>
      </c>
      <c r="D344" s="3" t="s">
        <v>386</v>
      </c>
      <c r="E344" s="3" t="s">
        <v>726</v>
      </c>
      <c r="F344" s="3" t="b">
        <v>1</v>
      </c>
      <c r="G344" s="3" t="b">
        <v>0</v>
      </c>
      <c r="H344" s="3" t="s">
        <v>711</v>
      </c>
      <c r="I344" s="4">
        <v>44763</v>
      </c>
      <c r="J344" s="4">
        <v>44811</v>
      </c>
      <c r="K344" s="4">
        <v>45532</v>
      </c>
      <c r="L344" s="3">
        <v>3</v>
      </c>
      <c r="M344" s="3">
        <v>1000000</v>
      </c>
      <c r="N344" s="3">
        <v>18</v>
      </c>
      <c r="O344" s="3" t="b">
        <v>0</v>
      </c>
      <c r="P344" s="3" t="b">
        <v>0</v>
      </c>
      <c r="Q344" s="3">
        <v>10643.835616438349</v>
      </c>
      <c r="R344" s="3">
        <v>355561.64383561647</v>
      </c>
      <c r="S344" s="3">
        <v>366205.47945205477</v>
      </c>
      <c r="T344" s="5">
        <f>IF(J344&lt;&gt;"",M344*N344/365/100*('Cashflow Projection'!$B$2-Investors!J344),0)</f>
        <v>311671.23287671228</v>
      </c>
    </row>
    <row r="345" spans="1:20" x14ac:dyDescent="0.2">
      <c r="A345" s="3" t="s">
        <v>721</v>
      </c>
      <c r="B345" s="3" t="s">
        <v>722</v>
      </c>
      <c r="C345" s="3" t="s">
        <v>723</v>
      </c>
      <c r="D345" s="3" t="s">
        <v>386</v>
      </c>
      <c r="E345" s="3" t="s">
        <v>727</v>
      </c>
      <c r="F345" s="3" t="b">
        <v>0</v>
      </c>
      <c r="G345" s="3" t="b">
        <v>0</v>
      </c>
      <c r="H345" s="3" t="s">
        <v>711</v>
      </c>
      <c r="I345" s="4">
        <v>44741</v>
      </c>
      <c r="J345" s="4">
        <v>44791</v>
      </c>
      <c r="K345" s="4">
        <v>45546</v>
      </c>
      <c r="L345" s="3">
        <v>1</v>
      </c>
      <c r="M345" s="3">
        <v>1000000</v>
      </c>
      <c r="N345" s="3">
        <v>18</v>
      </c>
      <c r="O345" s="3" t="b">
        <v>0</v>
      </c>
      <c r="P345" s="3" t="b">
        <v>0</v>
      </c>
      <c r="Q345" s="3">
        <v>10643.835616438349</v>
      </c>
      <c r="R345" s="3">
        <v>372328.76712328772</v>
      </c>
      <c r="S345" s="3">
        <v>382972.60273972608</v>
      </c>
      <c r="T345" s="5">
        <f>IF(J345&lt;&gt;"",M345*N345/365/100*('Cashflow Projection'!$B$2-Investors!J345),0)</f>
        <v>321534.24657534243</v>
      </c>
    </row>
    <row r="346" spans="1:20" x14ac:dyDescent="0.2">
      <c r="A346" s="3" t="s">
        <v>728</v>
      </c>
      <c r="B346" s="3" t="s">
        <v>729</v>
      </c>
      <c r="C346" s="3" t="s">
        <v>730</v>
      </c>
      <c r="D346" s="3" t="s">
        <v>386</v>
      </c>
      <c r="E346" s="3" t="s">
        <v>731</v>
      </c>
      <c r="F346" s="3" t="b">
        <v>0</v>
      </c>
      <c r="G346" s="3" t="b">
        <v>0</v>
      </c>
      <c r="H346" s="3" t="s">
        <v>711</v>
      </c>
      <c r="I346" s="4">
        <v>44845</v>
      </c>
      <c r="J346" s="4">
        <v>44868</v>
      </c>
      <c r="K346" s="4">
        <v>45546</v>
      </c>
      <c r="L346" s="3">
        <v>3</v>
      </c>
      <c r="M346" s="3">
        <v>127553.41</v>
      </c>
      <c r="N346" s="3">
        <v>14</v>
      </c>
      <c r="O346" s="3" t="b">
        <v>0</v>
      </c>
      <c r="P346" s="3" t="b">
        <v>0</v>
      </c>
      <c r="Q346" s="3">
        <v>723.38509232876731</v>
      </c>
      <c r="R346" s="3">
        <v>33170.875827945201</v>
      </c>
      <c r="S346" s="3">
        <v>33894.26092027397</v>
      </c>
      <c r="T346" s="5">
        <f>IF(J346&lt;&gt;"",M346*N346/365/100*('Cashflow Projection'!$B$2-Investors!J346),0)</f>
        <v>28131.642479452054</v>
      </c>
    </row>
    <row r="347" spans="1:20" x14ac:dyDescent="0.2">
      <c r="A347" s="3" t="s">
        <v>732</v>
      </c>
      <c r="B347" s="3" t="s">
        <v>733</v>
      </c>
      <c r="C347" s="3" t="s">
        <v>734</v>
      </c>
      <c r="D347" s="3" t="s">
        <v>386</v>
      </c>
      <c r="E347" s="3" t="s">
        <v>731</v>
      </c>
      <c r="F347" s="3" t="b">
        <v>0</v>
      </c>
      <c r="G347" s="3" t="b">
        <v>0</v>
      </c>
      <c r="H347" s="3" t="s">
        <v>711</v>
      </c>
      <c r="I347" s="4">
        <v>44763</v>
      </c>
      <c r="J347" s="4">
        <v>44811</v>
      </c>
      <c r="K347" s="4">
        <v>45546</v>
      </c>
      <c r="L347" s="3">
        <v>1</v>
      </c>
      <c r="M347" s="3">
        <v>550000</v>
      </c>
      <c r="N347" s="3">
        <v>18</v>
      </c>
      <c r="O347" s="3" t="b">
        <v>0</v>
      </c>
      <c r="P347" s="3" t="b">
        <v>0</v>
      </c>
      <c r="Q347" s="3">
        <v>5854.1095890410952</v>
      </c>
      <c r="R347" s="3">
        <v>199356.1643835617</v>
      </c>
      <c r="S347" s="3">
        <v>205210.27397260279</v>
      </c>
      <c r="T347" s="5">
        <f>IF(J347&lt;&gt;"",M347*N347/365/100*('Cashflow Projection'!$B$2-Investors!J347),0)</f>
        <v>171419.17808219179</v>
      </c>
    </row>
    <row r="348" spans="1:20" x14ac:dyDescent="0.2">
      <c r="A348" s="3" t="s">
        <v>725</v>
      </c>
      <c r="B348" s="3" t="s">
        <v>167</v>
      </c>
      <c r="C348" s="3" t="s">
        <v>168</v>
      </c>
      <c r="D348" s="3" t="s">
        <v>386</v>
      </c>
      <c r="E348" s="3" t="s">
        <v>731</v>
      </c>
      <c r="F348" s="3" t="b">
        <v>0</v>
      </c>
      <c r="G348" s="3" t="b">
        <v>0</v>
      </c>
      <c r="H348" s="3" t="s">
        <v>711</v>
      </c>
      <c r="I348" s="4">
        <v>44763</v>
      </c>
      <c r="J348" s="4">
        <v>44811</v>
      </c>
      <c r="K348" s="4">
        <v>45546</v>
      </c>
      <c r="L348" s="3">
        <v>2</v>
      </c>
      <c r="M348" s="3">
        <v>300000</v>
      </c>
      <c r="N348" s="3">
        <v>16</v>
      </c>
      <c r="O348" s="3" t="b">
        <v>0</v>
      </c>
      <c r="P348" s="3" t="b">
        <v>0</v>
      </c>
      <c r="Q348" s="3">
        <v>3193.1506849315092</v>
      </c>
      <c r="R348" s="3">
        <v>96657.534246575349</v>
      </c>
      <c r="S348" s="3">
        <v>99850.684931506854</v>
      </c>
      <c r="T348" s="5">
        <f>IF(J348&lt;&gt;"",M348*N348/365/100*('Cashflow Projection'!$B$2-Investors!J348),0)</f>
        <v>83112.328767123283</v>
      </c>
    </row>
    <row r="349" spans="1:20" x14ac:dyDescent="0.2">
      <c r="A349" s="3" t="s">
        <v>732</v>
      </c>
      <c r="B349" s="3" t="s">
        <v>733</v>
      </c>
      <c r="C349" s="3" t="s">
        <v>734</v>
      </c>
      <c r="D349" s="3" t="s">
        <v>386</v>
      </c>
      <c r="E349" s="3" t="s">
        <v>735</v>
      </c>
      <c r="F349" s="3" t="b">
        <v>0</v>
      </c>
      <c r="G349" s="3" t="b">
        <v>0</v>
      </c>
      <c r="H349" s="3" t="s">
        <v>711</v>
      </c>
      <c r="I349" s="4">
        <v>44763</v>
      </c>
      <c r="J349" s="4">
        <v>44811</v>
      </c>
      <c r="K349" s="4">
        <v>45561</v>
      </c>
      <c r="L349" s="3">
        <v>2</v>
      </c>
      <c r="M349" s="3">
        <v>500000</v>
      </c>
      <c r="N349" s="3">
        <v>18</v>
      </c>
      <c r="O349" s="3" t="b">
        <v>0</v>
      </c>
      <c r="P349" s="3" t="b">
        <v>0</v>
      </c>
      <c r="Q349" s="3">
        <v>5321.9178082191729</v>
      </c>
      <c r="R349" s="3">
        <v>184931.5068493151</v>
      </c>
      <c r="S349" s="3">
        <v>190253.42465753431</v>
      </c>
      <c r="T349" s="5">
        <f>IF(J349&lt;&gt;"",M349*N349/365/100*('Cashflow Projection'!$B$2-Investors!J349),0)</f>
        <v>155835.61643835614</v>
      </c>
    </row>
    <row r="350" spans="1:20" x14ac:dyDescent="0.2">
      <c r="A350" s="3" t="s">
        <v>736</v>
      </c>
      <c r="B350" s="3" t="s">
        <v>737</v>
      </c>
      <c r="C350" s="3" t="s">
        <v>738</v>
      </c>
      <c r="D350" s="3" t="s">
        <v>386</v>
      </c>
      <c r="E350" s="3" t="s">
        <v>735</v>
      </c>
      <c r="F350" s="3" t="b">
        <v>0</v>
      </c>
      <c r="G350" s="3" t="b">
        <v>0</v>
      </c>
      <c r="H350" s="3" t="s">
        <v>711</v>
      </c>
      <c r="I350" s="4">
        <v>44755</v>
      </c>
      <c r="J350" s="4">
        <v>44798</v>
      </c>
      <c r="K350" s="4">
        <v>45561</v>
      </c>
      <c r="L350" s="3">
        <v>1</v>
      </c>
      <c r="M350" s="3">
        <v>500000</v>
      </c>
      <c r="N350" s="3">
        <v>18</v>
      </c>
      <c r="O350" s="3" t="b">
        <v>0</v>
      </c>
      <c r="P350" s="3" t="b">
        <v>0</v>
      </c>
      <c r="Q350" s="3">
        <v>4674.6575342465703</v>
      </c>
      <c r="R350" s="3">
        <v>188136.98630136991</v>
      </c>
      <c r="S350" s="3">
        <v>192811.64383561641</v>
      </c>
      <c r="T350" s="5">
        <f>IF(J350&lt;&gt;"",M350*N350/365/100*('Cashflow Projection'!$B$2-Investors!J350),0)</f>
        <v>159041.09589041094</v>
      </c>
    </row>
    <row r="351" spans="1:20" x14ac:dyDescent="0.2">
      <c r="A351" s="3" t="s">
        <v>554</v>
      </c>
      <c r="B351" s="3" t="s">
        <v>555</v>
      </c>
      <c r="C351" s="3" t="s">
        <v>556</v>
      </c>
      <c r="D351" s="3" t="s">
        <v>386</v>
      </c>
      <c r="E351" s="3" t="s">
        <v>739</v>
      </c>
      <c r="F351" s="3" t="b">
        <v>0</v>
      </c>
      <c r="G351" s="3" t="b">
        <v>0</v>
      </c>
      <c r="H351" s="3" t="s">
        <v>711</v>
      </c>
      <c r="I351" s="4">
        <v>45450</v>
      </c>
      <c r="J351" s="4">
        <v>45450</v>
      </c>
      <c r="K351" s="4">
        <v>45568</v>
      </c>
      <c r="L351" s="3">
        <v>3</v>
      </c>
      <c r="M351" s="3">
        <v>296151.5</v>
      </c>
      <c r="N351" s="3">
        <v>13</v>
      </c>
      <c r="O351" s="3" t="b">
        <v>0</v>
      </c>
      <c r="P351" s="3" t="b">
        <v>0</v>
      </c>
      <c r="Q351" s="3">
        <v>0</v>
      </c>
      <c r="R351" s="3">
        <v>12446.476739726029</v>
      </c>
      <c r="S351" s="3">
        <v>12446.476739726029</v>
      </c>
      <c r="T351" s="5">
        <f>IF(J351&lt;&gt;"",M351*N351/365/100*('Cashflow Projection'!$B$2-Investors!J351),0)</f>
        <v>-738.35031506849316</v>
      </c>
    </row>
    <row r="352" spans="1:20" x14ac:dyDescent="0.2">
      <c r="A352" s="3" t="s">
        <v>240</v>
      </c>
      <c r="B352" s="3" t="s">
        <v>241</v>
      </c>
      <c r="C352" s="3" t="s">
        <v>242</v>
      </c>
      <c r="D352" s="3" t="s">
        <v>386</v>
      </c>
      <c r="E352" s="3" t="s">
        <v>739</v>
      </c>
      <c r="F352" s="3" t="b">
        <v>0</v>
      </c>
      <c r="G352" s="3" t="b">
        <v>0</v>
      </c>
      <c r="H352" s="3" t="s">
        <v>711</v>
      </c>
      <c r="I352" s="4">
        <v>45447</v>
      </c>
      <c r="J352" s="4">
        <v>45450</v>
      </c>
      <c r="K352" s="4">
        <v>45568</v>
      </c>
      <c r="L352" s="3">
        <v>10</v>
      </c>
      <c r="M352" s="3">
        <v>856280.01</v>
      </c>
      <c r="N352" s="3">
        <v>18</v>
      </c>
      <c r="O352" s="3" t="b">
        <v>0</v>
      </c>
      <c r="P352" s="3" t="b">
        <v>0</v>
      </c>
      <c r="Q352" s="3">
        <v>774.17096794520558</v>
      </c>
      <c r="R352" s="3">
        <v>49828.458664109588</v>
      </c>
      <c r="S352" s="3">
        <v>50602.629632054792</v>
      </c>
      <c r="T352" s="5">
        <f>IF(J352&lt;&gt;"",M352*N352/365/100*('Cashflow Projection'!$B$2-Investors!J352),0)</f>
        <v>-2955.9255139726029</v>
      </c>
    </row>
    <row r="353" spans="1:20" x14ac:dyDescent="0.2">
      <c r="A353" s="3" t="s">
        <v>559</v>
      </c>
      <c r="B353" s="3" t="s">
        <v>560</v>
      </c>
      <c r="C353" s="3" t="s">
        <v>561</v>
      </c>
      <c r="D353" s="3" t="s">
        <v>386</v>
      </c>
      <c r="E353" s="3" t="s">
        <v>739</v>
      </c>
      <c r="F353" s="3" t="b">
        <v>0</v>
      </c>
      <c r="G353" s="3" t="b">
        <v>0</v>
      </c>
      <c r="H353" s="3" t="s">
        <v>711</v>
      </c>
      <c r="I353" s="4">
        <v>45447</v>
      </c>
      <c r="J353" s="4">
        <v>45450</v>
      </c>
      <c r="K353" s="4">
        <v>45568</v>
      </c>
      <c r="L353" s="3">
        <v>4</v>
      </c>
      <c r="M353" s="3">
        <v>175000</v>
      </c>
      <c r="N353" s="3">
        <v>16</v>
      </c>
      <c r="O353" s="3" t="b">
        <v>0</v>
      </c>
      <c r="P353" s="3" t="b">
        <v>0</v>
      </c>
      <c r="Q353" s="3">
        <v>158.2191780821918</v>
      </c>
      <c r="R353" s="3">
        <v>9052.0547945205471</v>
      </c>
      <c r="S353" s="3">
        <v>9210.2739726027394</v>
      </c>
      <c r="T353" s="5">
        <f>IF(J353&lt;&gt;"",M353*N353/365/100*('Cashflow Projection'!$B$2-Investors!J353),0)</f>
        <v>-536.9863013698631</v>
      </c>
    </row>
    <row r="354" spans="1:20" x14ac:dyDescent="0.2">
      <c r="A354" s="3" t="s">
        <v>736</v>
      </c>
      <c r="B354" s="3" t="s">
        <v>737</v>
      </c>
      <c r="C354" s="3" t="s">
        <v>738</v>
      </c>
      <c r="D354" s="3" t="s">
        <v>386</v>
      </c>
      <c r="E354" s="3" t="s">
        <v>739</v>
      </c>
      <c r="F354" s="3" t="b">
        <v>0</v>
      </c>
      <c r="G354" s="3" t="b">
        <v>0</v>
      </c>
      <c r="H354" s="3" t="s">
        <v>711</v>
      </c>
      <c r="I354" s="4">
        <v>44755</v>
      </c>
      <c r="J354" s="4">
        <v>44798</v>
      </c>
      <c r="K354" s="4">
        <v>45443</v>
      </c>
      <c r="L354" s="3">
        <v>2</v>
      </c>
      <c r="M354" s="3">
        <v>1000000</v>
      </c>
      <c r="N354" s="3">
        <v>18</v>
      </c>
      <c r="O354" s="3" t="b">
        <v>1</v>
      </c>
      <c r="P354" s="3" t="b">
        <v>0</v>
      </c>
      <c r="Q354" s="3">
        <v>9349.3150684931406</v>
      </c>
      <c r="R354" s="3">
        <v>318082.19178082189</v>
      </c>
      <c r="S354" s="3">
        <v>327431.50684931508</v>
      </c>
      <c r="T354" s="5">
        <f>IF(J354&lt;&gt;"",M354*N354/365/100*('Cashflow Projection'!$B$2-Investors!J354),0)</f>
        <v>318082.19178082189</v>
      </c>
    </row>
    <row r="355" spans="1:20" x14ac:dyDescent="0.2">
      <c r="A355" s="3" t="s">
        <v>740</v>
      </c>
      <c r="B355" s="3" t="s">
        <v>741</v>
      </c>
      <c r="C355" s="3" t="s">
        <v>742</v>
      </c>
      <c r="D355" s="3" t="s">
        <v>386</v>
      </c>
      <c r="E355" s="3" t="s">
        <v>743</v>
      </c>
      <c r="F355" s="3" t="b">
        <v>0</v>
      </c>
      <c r="G355" s="3" t="b">
        <v>0</v>
      </c>
      <c r="H355" s="3" t="s">
        <v>711</v>
      </c>
      <c r="I355" s="4">
        <v>44764</v>
      </c>
      <c r="J355" s="4">
        <v>44811</v>
      </c>
      <c r="K355" s="4">
        <v>45588</v>
      </c>
      <c r="L355" s="3">
        <v>1</v>
      </c>
      <c r="M355" s="3">
        <v>1000000</v>
      </c>
      <c r="N355" s="3">
        <v>18</v>
      </c>
      <c r="O355" s="3" t="b">
        <v>0</v>
      </c>
      <c r="P355" s="3" t="b">
        <v>0</v>
      </c>
      <c r="Q355" s="3">
        <v>10438.356164383549</v>
      </c>
      <c r="R355" s="3">
        <v>383178.08219178079</v>
      </c>
      <c r="S355" s="3">
        <v>393616.43835616438</v>
      </c>
      <c r="T355" s="5">
        <f>IF(J355&lt;&gt;"",M355*N355/365/100*('Cashflow Projection'!$B$2-Investors!J355),0)</f>
        <v>311671.23287671228</v>
      </c>
    </row>
    <row r="356" spans="1:20" x14ac:dyDescent="0.2">
      <c r="A356" s="3" t="s">
        <v>554</v>
      </c>
      <c r="B356" s="3" t="s">
        <v>555</v>
      </c>
      <c r="C356" s="3" t="s">
        <v>556</v>
      </c>
      <c r="D356" s="3" t="s">
        <v>386</v>
      </c>
      <c r="E356" s="3" t="s">
        <v>744</v>
      </c>
      <c r="F356" s="3" t="b">
        <v>0</v>
      </c>
      <c r="G356" s="3" t="b">
        <v>0</v>
      </c>
      <c r="H356" s="3" t="s">
        <v>711</v>
      </c>
      <c r="I356" s="4">
        <v>45450</v>
      </c>
      <c r="J356" s="4">
        <v>45450</v>
      </c>
      <c r="K356" s="4">
        <v>45574</v>
      </c>
      <c r="L356" s="3">
        <v>4</v>
      </c>
      <c r="M356" s="3">
        <v>333591.74</v>
      </c>
      <c r="N356" s="3">
        <v>13</v>
      </c>
      <c r="O356" s="3" t="b">
        <v>0</v>
      </c>
      <c r="P356" s="3" t="b">
        <v>0</v>
      </c>
      <c r="Q356" s="3">
        <v>0</v>
      </c>
      <c r="R356" s="3">
        <v>14732.873558356159</v>
      </c>
      <c r="S356" s="3">
        <v>14732.873558356159</v>
      </c>
      <c r="T356" s="5">
        <f>IF(J356&lt;&gt;"",M356*N356/365/100*('Cashflow Projection'!$B$2-Investors!J356),0)</f>
        <v>-831.69447506849303</v>
      </c>
    </row>
    <row r="357" spans="1:20" x14ac:dyDescent="0.2">
      <c r="A357" s="3" t="s">
        <v>559</v>
      </c>
      <c r="B357" s="3" t="s">
        <v>560</v>
      </c>
      <c r="C357" s="3" t="s">
        <v>561</v>
      </c>
      <c r="D357" s="3" t="s">
        <v>386</v>
      </c>
      <c r="E357" s="3" t="s">
        <v>744</v>
      </c>
      <c r="F357" s="3" t="b">
        <v>0</v>
      </c>
      <c r="G357" s="3" t="b">
        <v>0</v>
      </c>
      <c r="H357" s="3" t="s">
        <v>711</v>
      </c>
      <c r="I357" s="4">
        <v>45447</v>
      </c>
      <c r="J357" s="4">
        <v>45450</v>
      </c>
      <c r="K357" s="4">
        <v>45574</v>
      </c>
      <c r="L357" s="3">
        <v>5</v>
      </c>
      <c r="M357" s="3">
        <v>525000</v>
      </c>
      <c r="N357" s="3">
        <v>16</v>
      </c>
      <c r="O357" s="3" t="b">
        <v>0</v>
      </c>
      <c r="P357" s="3" t="b">
        <v>0</v>
      </c>
      <c r="Q357" s="3">
        <v>474.65753424657532</v>
      </c>
      <c r="R357" s="3">
        <v>28536.98630136986</v>
      </c>
      <c r="S357" s="3">
        <v>29011.64383561644</v>
      </c>
      <c r="T357" s="5">
        <f>IF(J357&lt;&gt;"",M357*N357/365/100*('Cashflow Projection'!$B$2-Investors!J357),0)</f>
        <v>-1610.958904109589</v>
      </c>
    </row>
    <row r="358" spans="1:20" x14ac:dyDescent="0.2">
      <c r="A358" s="3" t="s">
        <v>745</v>
      </c>
      <c r="B358" s="3" t="s">
        <v>746</v>
      </c>
      <c r="C358" s="3" t="s">
        <v>747</v>
      </c>
      <c r="D358" s="3" t="s">
        <v>386</v>
      </c>
      <c r="E358" s="3" t="s">
        <v>744</v>
      </c>
      <c r="F358" s="3" t="b">
        <v>0</v>
      </c>
      <c r="G358" s="3" t="b">
        <v>0</v>
      </c>
      <c r="H358" s="3" t="s">
        <v>711</v>
      </c>
      <c r="I358" s="4">
        <v>44761</v>
      </c>
      <c r="J358" s="4">
        <v>44811</v>
      </c>
      <c r="K358" s="4">
        <v>45443</v>
      </c>
      <c r="L358" s="3">
        <v>2</v>
      </c>
      <c r="M358" s="3">
        <v>1000000</v>
      </c>
      <c r="N358" s="3">
        <v>18</v>
      </c>
      <c r="O358" s="3" t="b">
        <v>1</v>
      </c>
      <c r="P358" s="3" t="b">
        <v>0</v>
      </c>
      <c r="Q358" s="3">
        <v>11054.79452054793</v>
      </c>
      <c r="R358" s="3">
        <v>311671.23287671228</v>
      </c>
      <c r="S358" s="3">
        <v>322726.0273972603</v>
      </c>
      <c r="T358" s="5">
        <f>IF(J358&lt;&gt;"",M358*N358/365/100*('Cashflow Projection'!$B$2-Investors!J358),0)</f>
        <v>311671.23287671228</v>
      </c>
    </row>
    <row r="359" spans="1:20" x14ac:dyDescent="0.2">
      <c r="A359" s="3" t="s">
        <v>542</v>
      </c>
      <c r="B359" s="3" t="s">
        <v>543</v>
      </c>
      <c r="C359" s="3" t="s">
        <v>544</v>
      </c>
      <c r="D359" s="3" t="s">
        <v>386</v>
      </c>
      <c r="E359" s="3" t="s">
        <v>744</v>
      </c>
      <c r="F359" s="3" t="b">
        <v>0</v>
      </c>
      <c r="G359" s="3" t="b">
        <v>0</v>
      </c>
      <c r="H359" s="3" t="s">
        <v>711</v>
      </c>
      <c r="I359" s="4">
        <v>45447</v>
      </c>
      <c r="J359" s="4">
        <v>45450</v>
      </c>
      <c r="K359" s="4">
        <v>45574</v>
      </c>
      <c r="L359" s="3">
        <v>5</v>
      </c>
      <c r="M359" s="3">
        <v>464134.29</v>
      </c>
      <c r="N359" s="3">
        <v>16</v>
      </c>
      <c r="O359" s="3" t="b">
        <v>0</v>
      </c>
      <c r="P359" s="3" t="b">
        <v>0</v>
      </c>
      <c r="Q359" s="3">
        <v>419.62826219178078</v>
      </c>
      <c r="R359" s="3">
        <v>25228.559763287671</v>
      </c>
      <c r="S359" s="3">
        <v>25648.188025479449</v>
      </c>
      <c r="T359" s="5">
        <f>IF(J359&lt;&gt;"",M359*N359/365/100*('Cashflow Projection'!$B$2-Investors!J359),0)</f>
        <v>-1424.1928898630138</v>
      </c>
    </row>
    <row r="360" spans="1:20" x14ac:dyDescent="0.2">
      <c r="A360" s="3" t="s">
        <v>740</v>
      </c>
      <c r="B360" s="3" t="s">
        <v>741</v>
      </c>
      <c r="C360" s="3" t="s">
        <v>742</v>
      </c>
      <c r="D360" s="3" t="s">
        <v>386</v>
      </c>
      <c r="E360" s="3" t="s">
        <v>748</v>
      </c>
      <c r="F360" s="3" t="b">
        <v>0</v>
      </c>
      <c r="G360" s="3" t="b">
        <v>0</v>
      </c>
      <c r="H360" s="3" t="s">
        <v>711</v>
      </c>
      <c r="I360" s="4">
        <v>44764</v>
      </c>
      <c r="J360" s="4">
        <v>44811</v>
      </c>
      <c r="K360" s="4">
        <v>45602</v>
      </c>
      <c r="L360" s="3">
        <v>2</v>
      </c>
      <c r="M360" s="3">
        <v>500000</v>
      </c>
      <c r="N360" s="3">
        <v>18</v>
      </c>
      <c r="O360" s="3" t="b">
        <v>0</v>
      </c>
      <c r="P360" s="3" t="b">
        <v>0</v>
      </c>
      <c r="Q360" s="3">
        <v>5219.1780821917764</v>
      </c>
      <c r="R360" s="3">
        <v>195041.095890411</v>
      </c>
      <c r="S360" s="3">
        <v>200260.27397260271</v>
      </c>
      <c r="T360" s="5">
        <f>IF(J360&lt;&gt;"",M360*N360/365/100*('Cashflow Projection'!$B$2-Investors!J360),0)</f>
        <v>155835.61643835614</v>
      </c>
    </row>
    <row r="361" spans="1:20" x14ac:dyDescent="0.2">
      <c r="A361" s="3" t="s">
        <v>736</v>
      </c>
      <c r="B361" s="3" t="s">
        <v>737</v>
      </c>
      <c r="C361" s="3" t="s">
        <v>738</v>
      </c>
      <c r="D361" s="3" t="s">
        <v>386</v>
      </c>
      <c r="E361" s="3" t="s">
        <v>748</v>
      </c>
      <c r="F361" s="3" t="b">
        <v>0</v>
      </c>
      <c r="G361" s="3" t="b">
        <v>0</v>
      </c>
      <c r="H361" s="3" t="s">
        <v>711</v>
      </c>
      <c r="I361" s="4">
        <v>44755</v>
      </c>
      <c r="J361" s="4">
        <v>44798</v>
      </c>
      <c r="K361" s="4">
        <v>45602</v>
      </c>
      <c r="L361" s="3">
        <v>3</v>
      </c>
      <c r="M361" s="3">
        <v>500000</v>
      </c>
      <c r="N361" s="3">
        <v>18</v>
      </c>
      <c r="O361" s="3" t="b">
        <v>0</v>
      </c>
      <c r="P361" s="3" t="b">
        <v>0</v>
      </c>
      <c r="Q361" s="3">
        <v>4674.6575342465703</v>
      </c>
      <c r="R361" s="3">
        <v>198246.5753424658</v>
      </c>
      <c r="S361" s="3">
        <v>202921.23287671231</v>
      </c>
      <c r="T361" s="5">
        <f>IF(J361&lt;&gt;"",M361*N361/365/100*('Cashflow Projection'!$B$2-Investors!J361),0)</f>
        <v>159041.09589041094</v>
      </c>
    </row>
    <row r="362" spans="1:20" x14ac:dyDescent="0.2">
      <c r="A362" s="3" t="s">
        <v>52</v>
      </c>
      <c r="B362" s="3" t="s">
        <v>53</v>
      </c>
      <c r="C362" s="3" t="s">
        <v>54</v>
      </c>
      <c r="D362" s="3" t="s">
        <v>386</v>
      </c>
      <c r="E362" s="3" t="s">
        <v>749</v>
      </c>
      <c r="F362" s="3" t="b">
        <v>0</v>
      </c>
      <c r="G362" s="3" t="b">
        <v>0</v>
      </c>
      <c r="H362" s="3" t="s">
        <v>750</v>
      </c>
      <c r="I362" s="4">
        <v>44992</v>
      </c>
      <c r="J362" s="4">
        <v>45107</v>
      </c>
      <c r="K362" s="4">
        <v>45546</v>
      </c>
      <c r="L362" s="3">
        <v>14</v>
      </c>
      <c r="M362" s="3">
        <v>150000</v>
      </c>
      <c r="N362" s="3">
        <v>18</v>
      </c>
      <c r="O362" s="3" t="b">
        <v>0</v>
      </c>
      <c r="P362" s="3" t="b">
        <v>0</v>
      </c>
      <c r="Q362" s="3">
        <v>4974.6575342465767</v>
      </c>
      <c r="R362" s="3">
        <v>32473.97260273973</v>
      </c>
      <c r="S362" s="3">
        <v>37448.630136986307</v>
      </c>
      <c r="T362" s="5">
        <f>IF(J362&lt;&gt;"",M362*N362/365/100*('Cashflow Projection'!$B$2-Investors!J362),0)</f>
        <v>24854.794520547945</v>
      </c>
    </row>
    <row r="363" spans="1:20" x14ac:dyDescent="0.2">
      <c r="A363" s="3" t="s">
        <v>207</v>
      </c>
      <c r="B363" s="3" t="s">
        <v>53</v>
      </c>
      <c r="C363" s="3" t="s">
        <v>54</v>
      </c>
      <c r="D363" s="3" t="s">
        <v>386</v>
      </c>
      <c r="E363" s="3" t="s">
        <v>749</v>
      </c>
      <c r="F363" s="3" t="b">
        <v>0</v>
      </c>
      <c r="G363" s="3" t="b">
        <v>0</v>
      </c>
      <c r="H363" s="3" t="s">
        <v>750</v>
      </c>
      <c r="I363" s="4">
        <v>45002</v>
      </c>
      <c r="J363" s="4">
        <v>45107</v>
      </c>
      <c r="K363" s="4">
        <v>45546</v>
      </c>
      <c r="L363" s="3">
        <v>16</v>
      </c>
      <c r="M363" s="3">
        <v>100000</v>
      </c>
      <c r="N363" s="3">
        <v>18</v>
      </c>
      <c r="O363" s="3" t="b">
        <v>0</v>
      </c>
      <c r="P363" s="3" t="b">
        <v>0</v>
      </c>
      <c r="Q363" s="3">
        <v>3042.4657534246521</v>
      </c>
      <c r="R363" s="3">
        <v>21649.31506849315</v>
      </c>
      <c r="S363" s="3">
        <v>24691.7808219178</v>
      </c>
      <c r="T363" s="5">
        <f>IF(J363&lt;&gt;"",M363*N363/365/100*('Cashflow Projection'!$B$2-Investors!J363),0)</f>
        <v>16569.863013698628</v>
      </c>
    </row>
    <row r="364" spans="1:20" x14ac:dyDescent="0.2">
      <c r="A364" s="3" t="s">
        <v>288</v>
      </c>
      <c r="B364" s="3" t="s">
        <v>289</v>
      </c>
      <c r="C364" s="3" t="s">
        <v>290</v>
      </c>
      <c r="D364" s="3" t="s">
        <v>386</v>
      </c>
      <c r="E364" s="3" t="s">
        <v>749</v>
      </c>
      <c r="F364" s="3" t="b">
        <v>0</v>
      </c>
      <c r="G364" s="3" t="b">
        <v>0</v>
      </c>
      <c r="H364" s="3" t="s">
        <v>750</v>
      </c>
      <c r="I364" s="4">
        <v>44938</v>
      </c>
      <c r="J364" s="4">
        <v>45016</v>
      </c>
      <c r="K364" s="4">
        <v>45546</v>
      </c>
      <c r="L364" s="3">
        <v>2</v>
      </c>
      <c r="M364" s="3">
        <v>500000</v>
      </c>
      <c r="N364" s="3">
        <v>16</v>
      </c>
      <c r="O364" s="3" t="b">
        <v>0</v>
      </c>
      <c r="P364" s="3" t="b">
        <v>0</v>
      </c>
      <c r="Q364" s="3">
        <v>10619.863013698639</v>
      </c>
      <c r="R364" s="3">
        <v>116164.3835616438</v>
      </c>
      <c r="S364" s="3">
        <v>126784.24657534251</v>
      </c>
      <c r="T364" s="5">
        <f>IF(J364&lt;&gt;"",M364*N364/365/100*('Cashflow Projection'!$B$2-Investors!J364),0)</f>
        <v>93589.04109589041</v>
      </c>
    </row>
    <row r="365" spans="1:20" x14ac:dyDescent="0.2">
      <c r="A365" s="3" t="s">
        <v>419</v>
      </c>
      <c r="B365" s="3" t="s">
        <v>420</v>
      </c>
      <c r="C365" s="3" t="s">
        <v>421</v>
      </c>
      <c r="D365" s="3" t="s">
        <v>386</v>
      </c>
      <c r="E365" s="3" t="s">
        <v>749</v>
      </c>
      <c r="F365" s="3" t="b">
        <v>0</v>
      </c>
      <c r="G365" s="3" t="b">
        <v>0</v>
      </c>
      <c r="H365" s="3" t="s">
        <v>750</v>
      </c>
      <c r="I365" s="4">
        <v>44873</v>
      </c>
      <c r="J365" s="4">
        <v>44909</v>
      </c>
      <c r="K365" s="4">
        <v>45546</v>
      </c>
      <c r="L365" s="3">
        <v>8</v>
      </c>
      <c r="M365" s="3">
        <v>288000</v>
      </c>
      <c r="N365" s="3">
        <v>18</v>
      </c>
      <c r="O365" s="3" t="b">
        <v>0</v>
      </c>
      <c r="P365" s="3" t="b">
        <v>0</v>
      </c>
      <c r="Q365" s="3">
        <v>2639.342465753426</v>
      </c>
      <c r="R365" s="3">
        <v>90471.452054794514</v>
      </c>
      <c r="S365" s="3">
        <v>93110.794520547934</v>
      </c>
      <c r="T365" s="5">
        <f>IF(J365&lt;&gt;"",M365*N365/365/100*('Cashflow Projection'!$B$2-Investors!J365),0)</f>
        <v>75842.630136986307</v>
      </c>
    </row>
    <row r="366" spans="1:20" x14ac:dyDescent="0.2">
      <c r="A366" s="3" t="s">
        <v>485</v>
      </c>
      <c r="B366" s="3" t="s">
        <v>486</v>
      </c>
      <c r="C366" s="3" t="s">
        <v>487</v>
      </c>
      <c r="D366" s="3" t="s">
        <v>386</v>
      </c>
      <c r="E366" s="3" t="s">
        <v>751</v>
      </c>
      <c r="F366" s="3" t="b">
        <v>0</v>
      </c>
      <c r="G366" s="3" t="b">
        <v>0</v>
      </c>
      <c r="H366" s="3" t="s">
        <v>750</v>
      </c>
      <c r="I366" s="4">
        <v>44866</v>
      </c>
      <c r="J366" s="4">
        <v>44909</v>
      </c>
      <c r="K366" s="4">
        <v>45546</v>
      </c>
      <c r="L366" s="3">
        <v>5</v>
      </c>
      <c r="M366" s="3">
        <v>1100000</v>
      </c>
      <c r="N366" s="3">
        <v>18</v>
      </c>
      <c r="O366" s="3" t="b">
        <v>0</v>
      </c>
      <c r="P366" s="3" t="b">
        <v>0</v>
      </c>
      <c r="Q366" s="3">
        <v>11979.45205479453</v>
      </c>
      <c r="R366" s="3">
        <v>345550.68493150693</v>
      </c>
      <c r="S366" s="3">
        <v>357530.1369863014</v>
      </c>
      <c r="T366" s="5">
        <f>IF(J366&lt;&gt;"",M366*N366/365/100*('Cashflow Projection'!$B$2-Investors!J366),0)</f>
        <v>289676.71232876717</v>
      </c>
    </row>
    <row r="367" spans="1:20" x14ac:dyDescent="0.2">
      <c r="A367" s="3" t="s">
        <v>52</v>
      </c>
      <c r="B367" s="3" t="s">
        <v>53</v>
      </c>
      <c r="C367" s="3" t="s">
        <v>54</v>
      </c>
      <c r="D367" s="3" t="s">
        <v>386</v>
      </c>
      <c r="E367" s="3" t="s">
        <v>752</v>
      </c>
      <c r="F367" s="3" t="b">
        <v>0</v>
      </c>
      <c r="G367" s="3" t="b">
        <v>0</v>
      </c>
      <c r="H367" s="3" t="s">
        <v>750</v>
      </c>
      <c r="I367" s="4">
        <v>44902</v>
      </c>
      <c r="J367" s="4">
        <v>44967</v>
      </c>
      <c r="K367" s="4">
        <v>45561</v>
      </c>
      <c r="L367" s="3">
        <v>7</v>
      </c>
      <c r="M367" s="3">
        <v>110000</v>
      </c>
      <c r="N367" s="3">
        <v>18</v>
      </c>
      <c r="O367" s="3" t="b">
        <v>0</v>
      </c>
      <c r="P367" s="3" t="b">
        <v>0</v>
      </c>
      <c r="Q367" s="3">
        <v>1917.4657534246601</v>
      </c>
      <c r="R367" s="3">
        <v>32222.465753424662</v>
      </c>
      <c r="S367" s="3">
        <v>34139.931506849323</v>
      </c>
      <c r="T367" s="5">
        <f>IF(J367&lt;&gt;"",M367*N367/365/100*('Cashflow Projection'!$B$2-Investors!J367),0)</f>
        <v>25821.369863013701</v>
      </c>
    </row>
    <row r="368" spans="1:20" x14ac:dyDescent="0.2">
      <c r="A368" s="3" t="s">
        <v>82</v>
      </c>
      <c r="B368" s="3" t="s">
        <v>83</v>
      </c>
      <c r="C368" s="3" t="s">
        <v>84</v>
      </c>
      <c r="D368" s="3" t="s">
        <v>386</v>
      </c>
      <c r="E368" s="3" t="s">
        <v>752</v>
      </c>
      <c r="F368" s="3" t="b">
        <v>0</v>
      </c>
      <c r="G368" s="3" t="b">
        <v>0</v>
      </c>
      <c r="H368" s="3" t="s">
        <v>750</v>
      </c>
      <c r="I368" s="4">
        <v>44901</v>
      </c>
      <c r="J368" s="4">
        <v>44916</v>
      </c>
      <c r="K368" s="4">
        <v>45561</v>
      </c>
      <c r="L368" s="3">
        <v>3</v>
      </c>
      <c r="M368" s="3">
        <v>423120.71</v>
      </c>
      <c r="N368" s="3">
        <v>14</v>
      </c>
      <c r="O368" s="3" t="b">
        <v>0</v>
      </c>
      <c r="P368" s="3" t="b">
        <v>0</v>
      </c>
      <c r="Q368" s="3">
        <v>1695.3809270547949</v>
      </c>
      <c r="R368" s="3">
        <v>104678.9044191781</v>
      </c>
      <c r="S368" s="3">
        <v>106374.28534623289</v>
      </c>
      <c r="T368" s="5">
        <f>IF(J368&lt;&gt;"",M368*N368/365/100*('Cashflow Projection'!$B$2-Investors!J368),0)</f>
        <v>85528.345161095887</v>
      </c>
    </row>
    <row r="369" spans="1:20" x14ac:dyDescent="0.2">
      <c r="A369" s="3" t="s">
        <v>34</v>
      </c>
      <c r="B369" s="3" t="s">
        <v>35</v>
      </c>
      <c r="C369" s="3" t="s">
        <v>36</v>
      </c>
      <c r="D369" s="3" t="s">
        <v>386</v>
      </c>
      <c r="E369" s="3" t="s">
        <v>752</v>
      </c>
      <c r="F369" s="3" t="b">
        <v>0</v>
      </c>
      <c r="G369" s="3" t="b">
        <v>0</v>
      </c>
      <c r="H369" s="3" t="s">
        <v>750</v>
      </c>
      <c r="I369" s="4">
        <v>44901</v>
      </c>
      <c r="J369" s="4">
        <v>44916</v>
      </c>
      <c r="K369" s="4">
        <v>45561</v>
      </c>
      <c r="L369" s="3">
        <v>2</v>
      </c>
      <c r="M369" s="3">
        <v>200000</v>
      </c>
      <c r="N369" s="3">
        <v>14</v>
      </c>
      <c r="O369" s="3" t="b">
        <v>0</v>
      </c>
      <c r="P369" s="3" t="b">
        <v>0</v>
      </c>
      <c r="Q369" s="3">
        <v>801.36986301369848</v>
      </c>
      <c r="R369" s="3">
        <v>49479.452054794507</v>
      </c>
      <c r="S369" s="3">
        <v>50280.821917808207</v>
      </c>
      <c r="T369" s="5">
        <f>IF(J369&lt;&gt;"",M369*N369/365/100*('Cashflow Projection'!$B$2-Investors!J369),0)</f>
        <v>40427.397260273974</v>
      </c>
    </row>
    <row r="370" spans="1:20" x14ac:dyDescent="0.2">
      <c r="A370" s="3" t="s">
        <v>69</v>
      </c>
      <c r="B370" s="3" t="s">
        <v>70</v>
      </c>
      <c r="C370" s="3" t="s">
        <v>71</v>
      </c>
      <c r="D370" s="3" t="s">
        <v>386</v>
      </c>
      <c r="E370" s="3" t="s">
        <v>752</v>
      </c>
      <c r="F370" s="3" t="b">
        <v>0</v>
      </c>
      <c r="G370" s="3" t="b">
        <v>0</v>
      </c>
      <c r="H370" s="3" t="s">
        <v>750</v>
      </c>
      <c r="I370" s="4">
        <v>44902</v>
      </c>
      <c r="J370" s="4">
        <v>44967</v>
      </c>
      <c r="K370" s="4">
        <v>45561</v>
      </c>
      <c r="L370" s="3">
        <v>5</v>
      </c>
      <c r="M370" s="3">
        <v>110000</v>
      </c>
      <c r="N370" s="3">
        <v>18</v>
      </c>
      <c r="O370" s="3" t="b">
        <v>0</v>
      </c>
      <c r="P370" s="3" t="b">
        <v>0</v>
      </c>
      <c r="Q370" s="3">
        <v>1917.4657534246601</v>
      </c>
      <c r="R370" s="3">
        <v>32222.465753424662</v>
      </c>
      <c r="S370" s="3">
        <v>34139.931506849323</v>
      </c>
      <c r="T370" s="5">
        <f>IF(J370&lt;&gt;"",M370*N370/365/100*('Cashflow Projection'!$B$2-Investors!J370),0)</f>
        <v>25821.369863013701</v>
      </c>
    </row>
    <row r="371" spans="1:20" x14ac:dyDescent="0.2">
      <c r="A371" s="3" t="s">
        <v>419</v>
      </c>
      <c r="B371" s="3" t="s">
        <v>420</v>
      </c>
      <c r="C371" s="3" t="s">
        <v>421</v>
      </c>
      <c r="D371" s="3" t="s">
        <v>386</v>
      </c>
      <c r="E371" s="3" t="s">
        <v>752</v>
      </c>
      <c r="F371" s="3" t="b">
        <v>0</v>
      </c>
      <c r="G371" s="3" t="b">
        <v>0</v>
      </c>
      <c r="H371" s="3" t="s">
        <v>750</v>
      </c>
      <c r="I371" s="4">
        <v>45028</v>
      </c>
      <c r="J371" s="4">
        <v>45129</v>
      </c>
      <c r="K371" s="4">
        <v>45561</v>
      </c>
      <c r="L371" s="3">
        <v>15</v>
      </c>
      <c r="M371" s="3">
        <v>248756.16</v>
      </c>
      <c r="N371" s="3">
        <v>18</v>
      </c>
      <c r="O371" s="3" t="b">
        <v>0</v>
      </c>
      <c r="P371" s="3" t="b">
        <v>0</v>
      </c>
      <c r="Q371" s="3">
        <v>7404.7552832876581</v>
      </c>
      <c r="R371" s="3">
        <v>52995.284935890413</v>
      </c>
      <c r="S371" s="3">
        <v>60400.040219178067</v>
      </c>
      <c r="T371" s="5">
        <f>IF(J371&lt;&gt;"",M371*N371/365/100*('Cashflow Projection'!$B$2-Investors!J371),0)</f>
        <v>38519.720995068492</v>
      </c>
    </row>
    <row r="372" spans="1:20" x14ac:dyDescent="0.2">
      <c r="A372" s="3" t="s">
        <v>207</v>
      </c>
      <c r="B372" s="3" t="s">
        <v>53</v>
      </c>
      <c r="C372" s="3" t="s">
        <v>54</v>
      </c>
      <c r="D372" s="3" t="s">
        <v>386</v>
      </c>
      <c r="E372" s="3" t="s">
        <v>753</v>
      </c>
      <c r="F372" s="3" t="b">
        <v>0</v>
      </c>
      <c r="G372" s="3" t="b">
        <v>0</v>
      </c>
      <c r="H372" s="3" t="s">
        <v>750</v>
      </c>
      <c r="I372" s="4">
        <v>44908</v>
      </c>
      <c r="J372" s="4">
        <v>44980</v>
      </c>
      <c r="K372" s="4">
        <v>45561</v>
      </c>
      <c r="L372" s="3">
        <v>10</v>
      </c>
      <c r="M372" s="3">
        <v>100000</v>
      </c>
      <c r="N372" s="3">
        <v>18</v>
      </c>
      <c r="O372" s="3" t="b">
        <v>0</v>
      </c>
      <c r="P372" s="3" t="b">
        <v>0</v>
      </c>
      <c r="Q372" s="3">
        <v>1939.041095890409</v>
      </c>
      <c r="R372" s="3">
        <v>28652.054794520551</v>
      </c>
      <c r="S372" s="3">
        <v>30591.095890410961</v>
      </c>
      <c r="T372" s="5">
        <f>IF(J372&lt;&gt;"",M372*N372/365/100*('Cashflow Projection'!$B$2-Investors!J372),0)</f>
        <v>22832.876712328765</v>
      </c>
    </row>
    <row r="373" spans="1:20" x14ac:dyDescent="0.2">
      <c r="A373" s="3" t="s">
        <v>663</v>
      </c>
      <c r="B373" s="3" t="s">
        <v>664</v>
      </c>
      <c r="C373" s="3" t="s">
        <v>445</v>
      </c>
      <c r="D373" s="3" t="s">
        <v>386</v>
      </c>
      <c r="E373" s="3" t="s">
        <v>753</v>
      </c>
      <c r="F373" s="3" t="b">
        <v>0</v>
      </c>
      <c r="G373" s="3" t="b">
        <v>0</v>
      </c>
      <c r="H373" s="3" t="s">
        <v>750</v>
      </c>
      <c r="I373" s="4">
        <v>44959</v>
      </c>
      <c r="J373" s="4">
        <v>45044</v>
      </c>
      <c r="K373" s="4">
        <v>45561</v>
      </c>
      <c r="L373" s="3">
        <v>4</v>
      </c>
      <c r="M373" s="3">
        <v>1000000</v>
      </c>
      <c r="N373" s="3">
        <v>18</v>
      </c>
      <c r="O373" s="3" t="b">
        <v>0</v>
      </c>
      <c r="P373" s="3" t="b">
        <v>0</v>
      </c>
      <c r="Q373" s="3">
        <v>23671.232876712369</v>
      </c>
      <c r="R373" s="3">
        <v>254958.90410958909</v>
      </c>
      <c r="S373" s="3">
        <v>278630.13698630151</v>
      </c>
      <c r="T373" s="5">
        <f>IF(J373&lt;&gt;"",M373*N373/365/100*('Cashflow Projection'!$B$2-Investors!J373),0)</f>
        <v>196767.12328767122</v>
      </c>
    </row>
    <row r="374" spans="1:20" x14ac:dyDescent="0.2">
      <c r="A374" s="3" t="s">
        <v>133</v>
      </c>
      <c r="B374" s="3" t="s">
        <v>134</v>
      </c>
      <c r="C374" s="3" t="s">
        <v>135</v>
      </c>
      <c r="D374" s="3" t="s">
        <v>386</v>
      </c>
      <c r="E374" s="3" t="s">
        <v>754</v>
      </c>
      <c r="F374" s="3" t="b">
        <v>0</v>
      </c>
      <c r="G374" s="3" t="b">
        <v>0</v>
      </c>
      <c r="H374" s="3" t="s">
        <v>750</v>
      </c>
      <c r="I374" s="4">
        <v>44901</v>
      </c>
      <c r="J374" s="4">
        <v>44960</v>
      </c>
      <c r="K374" s="4">
        <v>45546</v>
      </c>
      <c r="L374" s="3">
        <v>2</v>
      </c>
      <c r="M374" s="3">
        <v>1000000</v>
      </c>
      <c r="N374" s="3">
        <v>18</v>
      </c>
      <c r="O374" s="3" t="b">
        <v>0</v>
      </c>
      <c r="P374" s="3" t="b">
        <v>0</v>
      </c>
      <c r="Q374" s="3">
        <v>15780.82191780822</v>
      </c>
      <c r="R374" s="3">
        <v>288986.30136986298</v>
      </c>
      <c r="S374" s="3">
        <v>304767.12328767119</v>
      </c>
      <c r="T374" s="5">
        <f>IF(J374&lt;&gt;"",M374*N374/365/100*('Cashflow Projection'!$B$2-Investors!J374),0)</f>
        <v>238191.78082191778</v>
      </c>
    </row>
    <row r="375" spans="1:20" x14ac:dyDescent="0.2">
      <c r="A375" s="3" t="s">
        <v>52</v>
      </c>
      <c r="B375" s="3" t="s">
        <v>53</v>
      </c>
      <c r="C375" s="3" t="s">
        <v>54</v>
      </c>
      <c r="D375" s="3" t="s">
        <v>386</v>
      </c>
      <c r="E375" s="3" t="s">
        <v>754</v>
      </c>
      <c r="F375" s="3" t="b">
        <v>0</v>
      </c>
      <c r="G375" s="3" t="b">
        <v>0</v>
      </c>
      <c r="H375" s="3" t="s">
        <v>750</v>
      </c>
      <c r="I375" s="4">
        <v>44900</v>
      </c>
      <c r="J375" s="4">
        <v>44916</v>
      </c>
      <c r="K375" s="4">
        <v>45546</v>
      </c>
      <c r="L375" s="3">
        <v>6</v>
      </c>
      <c r="M375" s="3">
        <v>120000</v>
      </c>
      <c r="N375" s="3">
        <v>18</v>
      </c>
      <c r="O375" s="3" t="b">
        <v>0</v>
      </c>
      <c r="P375" s="3" t="b">
        <v>0</v>
      </c>
      <c r="Q375" s="3">
        <v>512.8767123287671</v>
      </c>
      <c r="R375" s="3">
        <v>37282.191780821922</v>
      </c>
      <c r="S375" s="3">
        <v>37795.068493150691</v>
      </c>
      <c r="T375" s="5">
        <f>IF(J375&lt;&gt;"",M375*N375/365/100*('Cashflow Projection'!$B$2-Investors!J375),0)</f>
        <v>31186.849315068495</v>
      </c>
    </row>
    <row r="376" spans="1:20" x14ac:dyDescent="0.2">
      <c r="A376" s="3" t="s">
        <v>533</v>
      </c>
      <c r="B376" s="3" t="s">
        <v>534</v>
      </c>
      <c r="C376" s="3" t="s">
        <v>535</v>
      </c>
      <c r="D376" s="3" t="s">
        <v>386</v>
      </c>
      <c r="E376" s="3" t="s">
        <v>755</v>
      </c>
      <c r="F376" s="3" t="b">
        <v>0</v>
      </c>
      <c r="G376" s="3" t="b">
        <v>0</v>
      </c>
      <c r="H376" s="3" t="s">
        <v>750</v>
      </c>
      <c r="I376" s="4">
        <v>45453.622732178097</v>
      </c>
      <c r="J376" s="3"/>
      <c r="K376" s="4">
        <v>45546</v>
      </c>
      <c r="L376" s="3">
        <v>0</v>
      </c>
      <c r="M376" s="3">
        <v>161720.53</v>
      </c>
      <c r="N376" s="3">
        <v>14</v>
      </c>
      <c r="O376" s="3" t="b">
        <v>0</v>
      </c>
      <c r="P376" s="3" t="b">
        <v>1</v>
      </c>
      <c r="Q376" s="3">
        <v>1462.130819178082</v>
      </c>
      <c r="R376" s="3">
        <v>3845.8471243835611</v>
      </c>
      <c r="S376" s="3">
        <v>5307.9779435616438</v>
      </c>
      <c r="T376" s="5">
        <f>IF(J376&lt;&gt;"",M376*N376/365/100*('Cashflow Projection'!$B$2-Investors!J376),0)</f>
        <v>0</v>
      </c>
    </row>
    <row r="377" spans="1:20" x14ac:dyDescent="0.2">
      <c r="A377" s="3" t="s">
        <v>554</v>
      </c>
      <c r="B377" s="3" t="s">
        <v>555</v>
      </c>
      <c r="C377" s="3" t="s">
        <v>556</v>
      </c>
      <c r="D377" s="3" t="s">
        <v>386</v>
      </c>
      <c r="E377" s="3" t="s">
        <v>755</v>
      </c>
      <c r="F377" s="3" t="b">
        <v>0</v>
      </c>
      <c r="G377" s="3" t="b">
        <v>0</v>
      </c>
      <c r="H377" s="3" t="s">
        <v>750</v>
      </c>
      <c r="I377" s="4">
        <v>45453.622733254633</v>
      </c>
      <c r="J377" s="3"/>
      <c r="K377" s="4">
        <v>45546</v>
      </c>
      <c r="L377" s="3">
        <v>0</v>
      </c>
      <c r="M377" s="3">
        <v>242665.59</v>
      </c>
      <c r="N377" s="3">
        <v>13</v>
      </c>
      <c r="O377" s="3" t="b">
        <v>0</v>
      </c>
      <c r="P377" s="3" t="b">
        <v>1</v>
      </c>
      <c r="Q377" s="3">
        <v>2193.9628684931508</v>
      </c>
      <c r="R377" s="3">
        <v>5358.588096986301</v>
      </c>
      <c r="S377" s="3">
        <v>7552.5509654794514</v>
      </c>
      <c r="T377" s="5">
        <f>IF(J377&lt;&gt;"",M377*N377/365/100*('Cashflow Projection'!$B$2-Investors!J377),0)</f>
        <v>0</v>
      </c>
    </row>
    <row r="378" spans="1:20" x14ac:dyDescent="0.2">
      <c r="A378" s="3" t="s">
        <v>30</v>
      </c>
      <c r="B378" s="3" t="s">
        <v>31</v>
      </c>
      <c r="C378" s="3" t="s">
        <v>32</v>
      </c>
      <c r="D378" s="3" t="s">
        <v>386</v>
      </c>
      <c r="E378" s="3" t="s">
        <v>755</v>
      </c>
      <c r="F378" s="3" t="b">
        <v>0</v>
      </c>
      <c r="G378" s="3" t="b">
        <v>0</v>
      </c>
      <c r="H378" s="3" t="s">
        <v>750</v>
      </c>
      <c r="I378" s="4">
        <v>44897</v>
      </c>
      <c r="J378" s="4">
        <v>44916</v>
      </c>
      <c r="K378" s="4">
        <v>45450</v>
      </c>
      <c r="L378" s="3">
        <v>3</v>
      </c>
      <c r="M378" s="3">
        <v>1107195.21</v>
      </c>
      <c r="N378" s="3">
        <v>18</v>
      </c>
      <c r="O378" s="3" t="b">
        <v>1</v>
      </c>
      <c r="P378" s="3" t="b">
        <v>0</v>
      </c>
      <c r="Q378" s="3">
        <v>5619.3948671917806</v>
      </c>
      <c r="R378" s="3">
        <v>291571.51667178079</v>
      </c>
      <c r="S378" s="3">
        <v>297190.91153897258</v>
      </c>
      <c r="T378" s="5">
        <f>IF(J378&lt;&gt;"",M378*N378/365/100*('Cashflow Projection'!$B$2-Investors!J378),0)</f>
        <v>287749.41813863016</v>
      </c>
    </row>
    <row r="379" spans="1:20" x14ac:dyDescent="0.2">
      <c r="A379" s="3" t="s">
        <v>485</v>
      </c>
      <c r="B379" s="3" t="s">
        <v>486</v>
      </c>
      <c r="C379" s="3" t="s">
        <v>487</v>
      </c>
      <c r="D379" s="3" t="s">
        <v>386</v>
      </c>
      <c r="E379" s="3" t="s">
        <v>756</v>
      </c>
      <c r="F379" s="3" t="b">
        <v>0</v>
      </c>
      <c r="G379" s="3" t="b">
        <v>0</v>
      </c>
      <c r="H379" s="3" t="s">
        <v>750</v>
      </c>
      <c r="I379" s="4">
        <v>44866</v>
      </c>
      <c r="J379" s="4">
        <v>44916</v>
      </c>
      <c r="K379" s="4">
        <v>45568</v>
      </c>
      <c r="L379" s="3">
        <v>6</v>
      </c>
      <c r="M379" s="3">
        <v>1100000</v>
      </c>
      <c r="N379" s="3">
        <v>18</v>
      </c>
      <c r="O379" s="3" t="b">
        <v>0</v>
      </c>
      <c r="P379" s="3" t="b">
        <v>0</v>
      </c>
      <c r="Q379" s="3">
        <v>14036.301369863029</v>
      </c>
      <c r="R379" s="3">
        <v>353687.67123287672</v>
      </c>
      <c r="S379" s="3">
        <v>367723.97260273981</v>
      </c>
      <c r="T379" s="5">
        <f>IF(J379&lt;&gt;"",M379*N379/365/100*('Cashflow Projection'!$B$2-Investors!J379),0)</f>
        <v>285879.45205479453</v>
      </c>
    </row>
    <row r="380" spans="1:20" x14ac:dyDescent="0.2">
      <c r="A380" s="3" t="s">
        <v>48</v>
      </c>
      <c r="B380" s="3" t="s">
        <v>49</v>
      </c>
      <c r="C380" s="3" t="s">
        <v>50</v>
      </c>
      <c r="D380" s="3" t="s">
        <v>386</v>
      </c>
      <c r="E380" s="3" t="s">
        <v>757</v>
      </c>
      <c r="F380" s="3" t="b">
        <v>0</v>
      </c>
      <c r="G380" s="3" t="b">
        <v>0</v>
      </c>
      <c r="H380" s="3" t="s">
        <v>750</v>
      </c>
      <c r="I380" s="4">
        <v>44895</v>
      </c>
      <c r="J380" s="4">
        <v>44916</v>
      </c>
      <c r="K380" s="4">
        <v>45568</v>
      </c>
      <c r="L380" s="3">
        <v>3</v>
      </c>
      <c r="M380" s="3">
        <v>100000</v>
      </c>
      <c r="N380" s="3">
        <v>14</v>
      </c>
      <c r="O380" s="3" t="b">
        <v>0</v>
      </c>
      <c r="P380" s="3" t="b">
        <v>0</v>
      </c>
      <c r="Q380" s="3">
        <v>560.95890410958884</v>
      </c>
      <c r="R380" s="3">
        <v>25008.219178082189</v>
      </c>
      <c r="S380" s="3">
        <v>25569.178082191778</v>
      </c>
      <c r="T380" s="5">
        <f>IF(J380&lt;&gt;"",M380*N380/365/100*('Cashflow Projection'!$B$2-Investors!J380),0)</f>
        <v>20213.698630136987</v>
      </c>
    </row>
    <row r="381" spans="1:20" x14ac:dyDescent="0.2">
      <c r="A381" s="3" t="s">
        <v>55</v>
      </c>
      <c r="B381" s="3" t="s">
        <v>56</v>
      </c>
      <c r="C381" s="3" t="s">
        <v>57</v>
      </c>
      <c r="D381" s="3" t="s">
        <v>386</v>
      </c>
      <c r="E381" s="3" t="s">
        <v>757</v>
      </c>
      <c r="F381" s="3" t="b">
        <v>0</v>
      </c>
      <c r="G381" s="3" t="b">
        <v>0</v>
      </c>
      <c r="H381" s="3" t="s">
        <v>750</v>
      </c>
      <c r="I381" s="4">
        <v>44895</v>
      </c>
      <c r="J381" s="4">
        <v>44916</v>
      </c>
      <c r="K381" s="4">
        <v>45568</v>
      </c>
      <c r="L381" s="3">
        <v>2</v>
      </c>
      <c r="M381" s="3">
        <v>112707.53</v>
      </c>
      <c r="N381" s="3">
        <v>14</v>
      </c>
      <c r="O381" s="3" t="b">
        <v>0</v>
      </c>
      <c r="P381" s="3" t="b">
        <v>0</v>
      </c>
      <c r="Q381" s="3">
        <v>632.24292513698629</v>
      </c>
      <c r="R381" s="3">
        <v>28186.146132602731</v>
      </c>
      <c r="S381" s="3">
        <v>28818.389057739721</v>
      </c>
      <c r="T381" s="5">
        <f>IF(J381&lt;&gt;"",M381*N381/365/100*('Cashflow Projection'!$B$2-Investors!J381),0)</f>
        <v>22782.360447671232</v>
      </c>
    </row>
    <row r="382" spans="1:20" x14ac:dyDescent="0.2">
      <c r="A382" s="3" t="s">
        <v>59</v>
      </c>
      <c r="B382" s="3" t="s">
        <v>60</v>
      </c>
      <c r="C382" s="3" t="s">
        <v>61</v>
      </c>
      <c r="D382" s="3" t="s">
        <v>386</v>
      </c>
      <c r="E382" s="3" t="s">
        <v>757</v>
      </c>
      <c r="F382" s="3" t="b">
        <v>0</v>
      </c>
      <c r="G382" s="3" t="b">
        <v>0</v>
      </c>
      <c r="H382" s="3" t="s">
        <v>750</v>
      </c>
      <c r="I382" s="4">
        <v>44902</v>
      </c>
      <c r="J382" s="4">
        <v>44967</v>
      </c>
      <c r="K382" s="4">
        <v>45568</v>
      </c>
      <c r="L382" s="3">
        <v>23</v>
      </c>
      <c r="M382" s="3">
        <v>126300</v>
      </c>
      <c r="N382" s="3">
        <v>18</v>
      </c>
      <c r="O382" s="3" t="b">
        <v>0</v>
      </c>
      <c r="P382" s="3" t="b">
        <v>0</v>
      </c>
      <c r="Q382" s="3">
        <v>2201.5993150684908</v>
      </c>
      <c r="R382" s="3">
        <v>37433.243835616442</v>
      </c>
      <c r="S382" s="3">
        <v>39634.84315068493</v>
      </c>
      <c r="T382" s="5">
        <f>IF(J382&lt;&gt;"",M382*N382/365/100*('Cashflow Projection'!$B$2-Investors!J382),0)</f>
        <v>29647.627397260276</v>
      </c>
    </row>
    <row r="383" spans="1:20" x14ac:dyDescent="0.2">
      <c r="A383" s="3" t="s">
        <v>142</v>
      </c>
      <c r="B383" s="3" t="s">
        <v>143</v>
      </c>
      <c r="C383" s="3" t="s">
        <v>144</v>
      </c>
      <c r="D383" s="3" t="s">
        <v>386</v>
      </c>
      <c r="E383" s="3" t="s">
        <v>757</v>
      </c>
      <c r="F383" s="3" t="b">
        <v>0</v>
      </c>
      <c r="G383" s="3" t="b">
        <v>0</v>
      </c>
      <c r="H383" s="3" t="s">
        <v>750</v>
      </c>
      <c r="I383" s="4">
        <v>44903</v>
      </c>
      <c r="J383" s="4">
        <v>44986</v>
      </c>
      <c r="K383" s="4">
        <v>45568</v>
      </c>
      <c r="L383" s="3">
        <v>5</v>
      </c>
      <c r="M383" s="3">
        <v>65218.15</v>
      </c>
      <c r="N383" s="3">
        <v>14</v>
      </c>
      <c r="O383" s="3" t="b">
        <v>0</v>
      </c>
      <c r="P383" s="3" t="b">
        <v>0</v>
      </c>
      <c r="Q383" s="3">
        <v>1458.9210815068509</v>
      </c>
      <c r="R383" s="3">
        <v>14558.83523835616</v>
      </c>
      <c r="S383" s="3">
        <v>16017.756319863011</v>
      </c>
      <c r="T383" s="5">
        <f>IF(J383&lt;&gt;"",M383*N383/365/100*('Cashflow Projection'!$B$2-Investors!J383),0)</f>
        <v>11431.937635616438</v>
      </c>
    </row>
    <row r="384" spans="1:20" x14ac:dyDescent="0.2">
      <c r="A384" s="3" t="s">
        <v>30</v>
      </c>
      <c r="B384" s="3" t="s">
        <v>31</v>
      </c>
      <c r="C384" s="3" t="s">
        <v>32</v>
      </c>
      <c r="D384" s="3" t="s">
        <v>386</v>
      </c>
      <c r="E384" s="3" t="s">
        <v>757</v>
      </c>
      <c r="F384" s="3" t="b">
        <v>0</v>
      </c>
      <c r="G384" s="3" t="b">
        <v>0</v>
      </c>
      <c r="H384" s="3" t="s">
        <v>750</v>
      </c>
      <c r="I384" s="4">
        <v>44915</v>
      </c>
      <c r="J384" s="4">
        <v>45016</v>
      </c>
      <c r="K384" s="4">
        <v>45568</v>
      </c>
      <c r="L384" s="3">
        <v>4</v>
      </c>
      <c r="M384" s="3">
        <v>608441.78</v>
      </c>
      <c r="N384" s="3">
        <v>18</v>
      </c>
      <c r="O384" s="3" t="b">
        <v>0</v>
      </c>
      <c r="P384" s="3" t="b">
        <v>0</v>
      </c>
      <c r="Q384" s="3">
        <v>16661.30298931506</v>
      </c>
      <c r="R384" s="3">
        <v>165629.5212624658</v>
      </c>
      <c r="S384" s="3">
        <v>182290.82425178081</v>
      </c>
      <c r="T384" s="5">
        <f>IF(J384&lt;&gt;"",M384*N384/365/100*('Cashflow Projection'!$B$2-Investors!J384),0)</f>
        <v>128122.83619397262</v>
      </c>
    </row>
    <row r="385" spans="1:20" x14ac:dyDescent="0.2">
      <c r="A385" s="3" t="s">
        <v>152</v>
      </c>
      <c r="B385" s="3" t="s">
        <v>153</v>
      </c>
      <c r="C385" s="3" t="s">
        <v>154</v>
      </c>
      <c r="D385" s="3" t="s">
        <v>386</v>
      </c>
      <c r="E385" s="3" t="s">
        <v>758</v>
      </c>
      <c r="F385" s="3" t="b">
        <v>0</v>
      </c>
      <c r="G385" s="3" t="b">
        <v>0</v>
      </c>
      <c r="H385" s="3" t="s">
        <v>750</v>
      </c>
      <c r="I385" s="4">
        <v>44897</v>
      </c>
      <c r="J385" s="4">
        <v>44916</v>
      </c>
      <c r="K385" s="4">
        <v>45588</v>
      </c>
      <c r="L385" s="3">
        <v>2</v>
      </c>
      <c r="M385" s="3">
        <v>510000</v>
      </c>
      <c r="N385" s="3">
        <v>16</v>
      </c>
      <c r="O385" s="3" t="b">
        <v>0</v>
      </c>
      <c r="P385" s="3" t="b">
        <v>0</v>
      </c>
      <c r="Q385" s="3">
        <v>2588.4246575342459</v>
      </c>
      <c r="R385" s="3">
        <v>150233.42465753431</v>
      </c>
      <c r="S385" s="3">
        <v>152821.84931506851</v>
      </c>
      <c r="T385" s="5">
        <f>IF(J385&lt;&gt;"",M385*N385/365/100*('Cashflow Projection'!$B$2-Investors!J385),0)</f>
        <v>117816.98630136986</v>
      </c>
    </row>
    <row r="386" spans="1:20" x14ac:dyDescent="0.2">
      <c r="A386" s="3" t="s">
        <v>72</v>
      </c>
      <c r="B386" s="3" t="s">
        <v>73</v>
      </c>
      <c r="C386" s="3" t="s">
        <v>74</v>
      </c>
      <c r="D386" s="3" t="s">
        <v>386</v>
      </c>
      <c r="E386" s="3" t="s">
        <v>758</v>
      </c>
      <c r="F386" s="3" t="b">
        <v>0</v>
      </c>
      <c r="G386" s="3" t="b">
        <v>0</v>
      </c>
      <c r="H386" s="3" t="s">
        <v>750</v>
      </c>
      <c r="I386" s="4">
        <v>44952</v>
      </c>
      <c r="J386" s="4">
        <v>45044</v>
      </c>
      <c r="K386" s="4">
        <v>45588</v>
      </c>
      <c r="L386" s="3">
        <v>2</v>
      </c>
      <c r="M386" s="3">
        <v>500000</v>
      </c>
      <c r="N386" s="3">
        <v>16</v>
      </c>
      <c r="O386" s="3" t="b">
        <v>0</v>
      </c>
      <c r="P386" s="3" t="b">
        <v>0</v>
      </c>
      <c r="Q386" s="3">
        <v>12777.397260274</v>
      </c>
      <c r="R386" s="3">
        <v>119232.8767123288</v>
      </c>
      <c r="S386" s="3">
        <v>132010.27397260279</v>
      </c>
      <c r="T386" s="5">
        <f>IF(J386&lt;&gt;"",M386*N386/365/100*('Cashflow Projection'!$B$2-Investors!J386),0)</f>
        <v>87452.054794520547</v>
      </c>
    </row>
    <row r="387" spans="1:20" x14ac:dyDescent="0.2">
      <c r="A387" s="3" t="s">
        <v>62</v>
      </c>
      <c r="B387" s="3" t="s">
        <v>63</v>
      </c>
      <c r="C387" s="3" t="s">
        <v>64</v>
      </c>
      <c r="D387" s="3" t="s">
        <v>386</v>
      </c>
      <c r="E387" s="3" t="s">
        <v>758</v>
      </c>
      <c r="F387" s="3" t="b">
        <v>0</v>
      </c>
      <c r="G387" s="3" t="b">
        <v>0</v>
      </c>
      <c r="H387" s="3" t="s">
        <v>750</v>
      </c>
      <c r="I387" s="4">
        <v>44952</v>
      </c>
      <c r="J387" s="4">
        <v>45016</v>
      </c>
      <c r="K387" s="4">
        <v>45588</v>
      </c>
      <c r="L387" s="3">
        <v>4</v>
      </c>
      <c r="M387" s="3">
        <v>90419.06</v>
      </c>
      <c r="N387" s="3">
        <v>14</v>
      </c>
      <c r="O387" s="3" t="b">
        <v>0</v>
      </c>
      <c r="P387" s="3" t="b">
        <v>0</v>
      </c>
      <c r="Q387" s="3">
        <v>1582.3335500000021</v>
      </c>
      <c r="R387" s="3">
        <v>19837.69404054794</v>
      </c>
      <c r="S387" s="3">
        <v>21420.02759054795</v>
      </c>
      <c r="T387" s="5">
        <f>IF(J387&lt;&gt;"",M387*N387/365/100*('Cashflow Projection'!$B$2-Investors!J387),0)</f>
        <v>14808.907963835614</v>
      </c>
    </row>
    <row r="388" spans="1:20" x14ac:dyDescent="0.2">
      <c r="A388" s="3" t="s">
        <v>21</v>
      </c>
      <c r="B388" s="3" t="s">
        <v>22</v>
      </c>
      <c r="C388" s="3" t="s">
        <v>23</v>
      </c>
      <c r="D388" s="3" t="s">
        <v>386</v>
      </c>
      <c r="E388" s="3" t="s">
        <v>759</v>
      </c>
      <c r="F388" s="3" t="b">
        <v>0</v>
      </c>
      <c r="G388" s="3" t="b">
        <v>0</v>
      </c>
      <c r="H388" s="3" t="s">
        <v>750</v>
      </c>
      <c r="I388" s="4">
        <v>44950</v>
      </c>
      <c r="J388" s="4">
        <v>45016</v>
      </c>
      <c r="K388" s="4">
        <v>45588</v>
      </c>
      <c r="L388" s="3">
        <v>3</v>
      </c>
      <c r="M388" s="3">
        <v>400000</v>
      </c>
      <c r="N388" s="3">
        <v>14</v>
      </c>
      <c r="O388" s="3" t="b">
        <v>0</v>
      </c>
      <c r="P388" s="3" t="b">
        <v>0</v>
      </c>
      <c r="Q388" s="3">
        <v>7213.698630136977</v>
      </c>
      <c r="R388" s="3">
        <v>87758.904109589028</v>
      </c>
      <c r="S388" s="3">
        <v>94972.602739726004</v>
      </c>
      <c r="T388" s="5">
        <f>IF(J388&lt;&gt;"",M388*N388/365/100*('Cashflow Projection'!$B$2-Investors!J388),0)</f>
        <v>65512.328767123297</v>
      </c>
    </row>
    <row r="389" spans="1:20" x14ac:dyDescent="0.2">
      <c r="A389" s="3" t="s">
        <v>111</v>
      </c>
      <c r="B389" s="3" t="s">
        <v>112</v>
      </c>
      <c r="C389" s="3" t="s">
        <v>113</v>
      </c>
      <c r="D389" s="3" t="s">
        <v>386</v>
      </c>
      <c r="E389" s="3" t="s">
        <v>759</v>
      </c>
      <c r="F389" s="3" t="b">
        <v>0</v>
      </c>
      <c r="G389" s="3" t="b">
        <v>0</v>
      </c>
      <c r="H389" s="3" t="s">
        <v>750</v>
      </c>
      <c r="I389" s="4">
        <v>44901</v>
      </c>
      <c r="J389" s="4">
        <v>44916</v>
      </c>
      <c r="K389" s="4">
        <v>45588</v>
      </c>
      <c r="L389" s="3">
        <v>4</v>
      </c>
      <c r="M389" s="3">
        <v>124948.63</v>
      </c>
      <c r="N389" s="3">
        <v>14</v>
      </c>
      <c r="O389" s="3" t="b">
        <v>0</v>
      </c>
      <c r="P389" s="3" t="b">
        <v>0</v>
      </c>
      <c r="Q389" s="3">
        <v>500.65033253424667</v>
      </c>
      <c r="R389" s="3">
        <v>32205.93728876712</v>
      </c>
      <c r="S389" s="3">
        <v>32706.587621301369</v>
      </c>
      <c r="T389" s="5">
        <f>IF(J389&lt;&gt;"",M389*N389/365/100*('Cashflow Projection'!$B$2-Investors!J389),0)</f>
        <v>25256.739510684936</v>
      </c>
    </row>
    <row r="390" spans="1:20" x14ac:dyDescent="0.2">
      <c r="A390" s="3" t="s">
        <v>188</v>
      </c>
      <c r="B390" s="3" t="s">
        <v>189</v>
      </c>
      <c r="C390" s="3" t="s">
        <v>190</v>
      </c>
      <c r="D390" s="3" t="s">
        <v>386</v>
      </c>
      <c r="E390" s="3" t="s">
        <v>759</v>
      </c>
      <c r="F390" s="3" t="b">
        <v>0</v>
      </c>
      <c r="G390" s="3" t="b">
        <v>0</v>
      </c>
      <c r="H390" s="3" t="s">
        <v>750</v>
      </c>
      <c r="I390" s="4">
        <v>44903</v>
      </c>
      <c r="J390" s="4">
        <v>44980</v>
      </c>
      <c r="K390" s="4">
        <v>45588</v>
      </c>
      <c r="L390" s="3">
        <v>2</v>
      </c>
      <c r="M390" s="3">
        <v>600000</v>
      </c>
      <c r="N390" s="3">
        <v>16</v>
      </c>
      <c r="O390" s="3" t="b">
        <v>0</v>
      </c>
      <c r="P390" s="3" t="b">
        <v>0</v>
      </c>
      <c r="Q390" s="3">
        <v>12435.61643835615</v>
      </c>
      <c r="R390" s="3">
        <v>159912.32876712331</v>
      </c>
      <c r="S390" s="3">
        <v>172347.94520547951</v>
      </c>
      <c r="T390" s="5">
        <f>IF(J390&lt;&gt;"",M390*N390/365/100*('Cashflow Projection'!$B$2-Investors!J390),0)</f>
        <v>121775.34246575341</v>
      </c>
    </row>
    <row r="391" spans="1:20" x14ac:dyDescent="0.2">
      <c r="A391" s="3" t="s">
        <v>169</v>
      </c>
      <c r="B391" s="3" t="s">
        <v>170</v>
      </c>
      <c r="C391" s="3" t="s">
        <v>171</v>
      </c>
      <c r="D391" s="3" t="s">
        <v>386</v>
      </c>
      <c r="E391" s="3" t="s">
        <v>760</v>
      </c>
      <c r="F391" s="3" t="b">
        <v>0</v>
      </c>
      <c r="G391" s="3" t="b">
        <v>0</v>
      </c>
      <c r="H391" s="3" t="s">
        <v>750</v>
      </c>
      <c r="I391" s="4">
        <v>44937</v>
      </c>
      <c r="J391" s="4">
        <v>45016</v>
      </c>
      <c r="K391" s="4">
        <v>45603</v>
      </c>
      <c r="L391" s="3">
        <v>2</v>
      </c>
      <c r="M391" s="3">
        <v>1000500</v>
      </c>
      <c r="N391" s="3">
        <v>18</v>
      </c>
      <c r="O391" s="3" t="b">
        <v>0</v>
      </c>
      <c r="P391" s="3" t="b">
        <v>0</v>
      </c>
      <c r="Q391" s="3">
        <v>21517.602739726</v>
      </c>
      <c r="R391" s="3">
        <v>289624.19178082189</v>
      </c>
      <c r="S391" s="3">
        <v>311141.79452054802</v>
      </c>
      <c r="T391" s="5">
        <f>IF(J391&lt;&gt;"",M391*N391/365/100*('Cashflow Projection'!$B$2-Investors!J391),0)</f>
        <v>210680.63013698629</v>
      </c>
    </row>
    <row r="392" spans="1:20" x14ac:dyDescent="0.2">
      <c r="A392" s="3" t="s">
        <v>227</v>
      </c>
      <c r="B392" s="3" t="s">
        <v>228</v>
      </c>
      <c r="C392" s="3" t="s">
        <v>32</v>
      </c>
      <c r="D392" s="3" t="s">
        <v>386</v>
      </c>
      <c r="E392" s="3" t="s">
        <v>760</v>
      </c>
      <c r="F392" s="3" t="b">
        <v>0</v>
      </c>
      <c r="G392" s="3" t="b">
        <v>0</v>
      </c>
      <c r="H392" s="3" t="s">
        <v>750</v>
      </c>
      <c r="I392" s="4">
        <v>44895</v>
      </c>
      <c r="J392" s="4">
        <v>44916</v>
      </c>
      <c r="K392" s="4">
        <v>45603</v>
      </c>
      <c r="L392" s="3">
        <v>3</v>
      </c>
      <c r="M392" s="3">
        <v>123613.01</v>
      </c>
      <c r="N392" s="3">
        <v>14</v>
      </c>
      <c r="O392" s="3" t="b">
        <v>0</v>
      </c>
      <c r="P392" s="3" t="b">
        <v>0</v>
      </c>
      <c r="Q392" s="3">
        <v>693.41818623287702</v>
      </c>
      <c r="R392" s="3">
        <v>32572.874799452049</v>
      </c>
      <c r="S392" s="3">
        <v>33266.29298568493</v>
      </c>
      <c r="T392" s="5">
        <f>IF(J392&lt;&gt;"",M392*N392/365/100*('Cashflow Projection'!$B$2-Investors!J392),0)</f>
        <v>24986.761309041092</v>
      </c>
    </row>
    <row r="393" spans="1:20" x14ac:dyDescent="0.2">
      <c r="A393" s="3" t="s">
        <v>65</v>
      </c>
      <c r="B393" s="3" t="s">
        <v>66</v>
      </c>
      <c r="C393" s="3" t="s">
        <v>67</v>
      </c>
      <c r="D393" s="3" t="s">
        <v>386</v>
      </c>
      <c r="E393" s="3" t="s">
        <v>761</v>
      </c>
      <c r="F393" s="3" t="b">
        <v>0</v>
      </c>
      <c r="G393" s="3" t="b">
        <v>0</v>
      </c>
      <c r="H393" s="3" t="s">
        <v>750</v>
      </c>
      <c r="I393" s="4">
        <v>44914</v>
      </c>
      <c r="J393" s="4">
        <v>45008</v>
      </c>
      <c r="K393" s="4">
        <v>45604</v>
      </c>
      <c r="L393" s="3">
        <v>4</v>
      </c>
      <c r="M393" s="3">
        <v>130133.7</v>
      </c>
      <c r="N393" s="3">
        <v>14</v>
      </c>
      <c r="O393" s="3" t="b">
        <v>0</v>
      </c>
      <c r="P393" s="3" t="b">
        <v>0</v>
      </c>
      <c r="Q393" s="3">
        <v>3313.0613897260318</v>
      </c>
      <c r="R393" s="3">
        <v>29748.92035068493</v>
      </c>
      <c r="S393" s="3">
        <v>33061.981740410964</v>
      </c>
      <c r="T393" s="5">
        <f>IF(J393&lt;&gt;"",M393*N393/365/100*('Cashflow Projection'!$B$2-Investors!J393),0)</f>
        <v>21712.718712328766</v>
      </c>
    </row>
    <row r="394" spans="1:20" x14ac:dyDescent="0.2">
      <c r="A394" s="3" t="s">
        <v>253</v>
      </c>
      <c r="B394" s="3" t="s">
        <v>254</v>
      </c>
      <c r="C394" s="3" t="s">
        <v>255</v>
      </c>
      <c r="D394" s="3" t="s">
        <v>386</v>
      </c>
      <c r="E394" s="3" t="s">
        <v>761</v>
      </c>
      <c r="F394" s="3" t="b">
        <v>0</v>
      </c>
      <c r="G394" s="3" t="b">
        <v>0</v>
      </c>
      <c r="H394" s="3" t="s">
        <v>750</v>
      </c>
      <c r="I394" s="4">
        <v>44952</v>
      </c>
      <c r="J394" s="4">
        <v>45044</v>
      </c>
      <c r="K394" s="4">
        <v>45604</v>
      </c>
      <c r="L394" s="3">
        <v>11</v>
      </c>
      <c r="M394" s="3">
        <v>767449.32</v>
      </c>
      <c r="N394" s="3">
        <v>18</v>
      </c>
      <c r="O394" s="3" t="b">
        <v>0</v>
      </c>
      <c r="P394" s="3" t="b">
        <v>0</v>
      </c>
      <c r="Q394" s="3">
        <v>19612.009677534261</v>
      </c>
      <c r="R394" s="3">
        <v>211942.16837260281</v>
      </c>
      <c r="S394" s="3">
        <v>231554.17805013701</v>
      </c>
      <c r="T394" s="5">
        <f>IF(J394&lt;&gt;"",M394*N394/365/100*('Cashflow Projection'!$B$2-Investors!J394),0)</f>
        <v>151008.79496547946</v>
      </c>
    </row>
    <row r="395" spans="1:20" x14ac:dyDescent="0.2">
      <c r="A395" s="3" t="s">
        <v>199</v>
      </c>
      <c r="B395" s="3" t="s">
        <v>200</v>
      </c>
      <c r="C395" s="3" t="s">
        <v>201</v>
      </c>
      <c r="D395" s="3" t="s">
        <v>386</v>
      </c>
      <c r="E395" s="3" t="s">
        <v>761</v>
      </c>
      <c r="F395" s="3" t="b">
        <v>0</v>
      </c>
      <c r="G395" s="3" t="b">
        <v>0</v>
      </c>
      <c r="H395" s="3" t="s">
        <v>750</v>
      </c>
      <c r="I395" s="4">
        <v>44944</v>
      </c>
      <c r="J395" s="4">
        <v>45016</v>
      </c>
      <c r="K395" s="4">
        <v>45604</v>
      </c>
      <c r="L395" s="3">
        <v>2</v>
      </c>
      <c r="M395" s="3">
        <v>100000</v>
      </c>
      <c r="N395" s="3">
        <v>14</v>
      </c>
      <c r="O395" s="3" t="b">
        <v>0</v>
      </c>
      <c r="P395" s="3" t="b">
        <v>0</v>
      </c>
      <c r="Q395" s="3">
        <v>1963.698630136983</v>
      </c>
      <c r="R395" s="3">
        <v>22553.42465753424</v>
      </c>
      <c r="S395" s="3">
        <v>24517.123287671231</v>
      </c>
      <c r="T395" s="5">
        <f>IF(J395&lt;&gt;"",M395*N395/365/100*('Cashflow Projection'!$B$2-Investors!J395),0)</f>
        <v>16378.082191780824</v>
      </c>
    </row>
    <row r="396" spans="1:20" x14ac:dyDescent="0.2">
      <c r="A396" s="3" t="s">
        <v>218</v>
      </c>
      <c r="B396" s="3" t="s">
        <v>219</v>
      </c>
      <c r="C396" s="3" t="s">
        <v>220</v>
      </c>
      <c r="D396" s="3" t="s">
        <v>386</v>
      </c>
      <c r="E396" s="3" t="s">
        <v>761</v>
      </c>
      <c r="F396" s="3" t="b">
        <v>0</v>
      </c>
      <c r="G396" s="3" t="b">
        <v>0</v>
      </c>
      <c r="H396" s="3" t="s">
        <v>750</v>
      </c>
      <c r="I396" s="4">
        <v>44903</v>
      </c>
      <c r="J396" s="4">
        <v>44967</v>
      </c>
      <c r="K396" s="4">
        <v>45604</v>
      </c>
      <c r="L396" s="3">
        <v>2</v>
      </c>
      <c r="M396" s="3">
        <v>122921.23</v>
      </c>
      <c r="N396" s="3">
        <v>14</v>
      </c>
      <c r="O396" s="3" t="b">
        <v>0</v>
      </c>
      <c r="P396" s="3" t="b">
        <v>0</v>
      </c>
      <c r="Q396" s="3">
        <v>2109.867139589041</v>
      </c>
      <c r="R396" s="3">
        <v>30033.192579178081</v>
      </c>
      <c r="S396" s="3">
        <v>32143.059718767119</v>
      </c>
      <c r="T396" s="5">
        <f>IF(J396&lt;&gt;"",M396*N396/365/100*('Cashflow Projection'!$B$2-Investors!J396),0)</f>
        <v>22442.385663561647</v>
      </c>
    </row>
    <row r="397" spans="1:20" x14ac:dyDescent="0.2">
      <c r="A397" s="3" t="s">
        <v>98</v>
      </c>
      <c r="B397" s="3" t="s">
        <v>99</v>
      </c>
      <c r="C397" s="3" t="s">
        <v>100</v>
      </c>
      <c r="D397" s="3" t="s">
        <v>386</v>
      </c>
      <c r="E397" s="3" t="s">
        <v>762</v>
      </c>
      <c r="F397" s="3" t="b">
        <v>0</v>
      </c>
      <c r="G397" s="3" t="b">
        <v>0</v>
      </c>
      <c r="H397" s="3" t="s">
        <v>750</v>
      </c>
      <c r="I397" s="4">
        <v>44908</v>
      </c>
      <c r="J397" s="4">
        <v>44986</v>
      </c>
      <c r="K397" s="4">
        <v>45600</v>
      </c>
      <c r="L397" s="3">
        <v>2</v>
      </c>
      <c r="M397" s="3">
        <v>251198.63</v>
      </c>
      <c r="N397" s="3">
        <v>14</v>
      </c>
      <c r="O397" s="3" t="b">
        <v>0</v>
      </c>
      <c r="P397" s="3" t="b">
        <v>0</v>
      </c>
      <c r="Q397" s="3">
        <v>5283.7739228082264</v>
      </c>
      <c r="R397" s="3">
        <v>59158.997903561649</v>
      </c>
      <c r="S397" s="3">
        <v>64442.771826369877</v>
      </c>
      <c r="T397" s="5">
        <f>IF(J397&lt;&gt;"",M397*N397/365/100*('Cashflow Projection'!$B$2-Investors!J397),0)</f>
        <v>44032.02286958904</v>
      </c>
    </row>
    <row r="398" spans="1:20" x14ac:dyDescent="0.2">
      <c r="A398" s="3" t="s">
        <v>102</v>
      </c>
      <c r="B398" s="3" t="s">
        <v>103</v>
      </c>
      <c r="C398" s="3" t="s">
        <v>104</v>
      </c>
      <c r="D398" s="3" t="s">
        <v>386</v>
      </c>
      <c r="E398" s="3" t="s">
        <v>762</v>
      </c>
      <c r="F398" s="3" t="b">
        <v>0</v>
      </c>
      <c r="G398" s="3" t="b">
        <v>0</v>
      </c>
      <c r="H398" s="3" t="s">
        <v>750</v>
      </c>
      <c r="I398" s="4">
        <v>44903</v>
      </c>
      <c r="J398" s="4">
        <v>44967</v>
      </c>
      <c r="K398" s="4">
        <v>45600</v>
      </c>
      <c r="L398" s="3">
        <v>5</v>
      </c>
      <c r="M398" s="3">
        <v>250000</v>
      </c>
      <c r="N398" s="3">
        <v>16</v>
      </c>
      <c r="O398" s="3" t="b">
        <v>0</v>
      </c>
      <c r="P398" s="3" t="b">
        <v>0</v>
      </c>
      <c r="Q398" s="3">
        <v>4291.0958904109602</v>
      </c>
      <c r="R398" s="3">
        <v>69369.863013698632</v>
      </c>
      <c r="S398" s="3">
        <v>73660.95890410959</v>
      </c>
      <c r="T398" s="5">
        <f>IF(J398&lt;&gt;"",M398*N398/365/100*('Cashflow Projection'!$B$2-Investors!J398),0)</f>
        <v>52164.383561643837</v>
      </c>
    </row>
    <row r="399" spans="1:20" x14ac:dyDescent="0.2">
      <c r="A399" s="3" t="s">
        <v>38</v>
      </c>
      <c r="B399" s="3" t="s">
        <v>39</v>
      </c>
      <c r="C399" s="3" t="s">
        <v>40</v>
      </c>
      <c r="D399" s="3" t="s">
        <v>386</v>
      </c>
      <c r="E399" s="3" t="s">
        <v>762</v>
      </c>
      <c r="F399" s="3" t="b">
        <v>0</v>
      </c>
      <c r="G399" s="3" t="b">
        <v>0</v>
      </c>
      <c r="H399" s="3" t="s">
        <v>750</v>
      </c>
      <c r="I399" s="4">
        <v>44895</v>
      </c>
      <c r="J399" s="4">
        <v>44916</v>
      </c>
      <c r="K399" s="4">
        <v>45600</v>
      </c>
      <c r="L399" s="3">
        <v>2</v>
      </c>
      <c r="M399" s="3">
        <v>123390.41</v>
      </c>
      <c r="N399" s="3">
        <v>14</v>
      </c>
      <c r="O399" s="3" t="b">
        <v>0</v>
      </c>
      <c r="P399" s="3" t="b">
        <v>0</v>
      </c>
      <c r="Q399" s="3">
        <v>692.16949171232875</v>
      </c>
      <c r="R399" s="3">
        <v>32372.234689315072</v>
      </c>
      <c r="S399" s="3">
        <v>33064.404181027399</v>
      </c>
      <c r="T399" s="5">
        <f>IF(J399&lt;&gt;"",M399*N399/365/100*('Cashflow Projection'!$B$2-Investors!J399),0)</f>
        <v>24941.76561589041</v>
      </c>
    </row>
    <row r="400" spans="1:20" x14ac:dyDescent="0.2">
      <c r="A400" s="3" t="s">
        <v>115</v>
      </c>
      <c r="B400" s="3" t="s">
        <v>116</v>
      </c>
      <c r="C400" s="3" t="s">
        <v>113</v>
      </c>
      <c r="D400" s="3" t="s">
        <v>386</v>
      </c>
      <c r="E400" s="3" t="s">
        <v>762</v>
      </c>
      <c r="F400" s="3" t="b">
        <v>0</v>
      </c>
      <c r="G400" s="3" t="b">
        <v>0</v>
      </c>
      <c r="H400" s="3" t="s">
        <v>750</v>
      </c>
      <c r="I400" s="4">
        <v>44901</v>
      </c>
      <c r="J400" s="4">
        <v>44916</v>
      </c>
      <c r="K400" s="4">
        <v>45600</v>
      </c>
      <c r="L400" s="3">
        <v>2</v>
      </c>
      <c r="M400" s="3">
        <v>124948.63</v>
      </c>
      <c r="N400" s="3">
        <v>14</v>
      </c>
      <c r="O400" s="3" t="b">
        <v>0</v>
      </c>
      <c r="P400" s="3" t="b">
        <v>0</v>
      </c>
      <c r="Q400" s="3">
        <v>500.65033253424667</v>
      </c>
      <c r="R400" s="3">
        <v>32781.043311780821</v>
      </c>
      <c r="S400" s="3">
        <v>33281.69364431507</v>
      </c>
      <c r="T400" s="5">
        <f>IF(J400&lt;&gt;"",M400*N400/365/100*('Cashflow Projection'!$B$2-Investors!J400),0)</f>
        <v>25256.739510684936</v>
      </c>
    </row>
    <row r="401" spans="1:20" x14ac:dyDescent="0.2">
      <c r="A401" s="3" t="s">
        <v>485</v>
      </c>
      <c r="B401" s="3" t="s">
        <v>486</v>
      </c>
      <c r="C401" s="3" t="s">
        <v>487</v>
      </c>
      <c r="D401" s="3" t="s">
        <v>386</v>
      </c>
      <c r="E401" s="3" t="s">
        <v>762</v>
      </c>
      <c r="F401" s="3" t="b">
        <v>0</v>
      </c>
      <c r="G401" s="3" t="b">
        <v>0</v>
      </c>
      <c r="H401" s="3" t="s">
        <v>750</v>
      </c>
      <c r="I401" s="4">
        <v>44866</v>
      </c>
      <c r="J401" s="4">
        <v>44909</v>
      </c>
      <c r="K401" s="4">
        <v>45600</v>
      </c>
      <c r="L401" s="3">
        <v>7</v>
      </c>
      <c r="M401" s="3">
        <v>350000</v>
      </c>
      <c r="N401" s="3">
        <v>18</v>
      </c>
      <c r="O401" s="3" t="b">
        <v>0</v>
      </c>
      <c r="P401" s="3" t="b">
        <v>0</v>
      </c>
      <c r="Q401" s="3">
        <v>3811.6438356164399</v>
      </c>
      <c r="R401" s="3">
        <v>119268.4931506849</v>
      </c>
      <c r="S401" s="3">
        <v>123080.1369863014</v>
      </c>
      <c r="T401" s="5">
        <f>IF(J401&lt;&gt;"",M401*N401/365/100*('Cashflow Projection'!$B$2-Investors!J401),0)</f>
        <v>92169.863013698618</v>
      </c>
    </row>
    <row r="402" spans="1:20" x14ac:dyDescent="0.2">
      <c r="A402" s="3" t="s">
        <v>85</v>
      </c>
      <c r="B402" s="3" t="s">
        <v>86</v>
      </c>
      <c r="C402" s="3" t="s">
        <v>87</v>
      </c>
      <c r="D402" s="3" t="s">
        <v>386</v>
      </c>
      <c r="E402" s="3" t="s">
        <v>763</v>
      </c>
      <c r="F402" s="3" t="b">
        <v>0</v>
      </c>
      <c r="G402" s="3" t="b">
        <v>0</v>
      </c>
      <c r="H402" s="3" t="s">
        <v>750</v>
      </c>
      <c r="I402" s="4">
        <v>44903</v>
      </c>
      <c r="J402" s="4">
        <v>44986</v>
      </c>
      <c r="K402" s="4">
        <v>45617</v>
      </c>
      <c r="L402" s="3">
        <v>5</v>
      </c>
      <c r="M402" s="3">
        <v>369059.18</v>
      </c>
      <c r="N402" s="3">
        <v>16</v>
      </c>
      <c r="O402" s="3" t="b">
        <v>0</v>
      </c>
      <c r="P402" s="3" t="b">
        <v>0</v>
      </c>
      <c r="Q402" s="3">
        <v>8255.8033005479574</v>
      </c>
      <c r="R402" s="3">
        <v>102082.7803090411</v>
      </c>
      <c r="S402" s="3">
        <v>110338.583609589</v>
      </c>
      <c r="T402" s="5">
        <f>IF(J402&lt;&gt;"",M402*N402/365/100*('Cashflow Projection'!$B$2-Investors!J402),0)</f>
        <v>73933.170524931513</v>
      </c>
    </row>
    <row r="403" spans="1:20" x14ac:dyDescent="0.2">
      <c r="A403" s="3" t="s">
        <v>52</v>
      </c>
      <c r="B403" s="3" t="s">
        <v>53</v>
      </c>
      <c r="C403" s="3" t="s">
        <v>54</v>
      </c>
      <c r="D403" s="3" t="s">
        <v>386</v>
      </c>
      <c r="E403" s="3" t="s">
        <v>763</v>
      </c>
      <c r="F403" s="3" t="b">
        <v>0</v>
      </c>
      <c r="G403" s="3" t="b">
        <v>0</v>
      </c>
      <c r="H403" s="3" t="s">
        <v>750</v>
      </c>
      <c r="I403" s="4">
        <v>44909</v>
      </c>
      <c r="J403" s="4">
        <v>44995</v>
      </c>
      <c r="K403" s="4">
        <v>45617</v>
      </c>
      <c r="L403" s="3">
        <v>8</v>
      </c>
      <c r="M403" s="3">
        <v>110000</v>
      </c>
      <c r="N403" s="3">
        <v>18</v>
      </c>
      <c r="O403" s="3" t="b">
        <v>0</v>
      </c>
      <c r="P403" s="3" t="b">
        <v>0</v>
      </c>
      <c r="Q403" s="3">
        <v>2555.6164383561641</v>
      </c>
      <c r="R403" s="3">
        <v>33741.369863013701</v>
      </c>
      <c r="S403" s="3">
        <v>36296.986301369863</v>
      </c>
      <c r="T403" s="5">
        <f>IF(J403&lt;&gt;"",M403*N403/365/100*('Cashflow Projection'!$B$2-Investors!J403),0)</f>
        <v>24302.465753424662</v>
      </c>
    </row>
    <row r="404" spans="1:20" x14ac:dyDescent="0.2">
      <c r="A404" s="3" t="s">
        <v>69</v>
      </c>
      <c r="B404" s="3" t="s">
        <v>70</v>
      </c>
      <c r="C404" s="3" t="s">
        <v>71</v>
      </c>
      <c r="D404" s="3" t="s">
        <v>386</v>
      </c>
      <c r="E404" s="3" t="s">
        <v>763</v>
      </c>
      <c r="F404" s="3" t="b">
        <v>0</v>
      </c>
      <c r="G404" s="3" t="b">
        <v>0</v>
      </c>
      <c r="H404" s="3" t="s">
        <v>750</v>
      </c>
      <c r="I404" s="4">
        <v>44909</v>
      </c>
      <c r="J404" s="4">
        <v>44995</v>
      </c>
      <c r="K404" s="4">
        <v>45617</v>
      </c>
      <c r="L404" s="3">
        <v>6</v>
      </c>
      <c r="M404" s="3">
        <v>110000</v>
      </c>
      <c r="N404" s="3">
        <v>18</v>
      </c>
      <c r="O404" s="3" t="b">
        <v>0</v>
      </c>
      <c r="P404" s="3" t="b">
        <v>0</v>
      </c>
      <c r="Q404" s="3">
        <v>2555.6164383561641</v>
      </c>
      <c r="R404" s="3">
        <v>33741.369863013701</v>
      </c>
      <c r="S404" s="3">
        <v>36296.986301369863</v>
      </c>
      <c r="T404" s="5">
        <f>IF(J404&lt;&gt;"",M404*N404/365/100*('Cashflow Projection'!$B$2-Investors!J404),0)</f>
        <v>24302.465753424662</v>
      </c>
    </row>
    <row r="405" spans="1:20" x14ac:dyDescent="0.2">
      <c r="A405" s="3" t="s">
        <v>92</v>
      </c>
      <c r="B405" s="3" t="s">
        <v>93</v>
      </c>
      <c r="C405" s="3" t="s">
        <v>94</v>
      </c>
      <c r="D405" s="3" t="s">
        <v>386</v>
      </c>
      <c r="E405" s="3" t="s">
        <v>763</v>
      </c>
      <c r="F405" s="3" t="b">
        <v>0</v>
      </c>
      <c r="G405" s="3" t="b">
        <v>0</v>
      </c>
      <c r="H405" s="3" t="s">
        <v>750</v>
      </c>
      <c r="I405" s="4">
        <v>44909</v>
      </c>
      <c r="J405" s="4">
        <v>44980</v>
      </c>
      <c r="K405" s="4">
        <v>45617</v>
      </c>
      <c r="L405" s="3">
        <v>9</v>
      </c>
      <c r="M405" s="3">
        <v>400000</v>
      </c>
      <c r="N405" s="3">
        <v>18</v>
      </c>
      <c r="O405" s="3" t="b">
        <v>0</v>
      </c>
      <c r="P405" s="3" t="b">
        <v>0</v>
      </c>
      <c r="Q405" s="3">
        <v>7649.3150684931434</v>
      </c>
      <c r="R405" s="3">
        <v>125654.7945205479</v>
      </c>
      <c r="S405" s="3">
        <v>133304.10958904109</v>
      </c>
      <c r="T405" s="5">
        <f>IF(J405&lt;&gt;"",M405*N405/365/100*('Cashflow Projection'!$B$2-Investors!J405),0)</f>
        <v>91331.506849315061</v>
      </c>
    </row>
    <row r="406" spans="1:20" x14ac:dyDescent="0.2">
      <c r="A406" s="3" t="s">
        <v>95</v>
      </c>
      <c r="B406" s="3" t="s">
        <v>96</v>
      </c>
      <c r="C406" s="3" t="s">
        <v>97</v>
      </c>
      <c r="D406" s="3" t="s">
        <v>386</v>
      </c>
      <c r="E406" s="3" t="s">
        <v>763</v>
      </c>
      <c r="F406" s="3" t="b">
        <v>0</v>
      </c>
      <c r="G406" s="3" t="b">
        <v>0</v>
      </c>
      <c r="H406" s="3" t="s">
        <v>750</v>
      </c>
      <c r="I406" s="4">
        <v>44903</v>
      </c>
      <c r="J406" s="4">
        <v>44980</v>
      </c>
      <c r="K406" s="4">
        <v>45617</v>
      </c>
      <c r="L406" s="3">
        <v>3</v>
      </c>
      <c r="M406" s="3">
        <v>100000</v>
      </c>
      <c r="N406" s="3">
        <v>14</v>
      </c>
      <c r="O406" s="3" t="b">
        <v>0</v>
      </c>
      <c r="P406" s="3" t="b">
        <v>0</v>
      </c>
      <c r="Q406" s="3">
        <v>2072.6027397260259</v>
      </c>
      <c r="R406" s="3">
        <v>24432.876712328769</v>
      </c>
      <c r="S406" s="3">
        <v>26505.479452054791</v>
      </c>
      <c r="T406" s="5">
        <f>IF(J406&lt;&gt;"",M406*N406/365/100*('Cashflow Projection'!$B$2-Investors!J406),0)</f>
        <v>17758.904109589042</v>
      </c>
    </row>
    <row r="407" spans="1:20" x14ac:dyDescent="0.2">
      <c r="A407" s="3" t="s">
        <v>52</v>
      </c>
      <c r="B407" s="3" t="s">
        <v>53</v>
      </c>
      <c r="C407" s="3" t="s">
        <v>54</v>
      </c>
      <c r="D407" s="3" t="s">
        <v>386</v>
      </c>
      <c r="E407" s="3" t="s">
        <v>764</v>
      </c>
      <c r="F407" s="3" t="b">
        <v>0</v>
      </c>
      <c r="G407" s="3" t="b">
        <v>0</v>
      </c>
      <c r="H407" s="3" t="s">
        <v>750</v>
      </c>
      <c r="I407" s="4">
        <v>44909</v>
      </c>
      <c r="J407" s="4">
        <v>44995</v>
      </c>
      <c r="K407" s="4">
        <v>45623</v>
      </c>
      <c r="L407" s="3">
        <v>9</v>
      </c>
      <c r="M407" s="3">
        <v>120000</v>
      </c>
      <c r="N407" s="3">
        <v>18</v>
      </c>
      <c r="O407" s="3" t="b">
        <v>0</v>
      </c>
      <c r="P407" s="3" t="b">
        <v>0</v>
      </c>
      <c r="Q407" s="3">
        <v>2787.9452054794529</v>
      </c>
      <c r="R407" s="3">
        <v>37163.835616438359</v>
      </c>
      <c r="S407" s="3">
        <v>39951.780821917811</v>
      </c>
      <c r="T407" s="5">
        <f>IF(J407&lt;&gt;"",M407*N407/365/100*('Cashflow Projection'!$B$2-Investors!J407),0)</f>
        <v>26511.780821917808</v>
      </c>
    </row>
    <row r="408" spans="1:20" x14ac:dyDescent="0.2">
      <c r="A408" s="3" t="s">
        <v>78</v>
      </c>
      <c r="B408" s="3" t="s">
        <v>79</v>
      </c>
      <c r="C408" s="3" t="s">
        <v>80</v>
      </c>
      <c r="D408" s="3" t="s">
        <v>386</v>
      </c>
      <c r="E408" s="3" t="s">
        <v>764</v>
      </c>
      <c r="F408" s="3" t="b">
        <v>0</v>
      </c>
      <c r="G408" s="3" t="b">
        <v>0</v>
      </c>
      <c r="H408" s="3" t="s">
        <v>750</v>
      </c>
      <c r="I408" s="4">
        <v>44944</v>
      </c>
      <c r="J408" s="4">
        <v>45016</v>
      </c>
      <c r="K408" s="4">
        <v>45623</v>
      </c>
      <c r="L408" s="3">
        <v>3</v>
      </c>
      <c r="M408" s="3">
        <v>637482.88</v>
      </c>
      <c r="N408" s="3">
        <v>18</v>
      </c>
      <c r="O408" s="3" t="b">
        <v>0</v>
      </c>
      <c r="P408" s="3" t="b">
        <v>0</v>
      </c>
      <c r="Q408" s="3">
        <v>12518.242581917801</v>
      </c>
      <c r="R408" s="3">
        <v>190825.69717479451</v>
      </c>
      <c r="S408" s="3">
        <v>203343.93975671229</v>
      </c>
      <c r="T408" s="5">
        <f>IF(J408&lt;&gt;"",M408*N408/365/100*('Cashflow Projection'!$B$2-Investors!J408),0)</f>
        <v>134238.17577205479</v>
      </c>
    </row>
    <row r="409" spans="1:20" x14ac:dyDescent="0.2">
      <c r="A409" s="3" t="s">
        <v>89</v>
      </c>
      <c r="B409" s="3" t="s">
        <v>90</v>
      </c>
      <c r="C409" s="3" t="s">
        <v>91</v>
      </c>
      <c r="D409" s="3" t="s">
        <v>386</v>
      </c>
      <c r="E409" s="3" t="s">
        <v>764</v>
      </c>
      <c r="F409" s="3" t="b">
        <v>0</v>
      </c>
      <c r="G409" s="3" t="b">
        <v>0</v>
      </c>
      <c r="H409" s="3" t="s">
        <v>750</v>
      </c>
      <c r="I409" s="4">
        <v>44908</v>
      </c>
      <c r="J409" s="4">
        <v>44980</v>
      </c>
      <c r="K409" s="4">
        <v>45623</v>
      </c>
      <c r="L409" s="3">
        <v>4</v>
      </c>
      <c r="M409" s="3">
        <v>150000</v>
      </c>
      <c r="N409" s="3">
        <v>14</v>
      </c>
      <c r="O409" s="3" t="b">
        <v>0</v>
      </c>
      <c r="P409" s="3" t="b">
        <v>0</v>
      </c>
      <c r="Q409" s="3">
        <v>2908.5616438356142</v>
      </c>
      <c r="R409" s="3">
        <v>36994.520547945212</v>
      </c>
      <c r="S409" s="3">
        <v>39903.082191780821</v>
      </c>
      <c r="T409" s="5">
        <f>IF(J409&lt;&gt;"",M409*N409/365/100*('Cashflow Projection'!$B$2-Investors!J409),0)</f>
        <v>26638.35616438356</v>
      </c>
    </row>
    <row r="410" spans="1:20" x14ac:dyDescent="0.2">
      <c r="A410" s="3" t="s">
        <v>207</v>
      </c>
      <c r="B410" s="3" t="s">
        <v>53</v>
      </c>
      <c r="C410" s="3" t="s">
        <v>54</v>
      </c>
      <c r="D410" s="3" t="s">
        <v>386</v>
      </c>
      <c r="E410" s="3" t="s">
        <v>764</v>
      </c>
      <c r="F410" s="3" t="b">
        <v>0</v>
      </c>
      <c r="G410" s="3" t="b">
        <v>0</v>
      </c>
      <c r="H410" s="3" t="s">
        <v>750</v>
      </c>
      <c r="I410" s="4">
        <v>44909</v>
      </c>
      <c r="J410" s="4">
        <v>45008</v>
      </c>
      <c r="K410" s="4">
        <v>45623</v>
      </c>
      <c r="L410" s="3">
        <v>11</v>
      </c>
      <c r="M410" s="3">
        <v>100000</v>
      </c>
      <c r="N410" s="3">
        <v>18</v>
      </c>
      <c r="O410" s="3" t="b">
        <v>0</v>
      </c>
      <c r="P410" s="3" t="b">
        <v>0</v>
      </c>
      <c r="Q410" s="3">
        <v>2679.4520547945208</v>
      </c>
      <c r="R410" s="3">
        <v>30328.767123287671</v>
      </c>
      <c r="S410" s="3">
        <v>33008.219178082189</v>
      </c>
      <c r="T410" s="5">
        <f>IF(J410&lt;&gt;"",M410*N410/365/100*('Cashflow Projection'!$B$2-Investors!J410),0)</f>
        <v>21452.054794520547</v>
      </c>
    </row>
    <row r="411" spans="1:20" x14ac:dyDescent="0.2">
      <c r="A411" s="3" t="s">
        <v>212</v>
      </c>
      <c r="B411" s="3" t="s">
        <v>213</v>
      </c>
      <c r="C411" s="3" t="s">
        <v>214</v>
      </c>
      <c r="D411" s="3" t="s">
        <v>386</v>
      </c>
      <c r="E411" s="3" t="s">
        <v>764</v>
      </c>
      <c r="F411" s="3" t="b">
        <v>0</v>
      </c>
      <c r="G411" s="3" t="b">
        <v>0</v>
      </c>
      <c r="H411" s="3" t="s">
        <v>750</v>
      </c>
      <c r="I411" s="4">
        <v>44943</v>
      </c>
      <c r="J411" s="4">
        <v>45016</v>
      </c>
      <c r="K411" s="4">
        <v>45623</v>
      </c>
      <c r="L411" s="3">
        <v>2</v>
      </c>
      <c r="M411" s="3">
        <v>115557.53</v>
      </c>
      <c r="N411" s="3">
        <v>14</v>
      </c>
      <c r="O411" s="3" t="b">
        <v>0</v>
      </c>
      <c r="P411" s="3" t="b">
        <v>0</v>
      </c>
      <c r="Q411" s="3">
        <v>2300.0697409589061</v>
      </c>
      <c r="R411" s="3">
        <v>26904.32575178082</v>
      </c>
      <c r="S411" s="3">
        <v>29204.395492739721</v>
      </c>
      <c r="T411" s="5">
        <f>IF(J411&lt;&gt;"",M411*N411/365/100*('Cashflow Projection'!$B$2-Investors!J411),0)</f>
        <v>18926.107242191778</v>
      </c>
    </row>
    <row r="412" spans="1:20" x14ac:dyDescent="0.2">
      <c r="A412" s="3" t="s">
        <v>230</v>
      </c>
      <c r="B412" s="3" t="s">
        <v>231</v>
      </c>
      <c r="C412" s="3" t="s">
        <v>232</v>
      </c>
      <c r="D412" s="3" t="s">
        <v>386</v>
      </c>
      <c r="E412" s="3" t="s">
        <v>765</v>
      </c>
      <c r="F412" s="3" t="b">
        <v>0</v>
      </c>
      <c r="G412" s="3" t="b">
        <v>0</v>
      </c>
      <c r="H412" s="3" t="s">
        <v>750</v>
      </c>
      <c r="I412" s="4">
        <v>44908</v>
      </c>
      <c r="J412" s="4">
        <v>44980</v>
      </c>
      <c r="K412" s="4">
        <v>45630</v>
      </c>
      <c r="L412" s="3">
        <v>7</v>
      </c>
      <c r="M412" s="3">
        <v>450000</v>
      </c>
      <c r="N412" s="3">
        <v>14</v>
      </c>
      <c r="O412" s="3" t="b">
        <v>0</v>
      </c>
      <c r="P412" s="3" t="b">
        <v>0</v>
      </c>
      <c r="Q412" s="3">
        <v>8725.6849315068521</v>
      </c>
      <c r="R412" s="3">
        <v>112191.7808219178</v>
      </c>
      <c r="S412" s="3">
        <v>120917.46575342469</v>
      </c>
      <c r="T412" s="5">
        <f>IF(J412&lt;&gt;"",M412*N412/365/100*('Cashflow Projection'!$B$2-Investors!J412),0)</f>
        <v>79915.068493150684</v>
      </c>
    </row>
    <row r="413" spans="1:20" x14ac:dyDescent="0.2">
      <c r="A413" s="3" t="s">
        <v>221</v>
      </c>
      <c r="B413" s="3" t="s">
        <v>222</v>
      </c>
      <c r="C413" s="3" t="s">
        <v>43</v>
      </c>
      <c r="D413" s="3" t="s">
        <v>386</v>
      </c>
      <c r="E413" s="3" t="s">
        <v>765</v>
      </c>
      <c r="F413" s="3" t="b">
        <v>0</v>
      </c>
      <c r="G413" s="3" t="b">
        <v>0</v>
      </c>
      <c r="H413" s="3" t="s">
        <v>750</v>
      </c>
      <c r="I413" s="4">
        <v>44903</v>
      </c>
      <c r="J413" s="4">
        <v>44995</v>
      </c>
      <c r="K413" s="4">
        <v>45630</v>
      </c>
      <c r="L413" s="3">
        <v>2</v>
      </c>
      <c r="M413" s="3">
        <v>648863.01</v>
      </c>
      <c r="N413" s="3">
        <v>16</v>
      </c>
      <c r="O413" s="3" t="b">
        <v>0</v>
      </c>
      <c r="P413" s="3" t="b">
        <v>0</v>
      </c>
      <c r="Q413" s="3">
        <v>16114.91283739726</v>
      </c>
      <c r="R413" s="3">
        <v>180615.01867397261</v>
      </c>
      <c r="S413" s="3">
        <v>196729.93151136991</v>
      </c>
      <c r="T413" s="5">
        <f>IF(J413&lt;&gt;"",M413*N413/365/100*('Cashflow Projection'!$B$2-Investors!J413),0)</f>
        <v>127426.02892273972</v>
      </c>
    </row>
    <row r="414" spans="1:20" x14ac:dyDescent="0.2">
      <c r="A414" s="3" t="s">
        <v>59</v>
      </c>
      <c r="B414" s="3" t="s">
        <v>60</v>
      </c>
      <c r="C414" s="3" t="s">
        <v>61</v>
      </c>
      <c r="D414" s="3" t="s">
        <v>386</v>
      </c>
      <c r="E414" s="3" t="s">
        <v>766</v>
      </c>
      <c r="F414" s="3" t="b">
        <v>0</v>
      </c>
      <c r="G414" s="3" t="b">
        <v>0</v>
      </c>
      <c r="H414" s="3" t="s">
        <v>750</v>
      </c>
      <c r="I414" s="4">
        <v>44950</v>
      </c>
      <c r="J414" s="4">
        <v>45044</v>
      </c>
      <c r="K414" s="4">
        <v>45638</v>
      </c>
      <c r="L414" s="3">
        <v>25</v>
      </c>
      <c r="M414" s="3">
        <v>178013.84</v>
      </c>
      <c r="N414" s="3">
        <v>18</v>
      </c>
      <c r="O414" s="3" t="b">
        <v>0</v>
      </c>
      <c r="P414" s="3" t="b">
        <v>0</v>
      </c>
      <c r="Q414" s="3">
        <v>4644.2103873972592</v>
      </c>
      <c r="R414" s="3">
        <v>52145.862391232877</v>
      </c>
      <c r="S414" s="3">
        <v>56790.072778630143</v>
      </c>
      <c r="T414" s="5">
        <f>IF(J414&lt;&gt;"",M414*N414/365/100*('Cashflow Projection'!$B$2-Investors!J414),0)</f>
        <v>35027.271202191783</v>
      </c>
    </row>
    <row r="415" spans="1:20" x14ac:dyDescent="0.2">
      <c r="A415" s="3" t="s">
        <v>27</v>
      </c>
      <c r="B415" s="3" t="s">
        <v>28</v>
      </c>
      <c r="C415" s="3" t="s">
        <v>29</v>
      </c>
      <c r="D415" s="3" t="s">
        <v>386</v>
      </c>
      <c r="E415" s="3" t="s">
        <v>766</v>
      </c>
      <c r="F415" s="3" t="b">
        <v>0</v>
      </c>
      <c r="G415" s="3" t="b">
        <v>0</v>
      </c>
      <c r="H415" s="3" t="s">
        <v>750</v>
      </c>
      <c r="I415" s="4">
        <v>44918</v>
      </c>
      <c r="J415" s="4">
        <v>45016</v>
      </c>
      <c r="K415" s="4">
        <v>45638</v>
      </c>
      <c r="L415" s="3">
        <v>16</v>
      </c>
      <c r="M415" s="3">
        <v>806083.85</v>
      </c>
      <c r="N415" s="3">
        <v>18</v>
      </c>
      <c r="O415" s="3" t="b">
        <v>0</v>
      </c>
      <c r="P415" s="3" t="b">
        <v>0</v>
      </c>
      <c r="Q415" s="3">
        <v>21427.47549212326</v>
      </c>
      <c r="R415" s="3">
        <v>247257.9393041096</v>
      </c>
      <c r="S415" s="3">
        <v>268685.41479623289</v>
      </c>
      <c r="T415" s="5">
        <f>IF(J415&lt;&gt;"",M415*N415/365/100*('Cashflow Projection'!$B$2-Investors!J415),0)</f>
        <v>169741.382769863</v>
      </c>
    </row>
    <row r="416" spans="1:20" x14ac:dyDescent="0.2">
      <c r="A416" s="3" t="s">
        <v>149</v>
      </c>
      <c r="B416" s="3" t="s">
        <v>150</v>
      </c>
      <c r="C416" s="3" t="s">
        <v>151</v>
      </c>
      <c r="D416" s="3" t="s">
        <v>386</v>
      </c>
      <c r="E416" s="3" t="s">
        <v>766</v>
      </c>
      <c r="F416" s="3" t="b">
        <v>0</v>
      </c>
      <c r="G416" s="3" t="b">
        <v>0</v>
      </c>
      <c r="H416" s="3" t="s">
        <v>750</v>
      </c>
      <c r="I416" s="4">
        <v>44944</v>
      </c>
      <c r="J416" s="4">
        <v>45016</v>
      </c>
      <c r="K416" s="4">
        <v>45638</v>
      </c>
      <c r="L416" s="3">
        <v>2</v>
      </c>
      <c r="M416" s="3">
        <v>123565.07</v>
      </c>
      <c r="N416" s="3">
        <v>14</v>
      </c>
      <c r="O416" s="3" t="b">
        <v>0</v>
      </c>
      <c r="P416" s="3" t="b">
        <v>0</v>
      </c>
      <c r="Q416" s="3">
        <v>2426.4455869178068</v>
      </c>
      <c r="R416" s="3">
        <v>29479.578892054789</v>
      </c>
      <c r="S416" s="3">
        <v>31906.024478972598</v>
      </c>
      <c r="T416" s="5">
        <f>IF(J416&lt;&gt;"",M416*N416/365/100*('Cashflow Projection'!$B$2-Investors!J416),0)</f>
        <v>20237.588724931506</v>
      </c>
    </row>
    <row r="417" spans="1:20" x14ac:dyDescent="0.2">
      <c r="A417" s="3" t="s">
        <v>767</v>
      </c>
      <c r="B417" s="3" t="s">
        <v>768</v>
      </c>
      <c r="C417" s="3" t="s">
        <v>769</v>
      </c>
      <c r="D417" s="3" t="s">
        <v>386</v>
      </c>
      <c r="E417" s="3" t="s">
        <v>770</v>
      </c>
      <c r="F417" s="3" t="b">
        <v>0</v>
      </c>
      <c r="G417" s="3" t="b">
        <v>0</v>
      </c>
      <c r="H417" s="3" t="s">
        <v>750</v>
      </c>
      <c r="I417" s="4">
        <v>44901</v>
      </c>
      <c r="J417" s="4">
        <v>44980</v>
      </c>
      <c r="K417" s="4">
        <v>45665</v>
      </c>
      <c r="L417" s="3">
        <v>1</v>
      </c>
      <c r="M417" s="3">
        <v>1000000</v>
      </c>
      <c r="N417" s="3">
        <v>18</v>
      </c>
      <c r="O417" s="3" t="b">
        <v>0</v>
      </c>
      <c r="P417" s="3" t="b">
        <v>0</v>
      </c>
      <c r="Q417" s="3">
        <v>21260.27397260275</v>
      </c>
      <c r="R417" s="3">
        <v>337808.21917808219</v>
      </c>
      <c r="S417" s="3">
        <v>359068.49315068492</v>
      </c>
      <c r="T417" s="5">
        <f>IF(J417&lt;&gt;"",M417*N417/365/100*('Cashflow Projection'!$B$2-Investors!J417),0)</f>
        <v>228328.76712328766</v>
      </c>
    </row>
    <row r="418" spans="1:20" x14ac:dyDescent="0.2">
      <c r="A418" s="3" t="s">
        <v>419</v>
      </c>
      <c r="B418" s="3" t="s">
        <v>420</v>
      </c>
      <c r="C418" s="3" t="s">
        <v>421</v>
      </c>
      <c r="D418" s="3" t="s">
        <v>386</v>
      </c>
      <c r="E418" s="3" t="s">
        <v>770</v>
      </c>
      <c r="F418" s="3" t="b">
        <v>0</v>
      </c>
      <c r="G418" s="3" t="b">
        <v>0</v>
      </c>
      <c r="H418" s="3" t="s">
        <v>750</v>
      </c>
      <c r="I418" s="4">
        <v>44963</v>
      </c>
      <c r="J418" s="4">
        <v>45072</v>
      </c>
      <c r="K418" s="4">
        <v>45665</v>
      </c>
      <c r="L418" s="3">
        <v>11</v>
      </c>
      <c r="M418" s="3">
        <v>100000</v>
      </c>
      <c r="N418" s="3">
        <v>18</v>
      </c>
      <c r="O418" s="3" t="b">
        <v>0</v>
      </c>
      <c r="P418" s="3" t="b">
        <v>0</v>
      </c>
      <c r="Q418" s="3">
        <v>3063.0136986301432</v>
      </c>
      <c r="R418" s="3">
        <v>29243.835616438351</v>
      </c>
      <c r="S418" s="3">
        <v>32306.849315068499</v>
      </c>
      <c r="T418" s="5">
        <f>IF(J418&lt;&gt;"",M418*N418/365/100*('Cashflow Projection'!$B$2-Investors!J418),0)</f>
        <v>18295.890410958902</v>
      </c>
    </row>
    <row r="419" spans="1:20" x14ac:dyDescent="0.2">
      <c r="A419" s="3" t="s">
        <v>59</v>
      </c>
      <c r="B419" s="3" t="s">
        <v>60</v>
      </c>
      <c r="C419" s="3" t="s">
        <v>61</v>
      </c>
      <c r="D419" s="3" t="s">
        <v>386</v>
      </c>
      <c r="E419" s="3" t="s">
        <v>771</v>
      </c>
      <c r="F419" s="3" t="b">
        <v>0</v>
      </c>
      <c r="G419" s="3" t="b">
        <v>0</v>
      </c>
      <c r="H419" s="3" t="s">
        <v>750</v>
      </c>
      <c r="I419" s="4">
        <v>44943</v>
      </c>
      <c r="J419" s="4">
        <v>45016</v>
      </c>
      <c r="K419" s="4">
        <v>45672</v>
      </c>
      <c r="L419" s="3">
        <v>24</v>
      </c>
      <c r="M419" s="3">
        <v>114452.74</v>
      </c>
      <c r="N419" s="3">
        <v>18</v>
      </c>
      <c r="O419" s="3" t="b">
        <v>0</v>
      </c>
      <c r="P419" s="3" t="b">
        <v>0</v>
      </c>
      <c r="Q419" s="3">
        <v>2278.079879726029</v>
      </c>
      <c r="R419" s="3">
        <v>37026.245312876723</v>
      </c>
      <c r="S419" s="3">
        <v>39304.325192602737</v>
      </c>
      <c r="T419" s="5">
        <f>IF(J419&lt;&gt;"",M419*N419/365/100*('Cashflow Projection'!$B$2-Investors!J419),0)</f>
        <v>24100.92492164384</v>
      </c>
    </row>
    <row r="420" spans="1:20" x14ac:dyDescent="0.2">
      <c r="A420" s="3" t="s">
        <v>772</v>
      </c>
      <c r="B420" s="3" t="s">
        <v>773</v>
      </c>
      <c r="C420" s="3" t="s">
        <v>774</v>
      </c>
      <c r="D420" s="3" t="s">
        <v>386</v>
      </c>
      <c r="E420" s="3" t="s">
        <v>771</v>
      </c>
      <c r="F420" s="3" t="b">
        <v>0</v>
      </c>
      <c r="G420" s="3" t="b">
        <v>0</v>
      </c>
      <c r="H420" s="3" t="s">
        <v>750</v>
      </c>
      <c r="I420" s="4">
        <v>44938</v>
      </c>
      <c r="J420" s="4">
        <v>44980</v>
      </c>
      <c r="K420" s="4">
        <v>45672</v>
      </c>
      <c r="L420" s="3">
        <v>1</v>
      </c>
      <c r="M420" s="3">
        <v>1000000</v>
      </c>
      <c r="N420" s="3">
        <v>18</v>
      </c>
      <c r="O420" s="3" t="b">
        <v>0</v>
      </c>
      <c r="P420" s="3" t="b">
        <v>0</v>
      </c>
      <c r="Q420" s="3">
        <v>11376.712328767129</v>
      </c>
      <c r="R420" s="3">
        <v>341260.27397260268</v>
      </c>
      <c r="S420" s="3">
        <v>352636.98630136979</v>
      </c>
      <c r="T420" s="5">
        <f>IF(J420&lt;&gt;"",M420*N420/365/100*('Cashflow Projection'!$B$2-Investors!J420),0)</f>
        <v>228328.76712328766</v>
      </c>
    </row>
    <row r="421" spans="1:20" x14ac:dyDescent="0.2">
      <c r="A421" s="3" t="s">
        <v>41</v>
      </c>
      <c r="B421" s="3" t="s">
        <v>42</v>
      </c>
      <c r="C421" s="3" t="s">
        <v>43</v>
      </c>
      <c r="D421" s="3" t="s">
        <v>386</v>
      </c>
      <c r="E421" s="3" t="s">
        <v>775</v>
      </c>
      <c r="F421" s="3" t="b">
        <v>0</v>
      </c>
      <c r="G421" s="3" t="b">
        <v>0</v>
      </c>
      <c r="H421" s="3" t="s">
        <v>750</v>
      </c>
      <c r="I421" s="4">
        <v>44903</v>
      </c>
      <c r="J421" s="4">
        <v>44995</v>
      </c>
      <c r="K421" s="4">
        <v>45672</v>
      </c>
      <c r="L421" s="3">
        <v>2</v>
      </c>
      <c r="M421" s="3">
        <v>123099.32</v>
      </c>
      <c r="N421" s="3">
        <v>14</v>
      </c>
      <c r="O421" s="3" t="b">
        <v>0</v>
      </c>
      <c r="P421" s="3" t="b">
        <v>0</v>
      </c>
      <c r="Q421" s="3">
        <v>3057.2474953424621</v>
      </c>
      <c r="R421" s="3">
        <v>31965.352190684931</v>
      </c>
      <c r="S421" s="3">
        <v>35022.599686027403</v>
      </c>
      <c r="T421" s="5">
        <f>IF(J421&lt;&gt;"",M421*N421/365/100*('Cashflow Projection'!$B$2-Investors!J421),0)</f>
        <v>21152.847535342462</v>
      </c>
    </row>
    <row r="422" spans="1:20" x14ac:dyDescent="0.2">
      <c r="A422" s="3" t="s">
        <v>776</v>
      </c>
      <c r="B422" s="3" t="s">
        <v>777</v>
      </c>
      <c r="C422" s="3" t="s">
        <v>774</v>
      </c>
      <c r="D422" s="3" t="s">
        <v>386</v>
      </c>
      <c r="E422" s="3" t="s">
        <v>775</v>
      </c>
      <c r="F422" s="3" t="b">
        <v>0</v>
      </c>
      <c r="G422" s="3" t="b">
        <v>0</v>
      </c>
      <c r="H422" s="3" t="s">
        <v>750</v>
      </c>
      <c r="I422" s="4">
        <v>44942</v>
      </c>
      <c r="J422" s="4">
        <v>45016</v>
      </c>
      <c r="K422" s="4">
        <v>45672</v>
      </c>
      <c r="L422" s="3">
        <v>1</v>
      </c>
      <c r="M422" s="3">
        <v>1000000</v>
      </c>
      <c r="N422" s="3">
        <v>18</v>
      </c>
      <c r="O422" s="3" t="b">
        <v>0</v>
      </c>
      <c r="P422" s="3" t="b">
        <v>0</v>
      </c>
      <c r="Q422" s="3">
        <v>20171.232876712351</v>
      </c>
      <c r="R422" s="3">
        <v>323506.84931506851</v>
      </c>
      <c r="S422" s="3">
        <v>343678.08219178079</v>
      </c>
      <c r="T422" s="5">
        <f>IF(J422&lt;&gt;"",M422*N422/365/100*('Cashflow Projection'!$B$2-Investors!J422),0)</f>
        <v>210575.34246575341</v>
      </c>
    </row>
    <row r="423" spans="1:20" x14ac:dyDescent="0.2">
      <c r="A423" s="3" t="s">
        <v>426</v>
      </c>
      <c r="B423" s="3" t="s">
        <v>53</v>
      </c>
      <c r="C423" s="3" t="s">
        <v>54</v>
      </c>
      <c r="D423" s="3" t="s">
        <v>386</v>
      </c>
      <c r="E423" s="3" t="s">
        <v>778</v>
      </c>
      <c r="F423" s="3" t="b">
        <v>0</v>
      </c>
      <c r="G423" s="3" t="b">
        <v>0</v>
      </c>
      <c r="H423" s="3" t="s">
        <v>750</v>
      </c>
      <c r="I423" s="4">
        <v>45002</v>
      </c>
      <c r="J423" s="4">
        <v>45107</v>
      </c>
      <c r="K423" s="4">
        <v>45663</v>
      </c>
      <c r="L423" s="3">
        <v>9</v>
      </c>
      <c r="M423" s="3">
        <v>150000</v>
      </c>
      <c r="N423" s="3">
        <v>18</v>
      </c>
      <c r="O423" s="3" t="b">
        <v>0</v>
      </c>
      <c r="P423" s="3" t="b">
        <v>0</v>
      </c>
      <c r="Q423" s="3">
        <v>4563.6986301369907</v>
      </c>
      <c r="R423" s="3">
        <v>41128.767123287667</v>
      </c>
      <c r="S423" s="3">
        <v>45692.465753424673</v>
      </c>
      <c r="T423" s="5">
        <f>IF(J423&lt;&gt;"",M423*N423/365/100*('Cashflow Projection'!$B$2-Investors!J423),0)</f>
        <v>24854.794520547945</v>
      </c>
    </row>
    <row r="424" spans="1:20" x14ac:dyDescent="0.2">
      <c r="A424" s="3" t="s">
        <v>779</v>
      </c>
      <c r="B424" s="3" t="s">
        <v>305</v>
      </c>
      <c r="C424" s="3" t="s">
        <v>780</v>
      </c>
      <c r="D424" s="3" t="s">
        <v>386</v>
      </c>
      <c r="E424" s="3" t="s">
        <v>778</v>
      </c>
      <c r="F424" s="3" t="b">
        <v>0</v>
      </c>
      <c r="G424" s="3" t="b">
        <v>0</v>
      </c>
      <c r="H424" s="3" t="s">
        <v>750</v>
      </c>
      <c r="I424" s="4">
        <v>44942</v>
      </c>
      <c r="J424" s="4">
        <v>45016</v>
      </c>
      <c r="K424" s="4">
        <v>45663</v>
      </c>
      <c r="L424" s="3">
        <v>1</v>
      </c>
      <c r="M424" s="3">
        <v>100000</v>
      </c>
      <c r="N424" s="3">
        <v>14</v>
      </c>
      <c r="O424" s="3" t="b">
        <v>0</v>
      </c>
      <c r="P424" s="3" t="b">
        <v>0</v>
      </c>
      <c r="Q424" s="3">
        <v>2017.1232876712299</v>
      </c>
      <c r="R424" s="3">
        <v>24816.438356164381</v>
      </c>
      <c r="S424" s="3">
        <v>26833.561643835608</v>
      </c>
      <c r="T424" s="5">
        <f>IF(J424&lt;&gt;"",M424*N424/365/100*('Cashflow Projection'!$B$2-Investors!J424),0)</f>
        <v>16378.082191780824</v>
      </c>
    </row>
    <row r="425" spans="1:20" x14ac:dyDescent="0.2">
      <c r="A425" s="3" t="s">
        <v>781</v>
      </c>
      <c r="B425" s="3" t="s">
        <v>782</v>
      </c>
      <c r="C425" s="3" t="s">
        <v>673</v>
      </c>
      <c r="D425" s="3" t="s">
        <v>386</v>
      </c>
      <c r="E425" s="3" t="s">
        <v>778</v>
      </c>
      <c r="F425" s="3" t="b">
        <v>0</v>
      </c>
      <c r="G425" s="3" t="b">
        <v>0</v>
      </c>
      <c r="H425" s="3" t="s">
        <v>750</v>
      </c>
      <c r="I425" s="4">
        <v>44937</v>
      </c>
      <c r="J425" s="4">
        <v>45016</v>
      </c>
      <c r="K425" s="4">
        <v>45663</v>
      </c>
      <c r="L425" s="3">
        <v>1</v>
      </c>
      <c r="M425" s="3">
        <v>200000</v>
      </c>
      <c r="N425" s="3">
        <v>14</v>
      </c>
      <c r="O425" s="3" t="b">
        <v>0</v>
      </c>
      <c r="P425" s="3" t="b">
        <v>0</v>
      </c>
      <c r="Q425" s="3">
        <v>4301.3698630136923</v>
      </c>
      <c r="R425" s="3">
        <v>49632.876712328762</v>
      </c>
      <c r="S425" s="3">
        <v>53934.246575342448</v>
      </c>
      <c r="T425" s="5">
        <f>IF(J425&lt;&gt;"",M425*N425/365/100*('Cashflow Projection'!$B$2-Investors!J425),0)</f>
        <v>32756.164383561649</v>
      </c>
    </row>
    <row r="426" spans="1:20" x14ac:dyDescent="0.2">
      <c r="A426" s="3" t="s">
        <v>207</v>
      </c>
      <c r="B426" s="3" t="s">
        <v>53</v>
      </c>
      <c r="C426" s="3" t="s">
        <v>54</v>
      </c>
      <c r="D426" s="3" t="s">
        <v>386</v>
      </c>
      <c r="E426" s="3" t="s">
        <v>778</v>
      </c>
      <c r="F426" s="3" t="b">
        <v>0</v>
      </c>
      <c r="G426" s="3" t="b">
        <v>0</v>
      </c>
      <c r="H426" s="3" t="s">
        <v>750</v>
      </c>
      <c r="I426" s="4">
        <v>44914</v>
      </c>
      <c r="J426" s="4">
        <v>45008</v>
      </c>
      <c r="K426" s="4">
        <v>45663</v>
      </c>
      <c r="L426" s="3">
        <v>12</v>
      </c>
      <c r="M426" s="3">
        <v>100000</v>
      </c>
      <c r="N426" s="3">
        <v>18</v>
      </c>
      <c r="O426" s="3" t="b">
        <v>0</v>
      </c>
      <c r="P426" s="3" t="b">
        <v>0</v>
      </c>
      <c r="Q426" s="3">
        <v>2545.890410958903</v>
      </c>
      <c r="R426" s="3">
        <v>32301.369863013701</v>
      </c>
      <c r="S426" s="3">
        <v>34847.260273972599</v>
      </c>
      <c r="T426" s="5">
        <f>IF(J426&lt;&gt;"",M426*N426/365/100*('Cashflow Projection'!$B$2-Investors!J426),0)</f>
        <v>21452.054794520547</v>
      </c>
    </row>
    <row r="427" spans="1:20" x14ac:dyDescent="0.2">
      <c r="A427" s="3" t="s">
        <v>176</v>
      </c>
      <c r="B427" s="3" t="s">
        <v>177</v>
      </c>
      <c r="C427" s="3" t="s">
        <v>178</v>
      </c>
      <c r="D427" s="3" t="s">
        <v>386</v>
      </c>
      <c r="E427" s="3" t="s">
        <v>778</v>
      </c>
      <c r="F427" s="3" t="b">
        <v>0</v>
      </c>
      <c r="G427" s="3" t="b">
        <v>0</v>
      </c>
      <c r="H427" s="3" t="s">
        <v>750</v>
      </c>
      <c r="I427" s="4">
        <v>44964</v>
      </c>
      <c r="J427" s="4">
        <v>45072</v>
      </c>
      <c r="K427" s="4">
        <v>45663</v>
      </c>
      <c r="L427" s="3">
        <v>4</v>
      </c>
      <c r="M427" s="3">
        <v>189647.26</v>
      </c>
      <c r="N427" s="3">
        <v>16</v>
      </c>
      <c r="O427" s="3" t="b">
        <v>0</v>
      </c>
      <c r="P427" s="3" t="b">
        <v>0</v>
      </c>
      <c r="Q427" s="3">
        <v>5756.9633994520473</v>
      </c>
      <c r="R427" s="3">
        <v>49131.629878356172</v>
      </c>
      <c r="S427" s="3">
        <v>54888.593277808213</v>
      </c>
      <c r="T427" s="5">
        <f>IF(J427&lt;&gt;"",M427*N427/365/100*('Cashflow Projection'!$B$2-Investors!J427),0)</f>
        <v>30842.359872876717</v>
      </c>
    </row>
    <row r="428" spans="1:20" x14ac:dyDescent="0.2">
      <c r="A428" s="3" t="s">
        <v>58</v>
      </c>
      <c r="B428" s="3" t="s">
        <v>53</v>
      </c>
      <c r="C428" s="3" t="s">
        <v>54</v>
      </c>
      <c r="D428" s="3" t="s">
        <v>386</v>
      </c>
      <c r="E428" s="3" t="s">
        <v>778</v>
      </c>
      <c r="F428" s="3" t="b">
        <v>0</v>
      </c>
      <c r="G428" s="3" t="b">
        <v>0</v>
      </c>
      <c r="H428" s="3" t="s">
        <v>750</v>
      </c>
      <c r="I428" s="4">
        <v>45000</v>
      </c>
      <c r="J428" s="4">
        <v>45107</v>
      </c>
      <c r="K428" s="4">
        <v>45663</v>
      </c>
      <c r="L428" s="3">
        <v>7</v>
      </c>
      <c r="M428" s="3">
        <v>150000</v>
      </c>
      <c r="N428" s="3">
        <v>18</v>
      </c>
      <c r="O428" s="3" t="b">
        <v>0</v>
      </c>
      <c r="P428" s="3" t="b">
        <v>0</v>
      </c>
      <c r="Q428" s="3">
        <v>4645.8904109589084</v>
      </c>
      <c r="R428" s="3">
        <v>41128.767123287667</v>
      </c>
      <c r="S428" s="3">
        <v>45774.65753424658</v>
      </c>
      <c r="T428" s="5">
        <f>IF(J428&lt;&gt;"",M428*N428/365/100*('Cashflow Projection'!$B$2-Investors!J428),0)</f>
        <v>24854.794520547945</v>
      </c>
    </row>
    <row r="429" spans="1:20" x14ac:dyDescent="0.2">
      <c r="A429" s="3" t="s">
        <v>156</v>
      </c>
      <c r="B429" s="3" t="s">
        <v>157</v>
      </c>
      <c r="C429" s="3" t="s">
        <v>158</v>
      </c>
      <c r="D429" s="3" t="s">
        <v>386</v>
      </c>
      <c r="E429" s="3" t="s">
        <v>778</v>
      </c>
      <c r="F429" s="3" t="b">
        <v>0</v>
      </c>
      <c r="G429" s="3" t="b">
        <v>0</v>
      </c>
      <c r="H429" s="3" t="s">
        <v>750</v>
      </c>
      <c r="I429" s="4">
        <v>44959</v>
      </c>
      <c r="J429" s="4">
        <v>45072</v>
      </c>
      <c r="K429" s="4">
        <v>45663</v>
      </c>
      <c r="L429" s="3">
        <v>4</v>
      </c>
      <c r="M429" s="3">
        <v>100000</v>
      </c>
      <c r="N429" s="3">
        <v>18</v>
      </c>
      <c r="O429" s="3" t="b">
        <v>0</v>
      </c>
      <c r="P429" s="3" t="b">
        <v>0</v>
      </c>
      <c r="Q429" s="3">
        <v>3172.6027397260341</v>
      </c>
      <c r="R429" s="3">
        <v>29145.205479452059</v>
      </c>
      <c r="S429" s="3">
        <v>32317.808219178089</v>
      </c>
      <c r="T429" s="5">
        <f>IF(J429&lt;&gt;"",M429*N429/365/100*('Cashflow Projection'!$B$2-Investors!J429),0)</f>
        <v>18295.890410958902</v>
      </c>
    </row>
    <row r="430" spans="1:20" x14ac:dyDescent="0.2">
      <c r="A430" s="3" t="s">
        <v>403</v>
      </c>
      <c r="B430" s="3" t="s">
        <v>160</v>
      </c>
      <c r="C430" s="3" t="s">
        <v>161</v>
      </c>
      <c r="D430" s="3" t="s">
        <v>386</v>
      </c>
      <c r="E430" s="3" t="s">
        <v>778</v>
      </c>
      <c r="F430" s="3" t="b">
        <v>0</v>
      </c>
      <c r="G430" s="3" t="b">
        <v>0</v>
      </c>
      <c r="H430" s="3" t="s">
        <v>750</v>
      </c>
      <c r="I430" s="4">
        <v>44917</v>
      </c>
      <c r="J430" s="4">
        <v>45008</v>
      </c>
      <c r="K430" s="4">
        <v>45663</v>
      </c>
      <c r="L430" s="3">
        <v>3</v>
      </c>
      <c r="M430" s="3">
        <v>124599.32</v>
      </c>
      <c r="N430" s="3">
        <v>16</v>
      </c>
      <c r="O430" s="3" t="b">
        <v>0</v>
      </c>
      <c r="P430" s="3" t="b">
        <v>0</v>
      </c>
      <c r="Q430" s="3">
        <v>3072.3120000000072</v>
      </c>
      <c r="R430" s="3">
        <v>35775.366400000014</v>
      </c>
      <c r="S430" s="3">
        <v>38847.678400000012</v>
      </c>
      <c r="T430" s="5">
        <f>IF(J430&lt;&gt;"",M430*N430/365/100*('Cashflow Projection'!$B$2-Investors!J430),0)</f>
        <v>23759.212799999998</v>
      </c>
    </row>
    <row r="431" spans="1:20" x14ac:dyDescent="0.2">
      <c r="A431" s="3" t="s">
        <v>156</v>
      </c>
      <c r="B431" s="3" t="s">
        <v>157</v>
      </c>
      <c r="C431" s="3" t="s">
        <v>158</v>
      </c>
      <c r="D431" s="3" t="s">
        <v>386</v>
      </c>
      <c r="E431" s="3" t="s">
        <v>783</v>
      </c>
      <c r="F431" s="3" t="b">
        <v>0</v>
      </c>
      <c r="G431" s="3" t="b">
        <v>0</v>
      </c>
      <c r="H431" s="3" t="s">
        <v>750</v>
      </c>
      <c r="I431" s="4">
        <v>44959</v>
      </c>
      <c r="J431" s="4">
        <v>45072</v>
      </c>
      <c r="K431" s="4">
        <v>45622</v>
      </c>
      <c r="L431" s="3">
        <v>5</v>
      </c>
      <c r="M431" s="3">
        <v>1100000</v>
      </c>
      <c r="N431" s="3">
        <v>18</v>
      </c>
      <c r="O431" s="3" t="b">
        <v>0</v>
      </c>
      <c r="P431" s="3" t="b">
        <v>0</v>
      </c>
      <c r="Q431" s="3">
        <v>34898.63013698635</v>
      </c>
      <c r="R431" s="3">
        <v>298356.16438356158</v>
      </c>
      <c r="S431" s="3">
        <v>333254.79452054802</v>
      </c>
      <c r="T431" s="5">
        <f>IF(J431&lt;&gt;"",M431*N431/365/100*('Cashflow Projection'!$B$2-Investors!J431),0)</f>
        <v>201254.79452054796</v>
      </c>
    </row>
    <row r="432" spans="1:20" x14ac:dyDescent="0.2">
      <c r="A432" s="3" t="s">
        <v>784</v>
      </c>
      <c r="B432" s="3" t="s">
        <v>785</v>
      </c>
      <c r="C432" s="3" t="s">
        <v>786</v>
      </c>
      <c r="D432" s="3" t="s">
        <v>386</v>
      </c>
      <c r="E432" s="3" t="s">
        <v>787</v>
      </c>
      <c r="F432" s="3" t="b">
        <v>0</v>
      </c>
      <c r="G432" s="3" t="b">
        <v>0</v>
      </c>
      <c r="H432" s="3" t="s">
        <v>750</v>
      </c>
      <c r="I432" s="4">
        <v>44967</v>
      </c>
      <c r="J432" s="4">
        <v>45072</v>
      </c>
      <c r="K432" s="4">
        <v>45623</v>
      </c>
      <c r="L432" s="3">
        <v>1</v>
      </c>
      <c r="M432" s="3">
        <v>1000000</v>
      </c>
      <c r="N432" s="3">
        <v>18</v>
      </c>
      <c r="O432" s="3" t="b">
        <v>0</v>
      </c>
      <c r="P432" s="3" t="b">
        <v>0</v>
      </c>
      <c r="Q432" s="3">
        <v>29534.24657534252</v>
      </c>
      <c r="R432" s="3">
        <v>271726.0273972603</v>
      </c>
      <c r="S432" s="3">
        <v>301260.27397260291</v>
      </c>
      <c r="T432" s="5">
        <f>IF(J432&lt;&gt;"",M432*N432/365/100*('Cashflow Projection'!$B$2-Investors!J432),0)</f>
        <v>182958.90410958903</v>
      </c>
    </row>
    <row r="433" spans="1:20" x14ac:dyDescent="0.2">
      <c r="A433" s="3" t="s">
        <v>185</v>
      </c>
      <c r="B433" s="3" t="s">
        <v>186</v>
      </c>
      <c r="C433" s="3" t="s">
        <v>187</v>
      </c>
      <c r="D433" s="3" t="s">
        <v>386</v>
      </c>
      <c r="E433" s="3" t="s">
        <v>787</v>
      </c>
      <c r="F433" s="3" t="b">
        <v>0</v>
      </c>
      <c r="G433" s="3" t="b">
        <v>0</v>
      </c>
      <c r="H433" s="3" t="s">
        <v>750</v>
      </c>
      <c r="I433" s="4">
        <v>44964</v>
      </c>
      <c r="J433" s="4">
        <v>45072</v>
      </c>
      <c r="K433" s="4">
        <v>45623</v>
      </c>
      <c r="L433" s="3">
        <v>5</v>
      </c>
      <c r="M433" s="3">
        <v>117916.44</v>
      </c>
      <c r="N433" s="3">
        <v>14</v>
      </c>
      <c r="O433" s="3" t="b">
        <v>0</v>
      </c>
      <c r="P433" s="3" t="b">
        <v>0</v>
      </c>
      <c r="Q433" s="3">
        <v>3579.4908361643888</v>
      </c>
      <c r="R433" s="3">
        <v>24920.751182465759</v>
      </c>
      <c r="S433" s="3">
        <v>28500.24201863015</v>
      </c>
      <c r="T433" s="5">
        <f>IF(J433&lt;&gt;"",M433*N433/365/100*('Cashflow Projection'!$B$2-Investors!J433),0)</f>
        <v>16779.670941369863</v>
      </c>
    </row>
    <row r="434" spans="1:20" x14ac:dyDescent="0.2">
      <c r="A434" s="3" t="s">
        <v>772</v>
      </c>
      <c r="B434" s="3" t="s">
        <v>773</v>
      </c>
      <c r="C434" s="3" t="s">
        <v>774</v>
      </c>
      <c r="D434" s="3" t="s">
        <v>386</v>
      </c>
      <c r="E434" s="3" t="s">
        <v>788</v>
      </c>
      <c r="F434" s="3" t="b">
        <v>0</v>
      </c>
      <c r="G434" s="3" t="b">
        <v>0</v>
      </c>
      <c r="H434" s="3" t="s">
        <v>750</v>
      </c>
      <c r="I434" s="4">
        <v>44938</v>
      </c>
      <c r="J434" s="4">
        <v>45016</v>
      </c>
      <c r="K434" s="4">
        <v>45504</v>
      </c>
      <c r="L434" s="3">
        <v>2</v>
      </c>
      <c r="M434" s="3">
        <v>500000</v>
      </c>
      <c r="N434" s="3">
        <v>18</v>
      </c>
      <c r="O434" s="3" t="b">
        <v>0</v>
      </c>
      <c r="P434" s="3" t="b">
        <v>0</v>
      </c>
      <c r="Q434" s="3">
        <v>10619.863013698639</v>
      </c>
      <c r="R434" s="3">
        <v>120328.7671232877</v>
      </c>
      <c r="S434" s="3">
        <v>130948.63013698631</v>
      </c>
      <c r="T434" s="5">
        <f>IF(J434&lt;&gt;"",M434*N434/365/100*('Cashflow Projection'!$B$2-Investors!J434),0)</f>
        <v>105287.6712328767</v>
      </c>
    </row>
    <row r="435" spans="1:20" x14ac:dyDescent="0.2">
      <c r="A435" s="3" t="s">
        <v>776</v>
      </c>
      <c r="B435" s="3" t="s">
        <v>777</v>
      </c>
      <c r="C435" s="3" t="s">
        <v>774</v>
      </c>
      <c r="D435" s="3" t="s">
        <v>386</v>
      </c>
      <c r="E435" s="3" t="s">
        <v>788</v>
      </c>
      <c r="F435" s="3" t="b">
        <v>0</v>
      </c>
      <c r="G435" s="3" t="b">
        <v>0</v>
      </c>
      <c r="H435" s="3" t="s">
        <v>750</v>
      </c>
      <c r="I435" s="4">
        <v>44942</v>
      </c>
      <c r="J435" s="4">
        <v>45016</v>
      </c>
      <c r="K435" s="4">
        <v>45504</v>
      </c>
      <c r="L435" s="3">
        <v>2</v>
      </c>
      <c r="M435" s="3">
        <v>500000</v>
      </c>
      <c r="N435" s="3">
        <v>18</v>
      </c>
      <c r="O435" s="3" t="b">
        <v>0</v>
      </c>
      <c r="P435" s="3" t="b">
        <v>0</v>
      </c>
      <c r="Q435" s="3">
        <v>10085.616438356181</v>
      </c>
      <c r="R435" s="3">
        <v>120328.7671232877</v>
      </c>
      <c r="S435" s="3">
        <v>130414.3835616438</v>
      </c>
      <c r="T435" s="5">
        <f>IF(J435&lt;&gt;"",M435*N435/365/100*('Cashflow Projection'!$B$2-Investors!J435),0)</f>
        <v>105287.6712328767</v>
      </c>
    </row>
    <row r="436" spans="1:20" x14ac:dyDescent="0.2">
      <c r="A436" s="3" t="s">
        <v>204</v>
      </c>
      <c r="B436" s="3" t="s">
        <v>205</v>
      </c>
      <c r="C436" s="3" t="s">
        <v>206</v>
      </c>
      <c r="D436" s="3" t="s">
        <v>386</v>
      </c>
      <c r="E436" s="3" t="s">
        <v>788</v>
      </c>
      <c r="F436" s="3" t="b">
        <v>0</v>
      </c>
      <c r="G436" s="3" t="b">
        <v>0</v>
      </c>
      <c r="H436" s="3" t="s">
        <v>750</v>
      </c>
      <c r="I436" s="4">
        <v>44942</v>
      </c>
      <c r="J436" s="4">
        <v>45016</v>
      </c>
      <c r="K436" s="4">
        <v>45504</v>
      </c>
      <c r="L436" s="3">
        <v>5</v>
      </c>
      <c r="M436" s="3">
        <v>114058.91</v>
      </c>
      <c r="N436" s="3">
        <v>14</v>
      </c>
      <c r="O436" s="3" t="b">
        <v>0</v>
      </c>
      <c r="P436" s="3" t="b">
        <v>0</v>
      </c>
      <c r="Q436" s="3">
        <v>2300.7088352739738</v>
      </c>
      <c r="R436" s="3">
        <v>21349.32803068493</v>
      </c>
      <c r="S436" s="3">
        <v>23650.036865958911</v>
      </c>
      <c r="T436" s="5">
        <f>IF(J436&lt;&gt;"",M436*N436/365/100*('Cashflow Projection'!$B$2-Investors!J436),0)</f>
        <v>18680.662026849317</v>
      </c>
    </row>
    <row r="437" spans="1:20" x14ac:dyDescent="0.2">
      <c r="A437" s="3" t="s">
        <v>576</v>
      </c>
      <c r="B437" s="3" t="s">
        <v>577</v>
      </c>
      <c r="C437" s="3" t="s">
        <v>578</v>
      </c>
      <c r="D437" s="3" t="s">
        <v>386</v>
      </c>
      <c r="E437" s="3" t="s">
        <v>789</v>
      </c>
      <c r="F437" s="3" t="b">
        <v>0</v>
      </c>
      <c r="G437" s="3" t="b">
        <v>0</v>
      </c>
      <c r="H437" s="3" t="s">
        <v>790</v>
      </c>
      <c r="I437" s="4">
        <v>45099</v>
      </c>
      <c r="J437" s="4">
        <v>45280</v>
      </c>
      <c r="K437" s="4">
        <v>45524</v>
      </c>
      <c r="L437" s="3">
        <v>3</v>
      </c>
      <c r="M437" s="3">
        <v>1100000</v>
      </c>
      <c r="N437" s="3">
        <v>18</v>
      </c>
      <c r="O437" s="3" t="b">
        <v>0</v>
      </c>
      <c r="P437" s="3" t="b">
        <v>0</v>
      </c>
      <c r="Q437" s="3">
        <v>60002.739726027386</v>
      </c>
      <c r="R437" s="3">
        <v>132361.64383561641</v>
      </c>
      <c r="S437" s="3">
        <v>192364.3835616438</v>
      </c>
      <c r="T437" s="5">
        <f>IF(J437&lt;&gt;"",M437*N437/365/100*('Cashflow Projection'!$B$2-Investors!J437),0)</f>
        <v>88421.917808219179</v>
      </c>
    </row>
    <row r="438" spans="1:20" x14ac:dyDescent="0.2">
      <c r="A438" s="3" t="s">
        <v>576</v>
      </c>
      <c r="B438" s="3" t="s">
        <v>577</v>
      </c>
      <c r="C438" s="3" t="s">
        <v>578</v>
      </c>
      <c r="D438" s="3" t="s">
        <v>386</v>
      </c>
      <c r="E438" s="3" t="s">
        <v>791</v>
      </c>
      <c r="F438" s="3" t="b">
        <v>0</v>
      </c>
      <c r="G438" s="3" t="b">
        <v>0</v>
      </c>
      <c r="H438" s="3" t="s">
        <v>790</v>
      </c>
      <c r="I438" s="4">
        <v>45099</v>
      </c>
      <c r="J438" s="4">
        <v>45280</v>
      </c>
      <c r="K438" s="4">
        <v>45524</v>
      </c>
      <c r="L438" s="3">
        <v>4</v>
      </c>
      <c r="M438" s="3">
        <v>700000</v>
      </c>
      <c r="N438" s="3">
        <v>18</v>
      </c>
      <c r="O438" s="3" t="b">
        <v>0</v>
      </c>
      <c r="P438" s="3" t="b">
        <v>0</v>
      </c>
      <c r="Q438" s="3">
        <v>38183.561643835703</v>
      </c>
      <c r="R438" s="3">
        <v>84230.136986301382</v>
      </c>
      <c r="S438" s="3">
        <v>122413.69863013711</v>
      </c>
      <c r="T438" s="5">
        <f>IF(J438&lt;&gt;"",M438*N438/365/100*('Cashflow Projection'!$B$2-Investors!J438),0)</f>
        <v>56268.493150684924</v>
      </c>
    </row>
    <row r="439" spans="1:20" x14ac:dyDescent="0.2">
      <c r="A439" s="3" t="s">
        <v>792</v>
      </c>
      <c r="B439" s="3" t="s">
        <v>793</v>
      </c>
      <c r="C439" s="3" t="s">
        <v>794</v>
      </c>
      <c r="D439" s="3" t="s">
        <v>386</v>
      </c>
      <c r="E439" s="3" t="s">
        <v>791</v>
      </c>
      <c r="F439" s="3" t="b">
        <v>0</v>
      </c>
      <c r="G439" s="3" t="b">
        <v>0</v>
      </c>
      <c r="H439" s="3" t="s">
        <v>790</v>
      </c>
      <c r="I439" s="4">
        <v>45125</v>
      </c>
      <c r="J439" s="4">
        <v>45259</v>
      </c>
      <c r="K439" s="4">
        <v>45524</v>
      </c>
      <c r="L439" s="3">
        <v>1</v>
      </c>
      <c r="M439" s="3">
        <v>100000</v>
      </c>
      <c r="N439" s="3">
        <v>14</v>
      </c>
      <c r="O439" s="3" t="b">
        <v>0</v>
      </c>
      <c r="P439" s="3" t="b">
        <v>0</v>
      </c>
      <c r="Q439" s="3">
        <v>4038.3561643835528</v>
      </c>
      <c r="R439" s="3">
        <v>10164.383561643839</v>
      </c>
      <c r="S439" s="3">
        <v>14202.73972602739</v>
      </c>
      <c r="T439" s="5">
        <f>IF(J439&lt;&gt;"",M439*N439/365/100*('Cashflow Projection'!$B$2-Investors!J439),0)</f>
        <v>7057.5342465753429</v>
      </c>
    </row>
    <row r="440" spans="1:20" x14ac:dyDescent="0.2">
      <c r="A440" s="3" t="s">
        <v>204</v>
      </c>
      <c r="B440" s="3" t="s">
        <v>205</v>
      </c>
      <c r="C440" s="3" t="s">
        <v>206</v>
      </c>
      <c r="D440" s="3" t="s">
        <v>386</v>
      </c>
      <c r="E440" s="3" t="s">
        <v>791</v>
      </c>
      <c r="F440" s="3" t="b">
        <v>0</v>
      </c>
      <c r="G440" s="3" t="b">
        <v>0</v>
      </c>
      <c r="H440" s="3" t="s">
        <v>790</v>
      </c>
      <c r="I440" s="4">
        <v>45112</v>
      </c>
      <c r="J440" s="4">
        <v>45259</v>
      </c>
      <c r="K440" s="4">
        <v>45524</v>
      </c>
      <c r="L440" s="3">
        <v>6</v>
      </c>
      <c r="M440" s="3">
        <v>250000</v>
      </c>
      <c r="N440" s="3">
        <v>16</v>
      </c>
      <c r="O440" s="3" t="b">
        <v>0</v>
      </c>
      <c r="P440" s="3" t="b">
        <v>0</v>
      </c>
      <c r="Q440" s="3">
        <v>11075.34246575342</v>
      </c>
      <c r="R440" s="3">
        <v>29041.095890410961</v>
      </c>
      <c r="S440" s="3">
        <v>40116.438356164377</v>
      </c>
      <c r="T440" s="5">
        <f>IF(J440&lt;&gt;"",M440*N440/365/100*('Cashflow Projection'!$B$2-Investors!J440),0)</f>
        <v>20164.383561643834</v>
      </c>
    </row>
    <row r="441" spans="1:20" x14ac:dyDescent="0.2">
      <c r="A441" s="3" t="s">
        <v>795</v>
      </c>
      <c r="B441" s="3" t="s">
        <v>796</v>
      </c>
      <c r="C441" s="3" t="s">
        <v>797</v>
      </c>
      <c r="D441" s="3" t="s">
        <v>386</v>
      </c>
      <c r="E441" s="3" t="s">
        <v>798</v>
      </c>
      <c r="F441" s="3" t="b">
        <v>0</v>
      </c>
      <c r="G441" s="3" t="b">
        <v>0</v>
      </c>
      <c r="H441" s="3" t="s">
        <v>790</v>
      </c>
      <c r="I441" s="4">
        <v>45099</v>
      </c>
      <c r="J441" s="4">
        <v>45273</v>
      </c>
      <c r="K441" s="4">
        <v>45524</v>
      </c>
      <c r="L441" s="3">
        <v>2</v>
      </c>
      <c r="M441" s="3">
        <v>1000004.32</v>
      </c>
      <c r="N441" s="3">
        <v>18</v>
      </c>
      <c r="O441" s="3" t="b">
        <v>0</v>
      </c>
      <c r="P441" s="3" t="b">
        <v>0</v>
      </c>
      <c r="Q441" s="3">
        <v>52438.58269808234</v>
      </c>
      <c r="R441" s="3">
        <v>123781.3566509589</v>
      </c>
      <c r="S441" s="3">
        <v>176219.9393490412</v>
      </c>
      <c r="T441" s="5">
        <f>IF(J441&lt;&gt;"",M441*N441/365/100*('Cashflow Projection'!$B$2-Investors!J441),0)</f>
        <v>83835.978608219171</v>
      </c>
    </row>
    <row r="442" spans="1:20" x14ac:dyDescent="0.2">
      <c r="A442" s="3" t="s">
        <v>799</v>
      </c>
      <c r="B442" s="3" t="s">
        <v>800</v>
      </c>
      <c r="C442" s="3" t="s">
        <v>801</v>
      </c>
      <c r="D442" s="3" t="s">
        <v>386</v>
      </c>
      <c r="E442" s="3" t="s">
        <v>798</v>
      </c>
      <c r="F442" s="3" t="b">
        <v>0</v>
      </c>
      <c r="G442" s="3" t="b">
        <v>0</v>
      </c>
      <c r="H442" s="3" t="s">
        <v>790</v>
      </c>
      <c r="I442" s="4">
        <v>45125</v>
      </c>
      <c r="J442" s="4">
        <v>45259</v>
      </c>
      <c r="K442" s="4">
        <v>45524</v>
      </c>
      <c r="L442" s="3">
        <v>1</v>
      </c>
      <c r="M442" s="3">
        <v>100000</v>
      </c>
      <c r="N442" s="3">
        <v>14</v>
      </c>
      <c r="O442" s="3" t="b">
        <v>0</v>
      </c>
      <c r="P442" s="3" t="b">
        <v>0</v>
      </c>
      <c r="Q442" s="3">
        <v>4038.3561643835528</v>
      </c>
      <c r="R442" s="3">
        <v>10164.383561643839</v>
      </c>
      <c r="S442" s="3">
        <v>14202.73972602739</v>
      </c>
      <c r="T442" s="5">
        <f>IF(J442&lt;&gt;"",M442*N442/365/100*('Cashflow Projection'!$B$2-Investors!J442),0)</f>
        <v>7057.5342465753429</v>
      </c>
    </row>
    <row r="443" spans="1:20" x14ac:dyDescent="0.2">
      <c r="A443" s="3" t="s">
        <v>576</v>
      </c>
      <c r="B443" s="3" t="s">
        <v>577</v>
      </c>
      <c r="C443" s="3" t="s">
        <v>578</v>
      </c>
      <c r="D443" s="3" t="s">
        <v>386</v>
      </c>
      <c r="E443" s="3" t="s">
        <v>802</v>
      </c>
      <c r="F443" s="3" t="b">
        <v>0</v>
      </c>
      <c r="G443" s="3" t="b">
        <v>0</v>
      </c>
      <c r="H443" s="3" t="s">
        <v>790</v>
      </c>
      <c r="I443" s="4">
        <v>45099</v>
      </c>
      <c r="J443" s="4">
        <v>45280</v>
      </c>
      <c r="K443" s="4">
        <v>45524</v>
      </c>
      <c r="L443" s="3">
        <v>5</v>
      </c>
      <c r="M443" s="3">
        <v>1100000</v>
      </c>
      <c r="N443" s="3">
        <v>18</v>
      </c>
      <c r="O443" s="3" t="b">
        <v>0</v>
      </c>
      <c r="P443" s="3" t="b">
        <v>0</v>
      </c>
      <c r="Q443" s="3">
        <v>60002.739726027386</v>
      </c>
      <c r="R443" s="3">
        <v>132361.64383561641</v>
      </c>
      <c r="S443" s="3">
        <v>192364.3835616438</v>
      </c>
      <c r="T443" s="5">
        <f>IF(J443&lt;&gt;"",M443*N443/365/100*('Cashflow Projection'!$B$2-Investors!J443),0)</f>
        <v>88421.917808219179</v>
      </c>
    </row>
    <row r="444" spans="1:20" x14ac:dyDescent="0.2">
      <c r="A444" s="3" t="s">
        <v>501</v>
      </c>
      <c r="B444" s="3" t="s">
        <v>502</v>
      </c>
      <c r="C444" s="3" t="s">
        <v>503</v>
      </c>
      <c r="D444" s="3" t="s">
        <v>386</v>
      </c>
      <c r="E444" s="3" t="s">
        <v>803</v>
      </c>
      <c r="F444" s="3" t="b">
        <v>0</v>
      </c>
      <c r="G444" s="3" t="b">
        <v>0</v>
      </c>
      <c r="H444" s="3" t="s">
        <v>790</v>
      </c>
      <c r="I444" s="4">
        <v>45279</v>
      </c>
      <c r="J444" s="4">
        <v>45363</v>
      </c>
      <c r="K444" s="4">
        <v>45524</v>
      </c>
      <c r="L444" s="3">
        <v>2</v>
      </c>
      <c r="M444" s="3">
        <v>604260.27</v>
      </c>
      <c r="N444" s="3">
        <v>16</v>
      </c>
      <c r="O444" s="3" t="b">
        <v>0</v>
      </c>
      <c r="P444" s="3" t="b">
        <v>0</v>
      </c>
      <c r="Q444" s="3">
        <v>15296.890122739709</v>
      </c>
      <c r="R444" s="3">
        <v>42645.875493698637</v>
      </c>
      <c r="S444" s="3">
        <v>57942.765616438352</v>
      </c>
      <c r="T444" s="5">
        <f>IF(J444&lt;&gt;"",M444*N444/365/100*('Cashflow Projection'!$B$2-Investors!J444),0)</f>
        <v>21190.497139726031</v>
      </c>
    </row>
    <row r="445" spans="1:20" x14ac:dyDescent="0.2">
      <c r="A445" s="3" t="s">
        <v>512</v>
      </c>
      <c r="B445" s="3" t="s">
        <v>513</v>
      </c>
      <c r="C445" s="3" t="s">
        <v>514</v>
      </c>
      <c r="D445" s="3" t="s">
        <v>386</v>
      </c>
      <c r="E445" s="3" t="s">
        <v>803</v>
      </c>
      <c r="F445" s="3" t="b">
        <v>0</v>
      </c>
      <c r="G445" s="3" t="b">
        <v>0</v>
      </c>
      <c r="H445" s="3" t="s">
        <v>790</v>
      </c>
      <c r="I445" s="4">
        <v>45097</v>
      </c>
      <c r="J445" s="4">
        <v>45259</v>
      </c>
      <c r="K445" s="4">
        <v>45524</v>
      </c>
      <c r="L445" s="3">
        <v>4</v>
      </c>
      <c r="M445" s="3">
        <v>400000</v>
      </c>
      <c r="N445" s="3">
        <v>16</v>
      </c>
      <c r="O445" s="3" t="b">
        <v>0</v>
      </c>
      <c r="P445" s="3" t="b">
        <v>0</v>
      </c>
      <c r="Q445" s="3">
        <v>19528.76712328762</v>
      </c>
      <c r="R445" s="3">
        <v>46465.753424657531</v>
      </c>
      <c r="S445" s="3">
        <v>65994.52054794514</v>
      </c>
      <c r="T445" s="5">
        <f>IF(J445&lt;&gt;"",M445*N445/365/100*('Cashflow Projection'!$B$2-Investors!J445),0)</f>
        <v>32263.013698630137</v>
      </c>
    </row>
    <row r="446" spans="1:20" x14ac:dyDescent="0.2">
      <c r="A446" s="3" t="s">
        <v>207</v>
      </c>
      <c r="B446" s="3" t="s">
        <v>53</v>
      </c>
      <c r="C446" s="3" t="s">
        <v>54</v>
      </c>
      <c r="D446" s="3" t="s">
        <v>386</v>
      </c>
      <c r="E446" s="3" t="s">
        <v>803</v>
      </c>
      <c r="F446" s="3" t="b">
        <v>0</v>
      </c>
      <c r="G446" s="3" t="b">
        <v>0</v>
      </c>
      <c r="H446" s="3" t="s">
        <v>790</v>
      </c>
      <c r="I446" s="4">
        <v>45279</v>
      </c>
      <c r="J446" s="4">
        <v>45371</v>
      </c>
      <c r="K446" s="4">
        <v>45524</v>
      </c>
      <c r="L446" s="3">
        <v>18</v>
      </c>
      <c r="M446" s="3">
        <v>100000</v>
      </c>
      <c r="N446" s="3">
        <v>18</v>
      </c>
      <c r="O446" s="3" t="b">
        <v>0</v>
      </c>
      <c r="P446" s="3" t="b">
        <v>0</v>
      </c>
      <c r="Q446" s="3">
        <v>2772.6027397260259</v>
      </c>
      <c r="R446" s="3">
        <v>7545.2054794520554</v>
      </c>
      <c r="S446" s="3">
        <v>10317.80821917808</v>
      </c>
      <c r="T446" s="5">
        <f>IF(J446&lt;&gt;"",M446*N446/365/100*('Cashflow Projection'!$B$2-Investors!J446),0)</f>
        <v>3550.6849315068494</v>
      </c>
    </row>
    <row r="447" spans="1:20" x14ac:dyDescent="0.2">
      <c r="A447" s="3" t="s">
        <v>423</v>
      </c>
      <c r="B447" s="3" t="s">
        <v>424</v>
      </c>
      <c r="C447" s="3" t="s">
        <v>425</v>
      </c>
      <c r="D447" s="3" t="s">
        <v>386</v>
      </c>
      <c r="E447" s="3" t="s">
        <v>803</v>
      </c>
      <c r="F447" s="3" t="b">
        <v>0</v>
      </c>
      <c r="G447" s="3" t="b">
        <v>0</v>
      </c>
      <c r="H447" s="3" t="s">
        <v>790</v>
      </c>
      <c r="I447" s="4">
        <v>45183</v>
      </c>
      <c r="J447" s="4">
        <v>45273</v>
      </c>
      <c r="K447" s="4">
        <v>45524</v>
      </c>
      <c r="L447" s="3">
        <v>5</v>
      </c>
      <c r="M447" s="3">
        <v>100000</v>
      </c>
      <c r="N447" s="3">
        <v>14</v>
      </c>
      <c r="O447" s="3" t="b">
        <v>0</v>
      </c>
      <c r="P447" s="3" t="b">
        <v>0</v>
      </c>
      <c r="Q447" s="3">
        <v>2712.328767123287</v>
      </c>
      <c r="R447" s="3">
        <v>9627.3972602739723</v>
      </c>
      <c r="S447" s="3">
        <v>12339.726027397261</v>
      </c>
      <c r="T447" s="5">
        <f>IF(J447&lt;&gt;"",M447*N447/365/100*('Cashflow Projection'!$B$2-Investors!J447),0)</f>
        <v>6520.5479452054806</v>
      </c>
    </row>
    <row r="448" spans="1:20" x14ac:dyDescent="0.2">
      <c r="A448" s="3" t="s">
        <v>304</v>
      </c>
      <c r="B448" s="3" t="s">
        <v>305</v>
      </c>
      <c r="C448" s="3" t="s">
        <v>306</v>
      </c>
      <c r="D448" s="3" t="s">
        <v>386</v>
      </c>
      <c r="E448" s="3" t="s">
        <v>804</v>
      </c>
      <c r="F448" s="3" t="b">
        <v>0</v>
      </c>
      <c r="G448" s="3" t="b">
        <v>0</v>
      </c>
      <c r="H448" s="3" t="s">
        <v>790</v>
      </c>
      <c r="I448" s="4">
        <v>45145</v>
      </c>
      <c r="J448" s="4">
        <v>45321</v>
      </c>
      <c r="K448" s="4">
        <v>45524</v>
      </c>
      <c r="L448" s="3">
        <v>12</v>
      </c>
      <c r="M448" s="3">
        <v>1200000</v>
      </c>
      <c r="N448" s="3">
        <v>18</v>
      </c>
      <c r="O448" s="3" t="b">
        <v>0</v>
      </c>
      <c r="P448" s="3" t="b">
        <v>0</v>
      </c>
      <c r="Q448" s="3">
        <v>63649.315068493037</v>
      </c>
      <c r="R448" s="3">
        <v>120131.5068493151</v>
      </c>
      <c r="S448" s="3">
        <v>183780.82191780809</v>
      </c>
      <c r="T448" s="5">
        <f>IF(J448&lt;&gt;"",M448*N448/365/100*('Cashflow Projection'!$B$2-Investors!J448),0)</f>
        <v>72197.260273972599</v>
      </c>
    </row>
    <row r="449" spans="1:20" x14ac:dyDescent="0.2">
      <c r="A449" s="3" t="s">
        <v>721</v>
      </c>
      <c r="B449" s="3" t="s">
        <v>722</v>
      </c>
      <c r="C449" s="3" t="s">
        <v>723</v>
      </c>
      <c r="D449" s="3" t="s">
        <v>386</v>
      </c>
      <c r="E449" s="3" t="s">
        <v>805</v>
      </c>
      <c r="F449" s="3" t="b">
        <v>0</v>
      </c>
      <c r="G449" s="3" t="b">
        <v>0</v>
      </c>
      <c r="H449" s="3" t="s">
        <v>790</v>
      </c>
      <c r="I449" s="4">
        <v>45149</v>
      </c>
      <c r="J449" s="4">
        <v>45273</v>
      </c>
      <c r="K449" s="4">
        <v>45524</v>
      </c>
      <c r="L449" s="3">
        <v>3</v>
      </c>
      <c r="M449" s="3">
        <v>150000</v>
      </c>
      <c r="N449" s="3">
        <v>18</v>
      </c>
      <c r="O449" s="3" t="b">
        <v>0</v>
      </c>
      <c r="P449" s="3" t="b">
        <v>0</v>
      </c>
      <c r="Q449" s="3">
        <v>5605.4794520547939</v>
      </c>
      <c r="R449" s="3">
        <v>18567.123287671231</v>
      </c>
      <c r="S449" s="3">
        <v>24172.60273972603</v>
      </c>
      <c r="T449" s="5">
        <f>IF(J449&lt;&gt;"",M449*N449/365/100*('Cashflow Projection'!$B$2-Investors!J449),0)</f>
        <v>12575.342465753425</v>
      </c>
    </row>
    <row r="450" spans="1:20" x14ac:dyDescent="0.2">
      <c r="A450" s="3" t="s">
        <v>304</v>
      </c>
      <c r="B450" s="3" t="s">
        <v>305</v>
      </c>
      <c r="C450" s="3" t="s">
        <v>306</v>
      </c>
      <c r="D450" s="3" t="s">
        <v>386</v>
      </c>
      <c r="E450" s="3" t="s">
        <v>805</v>
      </c>
      <c r="F450" s="3" t="b">
        <v>0</v>
      </c>
      <c r="G450" s="3" t="b">
        <v>0</v>
      </c>
      <c r="H450" s="3" t="s">
        <v>790</v>
      </c>
      <c r="I450" s="4">
        <v>45173</v>
      </c>
      <c r="J450" s="4">
        <v>45273</v>
      </c>
      <c r="K450" s="4">
        <v>45524</v>
      </c>
      <c r="L450" s="3">
        <v>13</v>
      </c>
      <c r="M450" s="3">
        <v>180000</v>
      </c>
      <c r="N450" s="3">
        <v>18</v>
      </c>
      <c r="O450" s="3" t="b">
        <v>0</v>
      </c>
      <c r="P450" s="3" t="b">
        <v>0</v>
      </c>
      <c r="Q450" s="3">
        <v>5424.6575342465794</v>
      </c>
      <c r="R450" s="3">
        <v>22280.547945205479</v>
      </c>
      <c r="S450" s="3">
        <v>27705.205479452059</v>
      </c>
      <c r="T450" s="5">
        <f>IF(J450&lt;&gt;"",M450*N450/365/100*('Cashflow Projection'!$B$2-Investors!J450),0)</f>
        <v>15090.410958904111</v>
      </c>
    </row>
    <row r="451" spans="1:20" x14ac:dyDescent="0.2">
      <c r="A451" s="3" t="s">
        <v>392</v>
      </c>
      <c r="B451" s="3" t="s">
        <v>393</v>
      </c>
      <c r="C451" s="3" t="s">
        <v>394</v>
      </c>
      <c r="D451" s="3" t="s">
        <v>386</v>
      </c>
      <c r="E451" s="3" t="s">
        <v>805</v>
      </c>
      <c r="F451" s="3" t="b">
        <v>0</v>
      </c>
      <c r="G451" s="3" t="b">
        <v>0</v>
      </c>
      <c r="H451" s="3" t="s">
        <v>790</v>
      </c>
      <c r="I451" s="4">
        <v>45160</v>
      </c>
      <c r="J451" s="4">
        <v>45273</v>
      </c>
      <c r="K451" s="4">
        <v>45524</v>
      </c>
      <c r="L451" s="3">
        <v>3</v>
      </c>
      <c r="M451" s="3">
        <v>300000</v>
      </c>
      <c r="N451" s="3">
        <v>14</v>
      </c>
      <c r="O451" s="3" t="b">
        <v>0</v>
      </c>
      <c r="P451" s="3" t="b">
        <v>0</v>
      </c>
      <c r="Q451" s="3">
        <v>10216.43835616439</v>
      </c>
      <c r="R451" s="3">
        <v>28882.191780821919</v>
      </c>
      <c r="S451" s="3">
        <v>39098.630136986307</v>
      </c>
      <c r="T451" s="5">
        <f>IF(J451&lt;&gt;"",M451*N451/365/100*('Cashflow Projection'!$B$2-Investors!J451),0)</f>
        <v>19561.643835616436</v>
      </c>
    </row>
    <row r="452" spans="1:20" x14ac:dyDescent="0.2">
      <c r="A452" s="3" t="s">
        <v>512</v>
      </c>
      <c r="B452" s="3" t="s">
        <v>513</v>
      </c>
      <c r="C452" s="3" t="s">
        <v>514</v>
      </c>
      <c r="D452" s="3" t="s">
        <v>386</v>
      </c>
      <c r="E452" s="3" t="s">
        <v>805</v>
      </c>
      <c r="F452" s="3" t="b">
        <v>0</v>
      </c>
      <c r="G452" s="3" t="b">
        <v>0</v>
      </c>
      <c r="H452" s="3" t="s">
        <v>790</v>
      </c>
      <c r="I452" s="4">
        <v>45279</v>
      </c>
      <c r="J452" s="4">
        <v>45363</v>
      </c>
      <c r="K452" s="4">
        <v>45524</v>
      </c>
      <c r="L452" s="3">
        <v>5</v>
      </c>
      <c r="M452" s="3">
        <v>121489.04</v>
      </c>
      <c r="N452" s="3">
        <v>16</v>
      </c>
      <c r="O452" s="3" t="b">
        <v>0</v>
      </c>
      <c r="P452" s="3" t="b">
        <v>0</v>
      </c>
      <c r="Q452" s="3">
        <v>3075.503368767123</v>
      </c>
      <c r="R452" s="3">
        <v>8574.1306038356161</v>
      </c>
      <c r="S452" s="3">
        <v>11649.63397260274</v>
      </c>
      <c r="T452" s="5">
        <f>IF(J452&lt;&gt;"",M452*N452/365/100*('Cashflow Projection'!$B$2-Investors!J452),0)</f>
        <v>4260.4375671232883</v>
      </c>
    </row>
    <row r="453" spans="1:20" x14ac:dyDescent="0.2">
      <c r="A453" s="3" t="s">
        <v>527</v>
      </c>
      <c r="B453" s="3" t="s">
        <v>528</v>
      </c>
      <c r="C453" s="3" t="s">
        <v>529</v>
      </c>
      <c r="D453" s="3" t="s">
        <v>386</v>
      </c>
      <c r="E453" s="3" t="s">
        <v>805</v>
      </c>
      <c r="F453" s="3" t="b">
        <v>0</v>
      </c>
      <c r="G453" s="3" t="b">
        <v>0</v>
      </c>
      <c r="H453" s="3" t="s">
        <v>790</v>
      </c>
      <c r="I453" s="4">
        <v>45279</v>
      </c>
      <c r="J453" s="4">
        <v>45371</v>
      </c>
      <c r="K453" s="4">
        <v>45524</v>
      </c>
      <c r="L453" s="3">
        <v>9</v>
      </c>
      <c r="M453" s="3">
        <v>311181.51</v>
      </c>
      <c r="N453" s="3">
        <v>16</v>
      </c>
      <c r="O453" s="3" t="b">
        <v>0</v>
      </c>
      <c r="P453" s="3" t="b">
        <v>0</v>
      </c>
      <c r="Q453" s="3">
        <v>8627.8270717808136</v>
      </c>
      <c r="R453" s="3">
        <v>20870.474972054799</v>
      </c>
      <c r="S453" s="3">
        <v>29498.302043835611</v>
      </c>
      <c r="T453" s="5">
        <f>IF(J453&lt;&gt;"",M453*N453/365/100*('Cashflow Projection'!$B$2-Investors!J453),0)</f>
        <v>9821.3999868493156</v>
      </c>
    </row>
    <row r="454" spans="1:20" x14ac:dyDescent="0.2">
      <c r="A454" s="3" t="s">
        <v>806</v>
      </c>
      <c r="B454" s="3" t="s">
        <v>807</v>
      </c>
      <c r="C454" s="3" t="s">
        <v>808</v>
      </c>
      <c r="D454" s="3" t="s">
        <v>386</v>
      </c>
      <c r="E454" s="3" t="s">
        <v>805</v>
      </c>
      <c r="F454" s="3" t="b">
        <v>0</v>
      </c>
      <c r="G454" s="3" t="b">
        <v>0</v>
      </c>
      <c r="H454" s="3" t="s">
        <v>790</v>
      </c>
      <c r="I454" s="4">
        <v>45279</v>
      </c>
      <c r="J454" s="4">
        <v>45363</v>
      </c>
      <c r="K454" s="4">
        <v>45524</v>
      </c>
      <c r="L454" s="3">
        <v>3</v>
      </c>
      <c r="M454" s="3">
        <v>139986.32</v>
      </c>
      <c r="N454" s="3">
        <v>14</v>
      </c>
      <c r="O454" s="3" t="b">
        <v>0</v>
      </c>
      <c r="P454" s="3" t="b">
        <v>0</v>
      </c>
      <c r="Q454" s="3">
        <v>3543.763278904109</v>
      </c>
      <c r="R454" s="3">
        <v>8644.6346652054799</v>
      </c>
      <c r="S454" s="3">
        <v>12188.397944109591</v>
      </c>
      <c r="T454" s="5">
        <f>IF(J454&lt;&gt;"",M454*N454/365/100*('Cashflow Projection'!$B$2-Investors!J454),0)</f>
        <v>4295.4706410958906</v>
      </c>
    </row>
    <row r="455" spans="1:20" x14ac:dyDescent="0.2">
      <c r="A455" s="3" t="s">
        <v>123</v>
      </c>
      <c r="B455" s="3" t="s">
        <v>124</v>
      </c>
      <c r="C455" s="3" t="s">
        <v>125</v>
      </c>
      <c r="D455" s="3" t="s">
        <v>386</v>
      </c>
      <c r="E455" s="3" t="s">
        <v>809</v>
      </c>
      <c r="F455" s="3" t="b">
        <v>0</v>
      </c>
      <c r="G455" s="3" t="b">
        <v>0</v>
      </c>
      <c r="H455" s="3" t="s">
        <v>790</v>
      </c>
      <c r="I455" s="4">
        <v>45279</v>
      </c>
      <c r="J455" s="4">
        <v>45371</v>
      </c>
      <c r="K455" s="4">
        <v>45524</v>
      </c>
      <c r="L455" s="3">
        <v>12</v>
      </c>
      <c r="M455" s="3">
        <v>984516</v>
      </c>
      <c r="N455" s="3">
        <v>18</v>
      </c>
      <c r="O455" s="3" t="b">
        <v>0</v>
      </c>
      <c r="P455" s="3" t="b">
        <v>0</v>
      </c>
      <c r="Q455" s="3">
        <v>27296.717589041069</v>
      </c>
      <c r="R455" s="3">
        <v>74283.755178082196</v>
      </c>
      <c r="S455" s="3">
        <v>101580.4727671233</v>
      </c>
      <c r="T455" s="5">
        <f>IF(J455&lt;&gt;"",M455*N455/365/100*('Cashflow Projection'!$B$2-Investors!J455),0)</f>
        <v>34957.061260273971</v>
      </c>
    </row>
    <row r="456" spans="1:20" x14ac:dyDescent="0.2">
      <c r="A456" s="3" t="s">
        <v>207</v>
      </c>
      <c r="B456" s="3" t="s">
        <v>53</v>
      </c>
      <c r="C456" s="3" t="s">
        <v>54</v>
      </c>
      <c r="D456" s="3" t="s">
        <v>386</v>
      </c>
      <c r="E456" s="3" t="s">
        <v>809</v>
      </c>
      <c r="F456" s="3" t="b">
        <v>0</v>
      </c>
      <c r="G456" s="3" t="b">
        <v>0</v>
      </c>
      <c r="H456" s="3" t="s">
        <v>790</v>
      </c>
      <c r="I456" s="4">
        <v>45159</v>
      </c>
      <c r="J456" s="4">
        <v>45161</v>
      </c>
      <c r="K456" s="4">
        <v>45524</v>
      </c>
      <c r="L456" s="3">
        <v>17</v>
      </c>
      <c r="M456" s="3">
        <v>106997.26</v>
      </c>
      <c r="N456" s="3">
        <v>18</v>
      </c>
      <c r="O456" s="3" t="b">
        <v>0</v>
      </c>
      <c r="P456" s="3" t="b">
        <v>0</v>
      </c>
      <c r="Q456" s="3">
        <v>64.491499178082194</v>
      </c>
      <c r="R456" s="3">
        <v>19153.975255890411</v>
      </c>
      <c r="S456" s="3">
        <v>19218.46675506849</v>
      </c>
      <c r="T456" s="5">
        <f>IF(J456&lt;&gt;"",M456*N456/365/100*('Cashflow Projection'!$B$2-Investors!J456),0)</f>
        <v>14879.947719452053</v>
      </c>
    </row>
    <row r="457" spans="1:20" x14ac:dyDescent="0.2">
      <c r="A457" s="3" t="s">
        <v>443</v>
      </c>
      <c r="B457" s="3" t="s">
        <v>444</v>
      </c>
      <c r="C457" s="3" t="s">
        <v>445</v>
      </c>
      <c r="D457" s="3" t="s">
        <v>386</v>
      </c>
      <c r="E457" s="3" t="s">
        <v>809</v>
      </c>
      <c r="F457" s="3" t="b">
        <v>0</v>
      </c>
      <c r="G457" s="3" t="b">
        <v>0</v>
      </c>
      <c r="H457" s="3" t="s">
        <v>790</v>
      </c>
      <c r="I457" s="4">
        <v>45160</v>
      </c>
      <c r="J457" s="4">
        <v>45273</v>
      </c>
      <c r="K457" s="4">
        <v>45524</v>
      </c>
      <c r="L457" s="3">
        <v>3</v>
      </c>
      <c r="M457" s="3">
        <v>100000</v>
      </c>
      <c r="N457" s="3">
        <v>14</v>
      </c>
      <c r="O457" s="3" t="b">
        <v>0</v>
      </c>
      <c r="P457" s="3" t="b">
        <v>0</v>
      </c>
      <c r="Q457" s="3">
        <v>3405.4794520547889</v>
      </c>
      <c r="R457" s="3">
        <v>9627.3972602739723</v>
      </c>
      <c r="S457" s="3">
        <v>13032.87671232876</v>
      </c>
      <c r="T457" s="5">
        <f>IF(J457&lt;&gt;"",M457*N457/365/100*('Cashflow Projection'!$B$2-Investors!J457),0)</f>
        <v>6520.5479452054806</v>
      </c>
    </row>
    <row r="458" spans="1:20" x14ac:dyDescent="0.2">
      <c r="A458" s="3" t="s">
        <v>326</v>
      </c>
      <c r="B458" s="3" t="s">
        <v>327</v>
      </c>
      <c r="C458" s="3" t="s">
        <v>32</v>
      </c>
      <c r="D458" s="3" t="s">
        <v>386</v>
      </c>
      <c r="E458" s="3" t="s">
        <v>810</v>
      </c>
      <c r="F458" s="3" t="b">
        <v>0</v>
      </c>
      <c r="G458" s="3" t="b">
        <v>0</v>
      </c>
      <c r="H458" s="3" t="s">
        <v>811</v>
      </c>
      <c r="I458" s="4">
        <v>45020</v>
      </c>
      <c r="J458" s="4">
        <v>45129</v>
      </c>
      <c r="K458" s="4">
        <v>45561</v>
      </c>
      <c r="L458" s="3">
        <v>4</v>
      </c>
      <c r="M458" s="3">
        <v>300931.51</v>
      </c>
      <c r="N458" s="3">
        <v>18</v>
      </c>
      <c r="O458" s="3" t="b">
        <v>0</v>
      </c>
      <c r="P458" s="3" t="b">
        <v>0</v>
      </c>
      <c r="Q458" s="3">
        <v>9650.4200672602783</v>
      </c>
      <c r="R458" s="3">
        <v>64110.778678356153</v>
      </c>
      <c r="S458" s="3">
        <v>73761.198745616435</v>
      </c>
      <c r="T458" s="5">
        <f>IF(J458&lt;&gt;"",M458*N458/365/100*('Cashflow Projection'!$B$2-Investors!J458),0)</f>
        <v>46599.038206027391</v>
      </c>
    </row>
    <row r="459" spans="1:20" x14ac:dyDescent="0.2">
      <c r="A459" s="3" t="s">
        <v>117</v>
      </c>
      <c r="B459" s="3" t="s">
        <v>118</v>
      </c>
      <c r="C459" s="3" t="s">
        <v>119</v>
      </c>
      <c r="D459" s="3" t="s">
        <v>386</v>
      </c>
      <c r="E459" s="3" t="s">
        <v>810</v>
      </c>
      <c r="F459" s="3" t="b">
        <v>0</v>
      </c>
      <c r="G459" s="3" t="b">
        <v>0</v>
      </c>
      <c r="H459" s="3" t="s">
        <v>811</v>
      </c>
      <c r="I459" s="4">
        <v>45019</v>
      </c>
      <c r="J459" s="4">
        <v>45161</v>
      </c>
      <c r="K459" s="4">
        <v>45561</v>
      </c>
      <c r="L459" s="3">
        <v>3</v>
      </c>
      <c r="M459" s="3">
        <v>500000</v>
      </c>
      <c r="N459" s="3">
        <v>16</v>
      </c>
      <c r="O459" s="3" t="b">
        <v>0</v>
      </c>
      <c r="P459" s="3" t="b">
        <v>0</v>
      </c>
      <c r="Q459" s="3">
        <v>20999.999999999971</v>
      </c>
      <c r="R459" s="3">
        <v>87671.232876712325</v>
      </c>
      <c r="S459" s="3">
        <v>108671.2328767123</v>
      </c>
      <c r="T459" s="5">
        <f>IF(J459&lt;&gt;"",M459*N459/365/100*('Cashflow Projection'!$B$2-Investors!J459),0)</f>
        <v>61808.219178082189</v>
      </c>
    </row>
    <row r="460" spans="1:20" x14ac:dyDescent="0.2">
      <c r="A460" s="3" t="s">
        <v>419</v>
      </c>
      <c r="B460" s="3" t="s">
        <v>420</v>
      </c>
      <c r="C460" s="3" t="s">
        <v>421</v>
      </c>
      <c r="D460" s="3" t="s">
        <v>386</v>
      </c>
      <c r="E460" s="3" t="s">
        <v>810</v>
      </c>
      <c r="F460" s="3" t="b">
        <v>0</v>
      </c>
      <c r="G460" s="3" t="b">
        <v>0</v>
      </c>
      <c r="H460" s="3" t="s">
        <v>811</v>
      </c>
      <c r="I460" s="4">
        <v>45013</v>
      </c>
      <c r="J460" s="4">
        <v>45161</v>
      </c>
      <c r="K460" s="4">
        <v>45561</v>
      </c>
      <c r="L460" s="3">
        <v>12</v>
      </c>
      <c r="M460" s="3">
        <v>300000</v>
      </c>
      <c r="N460" s="3">
        <v>18</v>
      </c>
      <c r="O460" s="3" t="b">
        <v>0</v>
      </c>
      <c r="P460" s="3" t="b">
        <v>0</v>
      </c>
      <c r="Q460" s="3">
        <v>13105.47945205478</v>
      </c>
      <c r="R460" s="3">
        <v>59178.082191780821</v>
      </c>
      <c r="S460" s="3">
        <v>72283.561643835608</v>
      </c>
      <c r="T460" s="5">
        <f>IF(J460&lt;&gt;"",M460*N460/365/100*('Cashflow Projection'!$B$2-Investors!J460),0)</f>
        <v>41720.547945205479</v>
      </c>
    </row>
    <row r="461" spans="1:20" x14ac:dyDescent="0.2">
      <c r="A461" s="3" t="s">
        <v>412</v>
      </c>
      <c r="B461" s="3" t="s">
        <v>413</v>
      </c>
      <c r="C461" s="3" t="s">
        <v>414</v>
      </c>
      <c r="D461" s="3" t="s">
        <v>386</v>
      </c>
      <c r="E461" s="3" t="s">
        <v>812</v>
      </c>
      <c r="F461" s="3" t="b">
        <v>0</v>
      </c>
      <c r="G461" s="3" t="b">
        <v>0</v>
      </c>
      <c r="H461" s="3" t="s">
        <v>811</v>
      </c>
      <c r="I461" s="4">
        <v>45030</v>
      </c>
      <c r="J461" s="4">
        <v>45129</v>
      </c>
      <c r="K461" s="4">
        <v>45561</v>
      </c>
      <c r="L461" s="3">
        <v>9</v>
      </c>
      <c r="M461" s="3">
        <v>304366.44</v>
      </c>
      <c r="N461" s="3">
        <v>18</v>
      </c>
      <c r="O461" s="3" t="b">
        <v>0</v>
      </c>
      <c r="P461" s="3" t="b">
        <v>0</v>
      </c>
      <c r="Q461" s="3">
        <v>8884.9984060273928</v>
      </c>
      <c r="R461" s="3">
        <v>64842.559929863019</v>
      </c>
      <c r="S461" s="3">
        <v>73727.558335890411</v>
      </c>
      <c r="T461" s="5">
        <f>IF(J461&lt;&gt;"",M461*N461/365/100*('Cashflow Projection'!$B$2-Investors!J461),0)</f>
        <v>47130.934763835619</v>
      </c>
    </row>
    <row r="462" spans="1:20" x14ac:dyDescent="0.2">
      <c r="A462" s="3" t="s">
        <v>419</v>
      </c>
      <c r="B462" s="3" t="s">
        <v>420</v>
      </c>
      <c r="C462" s="3" t="s">
        <v>421</v>
      </c>
      <c r="D462" s="3" t="s">
        <v>386</v>
      </c>
      <c r="E462" s="3" t="s">
        <v>812</v>
      </c>
      <c r="F462" s="3" t="b">
        <v>0</v>
      </c>
      <c r="G462" s="3" t="b">
        <v>0</v>
      </c>
      <c r="H462" s="3" t="s">
        <v>811</v>
      </c>
      <c r="I462" s="4">
        <v>45013</v>
      </c>
      <c r="J462" s="4">
        <v>45161</v>
      </c>
      <c r="K462" s="4">
        <v>45561</v>
      </c>
      <c r="L462" s="3">
        <v>13</v>
      </c>
      <c r="M462" s="3">
        <v>300000</v>
      </c>
      <c r="N462" s="3">
        <v>18</v>
      </c>
      <c r="O462" s="3" t="b">
        <v>0</v>
      </c>
      <c r="P462" s="3" t="b">
        <v>0</v>
      </c>
      <c r="Q462" s="3">
        <v>13105.47945205478</v>
      </c>
      <c r="R462" s="3">
        <v>59178.082191780821</v>
      </c>
      <c r="S462" s="3">
        <v>72283.561643835608</v>
      </c>
      <c r="T462" s="5">
        <f>IF(J462&lt;&gt;"",M462*N462/365/100*('Cashflow Projection'!$B$2-Investors!J462),0)</f>
        <v>41720.547945205479</v>
      </c>
    </row>
    <row r="463" spans="1:20" x14ac:dyDescent="0.2">
      <c r="A463" s="3" t="s">
        <v>355</v>
      </c>
      <c r="B463" s="3" t="s">
        <v>356</v>
      </c>
      <c r="C463" s="3" t="s">
        <v>357</v>
      </c>
      <c r="D463" s="3" t="s">
        <v>386</v>
      </c>
      <c r="E463" s="3" t="s">
        <v>812</v>
      </c>
      <c r="F463" s="3" t="b">
        <v>0</v>
      </c>
      <c r="G463" s="3" t="b">
        <v>0</v>
      </c>
      <c r="H463" s="3" t="s">
        <v>811</v>
      </c>
      <c r="I463" s="4">
        <v>45030</v>
      </c>
      <c r="J463" s="4">
        <v>45129</v>
      </c>
      <c r="K463" s="4">
        <v>45561</v>
      </c>
      <c r="L463" s="3">
        <v>2</v>
      </c>
      <c r="M463" s="3">
        <v>500000</v>
      </c>
      <c r="N463" s="3">
        <v>18</v>
      </c>
      <c r="O463" s="3" t="b">
        <v>0</v>
      </c>
      <c r="P463" s="3" t="b">
        <v>0</v>
      </c>
      <c r="Q463" s="3">
        <v>14595.89041095886</v>
      </c>
      <c r="R463" s="3">
        <v>106520.5479452055</v>
      </c>
      <c r="S463" s="3">
        <v>121116.4383561643</v>
      </c>
      <c r="T463" s="5">
        <f>IF(J463&lt;&gt;"",M463*N463/365/100*('Cashflow Projection'!$B$2-Investors!J463),0)</f>
        <v>77424.657534246566</v>
      </c>
    </row>
    <row r="464" spans="1:20" x14ac:dyDescent="0.2">
      <c r="A464" s="3" t="s">
        <v>419</v>
      </c>
      <c r="B464" s="3" t="s">
        <v>420</v>
      </c>
      <c r="C464" s="3" t="s">
        <v>421</v>
      </c>
      <c r="D464" s="3" t="s">
        <v>386</v>
      </c>
      <c r="E464" s="3" t="s">
        <v>813</v>
      </c>
      <c r="F464" s="3" t="b">
        <v>0</v>
      </c>
      <c r="G464" s="3" t="b">
        <v>0</v>
      </c>
      <c r="H464" s="3" t="s">
        <v>811</v>
      </c>
      <c r="I464" s="4">
        <v>45013</v>
      </c>
      <c r="J464" s="4">
        <v>45161</v>
      </c>
      <c r="K464" s="4">
        <v>45561</v>
      </c>
      <c r="L464" s="3">
        <v>14</v>
      </c>
      <c r="M464" s="3">
        <v>300000</v>
      </c>
      <c r="N464" s="3">
        <v>18</v>
      </c>
      <c r="O464" s="3" t="b">
        <v>0</v>
      </c>
      <c r="P464" s="3" t="b">
        <v>0</v>
      </c>
      <c r="Q464" s="3">
        <v>13105.47945205478</v>
      </c>
      <c r="R464" s="3">
        <v>59178.082191780821</v>
      </c>
      <c r="S464" s="3">
        <v>72283.561643835608</v>
      </c>
      <c r="T464" s="5">
        <f>IF(J464&lt;&gt;"",M464*N464/365/100*('Cashflow Projection'!$B$2-Investors!J464),0)</f>
        <v>41720.547945205479</v>
      </c>
    </row>
    <row r="465" spans="1:20" x14ac:dyDescent="0.2">
      <c r="A465" s="3" t="s">
        <v>359</v>
      </c>
      <c r="B465" s="3" t="s">
        <v>360</v>
      </c>
      <c r="C465" s="3" t="s">
        <v>361</v>
      </c>
      <c r="D465" s="3" t="s">
        <v>386</v>
      </c>
      <c r="E465" s="3" t="s">
        <v>813</v>
      </c>
      <c r="F465" s="3" t="b">
        <v>0</v>
      </c>
      <c r="G465" s="3" t="b">
        <v>0</v>
      </c>
      <c r="H465" s="3" t="s">
        <v>811</v>
      </c>
      <c r="I465" s="4">
        <v>45030</v>
      </c>
      <c r="J465" s="4">
        <v>45129</v>
      </c>
      <c r="K465" s="4">
        <v>45561</v>
      </c>
      <c r="L465" s="3">
        <v>2</v>
      </c>
      <c r="M465" s="3">
        <v>234453.42</v>
      </c>
      <c r="N465" s="3">
        <v>14</v>
      </c>
      <c r="O465" s="3" t="b">
        <v>0</v>
      </c>
      <c r="P465" s="3" t="b">
        <v>0</v>
      </c>
      <c r="Q465" s="3">
        <v>6844.1128495890334</v>
      </c>
      <c r="R465" s="3">
        <v>38848.610524931522</v>
      </c>
      <c r="S465" s="3">
        <v>45692.723374520538</v>
      </c>
      <c r="T465" s="5">
        <f>IF(J465&lt;&gt;"",M465*N465/365/100*('Cashflow Projection'!$B$2-Investors!J465),0)</f>
        <v>28237.184501917814</v>
      </c>
    </row>
    <row r="466" spans="1:20" x14ac:dyDescent="0.2">
      <c r="A466" s="3" t="s">
        <v>355</v>
      </c>
      <c r="B466" s="3" t="s">
        <v>356</v>
      </c>
      <c r="C466" s="3" t="s">
        <v>357</v>
      </c>
      <c r="D466" s="3" t="s">
        <v>386</v>
      </c>
      <c r="E466" s="3" t="s">
        <v>813</v>
      </c>
      <c r="F466" s="3" t="b">
        <v>0</v>
      </c>
      <c r="G466" s="3" t="b">
        <v>0</v>
      </c>
      <c r="H466" s="3" t="s">
        <v>811</v>
      </c>
      <c r="I466" s="4">
        <v>45030</v>
      </c>
      <c r="J466" s="4">
        <v>45161</v>
      </c>
      <c r="K466" s="4">
        <v>45561</v>
      </c>
      <c r="L466" s="3">
        <v>3</v>
      </c>
      <c r="M466" s="3">
        <v>500000</v>
      </c>
      <c r="N466" s="3">
        <v>18</v>
      </c>
      <c r="O466" s="3" t="b">
        <v>0</v>
      </c>
      <c r="P466" s="3" t="b">
        <v>0</v>
      </c>
      <c r="Q466" s="3">
        <v>19417.808219178049</v>
      </c>
      <c r="R466" s="3">
        <v>98630.136986301368</v>
      </c>
      <c r="S466" s="3">
        <v>118047.94520547939</v>
      </c>
      <c r="T466" s="5">
        <f>IF(J466&lt;&gt;"",M466*N466/365/100*('Cashflow Projection'!$B$2-Investors!J466),0)</f>
        <v>69534.246575342462</v>
      </c>
    </row>
    <row r="467" spans="1:20" x14ac:dyDescent="0.2">
      <c r="A467" s="3" t="s">
        <v>44</v>
      </c>
      <c r="B467" s="3" t="s">
        <v>45</v>
      </c>
      <c r="C467" s="3" t="s">
        <v>46</v>
      </c>
      <c r="D467" s="3" t="s">
        <v>386</v>
      </c>
      <c r="E467" s="3" t="s">
        <v>814</v>
      </c>
      <c r="F467" s="3" t="b">
        <v>0</v>
      </c>
      <c r="G467" s="3" t="b">
        <v>0</v>
      </c>
      <c r="H467" s="3" t="s">
        <v>811</v>
      </c>
      <c r="I467" s="4">
        <v>45001</v>
      </c>
      <c r="J467" s="4">
        <v>45107</v>
      </c>
      <c r="K467" s="4">
        <v>45561</v>
      </c>
      <c r="L467" s="3">
        <v>8</v>
      </c>
      <c r="M467" s="3">
        <v>1100000</v>
      </c>
      <c r="N467" s="3">
        <v>18</v>
      </c>
      <c r="O467" s="3" t="b">
        <v>0</v>
      </c>
      <c r="P467" s="3" t="b">
        <v>0</v>
      </c>
      <c r="Q467" s="3">
        <v>33768.493150684983</v>
      </c>
      <c r="R467" s="3">
        <v>246279.4520547945</v>
      </c>
      <c r="S467" s="3">
        <v>280047.94520547951</v>
      </c>
      <c r="T467" s="5">
        <f>IF(J467&lt;&gt;"",M467*N467/365/100*('Cashflow Projection'!$B$2-Investors!J467),0)</f>
        <v>182268.49315068495</v>
      </c>
    </row>
    <row r="468" spans="1:20" x14ac:dyDescent="0.2">
      <c r="A468" s="3" t="s">
        <v>366</v>
      </c>
      <c r="B468" s="3" t="s">
        <v>367</v>
      </c>
      <c r="C468" s="3" t="s">
        <v>368</v>
      </c>
      <c r="D468" s="3" t="s">
        <v>386</v>
      </c>
      <c r="E468" s="3" t="s">
        <v>815</v>
      </c>
      <c r="F468" s="3" t="b">
        <v>0</v>
      </c>
      <c r="G468" s="3" t="b">
        <v>0</v>
      </c>
      <c r="H468" s="3" t="s">
        <v>811</v>
      </c>
      <c r="I468" s="4">
        <v>45019</v>
      </c>
      <c r="J468" s="4">
        <v>45129</v>
      </c>
      <c r="K468" s="4">
        <v>45561</v>
      </c>
      <c r="L468" s="3">
        <v>2</v>
      </c>
      <c r="M468" s="3">
        <v>1100000</v>
      </c>
      <c r="N468" s="3">
        <v>18</v>
      </c>
      <c r="O468" s="3" t="b">
        <v>0</v>
      </c>
      <c r="P468" s="3" t="b">
        <v>0</v>
      </c>
      <c r="Q468" s="3">
        <v>35591.780821917833</v>
      </c>
      <c r="R468" s="3">
        <v>234345.2054794521</v>
      </c>
      <c r="S468" s="3">
        <v>269936.98630136991</v>
      </c>
      <c r="T468" s="5">
        <f>IF(J468&lt;&gt;"",M468*N468/365/100*('Cashflow Projection'!$B$2-Investors!J468),0)</f>
        <v>170334.24657534249</v>
      </c>
    </row>
    <row r="469" spans="1:20" x14ac:dyDescent="0.2">
      <c r="A469" s="3" t="s">
        <v>326</v>
      </c>
      <c r="B469" s="3" t="s">
        <v>327</v>
      </c>
      <c r="C469" s="3" t="s">
        <v>32</v>
      </c>
      <c r="D469" s="3" t="s">
        <v>386</v>
      </c>
      <c r="E469" s="3" t="s">
        <v>816</v>
      </c>
      <c r="F469" s="3" t="b">
        <v>0</v>
      </c>
      <c r="G469" s="3" t="b">
        <v>0</v>
      </c>
      <c r="H469" s="3" t="s">
        <v>811</v>
      </c>
      <c r="I469" s="4">
        <v>45020</v>
      </c>
      <c r="J469" s="4">
        <v>45129</v>
      </c>
      <c r="K469" s="4">
        <v>45561</v>
      </c>
      <c r="L469" s="3">
        <v>5</v>
      </c>
      <c r="M469" s="3">
        <v>1100000</v>
      </c>
      <c r="N469" s="3">
        <v>18</v>
      </c>
      <c r="O469" s="3" t="b">
        <v>0</v>
      </c>
      <c r="P469" s="3" t="b">
        <v>0</v>
      </c>
      <c r="Q469" s="3">
        <v>35275.342465753449</v>
      </c>
      <c r="R469" s="3">
        <v>234345.2054794521</v>
      </c>
      <c r="S469" s="3">
        <v>269620.54794520547</v>
      </c>
      <c r="T469" s="5">
        <f>IF(J469&lt;&gt;"",M469*N469/365/100*('Cashflow Projection'!$B$2-Investors!J469),0)</f>
        <v>170334.24657534249</v>
      </c>
    </row>
    <row r="470" spans="1:20" x14ac:dyDescent="0.2">
      <c r="A470" s="3" t="s">
        <v>179</v>
      </c>
      <c r="B470" s="3" t="s">
        <v>180</v>
      </c>
      <c r="C470" s="3" t="s">
        <v>181</v>
      </c>
      <c r="D470" s="3" t="s">
        <v>386</v>
      </c>
      <c r="E470" s="3" t="s">
        <v>817</v>
      </c>
      <c r="F470" s="3" t="b">
        <v>0</v>
      </c>
      <c r="G470" s="3" t="b">
        <v>0</v>
      </c>
      <c r="H470" s="3" t="s">
        <v>811</v>
      </c>
      <c r="I470" s="4">
        <v>45027</v>
      </c>
      <c r="J470" s="4">
        <v>45129</v>
      </c>
      <c r="K470" s="4">
        <v>45561</v>
      </c>
      <c r="L470" s="3">
        <v>4</v>
      </c>
      <c r="M470" s="3">
        <v>1100000</v>
      </c>
      <c r="N470" s="3">
        <v>18</v>
      </c>
      <c r="O470" s="3" t="b">
        <v>0</v>
      </c>
      <c r="P470" s="3" t="b">
        <v>0</v>
      </c>
      <c r="Q470" s="3">
        <v>33060.273972602758</v>
      </c>
      <c r="R470" s="3">
        <v>234345.2054794521</v>
      </c>
      <c r="S470" s="3">
        <v>267405.47945205477</v>
      </c>
      <c r="T470" s="5">
        <f>IF(J470&lt;&gt;"",M470*N470/365/100*('Cashflow Projection'!$B$2-Investors!J470),0)</f>
        <v>170334.24657534249</v>
      </c>
    </row>
    <row r="471" spans="1:20" x14ac:dyDescent="0.2">
      <c r="A471" s="3" t="s">
        <v>78</v>
      </c>
      <c r="B471" s="3" t="s">
        <v>79</v>
      </c>
      <c r="C471" s="3" t="s">
        <v>80</v>
      </c>
      <c r="D471" s="3" t="s">
        <v>386</v>
      </c>
      <c r="E471" s="3" t="s">
        <v>818</v>
      </c>
      <c r="F471" s="3" t="b">
        <v>0</v>
      </c>
      <c r="G471" s="3" t="b">
        <v>0</v>
      </c>
      <c r="H471" s="3" t="s">
        <v>811</v>
      </c>
      <c r="I471" s="4">
        <v>45042</v>
      </c>
      <c r="J471" s="4">
        <v>45129</v>
      </c>
      <c r="K471" s="4">
        <v>45561</v>
      </c>
      <c r="L471" s="3">
        <v>5</v>
      </c>
      <c r="M471" s="3">
        <v>200000</v>
      </c>
      <c r="N471" s="3">
        <v>18</v>
      </c>
      <c r="O471" s="3" t="b">
        <v>0</v>
      </c>
      <c r="P471" s="3" t="b">
        <v>0</v>
      </c>
      <c r="Q471" s="3">
        <v>5147.9452054794483</v>
      </c>
      <c r="R471" s="3">
        <v>42608.219178082189</v>
      </c>
      <c r="S471" s="3">
        <v>47756.164383561627</v>
      </c>
      <c r="T471" s="5">
        <f>IF(J471&lt;&gt;"",M471*N471/365/100*('Cashflow Projection'!$B$2-Investors!J471),0)</f>
        <v>30969.863013698628</v>
      </c>
    </row>
    <row r="472" spans="1:20" x14ac:dyDescent="0.2">
      <c r="A472" s="3" t="s">
        <v>819</v>
      </c>
      <c r="B472" s="3" t="s">
        <v>820</v>
      </c>
      <c r="C472" s="3" t="s">
        <v>397</v>
      </c>
      <c r="D472" s="3" t="s">
        <v>386</v>
      </c>
      <c r="E472" s="3" t="s">
        <v>818</v>
      </c>
      <c r="F472" s="3" t="b">
        <v>0</v>
      </c>
      <c r="G472" s="3" t="b">
        <v>0</v>
      </c>
      <c r="H472" s="3" t="s">
        <v>811</v>
      </c>
      <c r="I472" s="4">
        <v>45033</v>
      </c>
      <c r="J472" s="4">
        <v>45168</v>
      </c>
      <c r="K472" s="4">
        <v>45561</v>
      </c>
      <c r="L472" s="3">
        <v>2</v>
      </c>
      <c r="M472" s="3">
        <v>900000</v>
      </c>
      <c r="N472" s="3">
        <v>16</v>
      </c>
      <c r="O472" s="3" t="b">
        <v>0</v>
      </c>
      <c r="P472" s="3" t="b">
        <v>0</v>
      </c>
      <c r="Q472" s="3">
        <v>36073.97260273969</v>
      </c>
      <c r="R472" s="3">
        <v>155046.57534246569</v>
      </c>
      <c r="S472" s="3">
        <v>191120.54794520541</v>
      </c>
      <c r="T472" s="5">
        <f>IF(J472&lt;&gt;"",M472*N472/365/100*('Cashflow Projection'!$B$2-Investors!J472),0)</f>
        <v>108493.1506849315</v>
      </c>
    </row>
    <row r="473" spans="1:20" x14ac:dyDescent="0.2">
      <c r="A473" s="3" t="s">
        <v>530</v>
      </c>
      <c r="B473" s="3" t="s">
        <v>138</v>
      </c>
      <c r="C473" s="3" t="s">
        <v>531</v>
      </c>
      <c r="D473" s="3" t="s">
        <v>386</v>
      </c>
      <c r="E473" s="3" t="s">
        <v>821</v>
      </c>
      <c r="F473" s="3" t="b">
        <v>1</v>
      </c>
      <c r="G473" s="3" t="b">
        <v>1</v>
      </c>
      <c r="H473" s="3" t="s">
        <v>822</v>
      </c>
      <c r="I473" s="4">
        <v>44739</v>
      </c>
      <c r="J473" s="4">
        <v>44783</v>
      </c>
      <c r="K473" s="4">
        <v>45310</v>
      </c>
      <c r="L473" s="3">
        <v>1</v>
      </c>
      <c r="M473" s="3">
        <v>100000</v>
      </c>
      <c r="N473" s="3">
        <v>14</v>
      </c>
      <c r="O473" s="3" t="b">
        <v>0</v>
      </c>
      <c r="P473" s="3" t="b">
        <v>0</v>
      </c>
      <c r="Q473" s="3">
        <v>924.65753424657476</v>
      </c>
      <c r="R473" s="3">
        <v>20213.69863013698</v>
      </c>
      <c r="S473" s="3">
        <v>21138.35616438356</v>
      </c>
      <c r="T473" s="5">
        <f>IF(J473&lt;&gt;"",M473*N473/365/100*('Cashflow Projection'!$B$2-Investors!J473),0)</f>
        <v>25315.068493150688</v>
      </c>
    </row>
    <row r="474" spans="1:20" x14ac:dyDescent="0.2">
      <c r="A474" s="3" t="s">
        <v>823</v>
      </c>
      <c r="B474" s="3" t="s">
        <v>824</v>
      </c>
      <c r="C474" s="3" t="s">
        <v>825</v>
      </c>
      <c r="D474" s="3" t="s">
        <v>386</v>
      </c>
      <c r="E474" s="3" t="s">
        <v>821</v>
      </c>
      <c r="F474" s="3" t="b">
        <v>1</v>
      </c>
      <c r="G474" s="3" t="b">
        <v>1</v>
      </c>
      <c r="H474" s="3" t="s">
        <v>822</v>
      </c>
      <c r="I474" s="4">
        <v>44757</v>
      </c>
      <c r="J474" s="4">
        <v>44783</v>
      </c>
      <c r="K474" s="4">
        <v>45310</v>
      </c>
      <c r="L474" s="3">
        <v>1</v>
      </c>
      <c r="M474" s="3">
        <v>100000</v>
      </c>
      <c r="N474" s="3">
        <v>14</v>
      </c>
      <c r="O474" s="3" t="b">
        <v>0</v>
      </c>
      <c r="P474" s="3" t="b">
        <v>0</v>
      </c>
      <c r="Q474" s="3">
        <v>554.7945205479449</v>
      </c>
      <c r="R474" s="3">
        <v>20213.69863013698</v>
      </c>
      <c r="S474" s="3">
        <v>20768.493150684932</v>
      </c>
      <c r="T474" s="5">
        <f>IF(J474&lt;&gt;"",M474*N474/365/100*('Cashflow Projection'!$B$2-Investors!J474),0)</f>
        <v>25315.068493150688</v>
      </c>
    </row>
    <row r="475" spans="1:20" x14ac:dyDescent="0.2">
      <c r="A475" s="3" t="s">
        <v>145</v>
      </c>
      <c r="B475" s="3" t="s">
        <v>146</v>
      </c>
      <c r="C475" s="3" t="s">
        <v>147</v>
      </c>
      <c r="D475" s="3" t="s">
        <v>386</v>
      </c>
      <c r="E475" s="3" t="s">
        <v>821</v>
      </c>
      <c r="F475" s="3" t="b">
        <v>1</v>
      </c>
      <c r="G475" s="3" t="b">
        <v>1</v>
      </c>
      <c r="H475" s="3" t="s">
        <v>822</v>
      </c>
      <c r="I475" s="4">
        <v>44699</v>
      </c>
      <c r="J475" s="4">
        <v>44777</v>
      </c>
      <c r="K475" s="4">
        <v>45310</v>
      </c>
      <c r="L475" s="3">
        <v>5</v>
      </c>
      <c r="M475" s="3">
        <v>187141.65</v>
      </c>
      <c r="N475" s="3">
        <v>14</v>
      </c>
      <c r="O475" s="3" t="b">
        <v>0</v>
      </c>
      <c r="P475" s="3" t="b">
        <v>0</v>
      </c>
      <c r="Q475" s="3">
        <v>2981.448478767124</v>
      </c>
      <c r="R475" s="3">
        <v>38258.931295890412</v>
      </c>
      <c r="S475" s="3">
        <v>41240.379774657536</v>
      </c>
      <c r="T475" s="5">
        <f>IF(J475&lt;&gt;"",M475*N475/365/100*('Cashflow Projection'!$B$2-Investors!J475),0)</f>
        <v>47805.719030136985</v>
      </c>
    </row>
    <row r="476" spans="1:20" x14ac:dyDescent="0.2">
      <c r="A476" s="3" t="s">
        <v>826</v>
      </c>
      <c r="B476" s="3" t="s">
        <v>827</v>
      </c>
      <c r="C476" s="3" t="s">
        <v>828</v>
      </c>
      <c r="D476" s="3" t="s">
        <v>386</v>
      </c>
      <c r="E476" s="3" t="s">
        <v>821</v>
      </c>
      <c r="F476" s="3" t="b">
        <v>1</v>
      </c>
      <c r="G476" s="3" t="b">
        <v>1</v>
      </c>
      <c r="H476" s="3" t="s">
        <v>822</v>
      </c>
      <c r="I476" s="4">
        <v>44708</v>
      </c>
      <c r="J476" s="4">
        <v>44743</v>
      </c>
      <c r="K476" s="4">
        <v>45310</v>
      </c>
      <c r="L476" s="3">
        <v>2</v>
      </c>
      <c r="M476" s="3">
        <v>300000</v>
      </c>
      <c r="N476" s="3">
        <v>18</v>
      </c>
      <c r="O476" s="3" t="b">
        <v>0</v>
      </c>
      <c r="P476" s="3" t="b">
        <v>0</v>
      </c>
      <c r="Q476" s="3">
        <v>2141.095890410958</v>
      </c>
      <c r="R476" s="3">
        <v>83884.931506849316</v>
      </c>
      <c r="S476" s="3">
        <v>86026.027397260274</v>
      </c>
      <c r="T476" s="5">
        <f>IF(J476&lt;&gt;"",M476*N476/365/100*('Cashflow Projection'!$B$2-Investors!J476),0)</f>
        <v>103561.64383561644</v>
      </c>
    </row>
    <row r="477" spans="1:20" x14ac:dyDescent="0.2">
      <c r="A477" s="3" t="s">
        <v>574</v>
      </c>
      <c r="B477" s="3" t="s">
        <v>327</v>
      </c>
      <c r="C477" s="3" t="s">
        <v>32</v>
      </c>
      <c r="D477" s="3" t="s">
        <v>386</v>
      </c>
      <c r="E477" s="3" t="s">
        <v>821</v>
      </c>
      <c r="F477" s="3" t="b">
        <v>1</v>
      </c>
      <c r="G477" s="3" t="b">
        <v>1</v>
      </c>
      <c r="H477" s="3" t="s">
        <v>822</v>
      </c>
      <c r="I477" s="4">
        <v>44726</v>
      </c>
      <c r="J477" s="4">
        <v>44763</v>
      </c>
      <c r="K477" s="4">
        <v>45310</v>
      </c>
      <c r="L477" s="3">
        <v>4</v>
      </c>
      <c r="M477" s="3">
        <v>281440.65999999997</v>
      </c>
      <c r="N477" s="3">
        <v>18</v>
      </c>
      <c r="O477" s="3" t="b">
        <v>0</v>
      </c>
      <c r="P477" s="3" t="b">
        <v>0</v>
      </c>
      <c r="Q477" s="3">
        <v>2139.72008630137</v>
      </c>
      <c r="R477" s="3">
        <v>75919.581872876719</v>
      </c>
      <c r="S477" s="3">
        <v>78059.30195917809</v>
      </c>
      <c r="T477" s="5">
        <f>IF(J477&lt;&gt;"",M477*N477/365/100*('Cashflow Projection'!$B$2-Investors!J477),0)</f>
        <v>94379.004887671239</v>
      </c>
    </row>
    <row r="478" spans="1:20" x14ac:dyDescent="0.2">
      <c r="A478" s="3" t="s">
        <v>574</v>
      </c>
      <c r="B478" s="3" t="s">
        <v>327</v>
      </c>
      <c r="C478" s="3" t="s">
        <v>32</v>
      </c>
      <c r="D478" s="3" t="s">
        <v>386</v>
      </c>
      <c r="E478" s="3" t="s">
        <v>829</v>
      </c>
      <c r="F478" s="3" t="b">
        <v>1</v>
      </c>
      <c r="G478" s="3" t="b">
        <v>1</v>
      </c>
      <c r="H478" s="3" t="s">
        <v>822</v>
      </c>
      <c r="I478" s="4">
        <v>44726</v>
      </c>
      <c r="J478" s="4">
        <v>44770</v>
      </c>
      <c r="K478" s="4">
        <v>45420</v>
      </c>
      <c r="L478" s="3">
        <v>5</v>
      </c>
      <c r="M478" s="3">
        <v>1000000</v>
      </c>
      <c r="N478" s="3">
        <v>18</v>
      </c>
      <c r="O478" s="3" t="b">
        <v>0</v>
      </c>
      <c r="P478" s="3" t="b">
        <v>0</v>
      </c>
      <c r="Q478" s="3">
        <v>9041.0958904109648</v>
      </c>
      <c r="R478" s="3">
        <v>320547.94520547951</v>
      </c>
      <c r="S478" s="3">
        <v>329589.0410958904</v>
      </c>
      <c r="T478" s="5">
        <f>IF(J478&lt;&gt;"",M478*N478/365/100*('Cashflow Projection'!$B$2-Investors!J478),0)</f>
        <v>331890.41095890407</v>
      </c>
    </row>
    <row r="479" spans="1:20" x14ac:dyDescent="0.2">
      <c r="A479" s="3" t="s">
        <v>830</v>
      </c>
      <c r="B479" s="3" t="s">
        <v>831</v>
      </c>
      <c r="C479" s="3" t="s">
        <v>832</v>
      </c>
      <c r="D479" s="3" t="s">
        <v>386</v>
      </c>
      <c r="E479" s="3" t="s">
        <v>833</v>
      </c>
      <c r="F479" s="3" t="b">
        <v>1</v>
      </c>
      <c r="G479" s="3" t="b">
        <v>1</v>
      </c>
      <c r="H479" s="3" t="s">
        <v>822</v>
      </c>
      <c r="I479" s="4">
        <v>44719</v>
      </c>
      <c r="J479" s="4">
        <v>44763</v>
      </c>
      <c r="K479" s="4">
        <v>45308</v>
      </c>
      <c r="L479" s="3">
        <v>1</v>
      </c>
      <c r="M479" s="3">
        <v>250000</v>
      </c>
      <c r="N479" s="3">
        <v>18</v>
      </c>
      <c r="O479" s="3" t="b">
        <v>0</v>
      </c>
      <c r="P479" s="3" t="b">
        <v>0</v>
      </c>
      <c r="Q479" s="3">
        <v>2260.2739726027412</v>
      </c>
      <c r="R479" s="3">
        <v>67191.780821917811</v>
      </c>
      <c r="S479" s="3">
        <v>69452.054794520547</v>
      </c>
      <c r="T479" s="5">
        <f>IF(J479&lt;&gt;"",M479*N479/365/100*('Cashflow Projection'!$B$2-Investors!J479),0)</f>
        <v>83835.616438356155</v>
      </c>
    </row>
    <row r="480" spans="1:20" x14ac:dyDescent="0.2">
      <c r="A480" s="3" t="s">
        <v>498</v>
      </c>
      <c r="B480" s="3" t="s">
        <v>499</v>
      </c>
      <c r="C480" s="3" t="s">
        <v>500</v>
      </c>
      <c r="D480" s="3" t="s">
        <v>386</v>
      </c>
      <c r="E480" s="3" t="s">
        <v>833</v>
      </c>
      <c r="F480" s="3" t="b">
        <v>1</v>
      </c>
      <c r="G480" s="3" t="b">
        <v>1</v>
      </c>
      <c r="H480" s="3" t="s">
        <v>822</v>
      </c>
      <c r="I480" s="4">
        <v>44706</v>
      </c>
      <c r="J480" s="4">
        <v>44743</v>
      </c>
      <c r="K480" s="4">
        <v>45272</v>
      </c>
      <c r="L480" s="3">
        <v>12</v>
      </c>
      <c r="M480" s="3">
        <v>700980.33</v>
      </c>
      <c r="N480" s="3">
        <v>18</v>
      </c>
      <c r="O480" s="3" t="b">
        <v>1</v>
      </c>
      <c r="P480" s="3" t="b">
        <v>0</v>
      </c>
      <c r="Q480" s="3">
        <v>5271.7561804109582</v>
      </c>
      <c r="R480" s="3">
        <v>182869.44389753419</v>
      </c>
      <c r="S480" s="3">
        <v>188141.20007794519</v>
      </c>
      <c r="T480" s="5">
        <f>IF(J480&lt;&gt;"",M480*N480/365/100*('Cashflow Projection'!$B$2-Investors!J480),0)</f>
        <v>241982.25090410959</v>
      </c>
    </row>
    <row r="481" spans="1:20" x14ac:dyDescent="0.2">
      <c r="A481" s="3" t="s">
        <v>304</v>
      </c>
      <c r="B481" s="3" t="s">
        <v>305</v>
      </c>
      <c r="C481" s="3" t="s">
        <v>306</v>
      </c>
      <c r="D481" s="3" t="s">
        <v>386</v>
      </c>
      <c r="E481" s="3" t="s">
        <v>834</v>
      </c>
      <c r="F481" s="3" t="b">
        <v>1</v>
      </c>
      <c r="G481" s="3" t="b">
        <v>1</v>
      </c>
      <c r="H481" s="3" t="s">
        <v>822</v>
      </c>
      <c r="I481" s="4">
        <v>44713</v>
      </c>
      <c r="J481" s="4">
        <v>44743</v>
      </c>
      <c r="K481" s="4">
        <v>45369</v>
      </c>
      <c r="L481" s="3">
        <v>4</v>
      </c>
      <c r="M481" s="3">
        <v>500000</v>
      </c>
      <c r="N481" s="3">
        <v>18</v>
      </c>
      <c r="O481" s="3" t="b">
        <v>0</v>
      </c>
      <c r="P481" s="3" t="b">
        <v>0</v>
      </c>
      <c r="Q481" s="3">
        <v>3082.1917808219191</v>
      </c>
      <c r="R481" s="3">
        <v>154356.16438356161</v>
      </c>
      <c r="S481" s="3">
        <v>157438.35616438359</v>
      </c>
      <c r="T481" s="5">
        <f>IF(J481&lt;&gt;"",M481*N481/365/100*('Cashflow Projection'!$B$2-Investors!J481),0)</f>
        <v>172602.73972602739</v>
      </c>
    </row>
    <row r="482" spans="1:20" x14ac:dyDescent="0.2">
      <c r="A482" s="3" t="s">
        <v>505</v>
      </c>
      <c r="B482" s="3" t="s">
        <v>506</v>
      </c>
      <c r="C482" s="3" t="s">
        <v>507</v>
      </c>
      <c r="D482" s="3" t="s">
        <v>386</v>
      </c>
      <c r="E482" s="3" t="s">
        <v>834</v>
      </c>
      <c r="F482" s="3" t="b">
        <v>1</v>
      </c>
      <c r="G482" s="3" t="b">
        <v>1</v>
      </c>
      <c r="H482" s="3" t="s">
        <v>822</v>
      </c>
      <c r="I482" s="4">
        <v>44706</v>
      </c>
      <c r="J482" s="4">
        <v>44743</v>
      </c>
      <c r="K482" s="4">
        <v>45369</v>
      </c>
      <c r="L482" s="3">
        <v>12</v>
      </c>
      <c r="M482" s="3">
        <v>500000</v>
      </c>
      <c r="N482" s="3">
        <v>18</v>
      </c>
      <c r="O482" s="3" t="b">
        <v>0</v>
      </c>
      <c r="P482" s="3" t="b">
        <v>0</v>
      </c>
      <c r="Q482" s="3">
        <v>3760.2739726027421</v>
      </c>
      <c r="R482" s="3">
        <v>154356.16438356161</v>
      </c>
      <c r="S482" s="3">
        <v>158116.43835616441</v>
      </c>
      <c r="T482" s="5">
        <f>IF(J482&lt;&gt;"",M482*N482/365/100*('Cashflow Projection'!$B$2-Investors!J482),0)</f>
        <v>172602.73972602739</v>
      </c>
    </row>
    <row r="483" spans="1:20" x14ac:dyDescent="0.2">
      <c r="A483" s="3" t="s">
        <v>304</v>
      </c>
      <c r="B483" s="3" t="s">
        <v>305</v>
      </c>
      <c r="C483" s="3" t="s">
        <v>306</v>
      </c>
      <c r="D483" s="3" t="s">
        <v>386</v>
      </c>
      <c r="E483" s="3" t="s">
        <v>835</v>
      </c>
      <c r="F483" s="3" t="b">
        <v>1</v>
      </c>
      <c r="G483" s="3" t="b">
        <v>1</v>
      </c>
      <c r="H483" s="3" t="s">
        <v>822</v>
      </c>
      <c r="I483" s="4">
        <v>44713</v>
      </c>
      <c r="J483" s="4">
        <v>44743</v>
      </c>
      <c r="K483" s="4">
        <v>45308</v>
      </c>
      <c r="L483" s="3">
        <v>5</v>
      </c>
      <c r="M483" s="3">
        <v>1000000</v>
      </c>
      <c r="N483" s="3">
        <v>18</v>
      </c>
      <c r="O483" s="3" t="b">
        <v>0</v>
      </c>
      <c r="P483" s="3" t="b">
        <v>0</v>
      </c>
      <c r="Q483" s="3">
        <v>6164.3835616438373</v>
      </c>
      <c r="R483" s="3">
        <v>278630.1369863014</v>
      </c>
      <c r="S483" s="3">
        <v>284794.52054794523</v>
      </c>
      <c r="T483" s="5">
        <f>IF(J483&lt;&gt;"",M483*N483/365/100*('Cashflow Projection'!$B$2-Investors!J483),0)</f>
        <v>345205.47945205477</v>
      </c>
    </row>
    <row r="484" spans="1:20" x14ac:dyDescent="0.2">
      <c r="A484" s="3" t="s">
        <v>836</v>
      </c>
      <c r="B484" s="3" t="s">
        <v>837</v>
      </c>
      <c r="C484" s="3" t="s">
        <v>306</v>
      </c>
      <c r="D484" s="3" t="s">
        <v>386</v>
      </c>
      <c r="E484" s="3" t="s">
        <v>838</v>
      </c>
      <c r="F484" s="3" t="b">
        <v>1</v>
      </c>
      <c r="G484" s="3" t="b">
        <v>1</v>
      </c>
      <c r="H484" s="3" t="s">
        <v>822</v>
      </c>
      <c r="I484" s="4">
        <v>44727</v>
      </c>
      <c r="J484" s="4">
        <v>44770</v>
      </c>
      <c r="K484" s="4">
        <v>45327</v>
      </c>
      <c r="L484" s="3">
        <v>1</v>
      </c>
      <c r="M484" s="3">
        <v>1000000</v>
      </c>
      <c r="N484" s="3">
        <v>18</v>
      </c>
      <c r="O484" s="3" t="b">
        <v>0</v>
      </c>
      <c r="P484" s="3" t="b">
        <v>0</v>
      </c>
      <c r="Q484" s="3">
        <v>8835.61643835617</v>
      </c>
      <c r="R484" s="3">
        <v>274684.9315068493</v>
      </c>
      <c r="S484" s="3">
        <v>283520.54794520547</v>
      </c>
      <c r="T484" s="5">
        <f>IF(J484&lt;&gt;"",M484*N484/365/100*('Cashflow Projection'!$B$2-Investors!J484),0)</f>
        <v>331890.41095890407</v>
      </c>
    </row>
    <row r="485" spans="1:20" x14ac:dyDescent="0.2">
      <c r="A485" s="3" t="s">
        <v>304</v>
      </c>
      <c r="B485" s="3" t="s">
        <v>305</v>
      </c>
      <c r="C485" s="3" t="s">
        <v>306</v>
      </c>
      <c r="D485" s="3" t="s">
        <v>386</v>
      </c>
      <c r="E485" s="3" t="s">
        <v>839</v>
      </c>
      <c r="F485" s="3" t="b">
        <v>1</v>
      </c>
      <c r="G485" s="3" t="b">
        <v>1</v>
      </c>
      <c r="H485" s="3" t="s">
        <v>822</v>
      </c>
      <c r="I485" s="4">
        <v>44713</v>
      </c>
      <c r="J485" s="4">
        <v>44743</v>
      </c>
      <c r="K485" s="4">
        <v>45323</v>
      </c>
      <c r="L485" s="3">
        <v>6</v>
      </c>
      <c r="M485" s="3">
        <v>250000</v>
      </c>
      <c r="N485" s="3">
        <v>18</v>
      </c>
      <c r="O485" s="3" t="b">
        <v>1</v>
      </c>
      <c r="P485" s="3" t="b">
        <v>0</v>
      </c>
      <c r="Q485" s="3">
        <v>1541.0958904109591</v>
      </c>
      <c r="R485" s="3">
        <v>71506.849315068495</v>
      </c>
      <c r="S485" s="3">
        <v>73047.945205479453</v>
      </c>
      <c r="T485" s="5">
        <f>IF(J485&lt;&gt;"",M485*N485/365/100*('Cashflow Projection'!$B$2-Investors!J485),0)</f>
        <v>86301.369863013693</v>
      </c>
    </row>
    <row r="486" spans="1:20" x14ac:dyDescent="0.2">
      <c r="A486" s="3" t="s">
        <v>830</v>
      </c>
      <c r="B486" s="3" t="s">
        <v>831</v>
      </c>
      <c r="C486" s="3" t="s">
        <v>832</v>
      </c>
      <c r="D486" s="3" t="s">
        <v>386</v>
      </c>
      <c r="E486" s="3" t="s">
        <v>839</v>
      </c>
      <c r="F486" s="3" t="b">
        <v>1</v>
      </c>
      <c r="G486" s="3" t="b">
        <v>1</v>
      </c>
      <c r="H486" s="3" t="s">
        <v>822</v>
      </c>
      <c r="I486" s="4">
        <v>44719</v>
      </c>
      <c r="J486" s="4">
        <v>44757</v>
      </c>
      <c r="K486" s="4">
        <v>45336</v>
      </c>
      <c r="L486" s="3">
        <v>2</v>
      </c>
      <c r="M486" s="3">
        <v>750000</v>
      </c>
      <c r="N486" s="3">
        <v>18</v>
      </c>
      <c r="O486" s="3" t="b">
        <v>0</v>
      </c>
      <c r="P486" s="3" t="b">
        <v>0</v>
      </c>
      <c r="Q486" s="3">
        <v>5856.1643835616487</v>
      </c>
      <c r="R486" s="3">
        <v>214150.68493150681</v>
      </c>
      <c r="S486" s="3">
        <v>220006.84931506851</v>
      </c>
      <c r="T486" s="5">
        <f>IF(J486&lt;&gt;"",M486*N486/365/100*('Cashflow Projection'!$B$2-Investors!J486),0)</f>
        <v>253726.02739726027</v>
      </c>
    </row>
    <row r="487" spans="1:20" x14ac:dyDescent="0.2">
      <c r="A487" s="3" t="s">
        <v>840</v>
      </c>
      <c r="B487" s="3" t="s">
        <v>841</v>
      </c>
      <c r="C487" s="3" t="s">
        <v>842</v>
      </c>
      <c r="D487" s="3" t="s">
        <v>386</v>
      </c>
      <c r="E487" s="3" t="s">
        <v>843</v>
      </c>
      <c r="F487" s="3" t="b">
        <v>1</v>
      </c>
      <c r="G487" s="3" t="b">
        <v>1</v>
      </c>
      <c r="H487" s="3" t="s">
        <v>822</v>
      </c>
      <c r="I487" s="4">
        <v>44719</v>
      </c>
      <c r="J487" s="4">
        <v>44763</v>
      </c>
      <c r="K487" s="4">
        <v>45314</v>
      </c>
      <c r="L487" s="3">
        <v>1</v>
      </c>
      <c r="M487" s="3">
        <v>1000000</v>
      </c>
      <c r="N487" s="3">
        <v>18</v>
      </c>
      <c r="O487" s="3" t="b">
        <v>0</v>
      </c>
      <c r="P487" s="3" t="b">
        <v>0</v>
      </c>
      <c r="Q487" s="3">
        <v>9041.0958904109648</v>
      </c>
      <c r="R487" s="3">
        <v>271726.0273972603</v>
      </c>
      <c r="S487" s="3">
        <v>280767.12328767119</v>
      </c>
      <c r="T487" s="5">
        <f>IF(J487&lt;&gt;"",M487*N487/365/100*('Cashflow Projection'!$B$2-Investors!J487),0)</f>
        <v>335342.46575342462</v>
      </c>
    </row>
    <row r="488" spans="1:20" x14ac:dyDescent="0.2">
      <c r="A488" s="3" t="s">
        <v>304</v>
      </c>
      <c r="B488" s="3" t="s">
        <v>305</v>
      </c>
      <c r="C488" s="3" t="s">
        <v>306</v>
      </c>
      <c r="D488" s="3" t="s">
        <v>386</v>
      </c>
      <c r="E488" s="3" t="s">
        <v>844</v>
      </c>
      <c r="F488" s="3" t="b">
        <v>1</v>
      </c>
      <c r="G488" s="3" t="b">
        <v>0</v>
      </c>
      <c r="H488" s="3" t="s">
        <v>822</v>
      </c>
      <c r="I488" s="4">
        <v>44713</v>
      </c>
      <c r="J488" s="4">
        <v>44743</v>
      </c>
      <c r="K488" s="4">
        <v>45449</v>
      </c>
      <c r="L488" s="3">
        <v>7</v>
      </c>
      <c r="M488" s="3">
        <v>1000000</v>
      </c>
      <c r="N488" s="3">
        <v>18</v>
      </c>
      <c r="O488" s="3" t="b">
        <v>0</v>
      </c>
      <c r="P488" s="3" t="b">
        <v>0</v>
      </c>
      <c r="Q488" s="3">
        <v>6164.3835616438373</v>
      </c>
      <c r="R488" s="3">
        <v>348164.38356164377</v>
      </c>
      <c r="S488" s="3">
        <v>354328.76712328772</v>
      </c>
      <c r="T488" s="5">
        <f>IF(J488&lt;&gt;"",M488*N488/365/100*('Cashflow Projection'!$B$2-Investors!J488),0)</f>
        <v>345205.47945205477</v>
      </c>
    </row>
    <row r="489" spans="1:20" x14ac:dyDescent="0.2">
      <c r="A489" s="3" t="s">
        <v>845</v>
      </c>
      <c r="B489" s="3" t="s">
        <v>846</v>
      </c>
      <c r="C489" s="3" t="s">
        <v>847</v>
      </c>
      <c r="D489" s="3" t="s">
        <v>386</v>
      </c>
      <c r="E489" s="3" t="s">
        <v>848</v>
      </c>
      <c r="F489" s="3" t="b">
        <v>0</v>
      </c>
      <c r="G489" s="3" t="b">
        <v>0</v>
      </c>
      <c r="H489" s="3" t="s">
        <v>822</v>
      </c>
      <c r="I489" s="4">
        <v>44719</v>
      </c>
      <c r="J489" s="4">
        <v>44763</v>
      </c>
      <c r="K489" s="4">
        <v>45464</v>
      </c>
      <c r="L489" s="3">
        <v>1</v>
      </c>
      <c r="M489" s="3">
        <v>1000000</v>
      </c>
      <c r="N489" s="3">
        <v>18</v>
      </c>
      <c r="O489" s="3" t="b">
        <v>0</v>
      </c>
      <c r="P489" s="3" t="b">
        <v>0</v>
      </c>
      <c r="Q489" s="3">
        <v>9041.0958904109648</v>
      </c>
      <c r="R489" s="3">
        <v>345698.63013698632</v>
      </c>
      <c r="S489" s="3">
        <v>354739.72602739732</v>
      </c>
      <c r="T489" s="5">
        <f>IF(J489&lt;&gt;"",M489*N489/365/100*('Cashflow Projection'!$B$2-Investors!J489),0)</f>
        <v>335342.46575342462</v>
      </c>
    </row>
    <row r="490" spans="1:20" x14ac:dyDescent="0.2">
      <c r="A490" s="3" t="s">
        <v>836</v>
      </c>
      <c r="B490" s="3" t="s">
        <v>837</v>
      </c>
      <c r="C490" s="3" t="s">
        <v>306</v>
      </c>
      <c r="D490" s="3" t="s">
        <v>386</v>
      </c>
      <c r="E490" s="3" t="s">
        <v>849</v>
      </c>
      <c r="F490" s="3" t="b">
        <v>0</v>
      </c>
      <c r="G490" s="3" t="b">
        <v>0</v>
      </c>
      <c r="H490" s="3" t="s">
        <v>822</v>
      </c>
      <c r="I490" s="4">
        <v>44727</v>
      </c>
      <c r="J490" s="4">
        <v>44777</v>
      </c>
      <c r="K490" s="4">
        <v>45498</v>
      </c>
      <c r="L490" s="3">
        <v>2</v>
      </c>
      <c r="M490" s="3">
        <v>1000000</v>
      </c>
      <c r="N490" s="3">
        <v>18</v>
      </c>
      <c r="O490" s="3" t="b">
        <v>0</v>
      </c>
      <c r="P490" s="3" t="b">
        <v>0</v>
      </c>
      <c r="Q490" s="3">
        <v>10356.164383561651</v>
      </c>
      <c r="R490" s="3">
        <v>355561.64383561647</v>
      </c>
      <c r="S490" s="3">
        <v>365917.80821917811</v>
      </c>
      <c r="T490" s="5">
        <f>IF(J490&lt;&gt;"",M490*N490/365/100*('Cashflow Projection'!$B$2-Investors!J490),0)</f>
        <v>328438.35616438353</v>
      </c>
    </row>
    <row r="491" spans="1:20" x14ac:dyDescent="0.2">
      <c r="A491" s="3" t="s">
        <v>48</v>
      </c>
      <c r="B491" s="3" t="s">
        <v>49</v>
      </c>
      <c r="C491" s="3" t="s">
        <v>50</v>
      </c>
      <c r="D491" s="3" t="s">
        <v>386</v>
      </c>
      <c r="E491" s="3" t="s">
        <v>850</v>
      </c>
      <c r="F491" s="3" t="b">
        <v>1</v>
      </c>
      <c r="G491" s="3" t="b">
        <v>0</v>
      </c>
      <c r="H491" s="3" t="s">
        <v>822</v>
      </c>
      <c r="I491" s="4">
        <v>44946</v>
      </c>
      <c r="J491" s="4">
        <v>45016</v>
      </c>
      <c r="K491" s="4">
        <v>45498</v>
      </c>
      <c r="L491" s="3">
        <v>4</v>
      </c>
      <c r="M491" s="3">
        <v>100000</v>
      </c>
      <c r="N491" s="3">
        <v>14</v>
      </c>
      <c r="O491" s="3" t="b">
        <v>0</v>
      </c>
      <c r="P491" s="3" t="b">
        <v>0</v>
      </c>
      <c r="Q491" s="3">
        <v>1910.2739726027371</v>
      </c>
      <c r="R491" s="3">
        <v>18487.67123287671</v>
      </c>
      <c r="S491" s="3">
        <v>20397.945205479449</v>
      </c>
      <c r="T491" s="5">
        <f>IF(J491&lt;&gt;"",M491*N491/365/100*('Cashflow Projection'!$B$2-Investors!J491),0)</f>
        <v>16378.082191780824</v>
      </c>
    </row>
    <row r="492" spans="1:20" x14ac:dyDescent="0.2">
      <c r="A492" s="3" t="s">
        <v>304</v>
      </c>
      <c r="B492" s="3" t="s">
        <v>305</v>
      </c>
      <c r="C492" s="3" t="s">
        <v>306</v>
      </c>
      <c r="D492" s="3" t="s">
        <v>386</v>
      </c>
      <c r="E492" s="3" t="s">
        <v>850</v>
      </c>
      <c r="F492" s="3" t="b">
        <v>1</v>
      </c>
      <c r="G492" s="3" t="b">
        <v>0</v>
      </c>
      <c r="H492" s="3" t="s">
        <v>822</v>
      </c>
      <c r="I492" s="4">
        <v>44713</v>
      </c>
      <c r="J492" s="4">
        <v>44743</v>
      </c>
      <c r="K492" s="4">
        <v>45498</v>
      </c>
      <c r="L492" s="3">
        <v>8</v>
      </c>
      <c r="M492" s="3">
        <v>265000</v>
      </c>
      <c r="N492" s="3">
        <v>18</v>
      </c>
      <c r="O492" s="3" t="b">
        <v>0</v>
      </c>
      <c r="P492" s="3" t="b">
        <v>0</v>
      </c>
      <c r="Q492" s="3">
        <v>1633.5616438356169</v>
      </c>
      <c r="R492" s="3">
        <v>98667.123287671246</v>
      </c>
      <c r="S492" s="3">
        <v>100300.6849315069</v>
      </c>
      <c r="T492" s="5">
        <f>IF(J492&lt;&gt;"",M492*N492/365/100*('Cashflow Projection'!$B$2-Investors!J492),0)</f>
        <v>91479.452054794529</v>
      </c>
    </row>
    <row r="493" spans="1:20" x14ac:dyDescent="0.2">
      <c r="A493" s="3" t="s">
        <v>851</v>
      </c>
      <c r="B493" s="3" t="s">
        <v>852</v>
      </c>
      <c r="C493" s="3" t="s">
        <v>541</v>
      </c>
      <c r="D493" s="3" t="s">
        <v>386</v>
      </c>
      <c r="E493" s="3" t="s">
        <v>850</v>
      </c>
      <c r="F493" s="3" t="b">
        <v>1</v>
      </c>
      <c r="G493" s="3" t="b">
        <v>0</v>
      </c>
      <c r="H493" s="3" t="s">
        <v>822</v>
      </c>
      <c r="I493" s="4">
        <v>44713</v>
      </c>
      <c r="J493" s="4">
        <v>44743</v>
      </c>
      <c r="K493" s="4">
        <v>45498</v>
      </c>
      <c r="L493" s="3">
        <v>2</v>
      </c>
      <c r="M493" s="3">
        <v>147910.96</v>
      </c>
      <c r="N493" s="3">
        <v>14</v>
      </c>
      <c r="O493" s="3" t="b">
        <v>0</v>
      </c>
      <c r="P493" s="3" t="b">
        <v>0</v>
      </c>
      <c r="Q493" s="3">
        <v>911.77989041095918</v>
      </c>
      <c r="R493" s="3">
        <v>42833.393073972613</v>
      </c>
      <c r="S493" s="3">
        <v>43745.172964383557</v>
      </c>
      <c r="T493" s="5">
        <f>IF(J493&lt;&gt;"",M493*N493/365/100*('Cashflow Projection'!$B$2-Investors!J493),0)</f>
        <v>39713.079671232874</v>
      </c>
    </row>
    <row r="494" spans="1:20" x14ac:dyDescent="0.2">
      <c r="A494" s="3" t="s">
        <v>27</v>
      </c>
      <c r="B494" s="3" t="s">
        <v>28</v>
      </c>
      <c r="C494" s="3" t="s">
        <v>29</v>
      </c>
      <c r="D494" s="3" t="s">
        <v>386</v>
      </c>
      <c r="E494" s="3" t="s">
        <v>850</v>
      </c>
      <c r="F494" s="3" t="b">
        <v>1</v>
      </c>
      <c r="G494" s="3" t="b">
        <v>0</v>
      </c>
      <c r="H494" s="3" t="s">
        <v>822</v>
      </c>
      <c r="I494" s="4">
        <v>44719</v>
      </c>
      <c r="J494" s="4">
        <v>44763</v>
      </c>
      <c r="K494" s="4">
        <v>45498</v>
      </c>
      <c r="L494" s="3">
        <v>15</v>
      </c>
      <c r="M494" s="3">
        <v>400000</v>
      </c>
      <c r="N494" s="3">
        <v>18</v>
      </c>
      <c r="O494" s="3" t="b">
        <v>0</v>
      </c>
      <c r="P494" s="3" t="b">
        <v>0</v>
      </c>
      <c r="Q494" s="3">
        <v>3616.4383561643808</v>
      </c>
      <c r="R494" s="3">
        <v>144986.30136986301</v>
      </c>
      <c r="S494" s="3">
        <v>148602.73972602739</v>
      </c>
      <c r="T494" s="5">
        <f>IF(J494&lt;&gt;"",M494*N494/365/100*('Cashflow Projection'!$B$2-Investors!J494),0)</f>
        <v>134136.98630136985</v>
      </c>
    </row>
    <row r="495" spans="1:20" x14ac:dyDescent="0.2">
      <c r="A495" s="3" t="s">
        <v>142</v>
      </c>
      <c r="B495" s="3" t="s">
        <v>143</v>
      </c>
      <c r="C495" s="3" t="s">
        <v>144</v>
      </c>
      <c r="D495" s="3" t="s">
        <v>386</v>
      </c>
      <c r="E495" s="3" t="s">
        <v>850</v>
      </c>
      <c r="F495" s="3" t="b">
        <v>1</v>
      </c>
      <c r="G495" s="3" t="b">
        <v>0</v>
      </c>
      <c r="H495" s="3" t="s">
        <v>822</v>
      </c>
      <c r="I495" s="4">
        <v>44719</v>
      </c>
      <c r="J495" s="4">
        <v>44743</v>
      </c>
      <c r="K495" s="4">
        <v>45498</v>
      </c>
      <c r="L495" s="3">
        <v>4</v>
      </c>
      <c r="M495" s="3">
        <v>100000</v>
      </c>
      <c r="N495" s="3">
        <v>14</v>
      </c>
      <c r="O495" s="3" t="b">
        <v>0</v>
      </c>
      <c r="P495" s="3" t="b">
        <v>0</v>
      </c>
      <c r="Q495" s="3">
        <v>493.15068493150659</v>
      </c>
      <c r="R495" s="3">
        <v>28958.904109589039</v>
      </c>
      <c r="S495" s="3">
        <v>29452.054794520551</v>
      </c>
      <c r="T495" s="5">
        <f>IF(J495&lt;&gt;"",M495*N495/365/100*('Cashflow Projection'!$B$2-Investors!J495),0)</f>
        <v>26849.315068493153</v>
      </c>
    </row>
    <row r="496" spans="1:20" x14ac:dyDescent="0.2">
      <c r="A496" s="3" t="s">
        <v>426</v>
      </c>
      <c r="B496" s="3" t="s">
        <v>53</v>
      </c>
      <c r="C496" s="3" t="s">
        <v>54</v>
      </c>
      <c r="D496" s="3" t="s">
        <v>386</v>
      </c>
      <c r="E496" s="3" t="s">
        <v>853</v>
      </c>
      <c r="F496" s="3" t="b">
        <v>1</v>
      </c>
      <c r="G496" s="3" t="b">
        <v>0</v>
      </c>
      <c r="H496" s="3" t="s">
        <v>854</v>
      </c>
      <c r="I496" s="4">
        <v>44908</v>
      </c>
      <c r="J496" s="4">
        <v>44980</v>
      </c>
      <c r="K496" s="4">
        <v>45518</v>
      </c>
      <c r="L496" s="3">
        <v>7</v>
      </c>
      <c r="M496" s="3">
        <v>100000</v>
      </c>
      <c r="N496" s="3">
        <v>18</v>
      </c>
      <c r="O496" s="3" t="b">
        <v>0</v>
      </c>
      <c r="P496" s="3" t="b">
        <v>0</v>
      </c>
      <c r="Q496" s="3">
        <v>1939.041095890409</v>
      </c>
      <c r="R496" s="3">
        <v>26531.506849315068</v>
      </c>
      <c r="S496" s="3">
        <v>28470.547945205479</v>
      </c>
      <c r="T496" s="5">
        <f>IF(J496&lt;&gt;"",M496*N496/365/100*('Cashflow Projection'!$B$2-Investors!J496),0)</f>
        <v>22832.876712328765</v>
      </c>
    </row>
    <row r="497" spans="1:20" x14ac:dyDescent="0.2">
      <c r="A497" s="3" t="s">
        <v>52</v>
      </c>
      <c r="B497" s="3" t="s">
        <v>53</v>
      </c>
      <c r="C497" s="3" t="s">
        <v>54</v>
      </c>
      <c r="D497" s="3" t="s">
        <v>386</v>
      </c>
      <c r="E497" s="3" t="s">
        <v>853</v>
      </c>
      <c r="F497" s="3" t="b">
        <v>1</v>
      </c>
      <c r="G497" s="3" t="b">
        <v>0</v>
      </c>
      <c r="H497" s="3" t="s">
        <v>854</v>
      </c>
      <c r="I497" s="4">
        <v>44978</v>
      </c>
      <c r="J497" s="4">
        <v>45072</v>
      </c>
      <c r="K497" s="4">
        <v>45518</v>
      </c>
      <c r="L497" s="3">
        <v>12</v>
      </c>
      <c r="M497" s="3">
        <v>120000</v>
      </c>
      <c r="N497" s="3">
        <v>18</v>
      </c>
      <c r="O497" s="3" t="b">
        <v>0</v>
      </c>
      <c r="P497" s="3" t="b">
        <v>0</v>
      </c>
      <c r="Q497" s="3">
        <v>3182.4657534246599</v>
      </c>
      <c r="R497" s="3">
        <v>26393.424657534251</v>
      </c>
      <c r="S497" s="3">
        <v>29575.890410958909</v>
      </c>
      <c r="T497" s="5">
        <f>IF(J497&lt;&gt;"",M497*N497/365/100*('Cashflow Projection'!$B$2-Investors!J497),0)</f>
        <v>21955.068493150684</v>
      </c>
    </row>
    <row r="498" spans="1:20" x14ac:dyDescent="0.2">
      <c r="A498" s="3" t="s">
        <v>207</v>
      </c>
      <c r="B498" s="3" t="s">
        <v>53</v>
      </c>
      <c r="C498" s="3" t="s">
        <v>54</v>
      </c>
      <c r="D498" s="3" t="s">
        <v>386</v>
      </c>
      <c r="E498" s="3" t="s">
        <v>853</v>
      </c>
      <c r="F498" s="3" t="b">
        <v>1</v>
      </c>
      <c r="G498" s="3" t="b">
        <v>0</v>
      </c>
      <c r="H498" s="3" t="s">
        <v>854</v>
      </c>
      <c r="I498" s="4">
        <v>44964</v>
      </c>
      <c r="J498" s="4">
        <v>45072</v>
      </c>
      <c r="K498" s="4">
        <v>45518</v>
      </c>
      <c r="L498" s="3">
        <v>13</v>
      </c>
      <c r="M498" s="3">
        <v>100000</v>
      </c>
      <c r="N498" s="3">
        <v>18</v>
      </c>
      <c r="O498" s="3" t="b">
        <v>0</v>
      </c>
      <c r="P498" s="3" t="b">
        <v>0</v>
      </c>
      <c r="Q498" s="3">
        <v>3035.61643835617</v>
      </c>
      <c r="R498" s="3">
        <v>21994.520547945209</v>
      </c>
      <c r="S498" s="3">
        <v>25030.136986301379</v>
      </c>
      <c r="T498" s="5">
        <f>IF(J498&lt;&gt;"",M498*N498/365/100*('Cashflow Projection'!$B$2-Investors!J498),0)</f>
        <v>18295.890410958902</v>
      </c>
    </row>
    <row r="499" spans="1:20" x14ac:dyDescent="0.2">
      <c r="A499" s="3" t="s">
        <v>69</v>
      </c>
      <c r="B499" s="3" t="s">
        <v>70</v>
      </c>
      <c r="C499" s="3" t="s">
        <v>71</v>
      </c>
      <c r="D499" s="3" t="s">
        <v>386</v>
      </c>
      <c r="E499" s="3" t="s">
        <v>853</v>
      </c>
      <c r="F499" s="3" t="b">
        <v>1</v>
      </c>
      <c r="G499" s="3" t="b">
        <v>0</v>
      </c>
      <c r="H499" s="3" t="s">
        <v>854</v>
      </c>
      <c r="I499" s="4">
        <v>44960</v>
      </c>
      <c r="J499" s="4">
        <v>45072</v>
      </c>
      <c r="K499" s="4">
        <v>45518</v>
      </c>
      <c r="L499" s="3">
        <v>7</v>
      </c>
      <c r="M499" s="3">
        <v>110000</v>
      </c>
      <c r="N499" s="3">
        <v>18</v>
      </c>
      <c r="O499" s="3" t="b">
        <v>0</v>
      </c>
      <c r="P499" s="3" t="b">
        <v>0</v>
      </c>
      <c r="Q499" s="3">
        <v>3459.7260273972702</v>
      </c>
      <c r="R499" s="3">
        <v>24193.97260273973</v>
      </c>
      <c r="S499" s="3">
        <v>27653.698630137002</v>
      </c>
      <c r="T499" s="5">
        <f>IF(J499&lt;&gt;"",M499*N499/365/100*('Cashflow Projection'!$B$2-Investors!J499),0)</f>
        <v>20125.479452054798</v>
      </c>
    </row>
    <row r="500" spans="1:20" x14ac:dyDescent="0.2">
      <c r="A500" s="3" t="s">
        <v>363</v>
      </c>
      <c r="B500" s="3" t="s">
        <v>364</v>
      </c>
      <c r="C500" s="3" t="s">
        <v>365</v>
      </c>
      <c r="D500" s="3" t="s">
        <v>386</v>
      </c>
      <c r="E500" s="3" t="s">
        <v>853</v>
      </c>
      <c r="F500" s="3" t="b">
        <v>1</v>
      </c>
      <c r="G500" s="3" t="b">
        <v>0</v>
      </c>
      <c r="H500" s="3" t="s">
        <v>854</v>
      </c>
      <c r="I500" s="4">
        <v>45030</v>
      </c>
      <c r="J500" s="4">
        <v>45129</v>
      </c>
      <c r="K500" s="4">
        <v>45518</v>
      </c>
      <c r="L500" s="3">
        <v>5</v>
      </c>
      <c r="M500" s="3">
        <v>238516.44</v>
      </c>
      <c r="N500" s="3">
        <v>14</v>
      </c>
      <c r="O500" s="3" t="b">
        <v>0</v>
      </c>
      <c r="P500" s="3" t="b">
        <v>0</v>
      </c>
      <c r="Q500" s="3">
        <v>6962.7196389041264</v>
      </c>
      <c r="R500" s="3">
        <v>35587.95978739726</v>
      </c>
      <c r="S500" s="3">
        <v>42550.679426301387</v>
      </c>
      <c r="T500" s="5">
        <f>IF(J500&lt;&gt;"",M500*N500/365/100*('Cashflow Projection'!$B$2-Investors!J500),0)</f>
        <v>28726.527951780827</v>
      </c>
    </row>
    <row r="501" spans="1:20" x14ac:dyDescent="0.2">
      <c r="A501" s="3" t="s">
        <v>498</v>
      </c>
      <c r="B501" s="3" t="s">
        <v>499</v>
      </c>
      <c r="C501" s="3" t="s">
        <v>500</v>
      </c>
      <c r="D501" s="3" t="s">
        <v>386</v>
      </c>
      <c r="E501" s="3" t="s">
        <v>853</v>
      </c>
      <c r="F501" s="3" t="b">
        <v>1</v>
      </c>
      <c r="G501" s="3" t="b">
        <v>0</v>
      </c>
      <c r="H501" s="3" t="s">
        <v>854</v>
      </c>
      <c r="I501" s="4">
        <v>44943</v>
      </c>
      <c r="J501" s="4">
        <v>45044</v>
      </c>
      <c r="K501" s="4">
        <v>45518</v>
      </c>
      <c r="L501" s="3">
        <v>13</v>
      </c>
      <c r="M501" s="3">
        <v>435021.99</v>
      </c>
      <c r="N501" s="3">
        <v>18</v>
      </c>
      <c r="O501" s="3" t="b">
        <v>0</v>
      </c>
      <c r="P501" s="3" t="b">
        <v>0</v>
      </c>
      <c r="Q501" s="3">
        <v>12162.738103972621</v>
      </c>
      <c r="R501" s="3">
        <v>101687.8799638356</v>
      </c>
      <c r="S501" s="3">
        <v>113850.6180678082</v>
      </c>
      <c r="T501" s="5">
        <f>IF(J501&lt;&gt;"",M501*N501/365/100*('Cashflow Projection'!$B$2-Investors!J501),0)</f>
        <v>85598.025539178096</v>
      </c>
    </row>
    <row r="502" spans="1:20" x14ac:dyDescent="0.2">
      <c r="A502" s="3" t="s">
        <v>426</v>
      </c>
      <c r="B502" s="3" t="s">
        <v>53</v>
      </c>
      <c r="C502" s="3" t="s">
        <v>54</v>
      </c>
      <c r="D502" s="3" t="s">
        <v>386</v>
      </c>
      <c r="E502" s="3" t="s">
        <v>855</v>
      </c>
      <c r="F502" s="3" t="b">
        <v>1</v>
      </c>
      <c r="G502" s="3" t="b">
        <v>0</v>
      </c>
      <c r="H502" s="3" t="s">
        <v>854</v>
      </c>
      <c r="I502" s="4">
        <v>44908</v>
      </c>
      <c r="J502" s="4">
        <v>44980</v>
      </c>
      <c r="K502" s="4">
        <v>45518</v>
      </c>
      <c r="L502" s="3">
        <v>8</v>
      </c>
      <c r="M502" s="3">
        <v>100000</v>
      </c>
      <c r="N502" s="3">
        <v>18</v>
      </c>
      <c r="O502" s="3" t="b">
        <v>0</v>
      </c>
      <c r="P502" s="3" t="b">
        <v>0</v>
      </c>
      <c r="Q502" s="3">
        <v>1939.041095890409</v>
      </c>
      <c r="R502" s="3">
        <v>26531.506849315068</v>
      </c>
      <c r="S502" s="3">
        <v>28470.547945205479</v>
      </c>
      <c r="T502" s="5">
        <f>IF(J502&lt;&gt;"",M502*N502/365/100*('Cashflow Projection'!$B$2-Investors!J502),0)</f>
        <v>22832.876712328765</v>
      </c>
    </row>
    <row r="503" spans="1:20" x14ac:dyDescent="0.2">
      <c r="A503" s="3" t="s">
        <v>210</v>
      </c>
      <c r="B503" s="3" t="s">
        <v>211</v>
      </c>
      <c r="C503" s="3" t="s">
        <v>119</v>
      </c>
      <c r="D503" s="3" t="s">
        <v>386</v>
      </c>
      <c r="E503" s="3" t="s">
        <v>855</v>
      </c>
      <c r="F503" s="3" t="b">
        <v>1</v>
      </c>
      <c r="G503" s="3" t="b">
        <v>0</v>
      </c>
      <c r="H503" s="3" t="s">
        <v>854</v>
      </c>
      <c r="I503" s="4">
        <v>44943</v>
      </c>
      <c r="J503" s="4">
        <v>45016</v>
      </c>
      <c r="K503" s="4">
        <v>45518</v>
      </c>
      <c r="L503" s="3">
        <v>2</v>
      </c>
      <c r="M503" s="3">
        <v>250000</v>
      </c>
      <c r="N503" s="3">
        <v>14</v>
      </c>
      <c r="O503" s="3" t="b">
        <v>0</v>
      </c>
      <c r="P503" s="3" t="b">
        <v>0</v>
      </c>
      <c r="Q503" s="3">
        <v>4976.027397260279</v>
      </c>
      <c r="R503" s="3">
        <v>48136.986301369863</v>
      </c>
      <c r="S503" s="3">
        <v>53113.013698630137</v>
      </c>
      <c r="T503" s="5">
        <f>IF(J503&lt;&gt;"",M503*N503/365/100*('Cashflow Projection'!$B$2-Investors!J503),0)</f>
        <v>40945.205479452052</v>
      </c>
    </row>
    <row r="504" spans="1:20" x14ac:dyDescent="0.2">
      <c r="A504" s="3" t="s">
        <v>179</v>
      </c>
      <c r="B504" s="3" t="s">
        <v>180</v>
      </c>
      <c r="C504" s="3" t="s">
        <v>181</v>
      </c>
      <c r="D504" s="3" t="s">
        <v>386</v>
      </c>
      <c r="E504" s="3" t="s">
        <v>855</v>
      </c>
      <c r="F504" s="3" t="b">
        <v>1</v>
      </c>
      <c r="G504" s="3" t="b">
        <v>0</v>
      </c>
      <c r="H504" s="3" t="s">
        <v>854</v>
      </c>
      <c r="I504" s="4">
        <v>44964</v>
      </c>
      <c r="J504" s="4">
        <v>45072</v>
      </c>
      <c r="K504" s="4">
        <v>45518</v>
      </c>
      <c r="L504" s="3">
        <v>3</v>
      </c>
      <c r="M504" s="3">
        <v>131234.94</v>
      </c>
      <c r="N504" s="3">
        <v>18</v>
      </c>
      <c r="O504" s="3" t="b">
        <v>0</v>
      </c>
      <c r="P504" s="3" t="b">
        <v>0</v>
      </c>
      <c r="Q504" s="3">
        <v>3983.789411506857</v>
      </c>
      <c r="R504" s="3">
        <v>28864.49584438356</v>
      </c>
      <c r="S504" s="3">
        <v>32848.28525589042</v>
      </c>
      <c r="T504" s="5">
        <f>IF(J504&lt;&gt;"",M504*N504/365/100*('Cashflow Projection'!$B$2-Investors!J504),0)</f>
        <v>24010.600803287671</v>
      </c>
    </row>
    <row r="505" spans="1:20" x14ac:dyDescent="0.2">
      <c r="A505" s="3" t="s">
        <v>233</v>
      </c>
      <c r="B505" s="3" t="s">
        <v>234</v>
      </c>
      <c r="C505" s="3" t="s">
        <v>235</v>
      </c>
      <c r="D505" s="3" t="s">
        <v>386</v>
      </c>
      <c r="E505" s="3" t="s">
        <v>855</v>
      </c>
      <c r="F505" s="3" t="b">
        <v>1</v>
      </c>
      <c r="G505" s="3" t="b">
        <v>0</v>
      </c>
      <c r="H505" s="3" t="s">
        <v>854</v>
      </c>
      <c r="I505" s="4">
        <v>44916</v>
      </c>
      <c r="J505" s="4">
        <v>45008</v>
      </c>
      <c r="K505" s="4">
        <v>45518</v>
      </c>
      <c r="L505" s="3">
        <v>2</v>
      </c>
      <c r="M505" s="3">
        <v>186816.78</v>
      </c>
      <c r="N505" s="3">
        <v>14</v>
      </c>
      <c r="O505" s="3" t="b">
        <v>0</v>
      </c>
      <c r="P505" s="3" t="b">
        <v>0</v>
      </c>
      <c r="Q505" s="3">
        <v>4656.3442631506832</v>
      </c>
      <c r="R505" s="3">
        <v>36544.433128767123</v>
      </c>
      <c r="S505" s="3">
        <v>41200.777391917807</v>
      </c>
      <c r="T505" s="5">
        <f>IF(J505&lt;&gt;"",M505*N505/365/100*('Cashflow Projection'!$B$2-Investors!J505),0)</f>
        <v>31170.251786301367</v>
      </c>
    </row>
    <row r="506" spans="1:20" x14ac:dyDescent="0.2">
      <c r="A506" s="3" t="s">
        <v>419</v>
      </c>
      <c r="B506" s="3" t="s">
        <v>420</v>
      </c>
      <c r="C506" s="3" t="s">
        <v>421</v>
      </c>
      <c r="D506" s="3" t="s">
        <v>386</v>
      </c>
      <c r="E506" s="3" t="s">
        <v>855</v>
      </c>
      <c r="F506" s="3" t="b">
        <v>1</v>
      </c>
      <c r="G506" s="3" t="b">
        <v>0</v>
      </c>
      <c r="H506" s="3" t="s">
        <v>854</v>
      </c>
      <c r="I506" s="4">
        <v>44944</v>
      </c>
      <c r="J506" s="4">
        <v>45016</v>
      </c>
      <c r="K506" s="4">
        <v>45518</v>
      </c>
      <c r="L506" s="3">
        <v>9</v>
      </c>
      <c r="M506" s="3">
        <v>429243.84</v>
      </c>
      <c r="N506" s="3">
        <v>18</v>
      </c>
      <c r="O506" s="3" t="b">
        <v>0</v>
      </c>
      <c r="P506" s="3" t="b">
        <v>0</v>
      </c>
      <c r="Q506" s="3">
        <v>8429.055406027388</v>
      </c>
      <c r="R506" s="3">
        <v>106264.3106367123</v>
      </c>
      <c r="S506" s="3">
        <v>114693.3660427397</v>
      </c>
      <c r="T506" s="5">
        <f>IF(J506&lt;&gt;"",M506*N506/365/100*('Cashflow Projection'!$B$2-Investors!J506),0)</f>
        <v>90388.168609315078</v>
      </c>
    </row>
    <row r="507" spans="1:20" x14ac:dyDescent="0.2">
      <c r="A507" s="3" t="s">
        <v>856</v>
      </c>
      <c r="B507" s="3" t="s">
        <v>857</v>
      </c>
      <c r="C507" s="3" t="s">
        <v>858</v>
      </c>
      <c r="D507" s="3" t="s">
        <v>386</v>
      </c>
      <c r="E507" s="3" t="s">
        <v>859</v>
      </c>
      <c r="F507" s="3" t="b">
        <v>1</v>
      </c>
      <c r="G507" s="3" t="b">
        <v>0</v>
      </c>
      <c r="H507" s="3" t="s">
        <v>854</v>
      </c>
      <c r="I507" s="4">
        <v>44950</v>
      </c>
      <c r="J507" s="4">
        <v>45016</v>
      </c>
      <c r="K507" s="4">
        <v>45518</v>
      </c>
      <c r="L507" s="3">
        <v>3</v>
      </c>
      <c r="M507" s="3">
        <v>602626.71</v>
      </c>
      <c r="N507" s="3">
        <v>18</v>
      </c>
      <c r="O507" s="3" t="b">
        <v>0</v>
      </c>
      <c r="P507" s="3" t="b">
        <v>0</v>
      </c>
      <c r="Q507" s="3">
        <v>10867.91868102739</v>
      </c>
      <c r="R507" s="3">
        <v>149187.2589468493</v>
      </c>
      <c r="S507" s="3">
        <v>160055.17762787669</v>
      </c>
      <c r="T507" s="5">
        <f>IF(J507&lt;&gt;"",M507*N507/365/100*('Cashflow Projection'!$B$2-Investors!J507),0)</f>
        <v>126898.32583726026</v>
      </c>
    </row>
    <row r="508" spans="1:20" x14ac:dyDescent="0.2">
      <c r="A508" s="3" t="s">
        <v>412</v>
      </c>
      <c r="B508" s="3" t="s">
        <v>413</v>
      </c>
      <c r="C508" s="3" t="s">
        <v>414</v>
      </c>
      <c r="D508" s="3" t="s">
        <v>386</v>
      </c>
      <c r="E508" s="3" t="s">
        <v>859</v>
      </c>
      <c r="F508" s="3" t="b">
        <v>1</v>
      </c>
      <c r="G508" s="3" t="b">
        <v>0</v>
      </c>
      <c r="H508" s="3" t="s">
        <v>854</v>
      </c>
      <c r="I508" s="4">
        <v>44950</v>
      </c>
      <c r="J508" s="4">
        <v>45044</v>
      </c>
      <c r="K508" s="4">
        <v>45518</v>
      </c>
      <c r="L508" s="3">
        <v>8</v>
      </c>
      <c r="M508" s="3">
        <v>278815.07</v>
      </c>
      <c r="N508" s="3">
        <v>18</v>
      </c>
      <c r="O508" s="3" t="b">
        <v>0</v>
      </c>
      <c r="P508" s="3" t="b">
        <v>0</v>
      </c>
      <c r="Q508" s="3">
        <v>7274.0178193835718</v>
      </c>
      <c r="R508" s="3">
        <v>65173.977458630143</v>
      </c>
      <c r="S508" s="3">
        <v>72447.99527801371</v>
      </c>
      <c r="T508" s="5">
        <f>IF(J508&lt;&gt;"",M508*N508/365/100*('Cashflow Projection'!$B$2-Investors!J508),0)</f>
        <v>54861.639253150686</v>
      </c>
    </row>
    <row r="509" spans="1:20" x14ac:dyDescent="0.2">
      <c r="A509" s="3" t="s">
        <v>419</v>
      </c>
      <c r="B509" s="3" t="s">
        <v>420</v>
      </c>
      <c r="C509" s="3" t="s">
        <v>421</v>
      </c>
      <c r="D509" s="3" t="s">
        <v>386</v>
      </c>
      <c r="E509" s="3" t="s">
        <v>859</v>
      </c>
      <c r="F509" s="3" t="b">
        <v>1</v>
      </c>
      <c r="G509" s="3" t="b">
        <v>0</v>
      </c>
      <c r="H509" s="3" t="s">
        <v>854</v>
      </c>
      <c r="I509" s="4">
        <v>44946</v>
      </c>
      <c r="J509" s="4">
        <v>45016</v>
      </c>
      <c r="K509" s="4">
        <v>45518</v>
      </c>
      <c r="L509" s="3">
        <v>10</v>
      </c>
      <c r="M509" s="3">
        <v>237315.07</v>
      </c>
      <c r="N509" s="3">
        <v>18</v>
      </c>
      <c r="O509" s="3" t="b">
        <v>0</v>
      </c>
      <c r="P509" s="3" t="b">
        <v>0</v>
      </c>
      <c r="Q509" s="3">
        <v>4533.3680152739717</v>
      </c>
      <c r="R509" s="3">
        <v>58750.108836164392</v>
      </c>
      <c r="S509" s="3">
        <v>63283.476851438347</v>
      </c>
      <c r="T509" s="5">
        <f>IF(J509&lt;&gt;"",M509*N509/365/100*('Cashflow Projection'!$B$2-Investors!J509),0)</f>
        <v>49972.702137534237</v>
      </c>
    </row>
    <row r="510" spans="1:20" x14ac:dyDescent="0.2">
      <c r="A510" s="3" t="s">
        <v>92</v>
      </c>
      <c r="B510" s="3" t="s">
        <v>93</v>
      </c>
      <c r="C510" s="3" t="s">
        <v>94</v>
      </c>
      <c r="D510" s="3" t="s">
        <v>386</v>
      </c>
      <c r="E510" s="3" t="s">
        <v>860</v>
      </c>
      <c r="F510" s="3" t="b">
        <v>1</v>
      </c>
      <c r="G510" s="3" t="b">
        <v>0</v>
      </c>
      <c r="H510" s="3" t="s">
        <v>854</v>
      </c>
      <c r="I510" s="4">
        <v>44916</v>
      </c>
      <c r="J510" s="4">
        <v>45016</v>
      </c>
      <c r="K510" s="4">
        <v>45518</v>
      </c>
      <c r="L510" s="3">
        <v>10</v>
      </c>
      <c r="M510" s="3">
        <v>1108630.1399999999</v>
      </c>
      <c r="N510" s="3">
        <v>18</v>
      </c>
      <c r="O510" s="3" t="b">
        <v>0</v>
      </c>
      <c r="P510" s="3" t="b">
        <v>0</v>
      </c>
      <c r="Q510" s="3">
        <v>30062.10085109586</v>
      </c>
      <c r="R510" s="3">
        <v>274454.29986410961</v>
      </c>
      <c r="S510" s="3">
        <v>304516.40071520553</v>
      </c>
      <c r="T510" s="5">
        <f>IF(J510&lt;&gt;"",M510*N510/365/100*('Cashflow Projection'!$B$2-Investors!J510),0)</f>
        <v>233450.17139835618</v>
      </c>
    </row>
    <row r="511" spans="1:20" x14ac:dyDescent="0.2">
      <c r="A511" s="3" t="s">
        <v>304</v>
      </c>
      <c r="B511" s="3" t="s">
        <v>305</v>
      </c>
      <c r="C511" s="3" t="s">
        <v>306</v>
      </c>
      <c r="D511" s="3" t="s">
        <v>386</v>
      </c>
      <c r="E511" s="3" t="s">
        <v>861</v>
      </c>
      <c r="F511" s="3" t="b">
        <v>1</v>
      </c>
      <c r="G511" s="3" t="b">
        <v>0</v>
      </c>
      <c r="H511" s="3" t="s">
        <v>854</v>
      </c>
      <c r="I511" s="4">
        <v>44950</v>
      </c>
      <c r="J511" s="4">
        <v>45016</v>
      </c>
      <c r="K511" s="4">
        <v>45518</v>
      </c>
      <c r="L511" s="3">
        <v>9</v>
      </c>
      <c r="M511" s="3">
        <v>291044.52</v>
      </c>
      <c r="N511" s="3">
        <v>18</v>
      </c>
      <c r="O511" s="3" t="b">
        <v>0</v>
      </c>
      <c r="P511" s="3" t="b">
        <v>0</v>
      </c>
      <c r="Q511" s="3">
        <v>5248.7686380821979</v>
      </c>
      <c r="R511" s="3">
        <v>72051.459800547949</v>
      </c>
      <c r="S511" s="3">
        <v>77300.228438630147</v>
      </c>
      <c r="T511" s="5">
        <f>IF(J511&lt;&gt;"",M511*N511/365/100*('Cashflow Projection'!$B$2-Investors!J511),0)</f>
        <v>61286.799471780832</v>
      </c>
    </row>
    <row r="512" spans="1:20" x14ac:dyDescent="0.2">
      <c r="A512" s="3" t="s">
        <v>253</v>
      </c>
      <c r="B512" s="3" t="s">
        <v>254</v>
      </c>
      <c r="C512" s="3" t="s">
        <v>255</v>
      </c>
      <c r="D512" s="3" t="s">
        <v>386</v>
      </c>
      <c r="E512" s="3" t="s">
        <v>861</v>
      </c>
      <c r="F512" s="3" t="b">
        <v>1</v>
      </c>
      <c r="G512" s="3" t="b">
        <v>0</v>
      </c>
      <c r="H512" s="3" t="s">
        <v>854</v>
      </c>
      <c r="I512" s="4">
        <v>44952</v>
      </c>
      <c r="J512" s="4">
        <v>45044</v>
      </c>
      <c r="K512" s="4">
        <v>45518</v>
      </c>
      <c r="L512" s="3">
        <v>12</v>
      </c>
      <c r="M512" s="3">
        <v>566390.41</v>
      </c>
      <c r="N512" s="3">
        <v>18</v>
      </c>
      <c r="O512" s="3" t="b">
        <v>0</v>
      </c>
      <c r="P512" s="3" t="b">
        <v>0</v>
      </c>
      <c r="Q512" s="3">
        <v>14473.990545958881</v>
      </c>
      <c r="R512" s="3">
        <v>132395.69803068499</v>
      </c>
      <c r="S512" s="3">
        <v>146869.68857664379</v>
      </c>
      <c r="T512" s="5">
        <f>IF(J512&lt;&gt;"",M512*N512/365/100*('Cashflow Projection'!$B$2-Investors!J512),0)</f>
        <v>111447.01163342467</v>
      </c>
    </row>
    <row r="513" spans="1:20" x14ac:dyDescent="0.2">
      <c r="A513" s="3" t="s">
        <v>527</v>
      </c>
      <c r="B513" s="3" t="s">
        <v>528</v>
      </c>
      <c r="C513" s="3" t="s">
        <v>529</v>
      </c>
      <c r="D513" s="3" t="s">
        <v>386</v>
      </c>
      <c r="E513" s="3" t="s">
        <v>861</v>
      </c>
      <c r="F513" s="3" t="b">
        <v>1</v>
      </c>
      <c r="G513" s="3" t="b">
        <v>0</v>
      </c>
      <c r="H513" s="3" t="s">
        <v>854</v>
      </c>
      <c r="I513" s="4">
        <v>44914</v>
      </c>
      <c r="J513" s="4">
        <v>45008</v>
      </c>
      <c r="K513" s="4">
        <v>45518</v>
      </c>
      <c r="L513" s="3">
        <v>8</v>
      </c>
      <c r="M513" s="3">
        <v>250000</v>
      </c>
      <c r="N513" s="3">
        <v>16</v>
      </c>
      <c r="O513" s="3" t="b">
        <v>0</v>
      </c>
      <c r="P513" s="3" t="b">
        <v>0</v>
      </c>
      <c r="Q513" s="3">
        <v>6364.7260273972652</v>
      </c>
      <c r="R513" s="3">
        <v>55890.410958904111</v>
      </c>
      <c r="S513" s="3">
        <v>62255.136986301382</v>
      </c>
      <c r="T513" s="5">
        <f>IF(J513&lt;&gt;"",M513*N513/365/100*('Cashflow Projection'!$B$2-Investors!J513),0)</f>
        <v>47671.232876712325</v>
      </c>
    </row>
    <row r="514" spans="1:20" x14ac:dyDescent="0.2">
      <c r="A514" s="3" t="s">
        <v>52</v>
      </c>
      <c r="B514" s="3" t="s">
        <v>53</v>
      </c>
      <c r="C514" s="3" t="s">
        <v>54</v>
      </c>
      <c r="D514" s="3" t="s">
        <v>386</v>
      </c>
      <c r="E514" s="3" t="s">
        <v>862</v>
      </c>
      <c r="F514" s="3" t="b">
        <v>1</v>
      </c>
      <c r="G514" s="3" t="b">
        <v>0</v>
      </c>
      <c r="H514" s="3" t="s">
        <v>854</v>
      </c>
      <c r="I514" s="4">
        <v>44938</v>
      </c>
      <c r="J514" s="4">
        <v>45044</v>
      </c>
      <c r="K514" s="4">
        <v>45518</v>
      </c>
      <c r="L514" s="3">
        <v>10</v>
      </c>
      <c r="M514" s="3">
        <v>100000</v>
      </c>
      <c r="N514" s="3">
        <v>18</v>
      </c>
      <c r="O514" s="3" t="b">
        <v>0</v>
      </c>
      <c r="P514" s="3" t="b">
        <v>0</v>
      </c>
      <c r="Q514" s="3">
        <v>2929.4520547945231</v>
      </c>
      <c r="R514" s="3">
        <v>23375.34246575342</v>
      </c>
      <c r="S514" s="3">
        <v>26304.794520547948</v>
      </c>
      <c r="T514" s="5">
        <f>IF(J514&lt;&gt;"",M514*N514/365/100*('Cashflow Projection'!$B$2-Investors!J514),0)</f>
        <v>19676.712328767124</v>
      </c>
    </row>
    <row r="515" spans="1:20" x14ac:dyDescent="0.2">
      <c r="A515" s="3" t="s">
        <v>69</v>
      </c>
      <c r="B515" s="3" t="s">
        <v>70</v>
      </c>
      <c r="C515" s="3" t="s">
        <v>71</v>
      </c>
      <c r="D515" s="3" t="s">
        <v>386</v>
      </c>
      <c r="E515" s="3" t="s">
        <v>862</v>
      </c>
      <c r="F515" s="3" t="b">
        <v>1</v>
      </c>
      <c r="G515" s="3" t="b">
        <v>0</v>
      </c>
      <c r="H515" s="3" t="s">
        <v>854</v>
      </c>
      <c r="I515" s="4">
        <v>44960</v>
      </c>
      <c r="J515" s="4">
        <v>45072</v>
      </c>
      <c r="K515" s="4">
        <v>45518</v>
      </c>
      <c r="L515" s="3">
        <v>8</v>
      </c>
      <c r="M515" s="3">
        <v>110000</v>
      </c>
      <c r="N515" s="3">
        <v>18</v>
      </c>
      <c r="O515" s="3" t="b">
        <v>0</v>
      </c>
      <c r="P515" s="3" t="b">
        <v>0</v>
      </c>
      <c r="Q515" s="3">
        <v>3459.7260273972702</v>
      </c>
      <c r="R515" s="3">
        <v>24193.97260273973</v>
      </c>
      <c r="S515" s="3">
        <v>27653.698630137002</v>
      </c>
      <c r="T515" s="5">
        <f>IF(J515&lt;&gt;"",M515*N515/365/100*('Cashflow Projection'!$B$2-Investors!J515),0)</f>
        <v>20125.479452054798</v>
      </c>
    </row>
    <row r="516" spans="1:20" x14ac:dyDescent="0.2">
      <c r="A516" s="3" t="s">
        <v>145</v>
      </c>
      <c r="B516" s="3" t="s">
        <v>146</v>
      </c>
      <c r="C516" s="3" t="s">
        <v>147</v>
      </c>
      <c r="D516" s="3" t="s">
        <v>386</v>
      </c>
      <c r="E516" s="3" t="s">
        <v>862</v>
      </c>
      <c r="F516" s="3" t="b">
        <v>1</v>
      </c>
      <c r="G516" s="3" t="b">
        <v>0</v>
      </c>
      <c r="H516" s="3" t="s">
        <v>854</v>
      </c>
      <c r="I516" s="4">
        <v>44958</v>
      </c>
      <c r="J516" s="4">
        <v>45072</v>
      </c>
      <c r="K516" s="4">
        <v>45518</v>
      </c>
      <c r="L516" s="3">
        <v>6</v>
      </c>
      <c r="M516" s="3">
        <v>256652.05</v>
      </c>
      <c r="N516" s="3">
        <v>14</v>
      </c>
      <c r="O516" s="3" t="b">
        <v>0</v>
      </c>
      <c r="P516" s="3" t="b">
        <v>0</v>
      </c>
      <c r="Q516" s="3">
        <v>8212.8656000000192</v>
      </c>
      <c r="R516" s="3">
        <v>43905.079457534237</v>
      </c>
      <c r="S516" s="3">
        <v>52117.945057534263</v>
      </c>
      <c r="T516" s="5">
        <f>IF(J516&lt;&gt;"",M516*N516/365/100*('Cashflow Projection'!$B$2-Investors!J516),0)</f>
        <v>36521.938293150677</v>
      </c>
    </row>
    <row r="517" spans="1:20" x14ac:dyDescent="0.2">
      <c r="A517" s="3" t="s">
        <v>403</v>
      </c>
      <c r="B517" s="3" t="s">
        <v>160</v>
      </c>
      <c r="C517" s="3" t="s">
        <v>161</v>
      </c>
      <c r="D517" s="3" t="s">
        <v>386</v>
      </c>
      <c r="E517" s="3" t="s">
        <v>862</v>
      </c>
      <c r="F517" s="3" t="b">
        <v>1</v>
      </c>
      <c r="G517" s="3" t="b">
        <v>0</v>
      </c>
      <c r="H517" s="3" t="s">
        <v>854</v>
      </c>
      <c r="I517" s="4">
        <v>44942</v>
      </c>
      <c r="J517" s="4">
        <v>45016</v>
      </c>
      <c r="K517" s="4">
        <v>45518</v>
      </c>
      <c r="L517" s="3">
        <v>4</v>
      </c>
      <c r="M517" s="3">
        <v>229795.89</v>
      </c>
      <c r="N517" s="3">
        <v>16</v>
      </c>
      <c r="O517" s="3" t="b">
        <v>0</v>
      </c>
      <c r="P517" s="3" t="b">
        <v>0</v>
      </c>
      <c r="Q517" s="3">
        <v>4635.266411301377</v>
      </c>
      <c r="R517" s="3">
        <v>50567.687355616443</v>
      </c>
      <c r="S517" s="3">
        <v>55202.95376691781</v>
      </c>
      <c r="T517" s="5">
        <f>IF(J517&lt;&gt;"",M517*N517/365/100*('Cashflow Projection'!$B$2-Investors!J517),0)</f>
        <v>43012.753985753421</v>
      </c>
    </row>
    <row r="518" spans="1:20" x14ac:dyDescent="0.2">
      <c r="A518" s="3" t="s">
        <v>485</v>
      </c>
      <c r="B518" s="3" t="s">
        <v>486</v>
      </c>
      <c r="C518" s="3" t="s">
        <v>487</v>
      </c>
      <c r="D518" s="3" t="s">
        <v>386</v>
      </c>
      <c r="E518" s="3" t="s">
        <v>862</v>
      </c>
      <c r="F518" s="3" t="b">
        <v>1</v>
      </c>
      <c r="G518" s="3" t="b">
        <v>0</v>
      </c>
      <c r="H518" s="3" t="s">
        <v>854</v>
      </c>
      <c r="I518" s="4">
        <v>44992</v>
      </c>
      <c r="J518" s="4">
        <v>45107</v>
      </c>
      <c r="K518" s="4">
        <v>45518</v>
      </c>
      <c r="L518" s="3">
        <v>8</v>
      </c>
      <c r="M518" s="3">
        <v>350000</v>
      </c>
      <c r="N518" s="3">
        <v>18</v>
      </c>
      <c r="O518" s="3" t="b">
        <v>0</v>
      </c>
      <c r="P518" s="3" t="b">
        <v>0</v>
      </c>
      <c r="Q518" s="3">
        <v>11607.534246575349</v>
      </c>
      <c r="R518" s="3">
        <v>70939.726027397264</v>
      </c>
      <c r="S518" s="3">
        <v>82547.260273972614</v>
      </c>
      <c r="T518" s="5">
        <f>IF(J518&lt;&gt;"",M518*N518/365/100*('Cashflow Projection'!$B$2-Investors!J518),0)</f>
        <v>57994.520547945198</v>
      </c>
    </row>
    <row r="519" spans="1:20" x14ac:dyDescent="0.2">
      <c r="A519" s="3" t="s">
        <v>304</v>
      </c>
      <c r="B519" s="3" t="s">
        <v>305</v>
      </c>
      <c r="C519" s="3" t="s">
        <v>306</v>
      </c>
      <c r="D519" s="3" t="s">
        <v>386</v>
      </c>
      <c r="E519" s="3" t="s">
        <v>863</v>
      </c>
      <c r="F519" s="3" t="b">
        <v>1</v>
      </c>
      <c r="G519" s="3" t="b">
        <v>0</v>
      </c>
      <c r="H519" s="3" t="s">
        <v>854</v>
      </c>
      <c r="I519" s="4">
        <v>44952</v>
      </c>
      <c r="J519" s="4">
        <v>45044</v>
      </c>
      <c r="K519" s="4">
        <v>45518</v>
      </c>
      <c r="L519" s="3">
        <v>10</v>
      </c>
      <c r="M519" s="3">
        <v>170585.96</v>
      </c>
      <c r="N519" s="3">
        <v>18</v>
      </c>
      <c r="O519" s="3" t="b">
        <v>0</v>
      </c>
      <c r="P519" s="3" t="b">
        <v>0</v>
      </c>
      <c r="Q519" s="3">
        <v>4359.2891558904121</v>
      </c>
      <c r="R519" s="3">
        <v>39875.052348493147</v>
      </c>
      <c r="S519" s="3">
        <v>44234.341504383563</v>
      </c>
      <c r="T519" s="5">
        <f>IF(J519&lt;&gt;"",M519*N519/365/100*('Cashflow Projection'!$B$2-Investors!J519),0)</f>
        <v>33565.708622465754</v>
      </c>
    </row>
    <row r="520" spans="1:20" x14ac:dyDescent="0.2">
      <c r="A520" s="3" t="s">
        <v>123</v>
      </c>
      <c r="B520" s="3" t="s">
        <v>124</v>
      </c>
      <c r="C520" s="3" t="s">
        <v>125</v>
      </c>
      <c r="D520" s="3" t="s">
        <v>386</v>
      </c>
      <c r="E520" s="3" t="s">
        <v>863</v>
      </c>
      <c r="F520" s="3" t="b">
        <v>1</v>
      </c>
      <c r="G520" s="3" t="b">
        <v>0</v>
      </c>
      <c r="H520" s="3" t="s">
        <v>854</v>
      </c>
      <c r="I520" s="4">
        <v>44960</v>
      </c>
      <c r="J520" s="4">
        <v>45072</v>
      </c>
      <c r="K520" s="4">
        <v>45518</v>
      </c>
      <c r="L520" s="3">
        <v>11</v>
      </c>
      <c r="M520" s="3">
        <v>258587.14</v>
      </c>
      <c r="N520" s="3">
        <v>18</v>
      </c>
      <c r="O520" s="3" t="b">
        <v>0</v>
      </c>
      <c r="P520" s="3" t="b">
        <v>0</v>
      </c>
      <c r="Q520" s="3">
        <v>8133.0968964383728</v>
      </c>
      <c r="R520" s="3">
        <v>56875.001641643838</v>
      </c>
      <c r="S520" s="3">
        <v>65008.098538082217</v>
      </c>
      <c r="T520" s="5">
        <f>IF(J520&lt;&gt;"",M520*N520/365/100*('Cashflow Projection'!$B$2-Investors!J520),0)</f>
        <v>47310.819751232884</v>
      </c>
    </row>
    <row r="521" spans="1:20" x14ac:dyDescent="0.2">
      <c r="A521" s="3" t="s">
        <v>346</v>
      </c>
      <c r="B521" s="3" t="s">
        <v>347</v>
      </c>
      <c r="C521" s="3" t="s">
        <v>348</v>
      </c>
      <c r="D521" s="3" t="s">
        <v>386</v>
      </c>
      <c r="E521" s="3" t="s">
        <v>863</v>
      </c>
      <c r="F521" s="3" t="b">
        <v>1</v>
      </c>
      <c r="G521" s="3" t="b">
        <v>0</v>
      </c>
      <c r="H521" s="3" t="s">
        <v>854</v>
      </c>
      <c r="I521" s="4">
        <v>44952</v>
      </c>
      <c r="J521" s="4">
        <v>45044</v>
      </c>
      <c r="K521" s="4">
        <v>45518</v>
      </c>
      <c r="L521" s="3">
        <v>2</v>
      </c>
      <c r="M521" s="3">
        <v>500000</v>
      </c>
      <c r="N521" s="3">
        <v>16</v>
      </c>
      <c r="O521" s="3" t="b">
        <v>0</v>
      </c>
      <c r="P521" s="3" t="b">
        <v>0</v>
      </c>
      <c r="Q521" s="3">
        <v>12777.397260274</v>
      </c>
      <c r="R521" s="3">
        <v>103890.4109589041</v>
      </c>
      <c r="S521" s="3">
        <v>116667.8082191781</v>
      </c>
      <c r="T521" s="5">
        <f>IF(J521&lt;&gt;"",M521*N521/365/100*('Cashflow Projection'!$B$2-Investors!J521),0)</f>
        <v>87452.054794520547</v>
      </c>
    </row>
    <row r="522" spans="1:20" x14ac:dyDescent="0.2">
      <c r="A522" s="3" t="s">
        <v>299</v>
      </c>
      <c r="B522" s="3" t="s">
        <v>300</v>
      </c>
      <c r="C522" s="3" t="s">
        <v>301</v>
      </c>
      <c r="D522" s="3" t="s">
        <v>386</v>
      </c>
      <c r="E522" s="3" t="s">
        <v>863</v>
      </c>
      <c r="F522" s="3" t="b">
        <v>1</v>
      </c>
      <c r="G522" s="3" t="b">
        <v>0</v>
      </c>
      <c r="H522" s="3" t="s">
        <v>854</v>
      </c>
      <c r="I522" s="4">
        <v>44946</v>
      </c>
      <c r="J522" s="4">
        <v>45016</v>
      </c>
      <c r="K522" s="4">
        <v>45518</v>
      </c>
      <c r="L522" s="3">
        <v>2</v>
      </c>
      <c r="M522" s="3">
        <v>187515.41</v>
      </c>
      <c r="N522" s="3">
        <v>14</v>
      </c>
      <c r="O522" s="3" t="b">
        <v>0</v>
      </c>
      <c r="P522" s="3" t="b">
        <v>0</v>
      </c>
      <c r="Q522" s="3">
        <v>3582.058071849312</v>
      </c>
      <c r="R522" s="3">
        <v>36105.706889863017</v>
      </c>
      <c r="S522" s="3">
        <v>39687.764961712339</v>
      </c>
      <c r="T522" s="5">
        <f>IF(J522&lt;&gt;"",M522*N522/365/100*('Cashflow Projection'!$B$2-Investors!J522),0)</f>
        <v>30711.427972054797</v>
      </c>
    </row>
    <row r="523" spans="1:20" x14ac:dyDescent="0.2">
      <c r="A523" s="3" t="s">
        <v>52</v>
      </c>
      <c r="B523" s="3" t="s">
        <v>53</v>
      </c>
      <c r="C523" s="3" t="s">
        <v>54</v>
      </c>
      <c r="D523" s="3" t="s">
        <v>386</v>
      </c>
      <c r="E523" s="3" t="s">
        <v>864</v>
      </c>
      <c r="F523" s="3" t="b">
        <v>1</v>
      </c>
      <c r="G523" s="3" t="b">
        <v>0</v>
      </c>
      <c r="H523" s="3" t="s">
        <v>854</v>
      </c>
      <c r="I523" s="4">
        <v>44965</v>
      </c>
      <c r="J523" s="4">
        <v>45072</v>
      </c>
      <c r="K523" s="4">
        <v>45518</v>
      </c>
      <c r="L523" s="3">
        <v>11</v>
      </c>
      <c r="M523" s="3">
        <v>110000</v>
      </c>
      <c r="N523" s="3">
        <v>18</v>
      </c>
      <c r="O523" s="3" t="b">
        <v>0</v>
      </c>
      <c r="P523" s="3" t="b">
        <v>0</v>
      </c>
      <c r="Q523" s="3">
        <v>3309.041095890419</v>
      </c>
      <c r="R523" s="3">
        <v>24193.97260273973</v>
      </c>
      <c r="S523" s="3">
        <v>27503.01369863014</v>
      </c>
      <c r="T523" s="5">
        <f>IF(J523&lt;&gt;"",M523*N523/365/100*('Cashflow Projection'!$B$2-Investors!J523),0)</f>
        <v>20125.479452054798</v>
      </c>
    </row>
    <row r="524" spans="1:20" x14ac:dyDescent="0.2">
      <c r="A524" s="3" t="s">
        <v>240</v>
      </c>
      <c r="B524" s="3" t="s">
        <v>241</v>
      </c>
      <c r="C524" s="3" t="s">
        <v>242</v>
      </c>
      <c r="D524" s="3" t="s">
        <v>386</v>
      </c>
      <c r="E524" s="3" t="s">
        <v>864</v>
      </c>
      <c r="F524" s="3" t="b">
        <v>1</v>
      </c>
      <c r="G524" s="3" t="b">
        <v>0</v>
      </c>
      <c r="H524" s="3" t="s">
        <v>854</v>
      </c>
      <c r="I524" s="4">
        <v>44964</v>
      </c>
      <c r="J524" s="4">
        <v>45072</v>
      </c>
      <c r="K524" s="4">
        <v>45518</v>
      </c>
      <c r="L524" s="3">
        <v>7</v>
      </c>
      <c r="M524" s="3">
        <v>819398.7</v>
      </c>
      <c r="N524" s="3">
        <v>18</v>
      </c>
      <c r="O524" s="3" t="b">
        <v>0</v>
      </c>
      <c r="P524" s="3" t="b">
        <v>0</v>
      </c>
      <c r="Q524" s="3">
        <v>24873.801632876759</v>
      </c>
      <c r="R524" s="3">
        <v>180222.81544109591</v>
      </c>
      <c r="S524" s="3">
        <v>205096.61707397271</v>
      </c>
      <c r="T524" s="5">
        <f>IF(J524&lt;&gt;"",M524*N524/365/100*('Cashflow Projection'!$B$2-Investors!J524),0)</f>
        <v>149916.28818082192</v>
      </c>
    </row>
    <row r="525" spans="1:20" x14ac:dyDescent="0.2">
      <c r="A525" s="3" t="s">
        <v>295</v>
      </c>
      <c r="B525" s="3" t="s">
        <v>296</v>
      </c>
      <c r="C525" s="3" t="s">
        <v>297</v>
      </c>
      <c r="D525" s="3" t="s">
        <v>386</v>
      </c>
      <c r="E525" s="3" t="s">
        <v>864</v>
      </c>
      <c r="F525" s="3" t="b">
        <v>1</v>
      </c>
      <c r="G525" s="3" t="b">
        <v>0</v>
      </c>
      <c r="H525" s="3" t="s">
        <v>854</v>
      </c>
      <c r="I525" s="4">
        <v>45012</v>
      </c>
      <c r="J525" s="4">
        <v>45129</v>
      </c>
      <c r="K525" s="4">
        <v>45518</v>
      </c>
      <c r="L525" s="3">
        <v>2</v>
      </c>
      <c r="M525" s="3">
        <v>192071.92</v>
      </c>
      <c r="N525" s="3">
        <v>14</v>
      </c>
      <c r="O525" s="3" t="b">
        <v>0</v>
      </c>
      <c r="P525" s="3" t="b">
        <v>0</v>
      </c>
      <c r="Q525" s="3">
        <v>6590.961090410965</v>
      </c>
      <c r="R525" s="3">
        <v>28658.18291287672</v>
      </c>
      <c r="S525" s="3">
        <v>35249.144003287693</v>
      </c>
      <c r="T525" s="5">
        <f>IF(J525&lt;&gt;"",M525*N525/365/100*('Cashflow Projection'!$B$2-Investors!J525),0)</f>
        <v>23132.826310136988</v>
      </c>
    </row>
    <row r="526" spans="1:20" x14ac:dyDescent="0.2">
      <c r="A526" s="3" t="s">
        <v>340</v>
      </c>
      <c r="B526" s="3" t="s">
        <v>341</v>
      </c>
      <c r="C526" s="3" t="s">
        <v>57</v>
      </c>
      <c r="D526" s="3" t="s">
        <v>386</v>
      </c>
      <c r="E526" s="3" t="s">
        <v>865</v>
      </c>
      <c r="F526" s="3" t="b">
        <v>1</v>
      </c>
      <c r="G526" s="3" t="b">
        <v>0</v>
      </c>
      <c r="H526" s="3" t="s">
        <v>854</v>
      </c>
      <c r="I526" s="4">
        <v>44964</v>
      </c>
      <c r="J526" s="4">
        <v>45072</v>
      </c>
      <c r="K526" s="4">
        <v>45518</v>
      </c>
      <c r="L526" s="3">
        <v>4</v>
      </c>
      <c r="M526" s="3">
        <v>586801.37</v>
      </c>
      <c r="N526" s="3">
        <v>18</v>
      </c>
      <c r="O526" s="3" t="b">
        <v>0</v>
      </c>
      <c r="P526" s="3" t="b">
        <v>0</v>
      </c>
      <c r="Q526" s="3">
        <v>17813.038848219148</v>
      </c>
      <c r="R526" s="3">
        <v>129064.14790027399</v>
      </c>
      <c r="S526" s="3">
        <v>146877.18674849311</v>
      </c>
      <c r="T526" s="5">
        <f>IF(J526&lt;&gt;"",M526*N526/365/100*('Cashflow Projection'!$B$2-Investors!J526),0)</f>
        <v>107360.53558520548</v>
      </c>
    </row>
    <row r="527" spans="1:20" x14ac:dyDescent="0.2">
      <c r="A527" s="3" t="s">
        <v>247</v>
      </c>
      <c r="B527" s="3" t="s">
        <v>248</v>
      </c>
      <c r="C527" s="3" t="s">
        <v>249</v>
      </c>
      <c r="D527" s="3" t="s">
        <v>386</v>
      </c>
      <c r="E527" s="3" t="s">
        <v>865</v>
      </c>
      <c r="F527" s="3" t="b">
        <v>1</v>
      </c>
      <c r="G527" s="3" t="b">
        <v>0</v>
      </c>
      <c r="H527" s="3" t="s">
        <v>854</v>
      </c>
      <c r="I527" s="4">
        <v>44964</v>
      </c>
      <c r="J527" s="4">
        <v>45072</v>
      </c>
      <c r="K527" s="4">
        <v>45518</v>
      </c>
      <c r="L527" s="3">
        <v>2</v>
      </c>
      <c r="M527" s="3">
        <v>504150.68</v>
      </c>
      <c r="N527" s="3">
        <v>16</v>
      </c>
      <c r="O527" s="3" t="b">
        <v>0</v>
      </c>
      <c r="P527" s="3" t="b">
        <v>0</v>
      </c>
      <c r="Q527" s="3">
        <v>15304.080916164419</v>
      </c>
      <c r="R527" s="3">
        <v>98564.91102684931</v>
      </c>
      <c r="S527" s="3">
        <v>113868.99194301369</v>
      </c>
      <c r="T527" s="5">
        <f>IF(J527&lt;&gt;"",M527*N527/365/100*('Cashflow Projection'!$B$2-Investors!J527),0)</f>
        <v>81990.094150136982</v>
      </c>
    </row>
    <row r="528" spans="1:20" x14ac:dyDescent="0.2">
      <c r="A528" s="3" t="s">
        <v>336</v>
      </c>
      <c r="B528" s="3" t="s">
        <v>337</v>
      </c>
      <c r="C528" s="3" t="s">
        <v>338</v>
      </c>
      <c r="D528" s="3" t="s">
        <v>386</v>
      </c>
      <c r="E528" s="3" t="s">
        <v>866</v>
      </c>
      <c r="F528" s="3" t="b">
        <v>0</v>
      </c>
      <c r="G528" s="3" t="b">
        <v>0</v>
      </c>
      <c r="H528" s="3" t="s">
        <v>854</v>
      </c>
      <c r="I528" s="4">
        <v>44960</v>
      </c>
      <c r="J528" s="4">
        <v>45072</v>
      </c>
      <c r="K528" s="4">
        <v>45545</v>
      </c>
      <c r="L528" s="3">
        <v>2</v>
      </c>
      <c r="M528" s="3">
        <v>1000000</v>
      </c>
      <c r="N528" s="3">
        <v>18</v>
      </c>
      <c r="O528" s="3" t="b">
        <v>0</v>
      </c>
      <c r="P528" s="3" t="b">
        <v>0</v>
      </c>
      <c r="Q528" s="3">
        <v>31452.05479452062</v>
      </c>
      <c r="R528" s="3">
        <v>233260.27397260279</v>
      </c>
      <c r="S528" s="3">
        <v>264712.3287671234</v>
      </c>
      <c r="T528" s="5">
        <f>IF(J528&lt;&gt;"",M528*N528/365/100*('Cashflow Projection'!$B$2-Investors!J528),0)</f>
        <v>182958.90410958903</v>
      </c>
    </row>
    <row r="529" spans="1:20" x14ac:dyDescent="0.2">
      <c r="A529" s="3" t="s">
        <v>452</v>
      </c>
      <c r="B529" s="3" t="s">
        <v>453</v>
      </c>
      <c r="C529" s="3" t="s">
        <v>178</v>
      </c>
      <c r="D529" s="3" t="s">
        <v>386</v>
      </c>
      <c r="E529" s="3" t="s">
        <v>866</v>
      </c>
      <c r="F529" s="3" t="b">
        <v>0</v>
      </c>
      <c r="G529" s="3" t="b">
        <v>0</v>
      </c>
      <c r="H529" s="3" t="s">
        <v>854</v>
      </c>
      <c r="I529" s="4">
        <v>44973</v>
      </c>
      <c r="J529" s="4">
        <v>45072</v>
      </c>
      <c r="K529" s="4">
        <v>45545</v>
      </c>
      <c r="L529" s="3">
        <v>2</v>
      </c>
      <c r="M529" s="3">
        <v>100000</v>
      </c>
      <c r="N529" s="3">
        <v>18</v>
      </c>
      <c r="O529" s="3" t="b">
        <v>0</v>
      </c>
      <c r="P529" s="3" t="b">
        <v>0</v>
      </c>
      <c r="Q529" s="3">
        <v>2789.0410958904149</v>
      </c>
      <c r="R529" s="3">
        <v>23326.02739726027</v>
      </c>
      <c r="S529" s="3">
        <v>26115.068493150691</v>
      </c>
      <c r="T529" s="5">
        <f>IF(J529&lt;&gt;"",M529*N529/365/100*('Cashflow Projection'!$B$2-Investors!J529),0)</f>
        <v>18295.890410958902</v>
      </c>
    </row>
    <row r="530" spans="1:20" x14ac:dyDescent="0.2">
      <c r="A530" s="3" t="s">
        <v>867</v>
      </c>
      <c r="B530" s="3" t="s">
        <v>868</v>
      </c>
      <c r="C530" s="3" t="s">
        <v>401</v>
      </c>
      <c r="D530" s="3" t="s">
        <v>386</v>
      </c>
      <c r="E530" s="3" t="s">
        <v>869</v>
      </c>
      <c r="F530" s="3" t="b">
        <v>1</v>
      </c>
      <c r="G530" s="3" t="b">
        <v>0</v>
      </c>
      <c r="H530" s="3" t="s">
        <v>854</v>
      </c>
      <c r="I530" s="4">
        <v>44973</v>
      </c>
      <c r="J530" s="4">
        <v>45107</v>
      </c>
      <c r="K530" s="4">
        <v>45532</v>
      </c>
      <c r="L530" s="3">
        <v>1</v>
      </c>
      <c r="M530" s="3">
        <v>600000</v>
      </c>
      <c r="N530" s="3">
        <v>18</v>
      </c>
      <c r="O530" s="3" t="b">
        <v>0</v>
      </c>
      <c r="P530" s="3" t="b">
        <v>0</v>
      </c>
      <c r="Q530" s="3">
        <v>23021.91780821915</v>
      </c>
      <c r="R530" s="3">
        <v>125753.4246575343</v>
      </c>
      <c r="S530" s="3">
        <v>148775.34246575341</v>
      </c>
      <c r="T530" s="5">
        <f>IF(J530&lt;&gt;"",M530*N530/365/100*('Cashflow Projection'!$B$2-Investors!J530),0)</f>
        <v>99419.178082191778</v>
      </c>
    </row>
    <row r="531" spans="1:20" x14ac:dyDescent="0.2">
      <c r="A531" s="3" t="s">
        <v>366</v>
      </c>
      <c r="B531" s="3" t="s">
        <v>367</v>
      </c>
      <c r="C531" s="3" t="s">
        <v>368</v>
      </c>
      <c r="D531" s="3" t="s">
        <v>386</v>
      </c>
      <c r="E531" s="3" t="s">
        <v>869</v>
      </c>
      <c r="F531" s="3" t="b">
        <v>1</v>
      </c>
      <c r="G531" s="3" t="b">
        <v>0</v>
      </c>
      <c r="H531" s="3" t="s">
        <v>854</v>
      </c>
      <c r="I531" s="4">
        <v>45019</v>
      </c>
      <c r="J531" s="4">
        <v>45129</v>
      </c>
      <c r="K531" s="4">
        <v>45532</v>
      </c>
      <c r="L531" s="3">
        <v>3</v>
      </c>
      <c r="M531" s="3">
        <v>101260.27</v>
      </c>
      <c r="N531" s="3">
        <v>18</v>
      </c>
      <c r="O531" s="3" t="b">
        <v>0</v>
      </c>
      <c r="P531" s="3" t="b">
        <v>0</v>
      </c>
      <c r="Q531" s="3">
        <v>3276.3939416438302</v>
      </c>
      <c r="R531" s="3">
        <v>20124.438317260279</v>
      </c>
      <c r="S531" s="3">
        <v>23400.832258904109</v>
      </c>
      <c r="T531" s="5">
        <f>IF(J531&lt;&gt;"",M531*N531/365/100*('Cashflow Projection'!$B$2-Investors!J531),0)</f>
        <v>15680.083453150684</v>
      </c>
    </row>
    <row r="532" spans="1:20" x14ac:dyDescent="0.2">
      <c r="A532" s="3" t="s">
        <v>870</v>
      </c>
      <c r="B532" s="3" t="s">
        <v>871</v>
      </c>
      <c r="C532" s="3" t="s">
        <v>872</v>
      </c>
      <c r="D532" s="3" t="s">
        <v>386</v>
      </c>
      <c r="E532" s="3" t="s">
        <v>869</v>
      </c>
      <c r="F532" s="3" t="b">
        <v>1</v>
      </c>
      <c r="G532" s="3" t="b">
        <v>0</v>
      </c>
      <c r="H532" s="3" t="s">
        <v>854</v>
      </c>
      <c r="I532" s="4">
        <v>45077</v>
      </c>
      <c r="J532" s="4">
        <v>45252</v>
      </c>
      <c r="K532" s="4">
        <v>45532</v>
      </c>
      <c r="L532" s="3">
        <v>1</v>
      </c>
      <c r="M532" s="3">
        <v>200000</v>
      </c>
      <c r="N532" s="3">
        <v>14</v>
      </c>
      <c r="O532" s="3" t="b">
        <v>0</v>
      </c>
      <c r="P532" s="3" t="b">
        <v>0</v>
      </c>
      <c r="Q532" s="3">
        <v>10547.94520547942</v>
      </c>
      <c r="R532" s="3">
        <v>21479.452054794521</v>
      </c>
      <c r="S532" s="3">
        <v>32027.397260273941</v>
      </c>
      <c r="T532" s="5">
        <f>IF(J532&lt;&gt;"",M532*N532/365/100*('Cashflow Projection'!$B$2-Investors!J532),0)</f>
        <v>14652.054794520549</v>
      </c>
    </row>
    <row r="533" spans="1:20" x14ac:dyDescent="0.2">
      <c r="A533" s="3" t="s">
        <v>873</v>
      </c>
      <c r="B533" s="3" t="s">
        <v>874</v>
      </c>
      <c r="C533" s="3" t="s">
        <v>875</v>
      </c>
      <c r="D533" s="3" t="s">
        <v>386</v>
      </c>
      <c r="E533" s="3" t="s">
        <v>869</v>
      </c>
      <c r="F533" s="3" t="b">
        <v>1</v>
      </c>
      <c r="G533" s="3" t="b">
        <v>0</v>
      </c>
      <c r="H533" s="3" t="s">
        <v>854</v>
      </c>
      <c r="I533" s="4">
        <v>45146</v>
      </c>
      <c r="J533" s="4">
        <v>45273</v>
      </c>
      <c r="K533" s="4">
        <v>45532</v>
      </c>
      <c r="L533" s="3">
        <v>1</v>
      </c>
      <c r="M533" s="3">
        <v>100000</v>
      </c>
      <c r="N533" s="3">
        <v>14</v>
      </c>
      <c r="O533" s="3" t="b">
        <v>0</v>
      </c>
      <c r="P533" s="3" t="b">
        <v>0</v>
      </c>
      <c r="Q533" s="3">
        <v>3827.397260273965</v>
      </c>
      <c r="R533" s="3">
        <v>9934.2465753424658</v>
      </c>
      <c r="S533" s="3">
        <v>13761.643835616431</v>
      </c>
      <c r="T533" s="5">
        <f>IF(J533&lt;&gt;"",M533*N533/365/100*('Cashflow Projection'!$B$2-Investors!J533),0)</f>
        <v>6520.5479452054806</v>
      </c>
    </row>
    <row r="534" spans="1:20" x14ac:dyDescent="0.2">
      <c r="A534" s="3" t="s">
        <v>876</v>
      </c>
      <c r="B534" s="3" t="s">
        <v>877</v>
      </c>
      <c r="C534" s="3" t="s">
        <v>144</v>
      </c>
      <c r="D534" s="3" t="s">
        <v>386</v>
      </c>
      <c r="E534" s="3" t="s">
        <v>869</v>
      </c>
      <c r="F534" s="3" t="b">
        <v>1</v>
      </c>
      <c r="G534" s="3" t="b">
        <v>0</v>
      </c>
      <c r="H534" s="3" t="s">
        <v>854</v>
      </c>
      <c r="I534" s="4">
        <v>45097</v>
      </c>
      <c r="J534" s="4">
        <v>45259</v>
      </c>
      <c r="K534" s="4">
        <v>45532</v>
      </c>
      <c r="L534" s="3">
        <v>2</v>
      </c>
      <c r="M534" s="3">
        <v>115687.67</v>
      </c>
      <c r="N534" s="3">
        <v>14</v>
      </c>
      <c r="O534" s="3" t="b">
        <v>0</v>
      </c>
      <c r="P534" s="3" t="b">
        <v>0</v>
      </c>
      <c r="Q534" s="3">
        <v>5648.0939161644037</v>
      </c>
      <c r="R534" s="3">
        <v>12113.925335342459</v>
      </c>
      <c r="S534" s="3">
        <v>17762.01925150687</v>
      </c>
      <c r="T534" s="5">
        <f>IF(J534&lt;&gt;"",M534*N534/365/100*('Cashflow Projection'!$B$2-Investors!J534),0)</f>
        <v>8164.6969293150678</v>
      </c>
    </row>
    <row r="535" spans="1:20" x14ac:dyDescent="0.2">
      <c r="A535" s="3" t="s">
        <v>878</v>
      </c>
      <c r="B535" s="3" t="s">
        <v>879</v>
      </c>
      <c r="C535" s="3" t="s">
        <v>880</v>
      </c>
      <c r="D535" s="3" t="s">
        <v>386</v>
      </c>
      <c r="E535" s="3" t="s">
        <v>881</v>
      </c>
      <c r="F535" s="3" t="b">
        <v>0</v>
      </c>
      <c r="G535" s="3" t="b">
        <v>0</v>
      </c>
      <c r="H535" s="3" t="s">
        <v>854</v>
      </c>
      <c r="I535" s="4">
        <v>45033</v>
      </c>
      <c r="J535" s="4">
        <v>45129</v>
      </c>
      <c r="K535" s="4">
        <v>45518</v>
      </c>
      <c r="L535" s="3">
        <v>1</v>
      </c>
      <c r="M535" s="3">
        <v>100000</v>
      </c>
      <c r="N535" s="3">
        <v>14</v>
      </c>
      <c r="O535" s="3" t="b">
        <v>0</v>
      </c>
      <c r="P535" s="3" t="b">
        <v>0</v>
      </c>
      <c r="Q535" s="3">
        <v>2832.876712328763</v>
      </c>
      <c r="R535" s="3">
        <v>14920.547945205481</v>
      </c>
      <c r="S535" s="3">
        <v>17753.42465753424</v>
      </c>
      <c r="T535" s="5">
        <f>IF(J535&lt;&gt;"",M535*N535/365/100*('Cashflow Projection'!$B$2-Investors!J535),0)</f>
        <v>12043.835616438357</v>
      </c>
    </row>
    <row r="536" spans="1:20" x14ac:dyDescent="0.2">
      <c r="A536" s="3" t="s">
        <v>179</v>
      </c>
      <c r="B536" s="3" t="s">
        <v>180</v>
      </c>
      <c r="C536" s="3" t="s">
        <v>181</v>
      </c>
      <c r="D536" s="3" t="s">
        <v>386</v>
      </c>
      <c r="E536" s="3" t="s">
        <v>881</v>
      </c>
      <c r="F536" s="3" t="b">
        <v>0</v>
      </c>
      <c r="G536" s="3" t="b">
        <v>0</v>
      </c>
      <c r="H536" s="3" t="s">
        <v>854</v>
      </c>
      <c r="I536" s="4">
        <v>45027</v>
      </c>
      <c r="J536" s="4">
        <v>45129</v>
      </c>
      <c r="K536" s="4">
        <v>45518</v>
      </c>
      <c r="L536" s="3">
        <v>5</v>
      </c>
      <c r="M536" s="3">
        <v>111295.21</v>
      </c>
      <c r="N536" s="3">
        <v>18</v>
      </c>
      <c r="O536" s="3" t="b">
        <v>0</v>
      </c>
      <c r="P536" s="3" t="b">
        <v>0</v>
      </c>
      <c r="Q536" s="3">
        <v>3344.9546676712398</v>
      </c>
      <c r="R536" s="3">
        <v>21350.385216986298</v>
      </c>
      <c r="S536" s="3">
        <v>24695.33988465754</v>
      </c>
      <c r="T536" s="5">
        <f>IF(J536&lt;&gt;"",M536*N536/365/100*('Cashflow Projection'!$B$2-Investors!J536),0)</f>
        <v>17233.98703890411</v>
      </c>
    </row>
    <row r="537" spans="1:20" x14ac:dyDescent="0.2">
      <c r="A537" s="3" t="s">
        <v>882</v>
      </c>
      <c r="B537" s="3" t="s">
        <v>883</v>
      </c>
      <c r="C537" s="3" t="s">
        <v>747</v>
      </c>
      <c r="D537" s="3" t="s">
        <v>386</v>
      </c>
      <c r="E537" s="3" t="s">
        <v>881</v>
      </c>
      <c r="F537" s="3" t="b">
        <v>0</v>
      </c>
      <c r="G537" s="3" t="b">
        <v>0</v>
      </c>
      <c r="H537" s="3" t="s">
        <v>854</v>
      </c>
      <c r="I537" s="4">
        <v>44992</v>
      </c>
      <c r="J537" s="4">
        <v>45107</v>
      </c>
      <c r="K537" s="4">
        <v>45518</v>
      </c>
      <c r="L537" s="3">
        <v>1</v>
      </c>
      <c r="M537" s="3">
        <v>900000</v>
      </c>
      <c r="N537" s="3">
        <v>16</v>
      </c>
      <c r="O537" s="3" t="b">
        <v>0</v>
      </c>
      <c r="P537" s="3" t="b">
        <v>0</v>
      </c>
      <c r="Q537" s="3">
        <v>29847.945205479471</v>
      </c>
      <c r="R537" s="3">
        <v>162147.94520547951</v>
      </c>
      <c r="S537" s="3">
        <v>191995.89041095891</v>
      </c>
      <c r="T537" s="5">
        <f>IF(J537&lt;&gt;"",M537*N537/365/100*('Cashflow Projection'!$B$2-Investors!J537),0)</f>
        <v>132558.90410958903</v>
      </c>
    </row>
    <row r="538" spans="1:20" x14ac:dyDescent="0.2">
      <c r="A538" s="3" t="s">
        <v>44</v>
      </c>
      <c r="B538" s="3" t="s">
        <v>45</v>
      </c>
      <c r="C538" s="3" t="s">
        <v>46</v>
      </c>
      <c r="D538" s="3" t="s">
        <v>386</v>
      </c>
      <c r="E538" s="3" t="s">
        <v>884</v>
      </c>
      <c r="F538" s="3" t="b">
        <v>1</v>
      </c>
      <c r="G538" s="3" t="b">
        <v>0</v>
      </c>
      <c r="H538" s="3" t="s">
        <v>854</v>
      </c>
      <c r="I538" s="4">
        <v>44979</v>
      </c>
      <c r="J538" s="4">
        <v>45107</v>
      </c>
      <c r="K538" s="4">
        <v>45518</v>
      </c>
      <c r="L538" s="3">
        <v>7</v>
      </c>
      <c r="M538" s="3">
        <v>1100000</v>
      </c>
      <c r="N538" s="3">
        <v>18</v>
      </c>
      <c r="O538" s="3" t="b">
        <v>0</v>
      </c>
      <c r="P538" s="3" t="b">
        <v>0</v>
      </c>
      <c r="Q538" s="3">
        <v>40398.630136986358</v>
      </c>
      <c r="R538" s="3">
        <v>222953.42465753431</v>
      </c>
      <c r="S538" s="3">
        <v>263352.05479452061</v>
      </c>
      <c r="T538" s="5">
        <f>IF(J538&lt;&gt;"",M538*N538/365/100*('Cashflow Projection'!$B$2-Investors!J538),0)</f>
        <v>182268.49315068495</v>
      </c>
    </row>
    <row r="539" spans="1:20" x14ac:dyDescent="0.2">
      <c r="A539" s="3" t="s">
        <v>374</v>
      </c>
      <c r="B539" s="3" t="s">
        <v>375</v>
      </c>
      <c r="C539" s="3" t="s">
        <v>306</v>
      </c>
      <c r="D539" s="3" t="s">
        <v>386</v>
      </c>
      <c r="E539" s="3" t="s">
        <v>885</v>
      </c>
      <c r="F539" s="3" t="b">
        <v>0</v>
      </c>
      <c r="G539" s="3" t="b">
        <v>0</v>
      </c>
      <c r="H539" s="3" t="s">
        <v>854</v>
      </c>
      <c r="I539" s="4">
        <v>45097</v>
      </c>
      <c r="J539" s="4">
        <v>45259</v>
      </c>
      <c r="K539" s="4">
        <v>45546</v>
      </c>
      <c r="L539" s="3">
        <v>2</v>
      </c>
      <c r="M539" s="3">
        <v>119247.26</v>
      </c>
      <c r="N539" s="3">
        <v>14</v>
      </c>
      <c r="O539" s="3" t="b">
        <v>0</v>
      </c>
      <c r="P539" s="3" t="b">
        <v>0</v>
      </c>
      <c r="Q539" s="3">
        <v>5821.8799265753514</v>
      </c>
      <c r="R539" s="3">
        <v>13126.999744657531</v>
      </c>
      <c r="S539" s="3">
        <v>18948.87967123288</v>
      </c>
      <c r="T539" s="5">
        <f>IF(J539&lt;&gt;"",M539*N539/365/100*('Cashflow Projection'!$B$2-Investors!J539),0)</f>
        <v>8415.9162126027404</v>
      </c>
    </row>
    <row r="540" spans="1:20" x14ac:dyDescent="0.2">
      <c r="A540" s="3" t="s">
        <v>745</v>
      </c>
      <c r="B540" s="3" t="s">
        <v>746</v>
      </c>
      <c r="C540" s="3" t="s">
        <v>747</v>
      </c>
      <c r="D540" s="3" t="s">
        <v>386</v>
      </c>
      <c r="E540" s="3" t="s">
        <v>885</v>
      </c>
      <c r="F540" s="3" t="b">
        <v>0</v>
      </c>
      <c r="G540" s="3" t="b">
        <v>0</v>
      </c>
      <c r="H540" s="3" t="s">
        <v>854</v>
      </c>
      <c r="I540" s="4">
        <v>45075</v>
      </c>
      <c r="J540" s="4">
        <v>45259</v>
      </c>
      <c r="K540" s="4">
        <v>45546</v>
      </c>
      <c r="L540" s="3">
        <v>3</v>
      </c>
      <c r="M540" s="3">
        <v>1000000</v>
      </c>
      <c r="N540" s="3">
        <v>18</v>
      </c>
      <c r="O540" s="3" t="b">
        <v>0</v>
      </c>
      <c r="P540" s="3" t="b">
        <v>0</v>
      </c>
      <c r="Q540" s="3">
        <v>55424.657534246617</v>
      </c>
      <c r="R540" s="3">
        <v>141534.24657534249</v>
      </c>
      <c r="S540" s="3">
        <v>196958.90410958909</v>
      </c>
      <c r="T540" s="5">
        <f>IF(J540&lt;&gt;"",M540*N540/365/100*('Cashflow Projection'!$B$2-Investors!J540),0)</f>
        <v>90739.72602739725</v>
      </c>
    </row>
    <row r="541" spans="1:20" x14ac:dyDescent="0.2">
      <c r="A541" s="3" t="s">
        <v>399</v>
      </c>
      <c r="B541" s="3" t="s">
        <v>400</v>
      </c>
      <c r="C541" s="3" t="s">
        <v>401</v>
      </c>
      <c r="D541" s="3" t="s">
        <v>386</v>
      </c>
      <c r="E541" s="3" t="s">
        <v>886</v>
      </c>
      <c r="F541" s="3" t="b">
        <v>1</v>
      </c>
      <c r="G541" s="3" t="b">
        <v>0</v>
      </c>
      <c r="H541" s="3" t="s">
        <v>854</v>
      </c>
      <c r="I541" s="4">
        <v>44973</v>
      </c>
      <c r="J541" s="4">
        <v>45107</v>
      </c>
      <c r="K541" s="4">
        <v>45532</v>
      </c>
      <c r="L541" s="3">
        <v>2</v>
      </c>
      <c r="M541" s="3">
        <v>500000</v>
      </c>
      <c r="N541" s="3">
        <v>18</v>
      </c>
      <c r="O541" s="3" t="b">
        <v>0</v>
      </c>
      <c r="P541" s="3" t="b">
        <v>0</v>
      </c>
      <c r="Q541" s="3">
        <v>19184.931506849349</v>
      </c>
      <c r="R541" s="3">
        <v>104794.5205479452</v>
      </c>
      <c r="S541" s="3">
        <v>123979.4520547946</v>
      </c>
      <c r="T541" s="5">
        <f>IF(J541&lt;&gt;"",M541*N541/365/100*('Cashflow Projection'!$B$2-Investors!J541),0)</f>
        <v>82849.315068493146</v>
      </c>
    </row>
    <row r="542" spans="1:20" x14ac:dyDescent="0.2">
      <c r="A542" s="3" t="s">
        <v>309</v>
      </c>
      <c r="B542" s="3" t="s">
        <v>310</v>
      </c>
      <c r="C542" s="3" t="s">
        <v>311</v>
      </c>
      <c r="D542" s="3" t="s">
        <v>386</v>
      </c>
      <c r="E542" s="3" t="s">
        <v>886</v>
      </c>
      <c r="F542" s="3" t="b">
        <v>1</v>
      </c>
      <c r="G542" s="3" t="b">
        <v>0</v>
      </c>
      <c r="H542" s="3" t="s">
        <v>854</v>
      </c>
      <c r="I542" s="4">
        <v>45012</v>
      </c>
      <c r="J542" s="4">
        <v>45161</v>
      </c>
      <c r="K542" s="4">
        <v>45532</v>
      </c>
      <c r="L542" s="3">
        <v>2</v>
      </c>
      <c r="M542" s="3">
        <v>400000</v>
      </c>
      <c r="N542" s="3">
        <v>14</v>
      </c>
      <c r="O542" s="3" t="b">
        <v>0</v>
      </c>
      <c r="P542" s="3" t="b">
        <v>0</v>
      </c>
      <c r="Q542" s="3">
        <v>17583.561643835561</v>
      </c>
      <c r="R542" s="3">
        <v>56920.547945205471</v>
      </c>
      <c r="S542" s="3">
        <v>74504.109589041036</v>
      </c>
      <c r="T542" s="5">
        <f>IF(J542&lt;&gt;"",M542*N542/365/100*('Cashflow Projection'!$B$2-Investors!J542),0)</f>
        <v>43265.753424657538</v>
      </c>
    </row>
    <row r="543" spans="1:20" x14ac:dyDescent="0.2">
      <c r="A543" s="3" t="s">
        <v>887</v>
      </c>
      <c r="B543" s="3" t="s">
        <v>888</v>
      </c>
      <c r="C543" s="3" t="s">
        <v>889</v>
      </c>
      <c r="D543" s="3" t="s">
        <v>386</v>
      </c>
      <c r="E543" s="3" t="s">
        <v>886</v>
      </c>
      <c r="F543" s="3" t="b">
        <v>1</v>
      </c>
      <c r="G543" s="3" t="b">
        <v>0</v>
      </c>
      <c r="H543" s="3" t="s">
        <v>854</v>
      </c>
      <c r="I543" s="4">
        <v>45030</v>
      </c>
      <c r="J543" s="4">
        <v>45129</v>
      </c>
      <c r="K543" s="4">
        <v>45532</v>
      </c>
      <c r="L543" s="3">
        <v>2</v>
      </c>
      <c r="M543" s="3">
        <v>118439.03999999999</v>
      </c>
      <c r="N543" s="3">
        <v>14</v>
      </c>
      <c r="O543" s="3" t="b">
        <v>0</v>
      </c>
      <c r="P543" s="3" t="b">
        <v>0</v>
      </c>
      <c r="Q543" s="3">
        <v>3457.446496438361</v>
      </c>
      <c r="R543" s="3">
        <v>18307.755169315071</v>
      </c>
      <c r="S543" s="3">
        <v>21765.20166575343</v>
      </c>
      <c r="T543" s="5">
        <f>IF(J543&lt;&gt;"",M543*N543/365/100*('Cashflow Projection'!$B$2-Investors!J543),0)</f>
        <v>14264.60328328767</v>
      </c>
    </row>
    <row r="544" spans="1:20" x14ac:dyDescent="0.2">
      <c r="A544" s="3" t="s">
        <v>182</v>
      </c>
      <c r="B544" s="3" t="s">
        <v>183</v>
      </c>
      <c r="C544" s="3" t="s">
        <v>184</v>
      </c>
      <c r="D544" s="3" t="s">
        <v>386</v>
      </c>
      <c r="E544" s="3" t="s">
        <v>886</v>
      </c>
      <c r="F544" s="3" t="b">
        <v>1</v>
      </c>
      <c r="G544" s="3" t="b">
        <v>0</v>
      </c>
      <c r="H544" s="3" t="s">
        <v>854</v>
      </c>
      <c r="I544" s="4">
        <v>45033</v>
      </c>
      <c r="J544" s="4">
        <v>45161</v>
      </c>
      <c r="K544" s="4">
        <v>45532</v>
      </c>
      <c r="L544" s="3">
        <v>2</v>
      </c>
      <c r="M544" s="3">
        <v>100000</v>
      </c>
      <c r="N544" s="3">
        <v>14</v>
      </c>
      <c r="O544" s="3" t="b">
        <v>0</v>
      </c>
      <c r="P544" s="3" t="b">
        <v>0</v>
      </c>
      <c r="Q544" s="3">
        <v>3797.260273972593</v>
      </c>
      <c r="R544" s="3">
        <v>14230.13698630137</v>
      </c>
      <c r="S544" s="3">
        <v>18027.39726027396</v>
      </c>
      <c r="T544" s="5">
        <f>IF(J544&lt;&gt;"",M544*N544/365/100*('Cashflow Projection'!$B$2-Investors!J544),0)</f>
        <v>10816.438356164384</v>
      </c>
    </row>
    <row r="545" spans="1:20" x14ac:dyDescent="0.2">
      <c r="A545" s="3" t="s">
        <v>570</v>
      </c>
      <c r="B545" s="3" t="s">
        <v>571</v>
      </c>
      <c r="C545" s="3" t="s">
        <v>572</v>
      </c>
      <c r="D545" s="3" t="s">
        <v>386</v>
      </c>
      <c r="E545" s="3" t="s">
        <v>890</v>
      </c>
      <c r="F545" s="3" t="b">
        <v>1</v>
      </c>
      <c r="G545" s="3" t="b">
        <v>1</v>
      </c>
      <c r="H545" s="3" t="s">
        <v>891</v>
      </c>
      <c r="I545" s="4">
        <v>44778</v>
      </c>
      <c r="J545" s="4">
        <v>44791</v>
      </c>
      <c r="K545" s="4">
        <v>45177</v>
      </c>
      <c r="L545" s="3">
        <v>1</v>
      </c>
      <c r="M545" s="3">
        <v>100000</v>
      </c>
      <c r="N545" s="3">
        <v>14</v>
      </c>
      <c r="O545" s="3" t="b">
        <v>0</v>
      </c>
      <c r="P545" s="3" t="b">
        <v>0</v>
      </c>
      <c r="Q545" s="3">
        <v>293.83561643835623</v>
      </c>
      <c r="R545" s="3">
        <v>14805.479452054789</v>
      </c>
      <c r="S545" s="3">
        <v>15099.31506849315</v>
      </c>
      <c r="T545" s="5">
        <f>IF(J545&lt;&gt;"",M545*N545/365/100*('Cashflow Projection'!$B$2-Investors!J545),0)</f>
        <v>25008.219178082196</v>
      </c>
    </row>
    <row r="546" spans="1:20" x14ac:dyDescent="0.2">
      <c r="A546" s="3" t="s">
        <v>257</v>
      </c>
      <c r="B546" s="3" t="s">
        <v>258</v>
      </c>
      <c r="C546" s="3" t="s">
        <v>259</v>
      </c>
      <c r="D546" s="3" t="s">
        <v>386</v>
      </c>
      <c r="E546" s="3" t="s">
        <v>890</v>
      </c>
      <c r="F546" s="3" t="b">
        <v>1</v>
      </c>
      <c r="G546" s="3" t="b">
        <v>1</v>
      </c>
      <c r="H546" s="3" t="s">
        <v>891</v>
      </c>
      <c r="I546" s="4">
        <v>44803</v>
      </c>
      <c r="J546" s="4">
        <v>44833</v>
      </c>
      <c r="K546" s="4">
        <v>45177</v>
      </c>
      <c r="L546" s="3">
        <v>3</v>
      </c>
      <c r="M546" s="3">
        <v>300000</v>
      </c>
      <c r="N546" s="3">
        <v>18</v>
      </c>
      <c r="O546" s="3" t="b">
        <v>0</v>
      </c>
      <c r="P546" s="3" t="b">
        <v>0</v>
      </c>
      <c r="Q546" s="3">
        <v>2034.2465753424669</v>
      </c>
      <c r="R546" s="3">
        <v>50893.150684931497</v>
      </c>
      <c r="S546" s="3">
        <v>52927.397260273967</v>
      </c>
      <c r="T546" s="5">
        <f>IF(J546&lt;&gt;"",M546*N546/365/100*('Cashflow Projection'!$B$2-Investors!J546),0)</f>
        <v>90246.57534246576</v>
      </c>
    </row>
    <row r="547" spans="1:20" x14ac:dyDescent="0.2">
      <c r="A547" s="3" t="s">
        <v>240</v>
      </c>
      <c r="B547" s="3" t="s">
        <v>241</v>
      </c>
      <c r="C547" s="3" t="s">
        <v>242</v>
      </c>
      <c r="D547" s="3" t="s">
        <v>386</v>
      </c>
      <c r="E547" s="3" t="s">
        <v>890</v>
      </c>
      <c r="F547" s="3" t="b">
        <v>1</v>
      </c>
      <c r="G547" s="3" t="b">
        <v>1</v>
      </c>
      <c r="H547" s="3" t="s">
        <v>891</v>
      </c>
      <c r="I547" s="4">
        <v>44803</v>
      </c>
      <c r="J547" s="4">
        <v>44819</v>
      </c>
      <c r="K547" s="4">
        <v>45177</v>
      </c>
      <c r="L547" s="3">
        <v>6</v>
      </c>
      <c r="M547" s="3">
        <v>500000</v>
      </c>
      <c r="N547" s="3">
        <v>18</v>
      </c>
      <c r="O547" s="3" t="b">
        <v>0</v>
      </c>
      <c r="P547" s="3" t="b">
        <v>0</v>
      </c>
      <c r="Q547" s="3">
        <v>1808.219178082192</v>
      </c>
      <c r="R547" s="3">
        <v>88273.972602739726</v>
      </c>
      <c r="S547" s="3">
        <v>90082.191780821915</v>
      </c>
      <c r="T547" s="5">
        <f>IF(J547&lt;&gt;"",M547*N547/365/100*('Cashflow Projection'!$B$2-Investors!J547),0)</f>
        <v>153863.01369863012</v>
      </c>
    </row>
    <row r="548" spans="1:20" x14ac:dyDescent="0.2">
      <c r="A548" s="3" t="s">
        <v>403</v>
      </c>
      <c r="B548" s="3" t="s">
        <v>160</v>
      </c>
      <c r="C548" s="3" t="s">
        <v>161</v>
      </c>
      <c r="D548" s="3" t="s">
        <v>386</v>
      </c>
      <c r="E548" s="3" t="s">
        <v>890</v>
      </c>
      <c r="F548" s="3" t="b">
        <v>1</v>
      </c>
      <c r="G548" s="3" t="b">
        <v>1</v>
      </c>
      <c r="H548" s="3" t="s">
        <v>891</v>
      </c>
      <c r="I548" s="4">
        <v>44784</v>
      </c>
      <c r="J548" s="4">
        <v>44798</v>
      </c>
      <c r="K548" s="4">
        <v>45177</v>
      </c>
      <c r="L548" s="3">
        <v>1</v>
      </c>
      <c r="M548" s="3">
        <v>100000</v>
      </c>
      <c r="N548" s="3">
        <v>14</v>
      </c>
      <c r="O548" s="3" t="b">
        <v>0</v>
      </c>
      <c r="P548" s="3" t="b">
        <v>0</v>
      </c>
      <c r="Q548" s="3">
        <v>316.43835616438361</v>
      </c>
      <c r="R548" s="3">
        <v>14536.98630136986</v>
      </c>
      <c r="S548" s="3">
        <v>14853.424657534249</v>
      </c>
      <c r="T548" s="5">
        <f>IF(J548&lt;&gt;"",M548*N548/365/100*('Cashflow Projection'!$B$2-Investors!J548),0)</f>
        <v>24739.726027397264</v>
      </c>
    </row>
    <row r="549" spans="1:20" x14ac:dyDescent="0.2">
      <c r="A549" s="3" t="s">
        <v>185</v>
      </c>
      <c r="B549" s="3" t="s">
        <v>186</v>
      </c>
      <c r="C549" s="3" t="s">
        <v>187</v>
      </c>
      <c r="D549" s="3" t="s">
        <v>386</v>
      </c>
      <c r="E549" s="3" t="s">
        <v>890</v>
      </c>
      <c r="F549" s="3" t="b">
        <v>1</v>
      </c>
      <c r="G549" s="3" t="b">
        <v>1</v>
      </c>
      <c r="H549" s="3" t="s">
        <v>891</v>
      </c>
      <c r="I549" s="4">
        <v>44769</v>
      </c>
      <c r="J549" s="4">
        <v>44791</v>
      </c>
      <c r="K549" s="4">
        <v>45177</v>
      </c>
      <c r="L549" s="3">
        <v>4</v>
      </c>
      <c r="M549" s="3">
        <v>100000</v>
      </c>
      <c r="N549" s="3">
        <v>14</v>
      </c>
      <c r="O549" s="3" t="b">
        <v>0</v>
      </c>
      <c r="P549" s="3" t="b">
        <v>0</v>
      </c>
      <c r="Q549" s="3">
        <v>489.04109589041082</v>
      </c>
      <c r="R549" s="3">
        <v>14805.479452054789</v>
      </c>
      <c r="S549" s="3">
        <v>15294.5205479452</v>
      </c>
      <c r="T549" s="5">
        <f>IF(J549&lt;&gt;"",M549*N549/365/100*('Cashflow Projection'!$B$2-Investors!J549),0)</f>
        <v>25008.219178082196</v>
      </c>
    </row>
    <row r="550" spans="1:20" x14ac:dyDescent="0.2">
      <c r="A550" s="3" t="s">
        <v>623</v>
      </c>
      <c r="B550" s="3" t="s">
        <v>624</v>
      </c>
      <c r="C550" s="3" t="s">
        <v>625</v>
      </c>
      <c r="D550" s="3" t="s">
        <v>386</v>
      </c>
      <c r="E550" s="3" t="s">
        <v>892</v>
      </c>
      <c r="F550" s="3" t="b">
        <v>1</v>
      </c>
      <c r="G550" s="3" t="b">
        <v>1</v>
      </c>
      <c r="H550" s="3" t="s">
        <v>891</v>
      </c>
      <c r="I550" s="4">
        <v>44791</v>
      </c>
      <c r="J550" s="4">
        <v>44840</v>
      </c>
      <c r="K550" s="4">
        <v>45177</v>
      </c>
      <c r="L550" s="3">
        <v>1</v>
      </c>
      <c r="M550" s="3">
        <v>100000</v>
      </c>
      <c r="N550" s="3">
        <v>14</v>
      </c>
      <c r="O550" s="3" t="b">
        <v>0</v>
      </c>
      <c r="P550" s="3" t="b">
        <v>0</v>
      </c>
      <c r="Q550" s="3">
        <v>1119.8630136986301</v>
      </c>
      <c r="R550" s="3">
        <v>12926.02739726027</v>
      </c>
      <c r="S550" s="3">
        <v>14045.8904109589</v>
      </c>
      <c r="T550" s="5">
        <f>IF(J550&lt;&gt;"",M550*N550/365/100*('Cashflow Projection'!$B$2-Investors!J550),0)</f>
        <v>23128.767123287675</v>
      </c>
    </row>
    <row r="551" spans="1:20" x14ac:dyDescent="0.2">
      <c r="A551" s="3" t="s">
        <v>893</v>
      </c>
      <c r="B551" s="3" t="s">
        <v>894</v>
      </c>
      <c r="C551" s="3" t="s">
        <v>477</v>
      </c>
      <c r="D551" s="3" t="s">
        <v>386</v>
      </c>
      <c r="E551" s="3" t="s">
        <v>892</v>
      </c>
      <c r="F551" s="3" t="b">
        <v>1</v>
      </c>
      <c r="G551" s="3" t="b">
        <v>1</v>
      </c>
      <c r="H551" s="3" t="s">
        <v>891</v>
      </c>
      <c r="I551" s="4">
        <v>44785</v>
      </c>
      <c r="J551" s="4">
        <v>44833</v>
      </c>
      <c r="K551" s="4">
        <v>45177</v>
      </c>
      <c r="L551" s="3">
        <v>1</v>
      </c>
      <c r="M551" s="3">
        <v>1000000</v>
      </c>
      <c r="N551" s="3">
        <v>18</v>
      </c>
      <c r="O551" s="3" t="b">
        <v>0</v>
      </c>
      <c r="P551" s="3" t="b">
        <v>0</v>
      </c>
      <c r="Q551" s="3">
        <v>10849.315068493141</v>
      </c>
      <c r="R551" s="3">
        <v>169643.83561643839</v>
      </c>
      <c r="S551" s="3">
        <v>180493.15068493149</v>
      </c>
      <c r="T551" s="5">
        <f>IF(J551&lt;&gt;"",M551*N551/365/100*('Cashflow Projection'!$B$2-Investors!J551),0)</f>
        <v>300821.91780821915</v>
      </c>
    </row>
    <row r="552" spans="1:20" x14ac:dyDescent="0.2">
      <c r="A552" s="3" t="s">
        <v>895</v>
      </c>
      <c r="B552" s="3" t="s">
        <v>896</v>
      </c>
      <c r="C552" s="3" t="s">
        <v>897</v>
      </c>
      <c r="D552" s="3" t="s">
        <v>386</v>
      </c>
      <c r="E552" s="3" t="s">
        <v>898</v>
      </c>
      <c r="F552" s="3" t="b">
        <v>1</v>
      </c>
      <c r="G552" s="3" t="b">
        <v>1</v>
      </c>
      <c r="H552" s="3" t="s">
        <v>891</v>
      </c>
      <c r="I552" s="4">
        <v>44796</v>
      </c>
      <c r="J552" s="4">
        <v>44833</v>
      </c>
      <c r="K552" s="4">
        <v>45177</v>
      </c>
      <c r="L552" s="3">
        <v>1</v>
      </c>
      <c r="M552" s="3">
        <v>1100000</v>
      </c>
      <c r="N552" s="3">
        <v>18</v>
      </c>
      <c r="O552" s="3" t="b">
        <v>0</v>
      </c>
      <c r="P552" s="3" t="b">
        <v>0</v>
      </c>
      <c r="Q552" s="3">
        <v>9199.3150684931497</v>
      </c>
      <c r="R552" s="3">
        <v>186608.21917808219</v>
      </c>
      <c r="S552" s="3">
        <v>195807.53424657541</v>
      </c>
      <c r="T552" s="5">
        <f>IF(J552&lt;&gt;"",M552*N552/365/100*('Cashflow Projection'!$B$2-Investors!J552),0)</f>
        <v>330904.10958904109</v>
      </c>
    </row>
    <row r="553" spans="1:20" x14ac:dyDescent="0.2">
      <c r="A553" s="3" t="s">
        <v>899</v>
      </c>
      <c r="B553" s="3" t="s">
        <v>900</v>
      </c>
      <c r="C553" s="3" t="s">
        <v>901</v>
      </c>
      <c r="D553" s="3" t="s">
        <v>386</v>
      </c>
      <c r="E553" s="3" t="s">
        <v>902</v>
      </c>
      <c r="F553" s="3" t="b">
        <v>1</v>
      </c>
      <c r="G553" s="3" t="b">
        <v>0</v>
      </c>
      <c r="H553" s="3" t="s">
        <v>891</v>
      </c>
      <c r="I553" s="4">
        <v>44839</v>
      </c>
      <c r="J553" s="4">
        <v>44861</v>
      </c>
      <c r="K553" s="4">
        <v>45471</v>
      </c>
      <c r="L553" s="3">
        <v>1</v>
      </c>
      <c r="M553" s="3">
        <v>100000</v>
      </c>
      <c r="N553" s="3">
        <v>14</v>
      </c>
      <c r="O553" s="3" t="b">
        <v>0</v>
      </c>
      <c r="P553" s="3" t="b">
        <v>0</v>
      </c>
      <c r="Q553" s="3">
        <v>542.46575342465735</v>
      </c>
      <c r="R553" s="3">
        <v>23397.260273972599</v>
      </c>
      <c r="S553" s="3">
        <v>23939.726027397261</v>
      </c>
      <c r="T553" s="5">
        <f>IF(J553&lt;&gt;"",M553*N553/365/100*('Cashflow Projection'!$B$2-Investors!J553),0)</f>
        <v>22323.28767123288</v>
      </c>
    </row>
    <row r="554" spans="1:20" x14ac:dyDescent="0.2">
      <c r="A554" s="3" t="s">
        <v>903</v>
      </c>
      <c r="B554" s="3" t="s">
        <v>904</v>
      </c>
      <c r="C554" s="3" t="s">
        <v>905</v>
      </c>
      <c r="D554" s="3" t="s">
        <v>386</v>
      </c>
      <c r="E554" s="3" t="s">
        <v>902</v>
      </c>
      <c r="F554" s="3" t="b">
        <v>1</v>
      </c>
      <c r="G554" s="3" t="b">
        <v>0</v>
      </c>
      <c r="H554" s="3" t="s">
        <v>891</v>
      </c>
      <c r="I554" s="4">
        <v>44823</v>
      </c>
      <c r="J554" s="4">
        <v>44848</v>
      </c>
      <c r="K554" s="4">
        <v>45471</v>
      </c>
      <c r="L554" s="3">
        <v>1</v>
      </c>
      <c r="M554" s="3">
        <v>200000</v>
      </c>
      <c r="N554" s="3">
        <v>14</v>
      </c>
      <c r="O554" s="3" t="b">
        <v>0</v>
      </c>
      <c r="P554" s="3" t="b">
        <v>0</v>
      </c>
      <c r="Q554" s="3">
        <v>1187.6712328767121</v>
      </c>
      <c r="R554" s="3">
        <v>47791.780821917797</v>
      </c>
      <c r="S554" s="3">
        <v>48979.452054794507</v>
      </c>
      <c r="T554" s="5">
        <f>IF(J554&lt;&gt;"",M554*N554/365/100*('Cashflow Projection'!$B$2-Investors!J554),0)</f>
        <v>45643.835616438359</v>
      </c>
    </row>
    <row r="555" spans="1:20" x14ac:dyDescent="0.2">
      <c r="A555" s="3" t="s">
        <v>906</v>
      </c>
      <c r="B555" s="3" t="s">
        <v>907</v>
      </c>
      <c r="C555" s="3" t="s">
        <v>908</v>
      </c>
      <c r="D555" s="3" t="s">
        <v>386</v>
      </c>
      <c r="E555" s="3" t="s">
        <v>902</v>
      </c>
      <c r="F555" s="3" t="b">
        <v>1</v>
      </c>
      <c r="G555" s="3" t="b">
        <v>0</v>
      </c>
      <c r="H555" s="3" t="s">
        <v>891</v>
      </c>
      <c r="I555" s="4">
        <v>44833</v>
      </c>
      <c r="J555" s="4">
        <v>44861</v>
      </c>
      <c r="K555" s="4">
        <v>45471</v>
      </c>
      <c r="L555" s="3">
        <v>1</v>
      </c>
      <c r="M555" s="3">
        <v>100000</v>
      </c>
      <c r="N555" s="3">
        <v>14</v>
      </c>
      <c r="O555" s="3" t="b">
        <v>0</v>
      </c>
      <c r="P555" s="3" t="b">
        <v>0</v>
      </c>
      <c r="Q555" s="3">
        <v>688.35616438356135</v>
      </c>
      <c r="R555" s="3">
        <v>23397.260273972599</v>
      </c>
      <c r="S555" s="3">
        <v>24085.616438356159</v>
      </c>
      <c r="T555" s="5">
        <f>IF(J555&lt;&gt;"",M555*N555/365/100*('Cashflow Projection'!$B$2-Investors!J555),0)</f>
        <v>22323.28767123288</v>
      </c>
    </row>
    <row r="556" spans="1:20" x14ac:dyDescent="0.2">
      <c r="A556" s="3" t="s">
        <v>412</v>
      </c>
      <c r="B556" s="3" t="s">
        <v>413</v>
      </c>
      <c r="C556" s="3" t="s">
        <v>414</v>
      </c>
      <c r="D556" s="3" t="s">
        <v>386</v>
      </c>
      <c r="E556" s="3" t="s">
        <v>902</v>
      </c>
      <c r="F556" s="3" t="b">
        <v>1</v>
      </c>
      <c r="G556" s="3" t="b">
        <v>0</v>
      </c>
      <c r="H556" s="3" t="s">
        <v>891</v>
      </c>
      <c r="I556" s="4">
        <v>44806</v>
      </c>
      <c r="J556" s="4">
        <v>44826</v>
      </c>
      <c r="K556" s="4">
        <v>45471</v>
      </c>
      <c r="L556" s="3">
        <v>5</v>
      </c>
      <c r="M556" s="3">
        <v>200000</v>
      </c>
      <c r="N556" s="3">
        <v>18</v>
      </c>
      <c r="O556" s="3" t="b">
        <v>0</v>
      </c>
      <c r="P556" s="3" t="b">
        <v>0</v>
      </c>
      <c r="Q556" s="3">
        <v>904.10958904109577</v>
      </c>
      <c r="R556" s="3">
        <v>63616.438356164377</v>
      </c>
      <c r="S556" s="3">
        <v>64520.547945205479</v>
      </c>
      <c r="T556" s="5">
        <f>IF(J556&lt;&gt;"",M556*N556/365/100*('Cashflow Projection'!$B$2-Investors!J556),0)</f>
        <v>60854.794520547941</v>
      </c>
    </row>
    <row r="557" spans="1:20" x14ac:dyDescent="0.2">
      <c r="A557" s="3" t="s">
        <v>895</v>
      </c>
      <c r="B557" s="3" t="s">
        <v>896</v>
      </c>
      <c r="C557" s="3" t="s">
        <v>897</v>
      </c>
      <c r="D557" s="3" t="s">
        <v>386</v>
      </c>
      <c r="E557" s="3" t="s">
        <v>902</v>
      </c>
      <c r="F557" s="3" t="b">
        <v>1</v>
      </c>
      <c r="G557" s="3" t="b">
        <v>0</v>
      </c>
      <c r="H557" s="3" t="s">
        <v>891</v>
      </c>
      <c r="I557" s="4">
        <v>44796</v>
      </c>
      <c r="J557" s="4">
        <v>44826</v>
      </c>
      <c r="K557" s="4">
        <v>45471</v>
      </c>
      <c r="L557" s="3">
        <v>2</v>
      </c>
      <c r="M557" s="3">
        <v>500000</v>
      </c>
      <c r="N557" s="3">
        <v>18</v>
      </c>
      <c r="O557" s="3" t="b">
        <v>0</v>
      </c>
      <c r="P557" s="3" t="b">
        <v>0</v>
      </c>
      <c r="Q557" s="3">
        <v>3390.4109589041082</v>
      </c>
      <c r="R557" s="3">
        <v>159041.095890411</v>
      </c>
      <c r="S557" s="3">
        <v>162431.5068493151</v>
      </c>
      <c r="T557" s="5">
        <f>IF(J557&lt;&gt;"",M557*N557/365/100*('Cashflow Projection'!$B$2-Investors!J557),0)</f>
        <v>152136.98630136985</v>
      </c>
    </row>
    <row r="558" spans="1:20" x14ac:dyDescent="0.2">
      <c r="A558" s="3" t="s">
        <v>236</v>
      </c>
      <c r="B558" s="3" t="s">
        <v>237</v>
      </c>
      <c r="C558" s="3" t="s">
        <v>238</v>
      </c>
      <c r="D558" s="3" t="s">
        <v>386</v>
      </c>
      <c r="E558" s="3" t="s">
        <v>909</v>
      </c>
      <c r="F558" s="3" t="b">
        <v>1</v>
      </c>
      <c r="G558" s="3" t="b">
        <v>1</v>
      </c>
      <c r="H558" s="3" t="s">
        <v>891</v>
      </c>
      <c r="I558" s="4">
        <v>45000</v>
      </c>
      <c r="J558" s="4">
        <v>45107</v>
      </c>
      <c r="K558" s="4">
        <v>45191</v>
      </c>
      <c r="L558" s="3">
        <v>2</v>
      </c>
      <c r="M558" s="3">
        <v>200000</v>
      </c>
      <c r="N558" s="3">
        <v>14</v>
      </c>
      <c r="O558" s="3" t="b">
        <v>0</v>
      </c>
      <c r="P558" s="3" t="b">
        <v>0</v>
      </c>
      <c r="Q558" s="3">
        <v>6194.5205479451952</v>
      </c>
      <c r="R558" s="3">
        <v>6443.8356164383558</v>
      </c>
      <c r="S558" s="3">
        <v>12638.356164383549</v>
      </c>
      <c r="T558" s="5">
        <f>IF(J558&lt;&gt;"",M558*N558/365/100*('Cashflow Projection'!$B$2-Investors!J558),0)</f>
        <v>25775.342465753427</v>
      </c>
    </row>
    <row r="559" spans="1:20" x14ac:dyDescent="0.2">
      <c r="A559" s="3" t="s">
        <v>52</v>
      </c>
      <c r="B559" s="3" t="s">
        <v>53</v>
      </c>
      <c r="C559" s="3" t="s">
        <v>54</v>
      </c>
      <c r="D559" s="3" t="s">
        <v>386</v>
      </c>
      <c r="E559" s="3" t="s">
        <v>909</v>
      </c>
      <c r="F559" s="3" t="b">
        <v>1</v>
      </c>
      <c r="G559" s="3" t="b">
        <v>1</v>
      </c>
      <c r="H559" s="3" t="s">
        <v>891</v>
      </c>
      <c r="I559" s="4">
        <v>45002</v>
      </c>
      <c r="J559" s="4">
        <v>45107</v>
      </c>
      <c r="K559" s="4">
        <v>45191</v>
      </c>
      <c r="L559" s="3">
        <v>15</v>
      </c>
      <c r="M559" s="3">
        <v>110000</v>
      </c>
      <c r="N559" s="3">
        <v>18</v>
      </c>
      <c r="O559" s="3" t="b">
        <v>0</v>
      </c>
      <c r="P559" s="3" t="b">
        <v>0</v>
      </c>
      <c r="Q559" s="3">
        <v>3346.7123287671252</v>
      </c>
      <c r="R559" s="3">
        <v>4556.7123287671229</v>
      </c>
      <c r="S559" s="3">
        <v>7903.4246575342477</v>
      </c>
      <c r="T559" s="5">
        <f>IF(J559&lt;&gt;"",M559*N559/365/100*('Cashflow Projection'!$B$2-Investors!J559),0)</f>
        <v>18226.849315068495</v>
      </c>
    </row>
    <row r="560" spans="1:20" x14ac:dyDescent="0.2">
      <c r="A560" s="3" t="s">
        <v>910</v>
      </c>
      <c r="B560" s="3" t="s">
        <v>911</v>
      </c>
      <c r="C560" s="3" t="s">
        <v>912</v>
      </c>
      <c r="D560" s="3" t="s">
        <v>386</v>
      </c>
      <c r="E560" s="3" t="s">
        <v>909</v>
      </c>
      <c r="F560" s="3" t="b">
        <v>1</v>
      </c>
      <c r="G560" s="3" t="b">
        <v>1</v>
      </c>
      <c r="H560" s="3" t="s">
        <v>891</v>
      </c>
      <c r="I560" s="4">
        <v>44839</v>
      </c>
      <c r="J560" s="4">
        <v>44868</v>
      </c>
      <c r="K560" s="4">
        <v>45191</v>
      </c>
      <c r="L560" s="3">
        <v>1</v>
      </c>
      <c r="M560" s="3">
        <v>100000</v>
      </c>
      <c r="N560" s="3">
        <v>14</v>
      </c>
      <c r="O560" s="3" t="b">
        <v>0</v>
      </c>
      <c r="P560" s="3" t="b">
        <v>0</v>
      </c>
      <c r="Q560" s="3">
        <v>715.06849315068462</v>
      </c>
      <c r="R560" s="3">
        <v>12389.04109589041</v>
      </c>
      <c r="S560" s="3">
        <v>13104.109589041091</v>
      </c>
      <c r="T560" s="5">
        <f>IF(J560&lt;&gt;"",M560*N560/365/100*('Cashflow Projection'!$B$2-Investors!J560),0)</f>
        <v>22054.794520547948</v>
      </c>
    </row>
    <row r="561" spans="1:20" x14ac:dyDescent="0.2">
      <c r="A561" s="3" t="s">
        <v>452</v>
      </c>
      <c r="B561" s="3" t="s">
        <v>453</v>
      </c>
      <c r="C561" s="3" t="s">
        <v>178</v>
      </c>
      <c r="D561" s="3" t="s">
        <v>386</v>
      </c>
      <c r="E561" s="3" t="s">
        <v>909</v>
      </c>
      <c r="F561" s="3" t="b">
        <v>1</v>
      </c>
      <c r="G561" s="3" t="b">
        <v>1</v>
      </c>
      <c r="H561" s="3" t="s">
        <v>891</v>
      </c>
      <c r="I561" s="4">
        <v>45000</v>
      </c>
      <c r="J561" s="4">
        <v>45107</v>
      </c>
      <c r="K561" s="4">
        <v>45191</v>
      </c>
      <c r="L561" s="3">
        <v>3</v>
      </c>
      <c r="M561" s="3">
        <v>700000</v>
      </c>
      <c r="N561" s="3">
        <v>18</v>
      </c>
      <c r="O561" s="3" t="b">
        <v>0</v>
      </c>
      <c r="P561" s="3" t="b">
        <v>0</v>
      </c>
      <c r="Q561" s="3">
        <v>21680.82191780824</v>
      </c>
      <c r="R561" s="3">
        <v>28997.26027397261</v>
      </c>
      <c r="S561" s="3">
        <v>50678.08219178085</v>
      </c>
      <c r="T561" s="5">
        <f>IF(J561&lt;&gt;"",M561*N561/365/100*('Cashflow Projection'!$B$2-Investors!J561),0)</f>
        <v>115989.0410958904</v>
      </c>
    </row>
    <row r="562" spans="1:20" x14ac:dyDescent="0.2">
      <c r="A562" s="3" t="s">
        <v>539</v>
      </c>
      <c r="B562" s="3" t="s">
        <v>540</v>
      </c>
      <c r="C562" s="3" t="s">
        <v>541</v>
      </c>
      <c r="D562" s="3" t="s">
        <v>386</v>
      </c>
      <c r="E562" s="3" t="s">
        <v>913</v>
      </c>
      <c r="F562" s="3" t="b">
        <v>0</v>
      </c>
      <c r="G562" s="3" t="b">
        <v>0</v>
      </c>
      <c r="H562" s="3" t="s">
        <v>891</v>
      </c>
      <c r="I562" s="4">
        <v>44791</v>
      </c>
      <c r="J562" s="4">
        <v>44833</v>
      </c>
      <c r="K562" s="4">
        <v>45491</v>
      </c>
      <c r="L562" s="3">
        <v>13</v>
      </c>
      <c r="M562" s="3">
        <v>1100000</v>
      </c>
      <c r="N562" s="3">
        <v>18</v>
      </c>
      <c r="O562" s="3" t="b">
        <v>0</v>
      </c>
      <c r="P562" s="3" t="b">
        <v>0</v>
      </c>
      <c r="Q562" s="3">
        <v>10442.46575342466</v>
      </c>
      <c r="R562" s="3">
        <v>356942.46575342468</v>
      </c>
      <c r="S562" s="3">
        <v>367384.93150684942</v>
      </c>
      <c r="T562" s="5">
        <f>IF(J562&lt;&gt;"",M562*N562/365/100*('Cashflow Projection'!$B$2-Investors!J562),0)</f>
        <v>330904.10958904109</v>
      </c>
    </row>
    <row r="563" spans="1:20" x14ac:dyDescent="0.2">
      <c r="A563" s="3" t="s">
        <v>914</v>
      </c>
      <c r="B563" s="3" t="s">
        <v>915</v>
      </c>
      <c r="C563" s="3" t="s">
        <v>916</v>
      </c>
      <c r="D563" s="3" t="s">
        <v>386</v>
      </c>
      <c r="E563" s="3" t="s">
        <v>917</v>
      </c>
      <c r="F563" s="3" t="b">
        <v>1</v>
      </c>
      <c r="G563" s="3" t="b">
        <v>1</v>
      </c>
      <c r="H563" s="3" t="s">
        <v>891</v>
      </c>
      <c r="I563" s="4">
        <v>44846</v>
      </c>
      <c r="J563" s="4">
        <v>44868</v>
      </c>
      <c r="K563" s="4">
        <v>45247</v>
      </c>
      <c r="L563" s="3">
        <v>2</v>
      </c>
      <c r="M563" s="3">
        <v>106405.48</v>
      </c>
      <c r="N563" s="3">
        <v>14</v>
      </c>
      <c r="O563" s="3" t="b">
        <v>0</v>
      </c>
      <c r="P563" s="3" t="b">
        <v>0</v>
      </c>
      <c r="Q563" s="3">
        <v>577.21328876712334</v>
      </c>
      <c r="R563" s="3">
        <v>15468.150051506849</v>
      </c>
      <c r="S563" s="3">
        <v>16045.363340273971</v>
      </c>
      <c r="T563" s="5">
        <f>IF(J563&lt;&gt;"",M563*N563/365/100*('Cashflow Projection'!$B$2-Investors!J563),0)</f>
        <v>23467.50997260274</v>
      </c>
    </row>
    <row r="564" spans="1:20" x14ac:dyDescent="0.2">
      <c r="A564" s="3" t="s">
        <v>918</v>
      </c>
      <c r="B564" s="3" t="s">
        <v>919</v>
      </c>
      <c r="C564" s="3" t="s">
        <v>77</v>
      </c>
      <c r="D564" s="3" t="s">
        <v>386</v>
      </c>
      <c r="E564" s="3" t="s">
        <v>917</v>
      </c>
      <c r="F564" s="3" t="b">
        <v>1</v>
      </c>
      <c r="G564" s="3" t="b">
        <v>1</v>
      </c>
      <c r="H564" s="3" t="s">
        <v>891</v>
      </c>
      <c r="I564" s="4">
        <v>44811</v>
      </c>
      <c r="J564" s="4">
        <v>44833</v>
      </c>
      <c r="K564" s="4">
        <v>45247</v>
      </c>
      <c r="L564" s="3">
        <v>1</v>
      </c>
      <c r="M564" s="3">
        <v>1000000</v>
      </c>
      <c r="N564" s="3">
        <v>18</v>
      </c>
      <c r="O564" s="3" t="b">
        <v>0</v>
      </c>
      <c r="P564" s="3" t="b">
        <v>0</v>
      </c>
      <c r="Q564" s="3">
        <v>4972.6027397260268</v>
      </c>
      <c r="R564" s="3">
        <v>204164.38356164389</v>
      </c>
      <c r="S564" s="3">
        <v>209136.98630136991</v>
      </c>
      <c r="T564" s="5">
        <f>IF(J564&lt;&gt;"",M564*N564/365/100*('Cashflow Projection'!$B$2-Investors!J564),0)</f>
        <v>300821.91780821915</v>
      </c>
    </row>
    <row r="565" spans="1:20" x14ac:dyDescent="0.2">
      <c r="A565" s="3" t="s">
        <v>326</v>
      </c>
      <c r="B565" s="3" t="s">
        <v>327</v>
      </c>
      <c r="C565" s="3" t="s">
        <v>32</v>
      </c>
      <c r="D565" s="3" t="s">
        <v>386</v>
      </c>
      <c r="E565" s="3" t="s">
        <v>920</v>
      </c>
      <c r="F565" s="3" t="b">
        <v>1</v>
      </c>
      <c r="G565" s="3" t="b">
        <v>1</v>
      </c>
      <c r="H565" s="3" t="s">
        <v>891</v>
      </c>
      <c r="I565" s="4">
        <v>44851</v>
      </c>
      <c r="J565" s="4">
        <v>44889</v>
      </c>
      <c r="K565" s="4">
        <v>45271</v>
      </c>
      <c r="L565" s="3">
        <v>3</v>
      </c>
      <c r="M565" s="3">
        <v>264742.12</v>
      </c>
      <c r="N565" s="3">
        <v>18</v>
      </c>
      <c r="O565" s="3" t="b">
        <v>0</v>
      </c>
      <c r="P565" s="3" t="b">
        <v>0</v>
      </c>
      <c r="Q565" s="3">
        <v>2480.5973983561662</v>
      </c>
      <c r="R565" s="3">
        <v>49873.06348273973</v>
      </c>
      <c r="S565" s="3">
        <v>52353.660881095893</v>
      </c>
      <c r="T565" s="5">
        <f>IF(J565&lt;&gt;"",M565*N565/365/100*('Cashflow Projection'!$B$2-Investors!J565),0)</f>
        <v>72328.997825753424</v>
      </c>
    </row>
    <row r="566" spans="1:20" x14ac:dyDescent="0.2">
      <c r="A566" s="3" t="s">
        <v>176</v>
      </c>
      <c r="B566" s="3" t="s">
        <v>177</v>
      </c>
      <c r="C566" s="3" t="s">
        <v>178</v>
      </c>
      <c r="D566" s="3" t="s">
        <v>386</v>
      </c>
      <c r="E566" s="3" t="s">
        <v>920</v>
      </c>
      <c r="F566" s="3" t="b">
        <v>1</v>
      </c>
      <c r="G566" s="3" t="b">
        <v>1</v>
      </c>
      <c r="H566" s="3" t="s">
        <v>891</v>
      </c>
      <c r="I566" s="4">
        <v>44816</v>
      </c>
      <c r="J566" s="4">
        <v>44848</v>
      </c>
      <c r="K566" s="4">
        <v>45271</v>
      </c>
      <c r="L566" s="3">
        <v>2</v>
      </c>
      <c r="M566" s="3">
        <v>500000</v>
      </c>
      <c r="N566" s="3">
        <v>16</v>
      </c>
      <c r="O566" s="3" t="b">
        <v>0</v>
      </c>
      <c r="P566" s="3" t="b">
        <v>0</v>
      </c>
      <c r="Q566" s="3">
        <v>3760.2739726027389</v>
      </c>
      <c r="R566" s="3">
        <v>92712.328767123283</v>
      </c>
      <c r="S566" s="3">
        <v>96472.602739726019</v>
      </c>
      <c r="T566" s="5">
        <f>IF(J566&lt;&gt;"",M566*N566/365/100*('Cashflow Projection'!$B$2-Investors!J566),0)</f>
        <v>130410.95890410959</v>
      </c>
    </row>
    <row r="567" spans="1:20" x14ac:dyDescent="0.2">
      <c r="A567" s="3" t="s">
        <v>412</v>
      </c>
      <c r="B567" s="3" t="s">
        <v>413</v>
      </c>
      <c r="C567" s="3" t="s">
        <v>414</v>
      </c>
      <c r="D567" s="3" t="s">
        <v>386</v>
      </c>
      <c r="E567" s="3" t="s">
        <v>920</v>
      </c>
      <c r="F567" s="3" t="b">
        <v>1</v>
      </c>
      <c r="G567" s="3" t="b">
        <v>1</v>
      </c>
      <c r="H567" s="3" t="s">
        <v>891</v>
      </c>
      <c r="I567" s="4">
        <v>44846</v>
      </c>
      <c r="J567" s="4">
        <v>44876</v>
      </c>
      <c r="K567" s="4">
        <v>45271</v>
      </c>
      <c r="L567" s="3">
        <v>6</v>
      </c>
      <c r="M567" s="3">
        <v>285996.58</v>
      </c>
      <c r="N567" s="3">
        <v>18</v>
      </c>
      <c r="O567" s="3" t="b">
        <v>0</v>
      </c>
      <c r="P567" s="3" t="b">
        <v>0</v>
      </c>
      <c r="Q567" s="3">
        <v>2115.591139726027</v>
      </c>
      <c r="R567" s="3">
        <v>55710.566679452058</v>
      </c>
      <c r="S567" s="3">
        <v>57826.157819178094</v>
      </c>
      <c r="T567" s="5">
        <f>IF(J567&lt;&gt;"",M567*N567/365/100*('Cashflow Projection'!$B$2-Investors!J567),0)</f>
        <v>79969.345081643842</v>
      </c>
    </row>
    <row r="568" spans="1:20" x14ac:dyDescent="0.2">
      <c r="A568" s="3" t="s">
        <v>395</v>
      </c>
      <c r="B568" s="3" t="s">
        <v>396</v>
      </c>
      <c r="C568" s="3" t="s">
        <v>397</v>
      </c>
      <c r="D568" s="3" t="s">
        <v>386</v>
      </c>
      <c r="E568" s="3" t="s">
        <v>921</v>
      </c>
      <c r="F568" s="3" t="b">
        <v>0</v>
      </c>
      <c r="G568" s="3" t="b">
        <v>0</v>
      </c>
      <c r="H568" s="3" t="s">
        <v>891</v>
      </c>
      <c r="I568" s="4">
        <v>44846</v>
      </c>
      <c r="J568" s="4">
        <v>44861</v>
      </c>
      <c r="K568" s="4">
        <v>45520</v>
      </c>
      <c r="L568" s="3">
        <v>4</v>
      </c>
      <c r="M568" s="3">
        <v>1100000</v>
      </c>
      <c r="N568" s="3">
        <v>18</v>
      </c>
      <c r="O568" s="3" t="b">
        <v>0</v>
      </c>
      <c r="P568" s="3" t="b">
        <v>0</v>
      </c>
      <c r="Q568" s="3">
        <v>4068.493150684933</v>
      </c>
      <c r="R568" s="3">
        <v>357484.93150684942</v>
      </c>
      <c r="S568" s="3">
        <v>361553.42465753428</v>
      </c>
      <c r="T568" s="5">
        <f>IF(J568&lt;&gt;"",M568*N568/365/100*('Cashflow Projection'!$B$2-Investors!J568),0)</f>
        <v>315715.0684931507</v>
      </c>
    </row>
  </sheetData>
  <autoFilter ref="A4:S56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204E"/>
  </sheetPr>
  <dimension ref="A1:H230"/>
  <sheetViews>
    <sheetView workbookViewId="0">
      <pane ySplit="5" topLeftCell="A6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t="s">
        <v>922</v>
      </c>
    </row>
    <row r="3" spans="1:8" x14ac:dyDescent="0.2">
      <c r="E3" s="1">
        <f>SUBTOTAL(9,E5:E230)</f>
        <v>236217976.38999999</v>
      </c>
      <c r="H3" s="1">
        <f>SUBTOTAL(9,H5:H230)</f>
        <v>239829371.4799999</v>
      </c>
    </row>
    <row r="5" spans="1:8" x14ac:dyDescent="0.2">
      <c r="A5" t="s">
        <v>4</v>
      </c>
      <c r="B5" t="s">
        <v>5</v>
      </c>
      <c r="C5" t="s">
        <v>6</v>
      </c>
      <c r="D5" t="s">
        <v>923</v>
      </c>
      <c r="E5" t="s">
        <v>924</v>
      </c>
      <c r="F5" t="s">
        <v>925</v>
      </c>
      <c r="G5" t="s">
        <v>926</v>
      </c>
      <c r="H5" t="s">
        <v>13</v>
      </c>
    </row>
    <row r="6" spans="1:8" x14ac:dyDescent="0.2">
      <c r="A6" t="s">
        <v>24</v>
      </c>
      <c r="B6" t="s">
        <v>25</v>
      </c>
      <c r="C6" t="b">
        <v>1</v>
      </c>
      <c r="D6" t="b">
        <v>1</v>
      </c>
      <c r="E6">
        <v>900000</v>
      </c>
      <c r="F6" s="7">
        <v>44887</v>
      </c>
      <c r="G6" s="7">
        <v>44887</v>
      </c>
      <c r="H6">
        <v>932332.54</v>
      </c>
    </row>
    <row r="7" spans="1:8" x14ac:dyDescent="0.2">
      <c r="A7" t="s">
        <v>24</v>
      </c>
      <c r="B7" t="s">
        <v>33</v>
      </c>
      <c r="C7" t="b">
        <v>1</v>
      </c>
      <c r="D7" t="b">
        <v>1</v>
      </c>
      <c r="E7">
        <v>900000</v>
      </c>
      <c r="F7" s="7">
        <v>44887</v>
      </c>
      <c r="G7" s="7">
        <v>44887</v>
      </c>
      <c r="H7">
        <v>900000</v>
      </c>
    </row>
    <row r="8" spans="1:8" x14ac:dyDescent="0.2">
      <c r="A8" t="s">
        <v>24</v>
      </c>
      <c r="B8" t="s">
        <v>37</v>
      </c>
      <c r="C8" t="b">
        <v>1</v>
      </c>
      <c r="D8" t="b">
        <v>1</v>
      </c>
      <c r="E8">
        <v>900000</v>
      </c>
      <c r="F8" s="7">
        <v>44887</v>
      </c>
      <c r="G8" s="7">
        <v>44887</v>
      </c>
      <c r="H8">
        <v>900000</v>
      </c>
    </row>
    <row r="9" spans="1:8" x14ac:dyDescent="0.2">
      <c r="A9" t="s">
        <v>24</v>
      </c>
      <c r="B9" t="s">
        <v>47</v>
      </c>
      <c r="C9" t="b">
        <v>1</v>
      </c>
      <c r="D9" t="b">
        <v>1</v>
      </c>
      <c r="E9">
        <v>900000</v>
      </c>
      <c r="F9" s="7">
        <v>44887</v>
      </c>
      <c r="G9" s="7">
        <v>44887</v>
      </c>
      <c r="H9">
        <v>900000</v>
      </c>
    </row>
    <row r="10" spans="1:8" x14ac:dyDescent="0.2">
      <c r="A10" t="s">
        <v>24</v>
      </c>
      <c r="B10" t="s">
        <v>51</v>
      </c>
      <c r="C10" t="b">
        <v>1</v>
      </c>
      <c r="D10" t="b">
        <v>1</v>
      </c>
      <c r="E10">
        <v>900000</v>
      </c>
      <c r="F10" s="7">
        <v>44887</v>
      </c>
      <c r="G10" s="7">
        <v>44887</v>
      </c>
      <c r="H10">
        <v>749774.42999999993</v>
      </c>
    </row>
    <row r="11" spans="1:8" x14ac:dyDescent="0.2">
      <c r="A11" t="s">
        <v>24</v>
      </c>
      <c r="B11" t="s">
        <v>68</v>
      </c>
      <c r="C11" t="b">
        <v>1</v>
      </c>
      <c r="D11" t="b">
        <v>1</v>
      </c>
      <c r="E11">
        <v>900000</v>
      </c>
      <c r="F11" s="7">
        <v>44887</v>
      </c>
      <c r="G11" s="7">
        <v>44887</v>
      </c>
      <c r="H11">
        <v>910000</v>
      </c>
    </row>
    <row r="12" spans="1:8" x14ac:dyDescent="0.2">
      <c r="A12" t="s">
        <v>24</v>
      </c>
      <c r="B12" t="s">
        <v>81</v>
      </c>
      <c r="C12" t="b">
        <v>1</v>
      </c>
      <c r="D12" t="b">
        <v>1</v>
      </c>
      <c r="E12">
        <v>900000</v>
      </c>
      <c r="F12" s="7">
        <v>44887</v>
      </c>
      <c r="G12" s="7">
        <v>44887</v>
      </c>
      <c r="H12">
        <v>905157.53</v>
      </c>
    </row>
    <row r="13" spans="1:8" x14ac:dyDescent="0.2">
      <c r="A13" t="s">
        <v>24</v>
      </c>
      <c r="B13" t="s">
        <v>88</v>
      </c>
      <c r="C13" t="b">
        <v>1</v>
      </c>
      <c r="D13" t="b">
        <v>1</v>
      </c>
      <c r="E13">
        <v>900000</v>
      </c>
      <c r="F13" s="7">
        <v>44943</v>
      </c>
      <c r="G13" s="7">
        <v>44943</v>
      </c>
      <c r="H13">
        <v>921424.65999999992</v>
      </c>
    </row>
    <row r="14" spans="1:8" x14ac:dyDescent="0.2">
      <c r="A14" t="s">
        <v>24</v>
      </c>
      <c r="B14" t="s">
        <v>101</v>
      </c>
      <c r="C14" t="b">
        <v>1</v>
      </c>
      <c r="D14" t="b">
        <v>1</v>
      </c>
      <c r="E14">
        <v>900000</v>
      </c>
      <c r="F14" s="7">
        <v>44897</v>
      </c>
      <c r="G14" s="7">
        <v>44897</v>
      </c>
      <c r="H14">
        <v>890000</v>
      </c>
    </row>
    <row r="15" spans="1:8" x14ac:dyDescent="0.2">
      <c r="A15" t="s">
        <v>24</v>
      </c>
      <c r="B15" t="s">
        <v>114</v>
      </c>
      <c r="C15" t="b">
        <v>1</v>
      </c>
      <c r="D15" t="b">
        <v>1</v>
      </c>
      <c r="E15">
        <v>900000</v>
      </c>
      <c r="F15" s="7">
        <v>44887</v>
      </c>
      <c r="G15" s="7">
        <v>44887</v>
      </c>
      <c r="H15">
        <v>900000</v>
      </c>
    </row>
    <row r="16" spans="1:8" x14ac:dyDescent="0.2">
      <c r="A16" t="s">
        <v>24</v>
      </c>
      <c r="B16" t="s">
        <v>126</v>
      </c>
      <c r="C16" t="b">
        <v>1</v>
      </c>
      <c r="D16" t="b">
        <v>1</v>
      </c>
      <c r="E16">
        <v>900000</v>
      </c>
      <c r="F16" s="7">
        <v>44943</v>
      </c>
      <c r="G16" s="7">
        <v>44943</v>
      </c>
      <c r="H16">
        <v>938431.51</v>
      </c>
    </row>
    <row r="17" spans="1:8" x14ac:dyDescent="0.2">
      <c r="A17" t="s">
        <v>24</v>
      </c>
      <c r="B17" t="s">
        <v>136</v>
      </c>
      <c r="C17" t="b">
        <v>1</v>
      </c>
      <c r="D17" t="b">
        <v>1</v>
      </c>
      <c r="E17">
        <v>900000</v>
      </c>
      <c r="F17" s="7">
        <v>44887</v>
      </c>
      <c r="G17" s="7">
        <v>44887</v>
      </c>
      <c r="H17">
        <v>768641.1</v>
      </c>
    </row>
    <row r="18" spans="1:8" x14ac:dyDescent="0.2">
      <c r="A18" t="s">
        <v>24</v>
      </c>
      <c r="B18" t="s">
        <v>148</v>
      </c>
      <c r="C18" t="b">
        <v>1</v>
      </c>
      <c r="D18" t="b">
        <v>1</v>
      </c>
      <c r="E18">
        <v>900000</v>
      </c>
      <c r="F18" s="7">
        <v>44901</v>
      </c>
      <c r="G18" s="7">
        <v>44901</v>
      </c>
      <c r="H18">
        <v>918344.34</v>
      </c>
    </row>
    <row r="19" spans="1:8" x14ac:dyDescent="0.2">
      <c r="A19" t="s">
        <v>24</v>
      </c>
      <c r="B19" t="s">
        <v>155</v>
      </c>
      <c r="C19" t="b">
        <v>1</v>
      </c>
      <c r="D19" t="b">
        <v>1</v>
      </c>
      <c r="E19">
        <v>900000</v>
      </c>
      <c r="F19" s="7">
        <v>44887</v>
      </c>
      <c r="G19" s="7">
        <v>44887</v>
      </c>
      <c r="H19">
        <v>892342.47</v>
      </c>
    </row>
    <row r="20" spans="1:8" x14ac:dyDescent="0.2">
      <c r="A20" t="s">
        <v>24</v>
      </c>
      <c r="B20" t="s">
        <v>162</v>
      </c>
      <c r="C20" t="b">
        <v>1</v>
      </c>
      <c r="D20" t="b">
        <v>1</v>
      </c>
      <c r="E20">
        <v>900000</v>
      </c>
      <c r="F20" s="7">
        <v>44896</v>
      </c>
      <c r="G20" s="7">
        <v>44896</v>
      </c>
      <c r="H20">
        <v>900500</v>
      </c>
    </row>
    <row r="21" spans="1:8" x14ac:dyDescent="0.2">
      <c r="A21" t="s">
        <v>24</v>
      </c>
      <c r="B21" t="s">
        <v>175</v>
      </c>
      <c r="C21" t="b">
        <v>1</v>
      </c>
      <c r="D21" t="b">
        <v>1</v>
      </c>
      <c r="E21">
        <v>900000</v>
      </c>
      <c r="F21" s="7">
        <v>45056</v>
      </c>
      <c r="G21" s="7">
        <v>45056</v>
      </c>
      <c r="H21">
        <v>800000</v>
      </c>
    </row>
    <row r="22" spans="1:8" x14ac:dyDescent="0.2">
      <c r="A22" t="s">
        <v>24</v>
      </c>
      <c r="B22" t="s">
        <v>191</v>
      </c>
      <c r="C22" t="b">
        <v>1</v>
      </c>
      <c r="D22" t="b">
        <v>1</v>
      </c>
      <c r="E22">
        <v>900000</v>
      </c>
      <c r="F22" s="7">
        <v>44942</v>
      </c>
      <c r="G22" s="7">
        <v>44942</v>
      </c>
      <c r="H22">
        <v>700100</v>
      </c>
    </row>
    <row r="23" spans="1:8" x14ac:dyDescent="0.2">
      <c r="A23" t="s">
        <v>24</v>
      </c>
      <c r="B23" t="s">
        <v>198</v>
      </c>
      <c r="C23" t="b">
        <v>1</v>
      </c>
      <c r="D23" t="b">
        <v>1</v>
      </c>
      <c r="E23">
        <v>900000</v>
      </c>
      <c r="F23" s="7">
        <v>44901</v>
      </c>
      <c r="G23" s="7">
        <v>44901</v>
      </c>
      <c r="H23">
        <v>900100</v>
      </c>
    </row>
    <row r="24" spans="1:8" x14ac:dyDescent="0.2">
      <c r="A24" t="s">
        <v>24</v>
      </c>
      <c r="B24" t="s">
        <v>208</v>
      </c>
      <c r="C24" t="b">
        <v>1</v>
      </c>
      <c r="D24" t="b">
        <v>1</v>
      </c>
      <c r="E24">
        <v>900000</v>
      </c>
      <c r="F24" s="7">
        <v>44909</v>
      </c>
      <c r="G24" s="7">
        <v>44909</v>
      </c>
      <c r="H24">
        <v>920000</v>
      </c>
    </row>
    <row r="25" spans="1:8" x14ac:dyDescent="0.2">
      <c r="A25" t="s">
        <v>24</v>
      </c>
      <c r="B25" t="s">
        <v>217</v>
      </c>
      <c r="C25" t="b">
        <v>1</v>
      </c>
      <c r="D25" t="b">
        <v>1</v>
      </c>
      <c r="E25">
        <v>900000</v>
      </c>
      <c r="F25" s="7">
        <v>44896</v>
      </c>
      <c r="G25" s="7">
        <v>44896</v>
      </c>
      <c r="H25">
        <v>920000</v>
      </c>
    </row>
    <row r="26" spans="1:8" x14ac:dyDescent="0.2">
      <c r="A26" t="s">
        <v>24</v>
      </c>
      <c r="B26" t="s">
        <v>226</v>
      </c>
      <c r="C26" t="b">
        <v>1</v>
      </c>
      <c r="D26" t="b">
        <v>1</v>
      </c>
      <c r="E26">
        <v>900000</v>
      </c>
      <c r="F26" s="7">
        <v>44887</v>
      </c>
      <c r="G26" s="7">
        <v>44887</v>
      </c>
      <c r="H26">
        <v>900000</v>
      </c>
    </row>
    <row r="27" spans="1:8" x14ac:dyDescent="0.2">
      <c r="A27" t="s">
        <v>24</v>
      </c>
      <c r="B27" t="s">
        <v>229</v>
      </c>
      <c r="C27" t="b">
        <v>1</v>
      </c>
      <c r="D27" t="b">
        <v>1</v>
      </c>
      <c r="E27">
        <v>900000</v>
      </c>
      <c r="F27" s="7">
        <v>44908</v>
      </c>
      <c r="G27" s="7">
        <v>44908</v>
      </c>
      <c r="H27">
        <v>901887.67</v>
      </c>
    </row>
    <row r="28" spans="1:8" x14ac:dyDescent="0.2">
      <c r="A28" t="s">
        <v>24</v>
      </c>
      <c r="B28" t="s">
        <v>239</v>
      </c>
      <c r="C28" t="b">
        <v>1</v>
      </c>
      <c r="D28" t="b">
        <v>1</v>
      </c>
      <c r="E28">
        <v>900000</v>
      </c>
      <c r="F28" s="7">
        <v>44992</v>
      </c>
      <c r="G28" s="7">
        <v>44992</v>
      </c>
      <c r="H28">
        <v>888145.58</v>
      </c>
    </row>
    <row r="29" spans="1:8" x14ac:dyDescent="0.2">
      <c r="A29" t="s">
        <v>24</v>
      </c>
      <c r="B29" t="s">
        <v>246</v>
      </c>
      <c r="C29" t="b">
        <v>1</v>
      </c>
      <c r="D29" t="b">
        <v>1</v>
      </c>
      <c r="E29">
        <v>900000</v>
      </c>
      <c r="F29" s="7">
        <v>44956</v>
      </c>
      <c r="G29" s="7">
        <v>44956</v>
      </c>
      <c r="H29">
        <v>900000</v>
      </c>
    </row>
    <row r="30" spans="1:8" x14ac:dyDescent="0.2">
      <c r="A30" t="s">
        <v>24</v>
      </c>
      <c r="B30" t="s">
        <v>256</v>
      </c>
      <c r="C30" t="b">
        <v>1</v>
      </c>
      <c r="D30" t="b">
        <v>1</v>
      </c>
      <c r="E30">
        <v>900000</v>
      </c>
      <c r="F30" s="7">
        <v>45027</v>
      </c>
      <c r="G30" s="7">
        <v>45027</v>
      </c>
      <c r="H30">
        <v>1220000</v>
      </c>
    </row>
    <row r="31" spans="1:8" x14ac:dyDescent="0.2">
      <c r="A31" t="s">
        <v>24</v>
      </c>
      <c r="B31" t="s">
        <v>260</v>
      </c>
      <c r="C31" t="b">
        <v>1</v>
      </c>
      <c r="D31" t="b">
        <v>1</v>
      </c>
      <c r="E31">
        <v>900000</v>
      </c>
      <c r="F31" s="7">
        <v>44984</v>
      </c>
      <c r="G31" s="7">
        <v>44984</v>
      </c>
      <c r="H31">
        <v>920000</v>
      </c>
    </row>
    <row r="32" spans="1:8" x14ac:dyDescent="0.2">
      <c r="A32" t="s">
        <v>24</v>
      </c>
      <c r="B32" t="s">
        <v>267</v>
      </c>
      <c r="C32" t="b">
        <v>1</v>
      </c>
      <c r="D32" t="b">
        <v>1</v>
      </c>
      <c r="E32">
        <v>900000</v>
      </c>
      <c r="F32" s="7">
        <v>44999</v>
      </c>
      <c r="G32" s="7">
        <v>44999</v>
      </c>
      <c r="H32">
        <v>910000</v>
      </c>
    </row>
    <row r="33" spans="1:8" x14ac:dyDescent="0.2">
      <c r="A33" t="s">
        <v>24</v>
      </c>
      <c r="B33" t="s">
        <v>274</v>
      </c>
      <c r="C33" t="b">
        <v>1</v>
      </c>
      <c r="D33" t="b">
        <v>1</v>
      </c>
      <c r="E33">
        <v>900000</v>
      </c>
      <c r="F33" s="7">
        <v>45019</v>
      </c>
      <c r="G33" s="7">
        <v>45019</v>
      </c>
      <c r="H33">
        <v>900000</v>
      </c>
    </row>
    <row r="34" spans="1:8" x14ac:dyDescent="0.2">
      <c r="A34" t="s">
        <v>24</v>
      </c>
      <c r="B34" t="s">
        <v>275</v>
      </c>
      <c r="C34" t="b">
        <v>1</v>
      </c>
      <c r="D34" t="b">
        <v>1</v>
      </c>
      <c r="E34">
        <v>900000</v>
      </c>
      <c r="F34" s="7">
        <v>45027</v>
      </c>
      <c r="G34" s="7">
        <v>45027</v>
      </c>
      <c r="H34">
        <v>910000</v>
      </c>
    </row>
    <row r="35" spans="1:8" x14ac:dyDescent="0.2">
      <c r="A35" t="s">
        <v>24</v>
      </c>
      <c r="B35" t="s">
        <v>284</v>
      </c>
      <c r="C35" t="b">
        <v>1</v>
      </c>
      <c r="D35" t="b">
        <v>1</v>
      </c>
      <c r="E35">
        <v>900000</v>
      </c>
      <c r="F35" s="7">
        <v>44936</v>
      </c>
      <c r="G35" s="7">
        <v>44936</v>
      </c>
      <c r="H35">
        <v>900000</v>
      </c>
    </row>
    <row r="36" spans="1:8" x14ac:dyDescent="0.2">
      <c r="A36" t="s">
        <v>24</v>
      </c>
      <c r="B36" t="s">
        <v>291</v>
      </c>
      <c r="C36" t="b">
        <v>1</v>
      </c>
      <c r="D36" t="b">
        <v>1</v>
      </c>
      <c r="E36">
        <v>900000</v>
      </c>
      <c r="F36" s="7">
        <v>45007</v>
      </c>
      <c r="G36" s="7">
        <v>45007</v>
      </c>
      <c r="H36">
        <v>900000</v>
      </c>
    </row>
    <row r="37" spans="1:8" x14ac:dyDescent="0.2">
      <c r="A37" t="s">
        <v>24</v>
      </c>
      <c r="B37" t="s">
        <v>298</v>
      </c>
      <c r="C37" t="b">
        <v>1</v>
      </c>
      <c r="D37" t="b">
        <v>1</v>
      </c>
      <c r="E37">
        <v>900000</v>
      </c>
      <c r="F37" s="7">
        <v>44936</v>
      </c>
      <c r="G37" s="7">
        <v>44936</v>
      </c>
      <c r="H37">
        <v>1350000</v>
      </c>
    </row>
    <row r="38" spans="1:8" x14ac:dyDescent="0.2">
      <c r="A38" t="s">
        <v>24</v>
      </c>
      <c r="B38" t="s">
        <v>302</v>
      </c>
      <c r="C38" t="b">
        <v>1</v>
      </c>
      <c r="D38" t="b">
        <v>1</v>
      </c>
      <c r="E38">
        <v>900000</v>
      </c>
      <c r="F38" s="7">
        <v>45007</v>
      </c>
      <c r="G38" s="7">
        <v>45007</v>
      </c>
      <c r="H38">
        <v>900000</v>
      </c>
    </row>
    <row r="39" spans="1:8" x14ac:dyDescent="0.2">
      <c r="A39" t="s">
        <v>24</v>
      </c>
      <c r="B39" t="s">
        <v>303</v>
      </c>
      <c r="C39" t="b">
        <v>1</v>
      </c>
      <c r="D39" t="b">
        <v>1</v>
      </c>
      <c r="E39">
        <v>900000</v>
      </c>
      <c r="F39" s="7">
        <v>44974</v>
      </c>
      <c r="G39" s="7">
        <v>44974</v>
      </c>
      <c r="H39">
        <v>900000</v>
      </c>
    </row>
    <row r="40" spans="1:8" x14ac:dyDescent="0.2">
      <c r="A40" t="s">
        <v>24</v>
      </c>
      <c r="B40" t="s">
        <v>307</v>
      </c>
      <c r="C40" t="b">
        <v>1</v>
      </c>
      <c r="D40" t="b">
        <v>0</v>
      </c>
      <c r="E40">
        <v>1000000</v>
      </c>
      <c r="F40" s="7">
        <v>45471</v>
      </c>
      <c r="H40">
        <v>1000000</v>
      </c>
    </row>
    <row r="41" spans="1:8" x14ac:dyDescent="0.2">
      <c r="A41" t="s">
        <v>24</v>
      </c>
      <c r="B41" t="s">
        <v>308</v>
      </c>
      <c r="C41" t="b">
        <v>0</v>
      </c>
      <c r="D41" t="b">
        <v>0</v>
      </c>
      <c r="E41">
        <v>900000</v>
      </c>
      <c r="F41" s="7">
        <v>45520</v>
      </c>
      <c r="H41">
        <v>900000</v>
      </c>
    </row>
    <row r="42" spans="1:8" x14ac:dyDescent="0.2">
      <c r="A42" t="s">
        <v>24</v>
      </c>
      <c r="B42" t="s">
        <v>312</v>
      </c>
      <c r="C42" t="b">
        <v>1</v>
      </c>
      <c r="D42" t="b">
        <v>1</v>
      </c>
      <c r="E42">
        <v>900000</v>
      </c>
      <c r="F42" s="7">
        <v>45002</v>
      </c>
      <c r="G42" s="7">
        <v>45002</v>
      </c>
      <c r="H42">
        <v>900000</v>
      </c>
    </row>
    <row r="43" spans="1:8" x14ac:dyDescent="0.2">
      <c r="A43" t="s">
        <v>24</v>
      </c>
      <c r="B43" t="s">
        <v>316</v>
      </c>
      <c r="C43" t="b">
        <v>1</v>
      </c>
      <c r="D43" t="b">
        <v>1</v>
      </c>
      <c r="E43">
        <v>900000</v>
      </c>
      <c r="F43" s="7">
        <v>45390</v>
      </c>
      <c r="G43" s="7">
        <v>45390</v>
      </c>
      <c r="H43">
        <v>900000</v>
      </c>
    </row>
    <row r="44" spans="1:8" x14ac:dyDescent="0.2">
      <c r="A44" t="s">
        <v>24</v>
      </c>
      <c r="B44" t="s">
        <v>320</v>
      </c>
      <c r="C44" t="b">
        <v>0</v>
      </c>
      <c r="D44" t="b">
        <v>0</v>
      </c>
      <c r="E44">
        <v>900000</v>
      </c>
      <c r="F44" s="7">
        <v>45520</v>
      </c>
      <c r="H44">
        <v>800000</v>
      </c>
    </row>
    <row r="45" spans="1:8" x14ac:dyDescent="0.2">
      <c r="A45" t="s">
        <v>24</v>
      </c>
      <c r="B45" t="s">
        <v>328</v>
      </c>
      <c r="C45" t="b">
        <v>0</v>
      </c>
      <c r="D45" t="b">
        <v>0</v>
      </c>
      <c r="E45">
        <v>900000</v>
      </c>
      <c r="F45" s="7">
        <v>45533</v>
      </c>
      <c r="H45">
        <v>900000</v>
      </c>
    </row>
    <row r="46" spans="1:8" x14ac:dyDescent="0.2">
      <c r="A46" t="s">
        <v>24</v>
      </c>
      <c r="B46" t="s">
        <v>331</v>
      </c>
      <c r="C46" t="b">
        <v>0</v>
      </c>
      <c r="D46" t="b">
        <v>0</v>
      </c>
      <c r="E46">
        <v>900000</v>
      </c>
      <c r="F46" s="7">
        <v>45533</v>
      </c>
      <c r="H46">
        <v>1800000</v>
      </c>
    </row>
    <row r="47" spans="1:8" x14ac:dyDescent="0.2">
      <c r="A47" t="s">
        <v>24</v>
      </c>
      <c r="B47" t="s">
        <v>334</v>
      </c>
      <c r="C47" t="b">
        <v>0</v>
      </c>
      <c r="D47" t="b">
        <v>0</v>
      </c>
      <c r="E47">
        <v>1000000</v>
      </c>
      <c r="F47" s="7">
        <v>45540</v>
      </c>
      <c r="H47">
        <v>1000000</v>
      </c>
    </row>
    <row r="48" spans="1:8" x14ac:dyDescent="0.2">
      <c r="A48" t="s">
        <v>24</v>
      </c>
      <c r="B48" t="s">
        <v>335</v>
      </c>
      <c r="C48" t="b">
        <v>1</v>
      </c>
      <c r="D48" t="b">
        <v>1</v>
      </c>
      <c r="E48">
        <v>1000000</v>
      </c>
      <c r="F48" s="7">
        <v>45128</v>
      </c>
      <c r="G48" s="7">
        <v>45128</v>
      </c>
      <c r="H48">
        <v>1000000</v>
      </c>
    </row>
    <row r="49" spans="1:8" x14ac:dyDescent="0.2">
      <c r="A49" t="s">
        <v>24</v>
      </c>
      <c r="B49" t="s">
        <v>927</v>
      </c>
      <c r="C49" t="b">
        <v>0</v>
      </c>
      <c r="D49" t="b">
        <v>0</v>
      </c>
      <c r="E49">
        <v>1000000</v>
      </c>
      <c r="F49" s="7">
        <v>45554</v>
      </c>
      <c r="H49">
        <v>0</v>
      </c>
    </row>
    <row r="50" spans="1:8" x14ac:dyDescent="0.2">
      <c r="A50" t="s">
        <v>24</v>
      </c>
      <c r="B50" t="s">
        <v>339</v>
      </c>
      <c r="C50" t="b">
        <v>1</v>
      </c>
      <c r="D50" t="b">
        <v>1</v>
      </c>
      <c r="E50">
        <v>1000000</v>
      </c>
      <c r="F50" s="7">
        <v>44956</v>
      </c>
      <c r="G50" s="7">
        <v>44956</v>
      </c>
      <c r="H50">
        <v>1000000</v>
      </c>
    </row>
    <row r="51" spans="1:8" x14ac:dyDescent="0.2">
      <c r="A51" t="s">
        <v>24</v>
      </c>
      <c r="B51" t="s">
        <v>345</v>
      </c>
      <c r="C51" t="b">
        <v>1</v>
      </c>
      <c r="D51" t="b">
        <v>1</v>
      </c>
      <c r="E51">
        <v>1000000</v>
      </c>
      <c r="F51" s="7">
        <v>44952</v>
      </c>
      <c r="G51" s="7">
        <v>44952</v>
      </c>
      <c r="H51">
        <v>1000000</v>
      </c>
    </row>
    <row r="52" spans="1:8" x14ac:dyDescent="0.2">
      <c r="A52" t="s">
        <v>24</v>
      </c>
      <c r="B52" t="s">
        <v>349</v>
      </c>
      <c r="C52" t="b">
        <v>1</v>
      </c>
      <c r="D52" t="b">
        <v>1</v>
      </c>
      <c r="E52">
        <v>1000000</v>
      </c>
      <c r="F52" s="7">
        <v>44942</v>
      </c>
      <c r="G52" s="7">
        <v>44942</v>
      </c>
      <c r="H52">
        <v>500000</v>
      </c>
    </row>
    <row r="53" spans="1:8" x14ac:dyDescent="0.2">
      <c r="A53" t="s">
        <v>24</v>
      </c>
      <c r="B53" t="s">
        <v>354</v>
      </c>
      <c r="C53" t="b">
        <v>1</v>
      </c>
      <c r="D53" t="b">
        <v>1</v>
      </c>
      <c r="E53">
        <v>1000000</v>
      </c>
      <c r="F53" s="7">
        <v>45027</v>
      </c>
      <c r="G53" s="7">
        <v>45027</v>
      </c>
      <c r="H53">
        <v>1000000</v>
      </c>
    </row>
    <row r="54" spans="1:8" x14ac:dyDescent="0.2">
      <c r="A54" t="s">
        <v>24</v>
      </c>
      <c r="B54" t="s">
        <v>928</v>
      </c>
      <c r="C54" t="b">
        <v>1</v>
      </c>
      <c r="D54" t="b">
        <v>1</v>
      </c>
      <c r="E54">
        <v>1000000</v>
      </c>
      <c r="F54" s="7">
        <v>45007</v>
      </c>
      <c r="G54" s="7">
        <v>45007</v>
      </c>
      <c r="H54">
        <v>0</v>
      </c>
    </row>
    <row r="55" spans="1:8" x14ac:dyDescent="0.2">
      <c r="A55" t="s">
        <v>24</v>
      </c>
      <c r="B55" t="s">
        <v>358</v>
      </c>
      <c r="C55" t="b">
        <v>1</v>
      </c>
      <c r="D55" t="b">
        <v>1</v>
      </c>
      <c r="E55">
        <v>1000000</v>
      </c>
      <c r="F55" s="7">
        <v>45061</v>
      </c>
      <c r="G55" s="7">
        <v>45061</v>
      </c>
      <c r="H55">
        <v>1000000</v>
      </c>
    </row>
    <row r="56" spans="1:8" x14ac:dyDescent="0.2">
      <c r="A56" t="s">
        <v>24</v>
      </c>
      <c r="B56" t="s">
        <v>362</v>
      </c>
      <c r="C56" t="b">
        <v>1</v>
      </c>
      <c r="D56" t="b">
        <v>1</v>
      </c>
      <c r="E56">
        <v>1000000</v>
      </c>
      <c r="F56" s="7">
        <v>45054</v>
      </c>
      <c r="G56" s="7">
        <v>45054</v>
      </c>
      <c r="H56">
        <v>400000</v>
      </c>
    </row>
    <row r="57" spans="1:8" x14ac:dyDescent="0.2">
      <c r="A57" t="s">
        <v>24</v>
      </c>
      <c r="B57" t="s">
        <v>369</v>
      </c>
      <c r="C57" t="b">
        <v>1</v>
      </c>
      <c r="D57" t="b">
        <v>1</v>
      </c>
      <c r="E57">
        <v>1000000</v>
      </c>
      <c r="F57" s="7">
        <v>45027</v>
      </c>
      <c r="G57" s="7">
        <v>45027</v>
      </c>
      <c r="H57">
        <v>1000000</v>
      </c>
    </row>
    <row r="58" spans="1:8" x14ac:dyDescent="0.2">
      <c r="A58" t="s">
        <v>24</v>
      </c>
      <c r="B58" t="s">
        <v>373</v>
      </c>
      <c r="C58" t="b">
        <v>1</v>
      </c>
      <c r="D58" t="b">
        <v>1</v>
      </c>
      <c r="E58">
        <v>1000000</v>
      </c>
      <c r="F58" s="7">
        <v>45086</v>
      </c>
      <c r="G58" s="7">
        <v>45086</v>
      </c>
      <c r="H58">
        <v>799172.38</v>
      </c>
    </row>
    <row r="59" spans="1:8" x14ac:dyDescent="0.2">
      <c r="A59" t="s">
        <v>24</v>
      </c>
      <c r="B59" t="s">
        <v>379</v>
      </c>
      <c r="C59" t="b">
        <v>1</v>
      </c>
      <c r="D59" t="b">
        <v>1</v>
      </c>
      <c r="E59">
        <v>1000000</v>
      </c>
      <c r="F59" s="7">
        <v>45014</v>
      </c>
      <c r="G59" s="7">
        <v>45014</v>
      </c>
      <c r="H59">
        <v>1000000</v>
      </c>
    </row>
    <row r="60" spans="1:8" x14ac:dyDescent="0.2">
      <c r="A60" t="s">
        <v>24</v>
      </c>
      <c r="B60" t="s">
        <v>380</v>
      </c>
      <c r="C60" t="b">
        <v>1</v>
      </c>
      <c r="D60" t="b">
        <v>1</v>
      </c>
      <c r="E60">
        <v>1000000</v>
      </c>
      <c r="F60" s="7">
        <v>45035</v>
      </c>
      <c r="G60" s="7">
        <v>45035</v>
      </c>
      <c r="H60">
        <v>600000</v>
      </c>
    </row>
    <row r="61" spans="1:8" x14ac:dyDescent="0.2">
      <c r="A61" t="s">
        <v>24</v>
      </c>
      <c r="B61" t="s">
        <v>381</v>
      </c>
      <c r="C61" t="b">
        <v>1</v>
      </c>
      <c r="D61" t="b">
        <v>1</v>
      </c>
      <c r="E61">
        <v>1000000</v>
      </c>
      <c r="F61" s="7">
        <v>45027</v>
      </c>
      <c r="G61" s="7">
        <v>45027</v>
      </c>
      <c r="H61">
        <v>1000000</v>
      </c>
    </row>
    <row r="62" spans="1:8" x14ac:dyDescent="0.2">
      <c r="A62" t="s">
        <v>24</v>
      </c>
      <c r="B62" t="s">
        <v>385</v>
      </c>
      <c r="C62" t="b">
        <v>1</v>
      </c>
      <c r="D62" t="b">
        <v>1</v>
      </c>
      <c r="E62">
        <v>1000000</v>
      </c>
      <c r="F62" s="7">
        <v>45051</v>
      </c>
      <c r="G62" s="7">
        <v>45051</v>
      </c>
      <c r="H62">
        <v>1068455</v>
      </c>
    </row>
    <row r="63" spans="1:8" x14ac:dyDescent="0.2">
      <c r="A63" t="s">
        <v>24</v>
      </c>
      <c r="B63" t="s">
        <v>929</v>
      </c>
      <c r="C63" t="b">
        <v>1</v>
      </c>
      <c r="D63" t="b">
        <v>1</v>
      </c>
      <c r="E63">
        <v>1000000</v>
      </c>
      <c r="F63" s="7">
        <v>45027</v>
      </c>
      <c r="G63" s="7">
        <v>45027</v>
      </c>
      <c r="H63">
        <v>0</v>
      </c>
    </row>
    <row r="64" spans="1:8" x14ac:dyDescent="0.2">
      <c r="A64" t="s">
        <v>24</v>
      </c>
      <c r="B64" t="s">
        <v>930</v>
      </c>
      <c r="C64" t="b">
        <v>1</v>
      </c>
      <c r="D64" t="b">
        <v>1</v>
      </c>
      <c r="E64">
        <v>1000000</v>
      </c>
      <c r="F64" s="7">
        <v>45204</v>
      </c>
      <c r="G64" s="7">
        <v>45204</v>
      </c>
      <c r="H64">
        <v>0</v>
      </c>
    </row>
    <row r="65" spans="1:8" x14ac:dyDescent="0.2">
      <c r="A65" t="s">
        <v>386</v>
      </c>
      <c r="B65" t="s">
        <v>387</v>
      </c>
      <c r="C65" t="b">
        <v>1</v>
      </c>
      <c r="D65" t="b">
        <v>1</v>
      </c>
      <c r="E65">
        <v>1100000</v>
      </c>
      <c r="F65" s="7">
        <v>45154</v>
      </c>
      <c r="G65" s="7">
        <v>45154</v>
      </c>
      <c r="H65">
        <v>1112472.71</v>
      </c>
    </row>
    <row r="66" spans="1:8" x14ac:dyDescent="0.2">
      <c r="A66" t="s">
        <v>386</v>
      </c>
      <c r="B66" t="s">
        <v>398</v>
      </c>
      <c r="C66" t="b">
        <v>1</v>
      </c>
      <c r="D66" t="b">
        <v>1</v>
      </c>
      <c r="E66">
        <v>1100000</v>
      </c>
      <c r="F66" s="7">
        <v>45154</v>
      </c>
      <c r="G66" s="7">
        <v>45154</v>
      </c>
      <c r="H66">
        <v>1100000</v>
      </c>
    </row>
    <row r="67" spans="1:8" x14ac:dyDescent="0.2">
      <c r="A67" t="s">
        <v>386</v>
      </c>
      <c r="B67" t="s">
        <v>402</v>
      </c>
      <c r="C67" t="b">
        <v>1</v>
      </c>
      <c r="D67" t="b">
        <v>1</v>
      </c>
      <c r="E67">
        <v>1100000</v>
      </c>
      <c r="F67" s="7">
        <v>45174</v>
      </c>
      <c r="G67" s="7">
        <v>45174</v>
      </c>
      <c r="H67">
        <v>1118391.4099999999</v>
      </c>
    </row>
    <row r="68" spans="1:8" x14ac:dyDescent="0.2">
      <c r="A68" t="s">
        <v>386</v>
      </c>
      <c r="B68" t="s">
        <v>404</v>
      </c>
      <c r="C68" t="b">
        <v>1</v>
      </c>
      <c r="D68" t="b">
        <v>1</v>
      </c>
      <c r="E68">
        <v>1100000</v>
      </c>
      <c r="F68" s="7">
        <v>45167</v>
      </c>
      <c r="G68" s="7">
        <v>45167</v>
      </c>
      <c r="H68">
        <v>1080000</v>
      </c>
    </row>
    <row r="69" spans="1:8" x14ac:dyDescent="0.2">
      <c r="A69" t="s">
        <v>386</v>
      </c>
      <c r="B69" t="s">
        <v>408</v>
      </c>
      <c r="C69" t="b">
        <v>1</v>
      </c>
      <c r="D69" t="b">
        <v>1</v>
      </c>
      <c r="E69">
        <v>1100000</v>
      </c>
      <c r="F69" s="7">
        <v>45175</v>
      </c>
      <c r="G69" s="7">
        <v>45175</v>
      </c>
      <c r="H69">
        <v>1118537.67</v>
      </c>
    </row>
    <row r="70" spans="1:8" x14ac:dyDescent="0.2">
      <c r="A70" t="s">
        <v>386</v>
      </c>
      <c r="B70" t="s">
        <v>415</v>
      </c>
      <c r="C70" t="b">
        <v>1</v>
      </c>
      <c r="D70" t="b">
        <v>1</v>
      </c>
      <c r="E70">
        <v>1100000</v>
      </c>
      <c r="F70" s="7">
        <v>45170</v>
      </c>
      <c r="G70" s="7">
        <v>45170</v>
      </c>
      <c r="H70">
        <v>1110000</v>
      </c>
    </row>
    <row r="71" spans="1:8" x14ac:dyDescent="0.2">
      <c r="A71" t="s">
        <v>386</v>
      </c>
      <c r="B71" t="s">
        <v>422</v>
      </c>
      <c r="C71" t="b">
        <v>1</v>
      </c>
      <c r="D71" t="b">
        <v>1</v>
      </c>
      <c r="E71">
        <v>1100000</v>
      </c>
      <c r="F71" s="7">
        <v>45177</v>
      </c>
      <c r="G71" s="7">
        <v>45177</v>
      </c>
      <c r="H71">
        <v>1056614.26</v>
      </c>
    </row>
    <row r="72" spans="1:8" x14ac:dyDescent="0.2">
      <c r="A72" t="s">
        <v>386</v>
      </c>
      <c r="B72" t="s">
        <v>427</v>
      </c>
      <c r="C72" t="b">
        <v>0</v>
      </c>
      <c r="D72" t="b">
        <v>0</v>
      </c>
      <c r="E72">
        <v>1100000</v>
      </c>
      <c r="F72" s="7">
        <v>45505</v>
      </c>
      <c r="H72">
        <v>1100000</v>
      </c>
    </row>
    <row r="73" spans="1:8" x14ac:dyDescent="0.2">
      <c r="A73" t="s">
        <v>386</v>
      </c>
      <c r="B73" t="s">
        <v>442</v>
      </c>
      <c r="C73" t="b">
        <v>1</v>
      </c>
      <c r="D73" t="b">
        <v>1</v>
      </c>
      <c r="E73">
        <v>1100000</v>
      </c>
      <c r="F73" s="7">
        <v>45154</v>
      </c>
      <c r="G73" s="7">
        <v>45154</v>
      </c>
      <c r="H73">
        <v>1100000</v>
      </c>
    </row>
    <row r="74" spans="1:8" x14ac:dyDescent="0.2">
      <c r="A74" t="s">
        <v>386</v>
      </c>
      <c r="B74" t="s">
        <v>446</v>
      </c>
      <c r="C74" t="b">
        <v>0</v>
      </c>
      <c r="D74" t="b">
        <v>0</v>
      </c>
      <c r="E74">
        <v>1100000</v>
      </c>
      <c r="F74" s="7">
        <v>45530</v>
      </c>
      <c r="H74">
        <v>1107450.08</v>
      </c>
    </row>
    <row r="75" spans="1:8" x14ac:dyDescent="0.2">
      <c r="A75" t="s">
        <v>386</v>
      </c>
      <c r="B75" t="s">
        <v>460</v>
      </c>
      <c r="C75" t="b">
        <v>1</v>
      </c>
      <c r="D75" t="b">
        <v>0</v>
      </c>
      <c r="E75">
        <v>1100000</v>
      </c>
      <c r="F75" s="7">
        <v>45442</v>
      </c>
      <c r="H75">
        <v>1111894.52</v>
      </c>
    </row>
    <row r="76" spans="1:8" x14ac:dyDescent="0.2">
      <c r="A76" t="s">
        <v>386</v>
      </c>
      <c r="B76" t="s">
        <v>469</v>
      </c>
      <c r="C76" t="b">
        <v>1</v>
      </c>
      <c r="D76" t="b">
        <v>0</v>
      </c>
      <c r="E76">
        <v>1100000</v>
      </c>
      <c r="F76" s="7">
        <v>45442</v>
      </c>
      <c r="H76">
        <v>1100000</v>
      </c>
    </row>
    <row r="77" spans="1:8" x14ac:dyDescent="0.2">
      <c r="A77" t="s">
        <v>386</v>
      </c>
      <c r="B77" t="s">
        <v>470</v>
      </c>
      <c r="C77" t="b">
        <v>1</v>
      </c>
      <c r="D77" t="b">
        <v>1</v>
      </c>
      <c r="E77">
        <v>1100000</v>
      </c>
      <c r="F77" s="7">
        <v>45154</v>
      </c>
      <c r="G77" s="7">
        <v>45154</v>
      </c>
      <c r="H77">
        <v>1090694.47</v>
      </c>
    </row>
    <row r="78" spans="1:8" x14ac:dyDescent="0.2">
      <c r="A78" t="s">
        <v>386</v>
      </c>
      <c r="B78" t="s">
        <v>471</v>
      </c>
      <c r="C78" t="b">
        <v>0</v>
      </c>
      <c r="D78" t="b">
        <v>0</v>
      </c>
      <c r="E78">
        <v>1100000</v>
      </c>
      <c r="F78" s="7">
        <v>45475</v>
      </c>
      <c r="H78">
        <v>1107899.95</v>
      </c>
    </row>
    <row r="79" spans="1:8" x14ac:dyDescent="0.2">
      <c r="A79" t="s">
        <v>386</v>
      </c>
      <c r="B79" t="s">
        <v>478</v>
      </c>
      <c r="C79" t="b">
        <v>1</v>
      </c>
      <c r="D79" t="b">
        <v>1</v>
      </c>
      <c r="E79">
        <v>1100000</v>
      </c>
      <c r="F79" s="7">
        <v>45177</v>
      </c>
      <c r="G79" s="7">
        <v>45177</v>
      </c>
      <c r="H79">
        <v>1075536.3</v>
      </c>
    </row>
    <row r="80" spans="1:8" x14ac:dyDescent="0.2">
      <c r="A80" t="s">
        <v>386</v>
      </c>
      <c r="B80" t="s">
        <v>488</v>
      </c>
      <c r="C80" t="b">
        <v>0</v>
      </c>
      <c r="D80" t="b">
        <v>0</v>
      </c>
      <c r="E80">
        <v>1100000</v>
      </c>
      <c r="F80" s="7">
        <v>45533</v>
      </c>
      <c r="H80">
        <v>1028006.85</v>
      </c>
    </row>
    <row r="81" spans="1:8" x14ac:dyDescent="0.2">
      <c r="A81" t="s">
        <v>386</v>
      </c>
      <c r="B81" t="s">
        <v>492</v>
      </c>
      <c r="C81" t="b">
        <v>0</v>
      </c>
      <c r="D81" t="b">
        <v>0</v>
      </c>
      <c r="E81">
        <v>1100000</v>
      </c>
      <c r="F81" s="7">
        <v>45533</v>
      </c>
      <c r="H81">
        <v>1118307.2</v>
      </c>
    </row>
    <row r="82" spans="1:8" x14ac:dyDescent="0.2">
      <c r="A82" t="s">
        <v>386</v>
      </c>
      <c r="B82" t="s">
        <v>495</v>
      </c>
      <c r="C82" t="b">
        <v>1</v>
      </c>
      <c r="D82" t="b">
        <v>1</v>
      </c>
      <c r="E82">
        <v>1100000</v>
      </c>
      <c r="F82" s="7">
        <v>45394</v>
      </c>
      <c r="G82" s="7">
        <v>45394</v>
      </c>
      <c r="H82">
        <v>1100000</v>
      </c>
    </row>
    <row r="83" spans="1:8" x14ac:dyDescent="0.2">
      <c r="A83" t="s">
        <v>386</v>
      </c>
      <c r="B83" t="s">
        <v>496</v>
      </c>
      <c r="C83" t="b">
        <v>1</v>
      </c>
      <c r="D83" t="b">
        <v>1</v>
      </c>
      <c r="E83">
        <v>1000000</v>
      </c>
      <c r="F83" s="7">
        <v>45308</v>
      </c>
      <c r="G83" s="7">
        <v>45308</v>
      </c>
      <c r="H83">
        <v>1015859.19</v>
      </c>
    </row>
    <row r="84" spans="1:8" x14ac:dyDescent="0.2">
      <c r="A84" t="s">
        <v>386</v>
      </c>
      <c r="B84" t="s">
        <v>504</v>
      </c>
      <c r="C84" t="b">
        <v>1</v>
      </c>
      <c r="D84" t="b">
        <v>1</v>
      </c>
      <c r="E84">
        <v>1000000</v>
      </c>
      <c r="F84" s="7">
        <v>45341</v>
      </c>
      <c r="G84" s="7">
        <v>45341</v>
      </c>
      <c r="H84">
        <v>1000000</v>
      </c>
    </row>
    <row r="85" spans="1:8" x14ac:dyDescent="0.2">
      <c r="A85" t="s">
        <v>386</v>
      </c>
      <c r="B85" t="s">
        <v>511</v>
      </c>
      <c r="C85" t="b">
        <v>1</v>
      </c>
      <c r="D85" t="b">
        <v>1</v>
      </c>
      <c r="E85">
        <v>1000000</v>
      </c>
      <c r="F85" s="7">
        <v>45323</v>
      </c>
      <c r="G85" s="7">
        <v>45323</v>
      </c>
      <c r="H85">
        <v>1001117.11</v>
      </c>
    </row>
    <row r="86" spans="1:8" x14ac:dyDescent="0.2">
      <c r="A86" t="s">
        <v>386</v>
      </c>
      <c r="B86" t="s">
        <v>523</v>
      </c>
      <c r="C86" t="b">
        <v>1</v>
      </c>
      <c r="D86" t="b">
        <v>1</v>
      </c>
      <c r="E86">
        <v>1000000</v>
      </c>
      <c r="F86" s="7">
        <v>45336</v>
      </c>
      <c r="G86" s="7">
        <v>45336</v>
      </c>
      <c r="H86">
        <v>1022783.56</v>
      </c>
    </row>
    <row r="87" spans="1:8" x14ac:dyDescent="0.2">
      <c r="A87" t="s">
        <v>386</v>
      </c>
      <c r="B87" t="s">
        <v>526</v>
      </c>
      <c r="C87" t="b">
        <v>1</v>
      </c>
      <c r="D87" t="b">
        <v>1</v>
      </c>
      <c r="E87">
        <v>1000000</v>
      </c>
      <c r="F87" s="7">
        <v>45327</v>
      </c>
      <c r="G87" s="7">
        <v>45327</v>
      </c>
      <c r="H87">
        <v>1021986.94</v>
      </c>
    </row>
    <row r="88" spans="1:8" x14ac:dyDescent="0.2">
      <c r="A88" t="s">
        <v>386</v>
      </c>
      <c r="B88" t="s">
        <v>532</v>
      </c>
      <c r="C88" t="b">
        <v>1</v>
      </c>
      <c r="D88" t="b">
        <v>0</v>
      </c>
      <c r="E88">
        <v>1000000</v>
      </c>
      <c r="F88" s="7">
        <v>45462</v>
      </c>
      <c r="H88">
        <v>1010994.48</v>
      </c>
    </row>
    <row r="89" spans="1:8" x14ac:dyDescent="0.2">
      <c r="A89" t="s">
        <v>386</v>
      </c>
      <c r="B89" t="s">
        <v>545</v>
      </c>
      <c r="C89" t="b">
        <v>1</v>
      </c>
      <c r="D89" t="b">
        <v>1</v>
      </c>
      <c r="E89">
        <v>1000000</v>
      </c>
      <c r="F89" s="7">
        <v>45377</v>
      </c>
      <c r="G89" s="7">
        <v>45377</v>
      </c>
      <c r="H89">
        <v>2000000</v>
      </c>
    </row>
    <row r="90" spans="1:8" x14ac:dyDescent="0.2">
      <c r="A90" t="s">
        <v>386</v>
      </c>
      <c r="B90" t="s">
        <v>549</v>
      </c>
      <c r="C90" t="b">
        <v>1</v>
      </c>
      <c r="D90" t="b">
        <v>1</v>
      </c>
      <c r="E90">
        <v>1000000</v>
      </c>
      <c r="F90" s="7">
        <v>45330</v>
      </c>
      <c r="G90" s="7">
        <v>45330</v>
      </c>
      <c r="H90">
        <v>1023753.84</v>
      </c>
    </row>
    <row r="91" spans="1:8" x14ac:dyDescent="0.2">
      <c r="A91" t="s">
        <v>386</v>
      </c>
      <c r="B91" t="s">
        <v>553</v>
      </c>
      <c r="C91" t="b">
        <v>1</v>
      </c>
      <c r="D91" t="b">
        <v>1</v>
      </c>
      <c r="E91">
        <v>1000000</v>
      </c>
      <c r="F91" s="7">
        <v>45341</v>
      </c>
      <c r="G91" s="7">
        <v>45341</v>
      </c>
      <c r="H91">
        <v>1000000</v>
      </c>
    </row>
    <row r="92" spans="1:8" x14ac:dyDescent="0.2">
      <c r="A92" t="s">
        <v>386</v>
      </c>
      <c r="B92" t="s">
        <v>557</v>
      </c>
      <c r="C92" t="b">
        <v>0</v>
      </c>
      <c r="D92" t="b">
        <v>0</v>
      </c>
      <c r="E92">
        <v>1000000</v>
      </c>
      <c r="F92" s="7">
        <v>45468</v>
      </c>
      <c r="H92">
        <v>2304315.4500000002</v>
      </c>
    </row>
    <row r="93" spans="1:8" x14ac:dyDescent="0.2">
      <c r="A93" t="s">
        <v>386</v>
      </c>
      <c r="B93" t="s">
        <v>558</v>
      </c>
      <c r="C93" t="b">
        <v>0</v>
      </c>
      <c r="D93" t="b">
        <v>0</v>
      </c>
      <c r="E93">
        <v>1000000</v>
      </c>
      <c r="F93" s="7">
        <v>45469</v>
      </c>
      <c r="H93">
        <v>2227173.9700000002</v>
      </c>
    </row>
    <row r="94" spans="1:8" x14ac:dyDescent="0.2">
      <c r="A94" t="s">
        <v>386</v>
      </c>
      <c r="B94" t="s">
        <v>565</v>
      </c>
      <c r="C94" t="b">
        <v>0</v>
      </c>
      <c r="D94" t="b">
        <v>0</v>
      </c>
      <c r="E94">
        <v>1000000</v>
      </c>
      <c r="F94" s="7">
        <v>45484</v>
      </c>
      <c r="H94">
        <v>1000000</v>
      </c>
    </row>
    <row r="95" spans="1:8" x14ac:dyDescent="0.2">
      <c r="A95" t="s">
        <v>386</v>
      </c>
      <c r="B95" t="s">
        <v>568</v>
      </c>
      <c r="C95" t="b">
        <v>0</v>
      </c>
      <c r="D95" t="b">
        <v>0</v>
      </c>
      <c r="E95">
        <v>1200000</v>
      </c>
      <c r="F95" s="7">
        <v>45685</v>
      </c>
      <c r="H95">
        <v>1203077.4099999999</v>
      </c>
    </row>
    <row r="96" spans="1:8" x14ac:dyDescent="0.2">
      <c r="A96" t="s">
        <v>386</v>
      </c>
      <c r="B96" t="s">
        <v>573</v>
      </c>
      <c r="C96" t="b">
        <v>0</v>
      </c>
      <c r="D96" t="b">
        <v>0</v>
      </c>
      <c r="E96">
        <v>1200000</v>
      </c>
      <c r="F96" s="7">
        <v>45685</v>
      </c>
      <c r="H96">
        <v>1144688.3600000001</v>
      </c>
    </row>
    <row r="97" spans="1:8" x14ac:dyDescent="0.2">
      <c r="A97" t="s">
        <v>386</v>
      </c>
      <c r="B97" t="s">
        <v>575</v>
      </c>
      <c r="C97" t="b">
        <v>0</v>
      </c>
      <c r="D97" t="b">
        <v>0</v>
      </c>
      <c r="E97">
        <v>1200000</v>
      </c>
      <c r="F97" s="7">
        <v>45685</v>
      </c>
      <c r="H97">
        <v>1200000</v>
      </c>
    </row>
    <row r="98" spans="1:8" x14ac:dyDescent="0.2">
      <c r="A98" t="s">
        <v>386</v>
      </c>
      <c r="B98" t="s">
        <v>579</v>
      </c>
      <c r="C98" t="b">
        <v>0</v>
      </c>
      <c r="D98" t="b">
        <v>0</v>
      </c>
      <c r="E98">
        <v>1200000</v>
      </c>
      <c r="F98" s="7">
        <v>45685</v>
      </c>
      <c r="H98">
        <v>1200000</v>
      </c>
    </row>
    <row r="99" spans="1:8" x14ac:dyDescent="0.2">
      <c r="A99" t="s">
        <v>386</v>
      </c>
      <c r="B99" t="s">
        <v>580</v>
      </c>
      <c r="C99" t="b">
        <v>0</v>
      </c>
      <c r="D99" t="b">
        <v>0</v>
      </c>
      <c r="E99">
        <v>1200000</v>
      </c>
      <c r="F99" s="7">
        <v>45685</v>
      </c>
      <c r="H99">
        <v>1225979.77</v>
      </c>
    </row>
    <row r="100" spans="1:8" x14ac:dyDescent="0.2">
      <c r="A100" t="s">
        <v>386</v>
      </c>
      <c r="B100" t="s">
        <v>584</v>
      </c>
      <c r="C100" t="b">
        <v>0</v>
      </c>
      <c r="D100" t="b">
        <v>0</v>
      </c>
      <c r="E100">
        <v>1200000</v>
      </c>
      <c r="F100" s="7">
        <v>45685</v>
      </c>
      <c r="H100">
        <v>1200000</v>
      </c>
    </row>
    <row r="101" spans="1:8" x14ac:dyDescent="0.2">
      <c r="A101" t="s">
        <v>386</v>
      </c>
      <c r="B101" t="s">
        <v>588</v>
      </c>
      <c r="C101" t="b">
        <v>0</v>
      </c>
      <c r="D101" t="b">
        <v>0</v>
      </c>
      <c r="E101">
        <v>1200000</v>
      </c>
      <c r="F101" s="7">
        <v>45685</v>
      </c>
      <c r="H101">
        <v>1200000</v>
      </c>
    </row>
    <row r="102" spans="1:8" x14ac:dyDescent="0.2">
      <c r="A102" t="s">
        <v>386</v>
      </c>
      <c r="B102" t="s">
        <v>589</v>
      </c>
      <c r="C102" t="b">
        <v>0</v>
      </c>
      <c r="D102" t="b">
        <v>0</v>
      </c>
      <c r="E102">
        <v>1200000</v>
      </c>
      <c r="F102" s="7">
        <v>45685</v>
      </c>
      <c r="H102">
        <v>1200000</v>
      </c>
    </row>
    <row r="103" spans="1:8" x14ac:dyDescent="0.2">
      <c r="A103" t="s">
        <v>386</v>
      </c>
      <c r="B103" t="s">
        <v>590</v>
      </c>
      <c r="C103" t="b">
        <v>0</v>
      </c>
      <c r="D103" t="b">
        <v>0</v>
      </c>
      <c r="E103">
        <v>1200000</v>
      </c>
      <c r="F103" s="7">
        <v>45685</v>
      </c>
      <c r="H103">
        <v>1200000</v>
      </c>
    </row>
    <row r="104" spans="1:8" x14ac:dyDescent="0.2">
      <c r="A104" t="s">
        <v>386</v>
      </c>
      <c r="B104" t="s">
        <v>591</v>
      </c>
      <c r="C104" t="b">
        <v>0</v>
      </c>
      <c r="D104" t="b">
        <v>0</v>
      </c>
      <c r="E104">
        <v>1200000</v>
      </c>
      <c r="F104" s="7">
        <v>45685</v>
      </c>
      <c r="H104">
        <v>1200000</v>
      </c>
    </row>
    <row r="105" spans="1:8" x14ac:dyDescent="0.2">
      <c r="A105" t="s">
        <v>386</v>
      </c>
      <c r="B105" t="s">
        <v>592</v>
      </c>
      <c r="C105" t="b">
        <v>0</v>
      </c>
      <c r="D105" t="b">
        <v>0</v>
      </c>
      <c r="E105">
        <v>1200000</v>
      </c>
      <c r="F105" s="7">
        <v>45685</v>
      </c>
      <c r="H105">
        <v>1210000</v>
      </c>
    </row>
    <row r="106" spans="1:8" x14ac:dyDescent="0.2">
      <c r="A106" t="s">
        <v>386</v>
      </c>
      <c r="B106" t="s">
        <v>596</v>
      </c>
      <c r="C106" t="b">
        <v>0</v>
      </c>
      <c r="D106" t="b">
        <v>0</v>
      </c>
      <c r="E106">
        <v>1200000</v>
      </c>
      <c r="F106" s="7">
        <v>45685</v>
      </c>
      <c r="H106">
        <v>1200000</v>
      </c>
    </row>
    <row r="107" spans="1:8" x14ac:dyDescent="0.2">
      <c r="A107" t="s">
        <v>386</v>
      </c>
      <c r="B107" t="s">
        <v>597</v>
      </c>
      <c r="C107" t="b">
        <v>0</v>
      </c>
      <c r="D107" t="b">
        <v>0</v>
      </c>
      <c r="E107">
        <v>1200000</v>
      </c>
      <c r="F107" s="7">
        <v>45588</v>
      </c>
      <c r="H107">
        <v>1188813.6399999999</v>
      </c>
    </row>
    <row r="108" spans="1:8" x14ac:dyDescent="0.2">
      <c r="A108" t="s">
        <v>386</v>
      </c>
      <c r="B108" t="s">
        <v>599</v>
      </c>
      <c r="C108" t="b">
        <v>0</v>
      </c>
      <c r="D108" t="b">
        <v>0</v>
      </c>
      <c r="E108">
        <v>1200000</v>
      </c>
      <c r="F108" s="7">
        <v>45588</v>
      </c>
      <c r="H108">
        <v>1224008.56</v>
      </c>
    </row>
    <row r="109" spans="1:8" x14ac:dyDescent="0.2">
      <c r="A109" t="s">
        <v>386</v>
      </c>
      <c r="B109" t="s">
        <v>603</v>
      </c>
      <c r="C109" t="b">
        <v>0</v>
      </c>
      <c r="D109" t="b">
        <v>0</v>
      </c>
      <c r="E109">
        <v>1200000</v>
      </c>
      <c r="F109" s="7">
        <v>45588</v>
      </c>
      <c r="H109">
        <v>1185461.53</v>
      </c>
    </row>
    <row r="110" spans="1:8" x14ac:dyDescent="0.2">
      <c r="A110" t="s">
        <v>386</v>
      </c>
      <c r="B110" t="s">
        <v>604</v>
      </c>
      <c r="C110" t="b">
        <v>0</v>
      </c>
      <c r="D110" t="b">
        <v>0</v>
      </c>
      <c r="E110">
        <v>1200000</v>
      </c>
      <c r="F110" s="7">
        <v>45588</v>
      </c>
      <c r="H110">
        <v>1203865.75</v>
      </c>
    </row>
    <row r="111" spans="1:8" x14ac:dyDescent="0.2">
      <c r="A111" t="s">
        <v>386</v>
      </c>
      <c r="B111" t="s">
        <v>614</v>
      </c>
      <c r="C111" t="b">
        <v>0</v>
      </c>
      <c r="D111" t="b">
        <v>0</v>
      </c>
      <c r="E111">
        <v>1200000</v>
      </c>
      <c r="F111" s="7">
        <v>45588</v>
      </c>
      <c r="H111">
        <v>1176567.1200000001</v>
      </c>
    </row>
    <row r="112" spans="1:8" x14ac:dyDescent="0.2">
      <c r="A112" t="s">
        <v>386</v>
      </c>
      <c r="B112" t="s">
        <v>618</v>
      </c>
      <c r="C112" t="b">
        <v>0</v>
      </c>
      <c r="D112" t="b">
        <v>0</v>
      </c>
      <c r="E112">
        <v>1200000</v>
      </c>
      <c r="F112" s="7">
        <v>45588</v>
      </c>
      <c r="H112">
        <v>1180212.1200000001</v>
      </c>
    </row>
    <row r="113" spans="1:8" x14ac:dyDescent="0.2">
      <c r="A113" t="s">
        <v>386</v>
      </c>
      <c r="B113" t="s">
        <v>622</v>
      </c>
      <c r="C113" t="b">
        <v>0</v>
      </c>
      <c r="D113" t="b">
        <v>0</v>
      </c>
      <c r="E113">
        <v>1200000</v>
      </c>
      <c r="F113" s="7">
        <v>45588</v>
      </c>
      <c r="H113">
        <v>1169119.77</v>
      </c>
    </row>
    <row r="114" spans="1:8" x14ac:dyDescent="0.2">
      <c r="A114" t="s">
        <v>386</v>
      </c>
      <c r="B114" t="s">
        <v>626</v>
      </c>
      <c r="C114" t="b">
        <v>0</v>
      </c>
      <c r="D114" t="b">
        <v>0</v>
      </c>
      <c r="E114">
        <v>1200000</v>
      </c>
      <c r="F114" s="7">
        <v>45588</v>
      </c>
      <c r="H114">
        <v>1200000</v>
      </c>
    </row>
    <row r="115" spans="1:8" x14ac:dyDescent="0.2">
      <c r="A115" t="s">
        <v>386</v>
      </c>
      <c r="B115" t="s">
        <v>627</v>
      </c>
      <c r="C115" t="b">
        <v>0</v>
      </c>
      <c r="D115" t="b">
        <v>0</v>
      </c>
      <c r="E115">
        <v>1100000</v>
      </c>
      <c r="F115" s="7">
        <v>45532</v>
      </c>
      <c r="H115">
        <v>1110000</v>
      </c>
    </row>
    <row r="116" spans="1:8" x14ac:dyDescent="0.2">
      <c r="A116" t="s">
        <v>386</v>
      </c>
      <c r="B116" t="s">
        <v>635</v>
      </c>
      <c r="C116" t="b">
        <v>0</v>
      </c>
      <c r="D116" t="b">
        <v>0</v>
      </c>
      <c r="E116">
        <v>1100000</v>
      </c>
      <c r="F116" s="7">
        <v>45532</v>
      </c>
      <c r="H116">
        <v>1121786.3</v>
      </c>
    </row>
    <row r="117" spans="1:8" x14ac:dyDescent="0.2">
      <c r="A117" t="s">
        <v>386</v>
      </c>
      <c r="B117" t="s">
        <v>642</v>
      </c>
      <c r="C117" t="b">
        <v>0</v>
      </c>
      <c r="D117" t="b">
        <v>0</v>
      </c>
      <c r="E117">
        <v>1100000</v>
      </c>
      <c r="F117" s="7">
        <v>45532</v>
      </c>
      <c r="H117">
        <v>1100000</v>
      </c>
    </row>
    <row r="118" spans="1:8" x14ac:dyDescent="0.2">
      <c r="A118" t="s">
        <v>386</v>
      </c>
      <c r="B118" t="s">
        <v>643</v>
      </c>
      <c r="C118" t="b">
        <v>0</v>
      </c>
      <c r="D118" t="b">
        <v>0</v>
      </c>
      <c r="E118">
        <v>1100000</v>
      </c>
      <c r="F118" s="7">
        <v>45532</v>
      </c>
      <c r="H118">
        <v>1117422.6000000001</v>
      </c>
    </row>
    <row r="119" spans="1:8" x14ac:dyDescent="0.2">
      <c r="A119" t="s">
        <v>386</v>
      </c>
      <c r="B119" t="s">
        <v>644</v>
      </c>
      <c r="C119" t="b">
        <v>0</v>
      </c>
      <c r="D119" t="b">
        <v>0</v>
      </c>
      <c r="E119">
        <v>1100000</v>
      </c>
      <c r="F119" s="7">
        <v>45532</v>
      </c>
      <c r="H119">
        <v>1125000</v>
      </c>
    </row>
    <row r="120" spans="1:8" x14ac:dyDescent="0.2">
      <c r="A120" t="s">
        <v>386</v>
      </c>
      <c r="B120" t="s">
        <v>645</v>
      </c>
      <c r="C120" t="b">
        <v>0</v>
      </c>
      <c r="D120" t="b">
        <v>0</v>
      </c>
      <c r="E120">
        <v>1100000</v>
      </c>
      <c r="F120" s="7">
        <v>45532</v>
      </c>
      <c r="H120">
        <v>1102195.21</v>
      </c>
    </row>
    <row r="121" spans="1:8" x14ac:dyDescent="0.2">
      <c r="A121" t="s">
        <v>386</v>
      </c>
      <c r="B121" t="s">
        <v>649</v>
      </c>
      <c r="C121" t="b">
        <v>0</v>
      </c>
      <c r="D121" t="b">
        <v>0</v>
      </c>
      <c r="E121">
        <v>1100000</v>
      </c>
      <c r="F121" s="7">
        <v>45532</v>
      </c>
      <c r="H121">
        <v>1084224.6599999999</v>
      </c>
    </row>
    <row r="122" spans="1:8" x14ac:dyDescent="0.2">
      <c r="A122" t="s">
        <v>386</v>
      </c>
      <c r="B122" t="s">
        <v>655</v>
      </c>
      <c r="C122" t="b">
        <v>0</v>
      </c>
      <c r="D122" t="b">
        <v>0</v>
      </c>
      <c r="E122">
        <v>1100000</v>
      </c>
      <c r="F122" s="7">
        <v>45532</v>
      </c>
      <c r="H122">
        <v>1100000</v>
      </c>
    </row>
    <row r="123" spans="1:8" x14ac:dyDescent="0.2">
      <c r="A123" t="s">
        <v>386</v>
      </c>
      <c r="B123" t="s">
        <v>662</v>
      </c>
      <c r="C123" t="b">
        <v>0</v>
      </c>
      <c r="D123" t="b">
        <v>0</v>
      </c>
      <c r="E123">
        <v>1100000</v>
      </c>
      <c r="F123" s="7">
        <v>45532</v>
      </c>
      <c r="H123">
        <v>1100000</v>
      </c>
    </row>
    <row r="124" spans="1:8" x14ac:dyDescent="0.2">
      <c r="A124" t="s">
        <v>386</v>
      </c>
      <c r="B124" t="s">
        <v>665</v>
      </c>
      <c r="C124" t="b">
        <v>0</v>
      </c>
      <c r="D124" t="b">
        <v>0</v>
      </c>
      <c r="E124">
        <v>1100000</v>
      </c>
      <c r="F124" s="7">
        <v>45532</v>
      </c>
      <c r="H124">
        <v>1073976.03</v>
      </c>
    </row>
    <row r="125" spans="1:8" x14ac:dyDescent="0.2">
      <c r="A125" t="s">
        <v>386</v>
      </c>
      <c r="B125" t="s">
        <v>666</v>
      </c>
      <c r="C125" t="b">
        <v>0</v>
      </c>
      <c r="D125" t="b">
        <v>0</v>
      </c>
      <c r="E125">
        <v>1100000</v>
      </c>
      <c r="F125" s="7">
        <v>45532</v>
      </c>
      <c r="H125">
        <v>1082867.1599999999</v>
      </c>
    </row>
    <row r="126" spans="1:8" x14ac:dyDescent="0.2">
      <c r="A126" t="s">
        <v>386</v>
      </c>
      <c r="B126" t="s">
        <v>670</v>
      </c>
      <c r="C126" t="b">
        <v>0</v>
      </c>
      <c r="D126" t="b">
        <v>0</v>
      </c>
      <c r="E126">
        <v>1100000</v>
      </c>
      <c r="F126" s="7">
        <v>45532</v>
      </c>
      <c r="H126">
        <v>1100000</v>
      </c>
    </row>
    <row r="127" spans="1:8" x14ac:dyDescent="0.2">
      <c r="A127" t="s">
        <v>386</v>
      </c>
      <c r="B127" t="s">
        <v>674</v>
      </c>
      <c r="C127" t="b">
        <v>1</v>
      </c>
      <c r="D127" t="b">
        <v>0</v>
      </c>
      <c r="E127">
        <v>1100000</v>
      </c>
      <c r="F127" s="7">
        <v>45490</v>
      </c>
      <c r="H127">
        <v>1100000</v>
      </c>
    </row>
    <row r="128" spans="1:8" x14ac:dyDescent="0.2">
      <c r="A128" t="s">
        <v>386</v>
      </c>
      <c r="B128" t="s">
        <v>676</v>
      </c>
      <c r="C128" t="b">
        <v>1</v>
      </c>
      <c r="D128" t="b">
        <v>0</v>
      </c>
      <c r="E128">
        <v>1100000</v>
      </c>
      <c r="F128" s="7">
        <v>45490</v>
      </c>
      <c r="H128">
        <v>1100000</v>
      </c>
    </row>
    <row r="129" spans="1:8" x14ac:dyDescent="0.2">
      <c r="A129" t="s">
        <v>386</v>
      </c>
      <c r="B129" t="s">
        <v>677</v>
      </c>
      <c r="C129" t="b">
        <v>1</v>
      </c>
      <c r="D129" t="b">
        <v>0</v>
      </c>
      <c r="E129">
        <v>1100000</v>
      </c>
      <c r="F129" s="7">
        <v>45490</v>
      </c>
      <c r="H129">
        <v>1100000</v>
      </c>
    </row>
    <row r="130" spans="1:8" x14ac:dyDescent="0.2">
      <c r="A130" t="s">
        <v>386</v>
      </c>
      <c r="B130" t="s">
        <v>678</v>
      </c>
      <c r="C130" t="b">
        <v>1</v>
      </c>
      <c r="D130" t="b">
        <v>0</v>
      </c>
      <c r="E130">
        <v>1100000</v>
      </c>
      <c r="F130" s="7">
        <v>45490</v>
      </c>
      <c r="H130">
        <v>1100000</v>
      </c>
    </row>
    <row r="131" spans="1:8" x14ac:dyDescent="0.2">
      <c r="A131" t="s">
        <v>386</v>
      </c>
      <c r="B131" t="s">
        <v>679</v>
      </c>
      <c r="C131" t="b">
        <v>1</v>
      </c>
      <c r="D131" t="b">
        <v>0</v>
      </c>
      <c r="E131">
        <v>1100000</v>
      </c>
      <c r="F131" s="7">
        <v>45490</v>
      </c>
      <c r="H131">
        <v>1100000</v>
      </c>
    </row>
    <row r="132" spans="1:8" x14ac:dyDescent="0.2">
      <c r="A132" t="s">
        <v>386</v>
      </c>
      <c r="B132" t="s">
        <v>680</v>
      </c>
      <c r="C132" t="b">
        <v>1</v>
      </c>
      <c r="D132" t="b">
        <v>0</v>
      </c>
      <c r="E132">
        <v>1100000</v>
      </c>
      <c r="F132" s="7">
        <v>45490</v>
      </c>
      <c r="H132">
        <v>1100000</v>
      </c>
    </row>
    <row r="133" spans="1:8" x14ac:dyDescent="0.2">
      <c r="A133" t="s">
        <v>386</v>
      </c>
      <c r="B133" t="s">
        <v>681</v>
      </c>
      <c r="C133" t="b">
        <v>1</v>
      </c>
      <c r="D133" t="b">
        <v>0</v>
      </c>
      <c r="E133">
        <v>1100000</v>
      </c>
      <c r="F133" s="7">
        <v>45490</v>
      </c>
      <c r="H133">
        <v>1100000</v>
      </c>
    </row>
    <row r="134" spans="1:8" x14ac:dyDescent="0.2">
      <c r="A134" t="s">
        <v>386</v>
      </c>
      <c r="B134" t="s">
        <v>682</v>
      </c>
      <c r="C134" t="b">
        <v>1</v>
      </c>
      <c r="D134" t="b">
        <v>0</v>
      </c>
      <c r="E134">
        <v>1100000</v>
      </c>
      <c r="F134" s="7">
        <v>45490</v>
      </c>
      <c r="H134">
        <v>1100000</v>
      </c>
    </row>
    <row r="135" spans="1:8" x14ac:dyDescent="0.2">
      <c r="A135" t="s">
        <v>386</v>
      </c>
      <c r="B135" t="s">
        <v>683</v>
      </c>
      <c r="C135" t="b">
        <v>0</v>
      </c>
      <c r="D135" t="b">
        <v>0</v>
      </c>
      <c r="E135">
        <v>1100000</v>
      </c>
      <c r="F135" s="7">
        <v>45516</v>
      </c>
      <c r="H135">
        <v>1100000</v>
      </c>
    </row>
    <row r="136" spans="1:8" x14ac:dyDescent="0.2">
      <c r="A136" t="s">
        <v>386</v>
      </c>
      <c r="B136" t="s">
        <v>685</v>
      </c>
      <c r="C136" t="b">
        <v>0</v>
      </c>
      <c r="D136" t="b">
        <v>0</v>
      </c>
      <c r="E136">
        <v>1100000</v>
      </c>
      <c r="F136" s="7">
        <v>45516</v>
      </c>
      <c r="H136">
        <v>1101000</v>
      </c>
    </row>
    <row r="137" spans="1:8" x14ac:dyDescent="0.2">
      <c r="A137" t="s">
        <v>386</v>
      </c>
      <c r="B137" t="s">
        <v>698</v>
      </c>
      <c r="C137" t="b">
        <v>0</v>
      </c>
      <c r="D137" t="b">
        <v>0</v>
      </c>
      <c r="E137">
        <v>1100000</v>
      </c>
      <c r="F137" s="7">
        <v>45516</v>
      </c>
      <c r="H137">
        <v>1100000</v>
      </c>
    </row>
    <row r="138" spans="1:8" x14ac:dyDescent="0.2">
      <c r="A138" t="s">
        <v>386</v>
      </c>
      <c r="B138" t="s">
        <v>702</v>
      </c>
      <c r="C138" t="b">
        <v>0</v>
      </c>
      <c r="D138" t="b">
        <v>0</v>
      </c>
      <c r="E138">
        <v>1100000</v>
      </c>
      <c r="F138" s="7">
        <v>45516</v>
      </c>
      <c r="H138">
        <v>1100000</v>
      </c>
    </row>
    <row r="139" spans="1:8" x14ac:dyDescent="0.2">
      <c r="A139" t="s">
        <v>386</v>
      </c>
      <c r="B139" t="s">
        <v>703</v>
      </c>
      <c r="C139" t="b">
        <v>0</v>
      </c>
      <c r="D139" t="b">
        <v>0</v>
      </c>
      <c r="E139">
        <v>1100000</v>
      </c>
      <c r="F139" s="7">
        <v>45516</v>
      </c>
      <c r="H139">
        <v>1100000</v>
      </c>
    </row>
    <row r="140" spans="1:8" x14ac:dyDescent="0.2">
      <c r="A140" t="s">
        <v>386</v>
      </c>
      <c r="B140" t="s">
        <v>707</v>
      </c>
      <c r="C140" t="b">
        <v>0</v>
      </c>
      <c r="D140" t="b">
        <v>0</v>
      </c>
      <c r="E140">
        <v>1100000</v>
      </c>
      <c r="F140" s="7">
        <v>45516</v>
      </c>
      <c r="H140">
        <v>1100000</v>
      </c>
    </row>
    <row r="141" spans="1:8" x14ac:dyDescent="0.2">
      <c r="A141" t="s">
        <v>386</v>
      </c>
      <c r="B141" t="s">
        <v>708</v>
      </c>
      <c r="C141" t="b">
        <v>0</v>
      </c>
      <c r="D141" t="b">
        <v>0</v>
      </c>
      <c r="E141">
        <v>1100000</v>
      </c>
      <c r="F141" s="7">
        <v>45516</v>
      </c>
      <c r="H141">
        <v>1100000</v>
      </c>
    </row>
    <row r="142" spans="1:8" x14ac:dyDescent="0.2">
      <c r="A142" t="s">
        <v>386</v>
      </c>
      <c r="B142" t="s">
        <v>709</v>
      </c>
      <c r="C142" t="b">
        <v>0</v>
      </c>
      <c r="D142" t="b">
        <v>0</v>
      </c>
      <c r="E142">
        <v>1100000</v>
      </c>
      <c r="F142" s="7">
        <v>45516</v>
      </c>
      <c r="H142">
        <v>1100000</v>
      </c>
    </row>
    <row r="143" spans="1:8" x14ac:dyDescent="0.2">
      <c r="A143" t="s">
        <v>386</v>
      </c>
      <c r="B143" t="s">
        <v>710</v>
      </c>
      <c r="C143" t="b">
        <v>1</v>
      </c>
      <c r="D143" t="b">
        <v>0</v>
      </c>
      <c r="E143">
        <v>1000000</v>
      </c>
      <c r="F143" s="7">
        <v>45552</v>
      </c>
      <c r="H143">
        <v>1025000</v>
      </c>
    </row>
    <row r="144" spans="1:8" x14ac:dyDescent="0.2">
      <c r="A144" t="s">
        <v>386</v>
      </c>
      <c r="B144" t="s">
        <v>712</v>
      </c>
      <c r="C144" t="b">
        <v>1</v>
      </c>
      <c r="D144" t="b">
        <v>0</v>
      </c>
      <c r="E144">
        <v>1000000</v>
      </c>
      <c r="F144" s="7">
        <v>45552</v>
      </c>
      <c r="H144">
        <v>1007345.78</v>
      </c>
    </row>
    <row r="145" spans="1:8" x14ac:dyDescent="0.2">
      <c r="A145" t="s">
        <v>386</v>
      </c>
      <c r="B145" t="s">
        <v>715</v>
      </c>
      <c r="C145" t="b">
        <v>0</v>
      </c>
      <c r="D145" t="b">
        <v>0</v>
      </c>
      <c r="E145">
        <v>1000000</v>
      </c>
      <c r="F145" s="7">
        <v>45546</v>
      </c>
      <c r="H145">
        <v>1500000</v>
      </c>
    </row>
    <row r="146" spans="1:8" x14ac:dyDescent="0.2">
      <c r="A146" t="s">
        <v>386</v>
      </c>
      <c r="B146" t="s">
        <v>724</v>
      </c>
      <c r="C146" t="b">
        <v>1</v>
      </c>
      <c r="D146" t="b">
        <v>0</v>
      </c>
      <c r="E146">
        <v>1000000</v>
      </c>
      <c r="F146" s="7">
        <v>45546</v>
      </c>
      <c r="H146">
        <v>1000000</v>
      </c>
    </row>
    <row r="147" spans="1:8" x14ac:dyDescent="0.2">
      <c r="A147" t="s">
        <v>386</v>
      </c>
      <c r="B147" t="s">
        <v>726</v>
      </c>
      <c r="C147" t="b">
        <v>1</v>
      </c>
      <c r="D147" t="b">
        <v>0</v>
      </c>
      <c r="E147">
        <v>1000000</v>
      </c>
      <c r="F147" s="7">
        <v>45532</v>
      </c>
      <c r="H147">
        <v>1000000</v>
      </c>
    </row>
    <row r="148" spans="1:8" x14ac:dyDescent="0.2">
      <c r="A148" t="s">
        <v>386</v>
      </c>
      <c r="B148" t="s">
        <v>727</v>
      </c>
      <c r="C148" t="b">
        <v>0</v>
      </c>
      <c r="D148" t="b">
        <v>0</v>
      </c>
      <c r="E148">
        <v>1000000</v>
      </c>
      <c r="F148" s="7">
        <v>45546</v>
      </c>
      <c r="H148">
        <v>1000000</v>
      </c>
    </row>
    <row r="149" spans="1:8" x14ac:dyDescent="0.2">
      <c r="A149" t="s">
        <v>386</v>
      </c>
      <c r="B149" t="s">
        <v>731</v>
      </c>
      <c r="C149" t="b">
        <v>0</v>
      </c>
      <c r="D149" t="b">
        <v>0</v>
      </c>
      <c r="E149">
        <v>1000000</v>
      </c>
      <c r="F149" s="7">
        <v>45546</v>
      </c>
      <c r="H149">
        <v>977553.41</v>
      </c>
    </row>
    <row r="150" spans="1:8" x14ac:dyDescent="0.2">
      <c r="A150" t="s">
        <v>386</v>
      </c>
      <c r="B150" t="s">
        <v>735</v>
      </c>
      <c r="C150" t="b">
        <v>0</v>
      </c>
      <c r="D150" t="b">
        <v>0</v>
      </c>
      <c r="E150">
        <v>1000000</v>
      </c>
      <c r="F150" s="7">
        <v>45561</v>
      </c>
      <c r="H150">
        <v>1000000</v>
      </c>
    </row>
    <row r="151" spans="1:8" x14ac:dyDescent="0.2">
      <c r="A151" t="s">
        <v>386</v>
      </c>
      <c r="B151" t="s">
        <v>739</v>
      </c>
      <c r="C151" t="b">
        <v>0</v>
      </c>
      <c r="D151" t="b">
        <v>0</v>
      </c>
      <c r="E151">
        <v>1000000</v>
      </c>
      <c r="F151" s="7">
        <v>45568</v>
      </c>
      <c r="H151">
        <v>2327431.5099999998</v>
      </c>
    </row>
    <row r="152" spans="1:8" x14ac:dyDescent="0.2">
      <c r="A152" t="s">
        <v>386</v>
      </c>
      <c r="B152" t="s">
        <v>743</v>
      </c>
      <c r="C152" t="b">
        <v>0</v>
      </c>
      <c r="D152" t="b">
        <v>0</v>
      </c>
      <c r="E152">
        <v>1000000</v>
      </c>
      <c r="F152" s="7">
        <v>45588</v>
      </c>
      <c r="H152">
        <v>1000000</v>
      </c>
    </row>
    <row r="153" spans="1:8" x14ac:dyDescent="0.2">
      <c r="A153" t="s">
        <v>386</v>
      </c>
      <c r="B153" t="s">
        <v>744</v>
      </c>
      <c r="C153" t="b">
        <v>0</v>
      </c>
      <c r="D153" t="b">
        <v>0</v>
      </c>
      <c r="E153">
        <v>1000000</v>
      </c>
      <c r="F153" s="7">
        <v>45574</v>
      </c>
      <c r="H153">
        <v>2322726.0299999998</v>
      </c>
    </row>
    <row r="154" spans="1:8" x14ac:dyDescent="0.2">
      <c r="A154" t="s">
        <v>386</v>
      </c>
      <c r="B154" t="s">
        <v>748</v>
      </c>
      <c r="C154" t="b">
        <v>0</v>
      </c>
      <c r="D154" t="b">
        <v>0</v>
      </c>
      <c r="E154">
        <v>1000000</v>
      </c>
      <c r="F154" s="7">
        <v>45602</v>
      </c>
      <c r="H154">
        <v>1000000</v>
      </c>
    </row>
    <row r="155" spans="1:8" x14ac:dyDescent="0.2">
      <c r="A155" t="s">
        <v>386</v>
      </c>
      <c r="B155" t="s">
        <v>749</v>
      </c>
      <c r="C155" t="b">
        <v>0</v>
      </c>
      <c r="D155" t="b">
        <v>0</v>
      </c>
      <c r="E155">
        <v>1100000</v>
      </c>
      <c r="F155" s="7">
        <v>45546</v>
      </c>
      <c r="H155">
        <v>1038000</v>
      </c>
    </row>
    <row r="156" spans="1:8" x14ac:dyDescent="0.2">
      <c r="A156" t="s">
        <v>386</v>
      </c>
      <c r="B156" t="s">
        <v>751</v>
      </c>
      <c r="C156" t="b">
        <v>0</v>
      </c>
      <c r="D156" t="b">
        <v>0</v>
      </c>
      <c r="E156">
        <v>1100000</v>
      </c>
      <c r="F156" s="7">
        <v>45546</v>
      </c>
      <c r="H156">
        <v>1100000</v>
      </c>
    </row>
    <row r="157" spans="1:8" x14ac:dyDescent="0.2">
      <c r="A157" t="s">
        <v>386</v>
      </c>
      <c r="B157" t="s">
        <v>752</v>
      </c>
      <c r="C157" t="b">
        <v>0</v>
      </c>
      <c r="D157" t="b">
        <v>0</v>
      </c>
      <c r="E157">
        <v>1100000</v>
      </c>
      <c r="F157" s="7">
        <v>45561</v>
      </c>
      <c r="H157">
        <v>1091876.8700000001</v>
      </c>
    </row>
    <row r="158" spans="1:8" x14ac:dyDescent="0.2">
      <c r="A158" t="s">
        <v>386</v>
      </c>
      <c r="B158" t="s">
        <v>753</v>
      </c>
      <c r="C158" t="b">
        <v>0</v>
      </c>
      <c r="D158" t="b">
        <v>0</v>
      </c>
      <c r="E158">
        <v>1100000</v>
      </c>
      <c r="F158" s="7">
        <v>45561</v>
      </c>
      <c r="H158">
        <v>1100000</v>
      </c>
    </row>
    <row r="159" spans="1:8" x14ac:dyDescent="0.2">
      <c r="A159" t="s">
        <v>386</v>
      </c>
      <c r="B159" t="s">
        <v>754</v>
      </c>
      <c r="C159" t="b">
        <v>0</v>
      </c>
      <c r="D159" t="b">
        <v>0</v>
      </c>
      <c r="E159">
        <v>1017976.39</v>
      </c>
      <c r="F159" s="7">
        <v>45546</v>
      </c>
      <c r="H159">
        <v>1120000</v>
      </c>
    </row>
    <row r="160" spans="1:8" x14ac:dyDescent="0.2">
      <c r="A160" t="s">
        <v>386</v>
      </c>
      <c r="B160" t="s">
        <v>755</v>
      </c>
      <c r="C160" t="b">
        <v>0</v>
      </c>
      <c r="D160" t="b">
        <v>0</v>
      </c>
      <c r="E160">
        <v>1100000</v>
      </c>
      <c r="F160" s="7">
        <v>45546</v>
      </c>
      <c r="H160">
        <v>1107195.21</v>
      </c>
    </row>
    <row r="161" spans="1:8" x14ac:dyDescent="0.2">
      <c r="A161" t="s">
        <v>386</v>
      </c>
      <c r="B161" t="s">
        <v>756</v>
      </c>
      <c r="C161" t="b">
        <v>0</v>
      </c>
      <c r="D161" t="b">
        <v>0</v>
      </c>
      <c r="E161">
        <v>1100000</v>
      </c>
      <c r="F161" s="7">
        <v>45568</v>
      </c>
      <c r="H161">
        <v>1100000</v>
      </c>
    </row>
    <row r="162" spans="1:8" x14ac:dyDescent="0.2">
      <c r="A162" t="s">
        <v>386</v>
      </c>
      <c r="B162" t="s">
        <v>757</v>
      </c>
      <c r="C162" t="b">
        <v>0</v>
      </c>
      <c r="D162" t="b">
        <v>0</v>
      </c>
      <c r="E162">
        <v>1100000</v>
      </c>
      <c r="F162" s="7">
        <v>45568</v>
      </c>
      <c r="H162">
        <v>1012667.46</v>
      </c>
    </row>
    <row r="163" spans="1:8" x14ac:dyDescent="0.2">
      <c r="A163" t="s">
        <v>386</v>
      </c>
      <c r="B163" t="s">
        <v>758</v>
      </c>
      <c r="C163" t="b">
        <v>0</v>
      </c>
      <c r="D163" t="b">
        <v>0</v>
      </c>
      <c r="E163">
        <v>1100000</v>
      </c>
      <c r="F163" s="7">
        <v>45588</v>
      </c>
      <c r="H163">
        <v>1100419.06</v>
      </c>
    </row>
    <row r="164" spans="1:8" x14ac:dyDescent="0.2">
      <c r="A164" t="s">
        <v>386</v>
      </c>
      <c r="B164" t="s">
        <v>759</v>
      </c>
      <c r="C164" t="b">
        <v>0</v>
      </c>
      <c r="D164" t="b">
        <v>0</v>
      </c>
      <c r="E164">
        <v>1100000</v>
      </c>
      <c r="F164" s="7">
        <v>45588</v>
      </c>
      <c r="H164">
        <v>1124948.6299999999</v>
      </c>
    </row>
    <row r="165" spans="1:8" x14ac:dyDescent="0.2">
      <c r="A165" t="s">
        <v>386</v>
      </c>
      <c r="B165" t="s">
        <v>760</v>
      </c>
      <c r="C165" t="b">
        <v>0</v>
      </c>
      <c r="D165" t="b">
        <v>0</v>
      </c>
      <c r="E165">
        <v>1100000</v>
      </c>
      <c r="F165" s="7">
        <v>45603</v>
      </c>
      <c r="H165">
        <v>1124113.01</v>
      </c>
    </row>
    <row r="166" spans="1:8" x14ac:dyDescent="0.2">
      <c r="A166" t="s">
        <v>386</v>
      </c>
      <c r="B166" t="s">
        <v>761</v>
      </c>
      <c r="C166" t="b">
        <v>0</v>
      </c>
      <c r="D166" t="b">
        <v>0</v>
      </c>
      <c r="E166">
        <v>1100000</v>
      </c>
      <c r="F166" s="7">
        <v>45604</v>
      </c>
      <c r="H166">
        <v>1887953.57</v>
      </c>
    </row>
    <row r="167" spans="1:8" x14ac:dyDescent="0.2">
      <c r="A167" t="s">
        <v>386</v>
      </c>
      <c r="B167" t="s">
        <v>762</v>
      </c>
      <c r="C167" t="b">
        <v>0</v>
      </c>
      <c r="D167" t="b">
        <v>0</v>
      </c>
      <c r="E167">
        <v>1100000</v>
      </c>
      <c r="F167" s="7">
        <v>45600</v>
      </c>
      <c r="H167">
        <v>1099537.67</v>
      </c>
    </row>
    <row r="168" spans="1:8" x14ac:dyDescent="0.2">
      <c r="A168" t="s">
        <v>386</v>
      </c>
      <c r="B168" t="s">
        <v>763</v>
      </c>
      <c r="C168" t="b">
        <v>0</v>
      </c>
      <c r="D168" t="b">
        <v>0</v>
      </c>
      <c r="E168">
        <v>1100000</v>
      </c>
      <c r="F168" s="7">
        <v>45617</v>
      </c>
      <c r="H168">
        <v>1089059.18</v>
      </c>
    </row>
    <row r="169" spans="1:8" x14ac:dyDescent="0.2">
      <c r="A169" t="s">
        <v>386</v>
      </c>
      <c r="B169" t="s">
        <v>764</v>
      </c>
      <c r="C169" t="b">
        <v>0</v>
      </c>
      <c r="D169" t="b">
        <v>0</v>
      </c>
      <c r="E169">
        <v>1100000</v>
      </c>
      <c r="F169" s="7">
        <v>45623</v>
      </c>
      <c r="H169">
        <v>1123040.4099999999</v>
      </c>
    </row>
    <row r="170" spans="1:8" x14ac:dyDescent="0.2">
      <c r="A170" t="s">
        <v>386</v>
      </c>
      <c r="B170" t="s">
        <v>765</v>
      </c>
      <c r="C170" t="b">
        <v>0</v>
      </c>
      <c r="D170" t="b">
        <v>0</v>
      </c>
      <c r="E170">
        <v>1100000</v>
      </c>
      <c r="F170" s="7">
        <v>45630</v>
      </c>
      <c r="H170">
        <v>1098863.01</v>
      </c>
    </row>
    <row r="171" spans="1:8" x14ac:dyDescent="0.2">
      <c r="A171" t="s">
        <v>386</v>
      </c>
      <c r="B171" t="s">
        <v>766</v>
      </c>
      <c r="C171" t="b">
        <v>0</v>
      </c>
      <c r="D171" t="b">
        <v>0</v>
      </c>
      <c r="E171">
        <v>1100000</v>
      </c>
      <c r="F171" s="7">
        <v>45638</v>
      </c>
      <c r="H171">
        <v>1107662.76</v>
      </c>
    </row>
    <row r="172" spans="1:8" x14ac:dyDescent="0.2">
      <c r="A172" t="s">
        <v>386</v>
      </c>
      <c r="B172" t="s">
        <v>770</v>
      </c>
      <c r="C172" t="b">
        <v>0</v>
      </c>
      <c r="D172" t="b">
        <v>0</v>
      </c>
      <c r="E172">
        <v>1100000</v>
      </c>
      <c r="F172" s="7">
        <v>45665</v>
      </c>
      <c r="H172">
        <v>1100000</v>
      </c>
    </row>
    <row r="173" spans="1:8" x14ac:dyDescent="0.2">
      <c r="A173" t="s">
        <v>386</v>
      </c>
      <c r="B173" t="s">
        <v>771</v>
      </c>
      <c r="C173" t="b">
        <v>0</v>
      </c>
      <c r="D173" t="b">
        <v>0</v>
      </c>
      <c r="E173">
        <v>1100000</v>
      </c>
      <c r="F173" s="7">
        <v>45672</v>
      </c>
      <c r="H173">
        <v>1114452.74</v>
      </c>
    </row>
    <row r="174" spans="1:8" x14ac:dyDescent="0.2">
      <c r="A174" t="s">
        <v>386</v>
      </c>
      <c r="B174" t="s">
        <v>775</v>
      </c>
      <c r="C174" t="b">
        <v>0</v>
      </c>
      <c r="D174" t="b">
        <v>0</v>
      </c>
      <c r="E174">
        <v>1100000</v>
      </c>
      <c r="F174" s="7">
        <v>45672</v>
      </c>
      <c r="H174">
        <v>1123099.32</v>
      </c>
    </row>
    <row r="175" spans="1:8" x14ac:dyDescent="0.2">
      <c r="A175" t="s">
        <v>386</v>
      </c>
      <c r="B175" t="s">
        <v>778</v>
      </c>
      <c r="C175" t="b">
        <v>0</v>
      </c>
      <c r="D175" t="b">
        <v>0</v>
      </c>
      <c r="E175">
        <v>1100000</v>
      </c>
      <c r="F175" s="7">
        <v>45663</v>
      </c>
      <c r="H175">
        <v>1114246.58</v>
      </c>
    </row>
    <row r="176" spans="1:8" x14ac:dyDescent="0.2">
      <c r="A176" t="s">
        <v>386</v>
      </c>
      <c r="B176" t="s">
        <v>783</v>
      </c>
      <c r="C176" t="b">
        <v>0</v>
      </c>
      <c r="D176" t="b">
        <v>0</v>
      </c>
      <c r="E176">
        <v>1100000</v>
      </c>
      <c r="F176" s="7">
        <v>45622</v>
      </c>
      <c r="H176">
        <v>1100000</v>
      </c>
    </row>
    <row r="177" spans="1:8" x14ac:dyDescent="0.2">
      <c r="A177" t="s">
        <v>386</v>
      </c>
      <c r="B177" t="s">
        <v>787</v>
      </c>
      <c r="C177" t="b">
        <v>0</v>
      </c>
      <c r="D177" t="b">
        <v>0</v>
      </c>
      <c r="E177">
        <v>1100000</v>
      </c>
      <c r="F177" s="7">
        <v>45623</v>
      </c>
      <c r="H177">
        <v>1117916.44</v>
      </c>
    </row>
    <row r="178" spans="1:8" x14ac:dyDescent="0.2">
      <c r="A178" t="s">
        <v>386</v>
      </c>
      <c r="B178" t="s">
        <v>788</v>
      </c>
      <c r="C178" t="b">
        <v>0</v>
      </c>
      <c r="D178" t="b">
        <v>0</v>
      </c>
      <c r="E178">
        <v>1100000</v>
      </c>
      <c r="F178" s="7">
        <v>45504</v>
      </c>
      <c r="H178">
        <v>1114058.9099999999</v>
      </c>
    </row>
    <row r="179" spans="1:8" x14ac:dyDescent="0.2">
      <c r="A179" t="s">
        <v>386</v>
      </c>
      <c r="B179" t="s">
        <v>789</v>
      </c>
      <c r="C179" t="b">
        <v>0</v>
      </c>
      <c r="D179" t="b">
        <v>0</v>
      </c>
      <c r="E179">
        <v>1100000</v>
      </c>
      <c r="F179" s="7">
        <v>45524</v>
      </c>
      <c r="H179">
        <v>1100000</v>
      </c>
    </row>
    <row r="180" spans="1:8" x14ac:dyDescent="0.2">
      <c r="A180" t="s">
        <v>386</v>
      </c>
      <c r="B180" t="s">
        <v>791</v>
      </c>
      <c r="C180" t="b">
        <v>0</v>
      </c>
      <c r="D180" t="b">
        <v>0</v>
      </c>
      <c r="E180">
        <v>1100000</v>
      </c>
      <c r="F180" s="7">
        <v>45524</v>
      </c>
      <c r="H180">
        <v>1050000</v>
      </c>
    </row>
    <row r="181" spans="1:8" x14ac:dyDescent="0.2">
      <c r="A181" t="s">
        <v>386</v>
      </c>
      <c r="B181" t="s">
        <v>798</v>
      </c>
      <c r="C181" t="b">
        <v>0</v>
      </c>
      <c r="D181" t="b">
        <v>0</v>
      </c>
      <c r="E181">
        <v>1100000</v>
      </c>
      <c r="F181" s="7">
        <v>45524</v>
      </c>
      <c r="H181">
        <v>1100004.32</v>
      </c>
    </row>
    <row r="182" spans="1:8" x14ac:dyDescent="0.2">
      <c r="A182" t="s">
        <v>386</v>
      </c>
      <c r="B182" t="s">
        <v>802</v>
      </c>
      <c r="C182" t="b">
        <v>0</v>
      </c>
      <c r="D182" t="b">
        <v>0</v>
      </c>
      <c r="E182">
        <v>1100000</v>
      </c>
      <c r="F182" s="7">
        <v>45524</v>
      </c>
      <c r="H182">
        <v>1100000</v>
      </c>
    </row>
    <row r="183" spans="1:8" x14ac:dyDescent="0.2">
      <c r="A183" t="s">
        <v>386</v>
      </c>
      <c r="B183" t="s">
        <v>803</v>
      </c>
      <c r="C183" t="b">
        <v>0</v>
      </c>
      <c r="D183" t="b">
        <v>0</v>
      </c>
      <c r="E183">
        <v>1100000</v>
      </c>
      <c r="F183" s="7">
        <v>45524</v>
      </c>
      <c r="H183">
        <v>1204260.27</v>
      </c>
    </row>
    <row r="184" spans="1:8" x14ac:dyDescent="0.2">
      <c r="A184" t="s">
        <v>386</v>
      </c>
      <c r="B184" t="s">
        <v>804</v>
      </c>
      <c r="C184" t="b">
        <v>0</v>
      </c>
      <c r="D184" t="b">
        <v>0</v>
      </c>
      <c r="E184">
        <v>1200000</v>
      </c>
      <c r="F184" s="7">
        <v>45524</v>
      </c>
      <c r="H184">
        <v>1200000</v>
      </c>
    </row>
    <row r="185" spans="1:8" x14ac:dyDescent="0.2">
      <c r="A185" t="s">
        <v>386</v>
      </c>
      <c r="B185" t="s">
        <v>805</v>
      </c>
      <c r="C185" t="b">
        <v>0</v>
      </c>
      <c r="D185" t="b">
        <v>0</v>
      </c>
      <c r="E185">
        <v>1200000</v>
      </c>
      <c r="F185" s="7">
        <v>45524</v>
      </c>
      <c r="H185">
        <v>1202656.8700000001</v>
      </c>
    </row>
    <row r="186" spans="1:8" x14ac:dyDescent="0.2">
      <c r="A186" t="s">
        <v>386</v>
      </c>
      <c r="B186" t="s">
        <v>809</v>
      </c>
      <c r="C186" t="b">
        <v>0</v>
      </c>
      <c r="D186" t="b">
        <v>0</v>
      </c>
      <c r="E186">
        <v>1200000</v>
      </c>
      <c r="F186" s="7">
        <v>45524</v>
      </c>
      <c r="H186">
        <v>1191513.26</v>
      </c>
    </row>
    <row r="187" spans="1:8" x14ac:dyDescent="0.2">
      <c r="A187" t="s">
        <v>386</v>
      </c>
      <c r="B187" t="s">
        <v>810</v>
      </c>
      <c r="C187" t="b">
        <v>0</v>
      </c>
      <c r="D187" t="b">
        <v>0</v>
      </c>
      <c r="E187">
        <v>1100000</v>
      </c>
      <c r="F187" s="7">
        <v>45561</v>
      </c>
      <c r="H187">
        <v>1100931.51</v>
      </c>
    </row>
    <row r="188" spans="1:8" x14ac:dyDescent="0.2">
      <c r="A188" t="s">
        <v>386</v>
      </c>
      <c r="B188" t="s">
        <v>812</v>
      </c>
      <c r="C188" t="b">
        <v>0</v>
      </c>
      <c r="D188" t="b">
        <v>0</v>
      </c>
      <c r="E188">
        <v>1100000</v>
      </c>
      <c r="F188" s="7">
        <v>45561</v>
      </c>
      <c r="H188">
        <v>1104366.44</v>
      </c>
    </row>
    <row r="189" spans="1:8" x14ac:dyDescent="0.2">
      <c r="A189" t="s">
        <v>386</v>
      </c>
      <c r="B189" t="s">
        <v>813</v>
      </c>
      <c r="C189" t="b">
        <v>0</v>
      </c>
      <c r="D189" t="b">
        <v>0</v>
      </c>
      <c r="E189">
        <v>1100000</v>
      </c>
      <c r="F189" s="7">
        <v>45561</v>
      </c>
      <c r="H189">
        <v>1034453.42</v>
      </c>
    </row>
    <row r="190" spans="1:8" x14ac:dyDescent="0.2">
      <c r="A190" t="s">
        <v>386</v>
      </c>
      <c r="B190" t="s">
        <v>814</v>
      </c>
      <c r="C190" t="b">
        <v>0</v>
      </c>
      <c r="D190" t="b">
        <v>0</v>
      </c>
      <c r="E190">
        <v>1100000</v>
      </c>
      <c r="F190" s="7">
        <v>45561</v>
      </c>
      <c r="H190">
        <v>1100000</v>
      </c>
    </row>
    <row r="191" spans="1:8" x14ac:dyDescent="0.2">
      <c r="A191" t="s">
        <v>386</v>
      </c>
      <c r="B191" t="s">
        <v>815</v>
      </c>
      <c r="C191" t="b">
        <v>0</v>
      </c>
      <c r="D191" t="b">
        <v>0</v>
      </c>
      <c r="E191">
        <v>1100000</v>
      </c>
      <c r="F191" s="7">
        <v>45561</v>
      </c>
      <c r="H191">
        <v>1100000</v>
      </c>
    </row>
    <row r="192" spans="1:8" x14ac:dyDescent="0.2">
      <c r="A192" t="s">
        <v>386</v>
      </c>
      <c r="B192" t="s">
        <v>816</v>
      </c>
      <c r="C192" t="b">
        <v>0</v>
      </c>
      <c r="D192" t="b">
        <v>0</v>
      </c>
      <c r="E192">
        <v>1100000</v>
      </c>
      <c r="F192" s="7">
        <v>45561</v>
      </c>
      <c r="H192">
        <v>1100000</v>
      </c>
    </row>
    <row r="193" spans="1:8" x14ac:dyDescent="0.2">
      <c r="A193" t="s">
        <v>386</v>
      </c>
      <c r="B193" t="s">
        <v>817</v>
      </c>
      <c r="C193" t="b">
        <v>0</v>
      </c>
      <c r="D193" t="b">
        <v>0</v>
      </c>
      <c r="E193">
        <v>1100000</v>
      </c>
      <c r="F193" s="7">
        <v>45561</v>
      </c>
      <c r="H193">
        <v>1100000</v>
      </c>
    </row>
    <row r="194" spans="1:8" x14ac:dyDescent="0.2">
      <c r="A194" t="s">
        <v>386</v>
      </c>
      <c r="B194" t="s">
        <v>818</v>
      </c>
      <c r="C194" t="b">
        <v>0</v>
      </c>
      <c r="D194" t="b">
        <v>0</v>
      </c>
      <c r="E194">
        <v>1100000</v>
      </c>
      <c r="F194" s="7">
        <v>45561</v>
      </c>
      <c r="H194">
        <v>1100000</v>
      </c>
    </row>
    <row r="195" spans="1:8" x14ac:dyDescent="0.2">
      <c r="A195" t="s">
        <v>386</v>
      </c>
      <c r="B195" t="s">
        <v>821</v>
      </c>
      <c r="C195" t="b">
        <v>1</v>
      </c>
      <c r="D195" t="b">
        <v>1</v>
      </c>
      <c r="E195">
        <v>1000000</v>
      </c>
      <c r="F195" s="7">
        <v>45310</v>
      </c>
      <c r="G195" s="7">
        <v>45310</v>
      </c>
      <c r="H195">
        <v>968582.30999999994</v>
      </c>
    </row>
    <row r="196" spans="1:8" x14ac:dyDescent="0.2">
      <c r="A196" t="s">
        <v>386</v>
      </c>
      <c r="B196" t="s">
        <v>829</v>
      </c>
      <c r="C196" t="b">
        <v>1</v>
      </c>
      <c r="D196" t="b">
        <v>1</v>
      </c>
      <c r="E196">
        <v>1000000</v>
      </c>
      <c r="F196" s="7">
        <v>45420</v>
      </c>
      <c r="G196" s="7">
        <v>45420</v>
      </c>
      <c r="H196">
        <v>1000000</v>
      </c>
    </row>
    <row r="197" spans="1:8" x14ac:dyDescent="0.2">
      <c r="A197" t="s">
        <v>386</v>
      </c>
      <c r="B197" t="s">
        <v>833</v>
      </c>
      <c r="C197" t="b">
        <v>1</v>
      </c>
      <c r="D197" t="b">
        <v>1</v>
      </c>
      <c r="E197">
        <v>1000000</v>
      </c>
      <c r="F197" s="7">
        <v>45308</v>
      </c>
      <c r="G197" s="7">
        <v>45308</v>
      </c>
      <c r="H197">
        <v>950980.33</v>
      </c>
    </row>
    <row r="198" spans="1:8" x14ac:dyDescent="0.2">
      <c r="A198" t="s">
        <v>386</v>
      </c>
      <c r="B198" t="s">
        <v>834</v>
      </c>
      <c r="C198" t="b">
        <v>1</v>
      </c>
      <c r="D198" t="b">
        <v>1</v>
      </c>
      <c r="E198">
        <v>1000000</v>
      </c>
      <c r="F198" s="7">
        <v>45369</v>
      </c>
      <c r="G198" s="7">
        <v>45369</v>
      </c>
      <c r="H198">
        <v>1000000</v>
      </c>
    </row>
    <row r="199" spans="1:8" x14ac:dyDescent="0.2">
      <c r="A199" t="s">
        <v>386</v>
      </c>
      <c r="B199" t="s">
        <v>835</v>
      </c>
      <c r="C199" t="b">
        <v>1</v>
      </c>
      <c r="D199" t="b">
        <v>1</v>
      </c>
      <c r="E199">
        <v>1000000</v>
      </c>
      <c r="F199" s="7">
        <v>45308</v>
      </c>
      <c r="G199" s="7">
        <v>45308</v>
      </c>
      <c r="H199">
        <v>1000000</v>
      </c>
    </row>
    <row r="200" spans="1:8" x14ac:dyDescent="0.2">
      <c r="A200" t="s">
        <v>386</v>
      </c>
      <c r="B200" t="s">
        <v>838</v>
      </c>
      <c r="C200" t="b">
        <v>1</v>
      </c>
      <c r="D200" t="b">
        <v>1</v>
      </c>
      <c r="E200">
        <v>1000000</v>
      </c>
      <c r="F200" s="7">
        <v>45327</v>
      </c>
      <c r="G200" s="7">
        <v>45327</v>
      </c>
      <c r="H200">
        <v>1000000</v>
      </c>
    </row>
    <row r="201" spans="1:8" x14ac:dyDescent="0.2">
      <c r="A201" t="s">
        <v>386</v>
      </c>
      <c r="B201" t="s">
        <v>839</v>
      </c>
      <c r="C201" t="b">
        <v>1</v>
      </c>
      <c r="D201" t="b">
        <v>1</v>
      </c>
      <c r="E201">
        <v>1000000</v>
      </c>
      <c r="F201" s="7">
        <v>45336</v>
      </c>
      <c r="G201" s="7">
        <v>45336</v>
      </c>
      <c r="H201">
        <v>1000000</v>
      </c>
    </row>
    <row r="202" spans="1:8" x14ac:dyDescent="0.2">
      <c r="A202" t="s">
        <v>386</v>
      </c>
      <c r="B202" t="s">
        <v>843</v>
      </c>
      <c r="C202" t="b">
        <v>1</v>
      </c>
      <c r="D202" t="b">
        <v>1</v>
      </c>
      <c r="E202">
        <v>1000000</v>
      </c>
      <c r="F202" s="7">
        <v>45314</v>
      </c>
      <c r="G202" s="7">
        <v>45314</v>
      </c>
      <c r="H202">
        <v>1000000</v>
      </c>
    </row>
    <row r="203" spans="1:8" x14ac:dyDescent="0.2">
      <c r="A203" t="s">
        <v>386</v>
      </c>
      <c r="B203" t="s">
        <v>844</v>
      </c>
      <c r="C203" t="b">
        <v>1</v>
      </c>
      <c r="D203" t="b">
        <v>0</v>
      </c>
      <c r="E203">
        <v>1000000</v>
      </c>
      <c r="F203" s="7">
        <v>45449</v>
      </c>
      <c r="H203">
        <v>1000000</v>
      </c>
    </row>
    <row r="204" spans="1:8" x14ac:dyDescent="0.2">
      <c r="A204" t="s">
        <v>386</v>
      </c>
      <c r="B204" t="s">
        <v>848</v>
      </c>
      <c r="C204" t="b">
        <v>0</v>
      </c>
      <c r="D204" t="b">
        <v>0</v>
      </c>
      <c r="E204">
        <v>1000000</v>
      </c>
      <c r="F204" s="7">
        <v>45464</v>
      </c>
      <c r="H204">
        <v>1000000</v>
      </c>
    </row>
    <row r="205" spans="1:8" x14ac:dyDescent="0.2">
      <c r="A205" t="s">
        <v>386</v>
      </c>
      <c r="B205" t="s">
        <v>849</v>
      </c>
      <c r="C205" t="b">
        <v>0</v>
      </c>
      <c r="D205" t="b">
        <v>0</v>
      </c>
      <c r="E205">
        <v>1000000</v>
      </c>
      <c r="F205" s="7">
        <v>45498</v>
      </c>
      <c r="H205">
        <v>1000000</v>
      </c>
    </row>
    <row r="206" spans="1:8" x14ac:dyDescent="0.2">
      <c r="A206" t="s">
        <v>386</v>
      </c>
      <c r="B206" t="s">
        <v>850</v>
      </c>
      <c r="C206" t="b">
        <v>1</v>
      </c>
      <c r="D206" t="b">
        <v>0</v>
      </c>
      <c r="E206">
        <v>1000000</v>
      </c>
      <c r="F206" s="7">
        <v>45498</v>
      </c>
      <c r="H206">
        <v>1012910.96</v>
      </c>
    </row>
    <row r="207" spans="1:8" x14ac:dyDescent="0.2">
      <c r="A207" t="s">
        <v>386</v>
      </c>
      <c r="B207" t="s">
        <v>853</v>
      </c>
      <c r="C207" t="b">
        <v>1</v>
      </c>
      <c r="D207" t="b">
        <v>0</v>
      </c>
      <c r="E207">
        <v>1100000</v>
      </c>
      <c r="F207" s="7">
        <v>45518</v>
      </c>
      <c r="H207">
        <v>1103538.43</v>
      </c>
    </row>
    <row r="208" spans="1:8" x14ac:dyDescent="0.2">
      <c r="A208" t="s">
        <v>386</v>
      </c>
      <c r="B208" t="s">
        <v>855</v>
      </c>
      <c r="C208" t="b">
        <v>1</v>
      </c>
      <c r="D208" t="b">
        <v>0</v>
      </c>
      <c r="E208">
        <v>1100000</v>
      </c>
      <c r="F208" s="7">
        <v>45518</v>
      </c>
      <c r="H208">
        <v>1097295.56</v>
      </c>
    </row>
    <row r="209" spans="1:8" x14ac:dyDescent="0.2">
      <c r="A209" t="s">
        <v>386</v>
      </c>
      <c r="B209" t="s">
        <v>859</v>
      </c>
      <c r="C209" t="b">
        <v>1</v>
      </c>
      <c r="D209" t="b">
        <v>0</v>
      </c>
      <c r="E209">
        <v>1100000</v>
      </c>
      <c r="F209" s="7">
        <v>45518</v>
      </c>
      <c r="H209">
        <v>1118756.8500000001</v>
      </c>
    </row>
    <row r="210" spans="1:8" x14ac:dyDescent="0.2">
      <c r="A210" t="s">
        <v>386</v>
      </c>
      <c r="B210" t="s">
        <v>860</v>
      </c>
      <c r="C210" t="b">
        <v>1</v>
      </c>
      <c r="D210" t="b">
        <v>0</v>
      </c>
      <c r="E210">
        <v>1100000</v>
      </c>
      <c r="F210" s="7">
        <v>45518</v>
      </c>
      <c r="H210">
        <v>1108630.1399999999</v>
      </c>
    </row>
    <row r="211" spans="1:8" x14ac:dyDescent="0.2">
      <c r="A211" t="s">
        <v>386</v>
      </c>
      <c r="B211" t="s">
        <v>861</v>
      </c>
      <c r="C211" t="b">
        <v>1</v>
      </c>
      <c r="D211" t="b">
        <v>0</v>
      </c>
      <c r="E211">
        <v>1100000</v>
      </c>
      <c r="F211" s="7">
        <v>45518</v>
      </c>
      <c r="H211">
        <v>1673825.34</v>
      </c>
    </row>
    <row r="212" spans="1:8" x14ac:dyDescent="0.2">
      <c r="A212" t="s">
        <v>386</v>
      </c>
      <c r="B212" t="s">
        <v>862</v>
      </c>
      <c r="C212" t="b">
        <v>1</v>
      </c>
      <c r="D212" t="b">
        <v>0</v>
      </c>
      <c r="E212">
        <v>1100000</v>
      </c>
      <c r="F212" s="7">
        <v>45518</v>
      </c>
      <c r="H212">
        <v>1046447.94</v>
      </c>
    </row>
    <row r="213" spans="1:8" x14ac:dyDescent="0.2">
      <c r="A213" t="s">
        <v>386</v>
      </c>
      <c r="B213" t="s">
        <v>863</v>
      </c>
      <c r="C213" t="b">
        <v>1</v>
      </c>
      <c r="D213" t="b">
        <v>0</v>
      </c>
      <c r="E213">
        <v>1100000</v>
      </c>
      <c r="F213" s="7">
        <v>45518</v>
      </c>
      <c r="H213">
        <v>1116688.51</v>
      </c>
    </row>
    <row r="214" spans="1:8" x14ac:dyDescent="0.2">
      <c r="A214" t="s">
        <v>386</v>
      </c>
      <c r="B214" t="s">
        <v>864</v>
      </c>
      <c r="C214" t="b">
        <v>1</v>
      </c>
      <c r="D214" t="b">
        <v>0</v>
      </c>
      <c r="E214">
        <v>1100000</v>
      </c>
      <c r="F214" s="7">
        <v>45518</v>
      </c>
      <c r="H214">
        <v>1121470.6200000001</v>
      </c>
    </row>
    <row r="215" spans="1:8" x14ac:dyDescent="0.2">
      <c r="A215" t="s">
        <v>386</v>
      </c>
      <c r="B215" t="s">
        <v>865</v>
      </c>
      <c r="C215" t="b">
        <v>1</v>
      </c>
      <c r="D215" t="b">
        <v>0</v>
      </c>
      <c r="E215">
        <v>1100000</v>
      </c>
      <c r="F215" s="7">
        <v>45518</v>
      </c>
      <c r="H215">
        <v>1090952.05</v>
      </c>
    </row>
    <row r="216" spans="1:8" x14ac:dyDescent="0.2">
      <c r="A216" t="s">
        <v>386</v>
      </c>
      <c r="B216" t="s">
        <v>866</v>
      </c>
      <c r="C216" t="b">
        <v>0</v>
      </c>
      <c r="D216" t="b">
        <v>0</v>
      </c>
      <c r="E216">
        <v>1100000</v>
      </c>
      <c r="F216" s="7">
        <v>45545</v>
      </c>
      <c r="H216">
        <v>1100000</v>
      </c>
    </row>
    <row r="217" spans="1:8" x14ac:dyDescent="0.2">
      <c r="A217" t="s">
        <v>386</v>
      </c>
      <c r="B217" t="s">
        <v>869</v>
      </c>
      <c r="C217" t="b">
        <v>1</v>
      </c>
      <c r="D217" t="b">
        <v>0</v>
      </c>
      <c r="E217">
        <v>1100000</v>
      </c>
      <c r="F217" s="7">
        <v>45532</v>
      </c>
      <c r="H217">
        <v>1116947.94</v>
      </c>
    </row>
    <row r="218" spans="1:8" x14ac:dyDescent="0.2">
      <c r="A218" t="s">
        <v>386</v>
      </c>
      <c r="B218" t="s">
        <v>881</v>
      </c>
      <c r="C218" t="b">
        <v>0</v>
      </c>
      <c r="D218" t="b">
        <v>0</v>
      </c>
      <c r="E218">
        <v>1100000</v>
      </c>
      <c r="F218" s="7">
        <v>45518</v>
      </c>
      <c r="H218">
        <v>1111295.21</v>
      </c>
    </row>
    <row r="219" spans="1:8" x14ac:dyDescent="0.2">
      <c r="A219" t="s">
        <v>386</v>
      </c>
      <c r="B219" t="s">
        <v>884</v>
      </c>
      <c r="C219" t="b">
        <v>1</v>
      </c>
      <c r="D219" t="b">
        <v>0</v>
      </c>
      <c r="E219">
        <v>1100000</v>
      </c>
      <c r="F219" s="7">
        <v>45518</v>
      </c>
      <c r="H219">
        <v>1100000</v>
      </c>
    </row>
    <row r="220" spans="1:8" x14ac:dyDescent="0.2">
      <c r="A220" t="s">
        <v>386</v>
      </c>
      <c r="B220" t="s">
        <v>885</v>
      </c>
      <c r="C220" t="b">
        <v>0</v>
      </c>
      <c r="D220" t="b">
        <v>0</v>
      </c>
      <c r="E220">
        <v>1100000</v>
      </c>
      <c r="F220" s="7">
        <v>45546</v>
      </c>
      <c r="H220">
        <v>1119247.26</v>
      </c>
    </row>
    <row r="221" spans="1:8" x14ac:dyDescent="0.2">
      <c r="A221" t="s">
        <v>386</v>
      </c>
      <c r="B221" t="s">
        <v>886</v>
      </c>
      <c r="C221" t="b">
        <v>1</v>
      </c>
      <c r="D221" t="b">
        <v>0</v>
      </c>
      <c r="E221">
        <v>1100000</v>
      </c>
      <c r="F221" s="7">
        <v>45532</v>
      </c>
      <c r="H221">
        <v>1118439.04</v>
      </c>
    </row>
    <row r="222" spans="1:8" x14ac:dyDescent="0.2">
      <c r="A222" t="s">
        <v>386</v>
      </c>
      <c r="B222" t="s">
        <v>890</v>
      </c>
      <c r="C222" t="b">
        <v>1</v>
      </c>
      <c r="D222" t="b">
        <v>1</v>
      </c>
      <c r="E222">
        <v>1100000</v>
      </c>
      <c r="F222" s="7">
        <v>45177</v>
      </c>
      <c r="G222" s="7">
        <v>45177</v>
      </c>
      <c r="H222">
        <v>1100000</v>
      </c>
    </row>
    <row r="223" spans="1:8" x14ac:dyDescent="0.2">
      <c r="A223" t="s">
        <v>386</v>
      </c>
      <c r="B223" t="s">
        <v>892</v>
      </c>
      <c r="C223" t="b">
        <v>1</v>
      </c>
      <c r="D223" t="b">
        <v>1</v>
      </c>
      <c r="E223">
        <v>1100000</v>
      </c>
      <c r="F223" s="7">
        <v>45177</v>
      </c>
      <c r="G223" s="7">
        <v>45177</v>
      </c>
      <c r="H223">
        <v>1100000</v>
      </c>
    </row>
    <row r="224" spans="1:8" x14ac:dyDescent="0.2">
      <c r="A224" t="s">
        <v>386</v>
      </c>
      <c r="B224" t="s">
        <v>898</v>
      </c>
      <c r="C224" t="b">
        <v>1</v>
      </c>
      <c r="D224" t="b">
        <v>1</v>
      </c>
      <c r="E224">
        <v>1100000</v>
      </c>
      <c r="F224" s="7">
        <v>45177</v>
      </c>
      <c r="G224" s="7">
        <v>45177</v>
      </c>
      <c r="H224">
        <v>1100000</v>
      </c>
    </row>
    <row r="225" spans="1:8" x14ac:dyDescent="0.2">
      <c r="A225" t="s">
        <v>386</v>
      </c>
      <c r="B225" t="s">
        <v>902</v>
      </c>
      <c r="C225" t="b">
        <v>1</v>
      </c>
      <c r="D225" t="b">
        <v>0</v>
      </c>
      <c r="E225">
        <v>1100000</v>
      </c>
      <c r="F225" s="7">
        <v>45471</v>
      </c>
      <c r="H225">
        <v>1100000</v>
      </c>
    </row>
    <row r="226" spans="1:8" x14ac:dyDescent="0.2">
      <c r="A226" t="s">
        <v>386</v>
      </c>
      <c r="B226" t="s">
        <v>909</v>
      </c>
      <c r="C226" t="b">
        <v>1</v>
      </c>
      <c r="D226" t="b">
        <v>1</v>
      </c>
      <c r="E226">
        <v>1100000</v>
      </c>
      <c r="F226" s="7">
        <v>45201</v>
      </c>
      <c r="G226" s="7">
        <v>45191</v>
      </c>
      <c r="H226">
        <v>1110000</v>
      </c>
    </row>
    <row r="227" spans="1:8" x14ac:dyDescent="0.2">
      <c r="A227" t="s">
        <v>386</v>
      </c>
      <c r="B227" t="s">
        <v>913</v>
      </c>
      <c r="C227" t="b">
        <v>0</v>
      </c>
      <c r="D227" t="b">
        <v>0</v>
      </c>
      <c r="E227">
        <v>1100000</v>
      </c>
      <c r="F227" s="7">
        <v>45491</v>
      </c>
      <c r="H227">
        <v>1100000</v>
      </c>
    </row>
    <row r="228" spans="1:8" x14ac:dyDescent="0.2">
      <c r="A228" t="s">
        <v>386</v>
      </c>
      <c r="B228" t="s">
        <v>917</v>
      </c>
      <c r="C228" t="b">
        <v>1</v>
      </c>
      <c r="D228" t="b">
        <v>1</v>
      </c>
      <c r="E228">
        <v>1100000</v>
      </c>
      <c r="F228" s="7">
        <v>45247</v>
      </c>
      <c r="G228" s="7">
        <v>45247</v>
      </c>
      <c r="H228">
        <v>1106405.48</v>
      </c>
    </row>
    <row r="229" spans="1:8" x14ac:dyDescent="0.2">
      <c r="A229" t="s">
        <v>386</v>
      </c>
      <c r="B229" t="s">
        <v>920</v>
      </c>
      <c r="C229" t="b">
        <v>1</v>
      </c>
      <c r="D229" t="b">
        <v>1</v>
      </c>
      <c r="E229">
        <v>1100000</v>
      </c>
      <c r="F229" s="7">
        <v>45271</v>
      </c>
      <c r="G229" s="7">
        <v>45271</v>
      </c>
      <c r="H229">
        <v>1050738.7</v>
      </c>
    </row>
    <row r="230" spans="1:8" x14ac:dyDescent="0.2">
      <c r="A230" t="s">
        <v>386</v>
      </c>
      <c r="B230" t="s">
        <v>921</v>
      </c>
      <c r="C230" t="b">
        <v>0</v>
      </c>
      <c r="D230" t="b">
        <v>0</v>
      </c>
      <c r="E230">
        <v>1100000</v>
      </c>
      <c r="F230" s="7">
        <v>45520</v>
      </c>
      <c r="H230">
        <v>1100000</v>
      </c>
    </row>
  </sheetData>
  <autoFilter ref="A5:H230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072BA"/>
  </sheetPr>
  <dimension ref="A1:T26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15" customWidth="1"/>
    <col min="2" max="2" width="21" customWidth="1"/>
    <col min="3" max="3" width="16" customWidth="1"/>
    <col min="4" max="4" width="8" customWidth="1"/>
    <col min="5" max="5" width="26" customWidth="1"/>
    <col min="6" max="6" width="35" customWidth="1"/>
    <col min="7" max="7" width="26" customWidth="1"/>
    <col min="8" max="8" width="19" customWidth="1"/>
    <col min="9" max="20" width="21" customWidth="1"/>
  </cols>
  <sheetData>
    <row r="1" spans="1:20" x14ac:dyDescent="0.2">
      <c r="A1" t="s">
        <v>931</v>
      </c>
    </row>
    <row r="2" spans="1:20" x14ac:dyDescent="0.2">
      <c r="I2" s="1">
        <f t="shared" ref="I2:T2" si="0">SUBTOTAL(9,I5:I26)</f>
        <v>6423679.5599999996</v>
      </c>
      <c r="J2" s="1">
        <f t="shared" si="0"/>
        <v>9591360.1499999985</v>
      </c>
      <c r="K2" s="1">
        <f t="shared" si="0"/>
        <v>11171059.070000002</v>
      </c>
      <c r="L2" s="1">
        <f t="shared" si="0"/>
        <v>10881909.170000002</v>
      </c>
      <c r="M2" s="1">
        <f t="shared" si="0"/>
        <v>8300013.7800000003</v>
      </c>
      <c r="N2" s="1">
        <f t="shared" si="0"/>
        <v>5393949.9499999993</v>
      </c>
      <c r="O2" s="1">
        <f t="shared" si="0"/>
        <v>2809059.9400000004</v>
      </c>
      <c r="P2" s="1">
        <f t="shared" si="0"/>
        <v>491888.24</v>
      </c>
      <c r="Q2" s="1">
        <f t="shared" si="0"/>
        <v>157846.49</v>
      </c>
      <c r="R2" s="1">
        <f t="shared" si="0"/>
        <v>0</v>
      </c>
      <c r="S2" s="1">
        <f t="shared" si="0"/>
        <v>0</v>
      </c>
      <c r="T2" s="1">
        <f t="shared" si="0"/>
        <v>0</v>
      </c>
    </row>
    <row r="4" spans="1:20" x14ac:dyDescent="0.2">
      <c r="A4" t="s">
        <v>932</v>
      </c>
      <c r="B4" t="s">
        <v>933</v>
      </c>
      <c r="C4" t="s">
        <v>934</v>
      </c>
      <c r="D4" t="s">
        <v>935</v>
      </c>
      <c r="E4" t="s">
        <v>936</v>
      </c>
      <c r="F4" t="s">
        <v>937</v>
      </c>
      <c r="G4" t="s">
        <v>938</v>
      </c>
      <c r="H4" t="s">
        <v>939</v>
      </c>
      <c r="I4" t="s">
        <v>940</v>
      </c>
      <c r="J4" t="s">
        <v>941</v>
      </c>
      <c r="K4" t="s">
        <v>942</v>
      </c>
      <c r="L4" t="s">
        <v>943</v>
      </c>
      <c r="M4" t="s">
        <v>944</v>
      </c>
      <c r="N4" t="s">
        <v>945</v>
      </c>
      <c r="O4" t="s">
        <v>946</v>
      </c>
      <c r="P4" t="s">
        <v>947</v>
      </c>
      <c r="Q4" t="s">
        <v>948</v>
      </c>
      <c r="R4" t="s">
        <v>949</v>
      </c>
      <c r="S4" t="s">
        <v>950</v>
      </c>
      <c r="T4" t="s">
        <v>951</v>
      </c>
    </row>
    <row r="5" spans="1:20" x14ac:dyDescent="0.2">
      <c r="A5" t="b">
        <v>0</v>
      </c>
      <c r="B5" t="s">
        <v>952</v>
      </c>
      <c r="C5">
        <v>1</v>
      </c>
      <c r="D5">
        <v>4</v>
      </c>
      <c r="E5">
        <v>736049.8</v>
      </c>
      <c r="F5">
        <v>0</v>
      </c>
      <c r="G5">
        <v>736049.8</v>
      </c>
      <c r="H5">
        <v>49331.3</v>
      </c>
      <c r="I5" s="1">
        <v>190915.5</v>
      </c>
      <c r="J5" s="1">
        <v>177267.23</v>
      </c>
      <c r="K5" s="1">
        <v>86167.65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 t="s">
        <v>497</v>
      </c>
    </row>
    <row r="6" spans="1:20" x14ac:dyDescent="0.2">
      <c r="A6" t="b">
        <v>0</v>
      </c>
      <c r="B6" t="s">
        <v>953</v>
      </c>
      <c r="C6">
        <v>1</v>
      </c>
      <c r="D6">
        <v>3</v>
      </c>
      <c r="E6">
        <v>0</v>
      </c>
      <c r="F6">
        <v>7812115.7800000003</v>
      </c>
      <c r="G6">
        <v>7812115.7800000003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569</v>
      </c>
    </row>
    <row r="7" spans="1:20" x14ac:dyDescent="0.2">
      <c r="A7" t="b">
        <v>0</v>
      </c>
      <c r="B7" t="s">
        <v>954</v>
      </c>
      <c r="C7">
        <v>1</v>
      </c>
      <c r="D7">
        <v>3</v>
      </c>
      <c r="E7">
        <v>64214.68</v>
      </c>
      <c r="F7">
        <v>5162146.0999999996</v>
      </c>
      <c r="G7">
        <v>5226360.78</v>
      </c>
      <c r="H7">
        <v>2209.08</v>
      </c>
      <c r="I7">
        <v>73846.8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598</v>
      </c>
    </row>
    <row r="8" spans="1:20" x14ac:dyDescent="0.2">
      <c r="A8" t="b">
        <v>0</v>
      </c>
      <c r="B8" t="s">
        <v>955</v>
      </c>
      <c r="C8">
        <v>1</v>
      </c>
      <c r="D8">
        <v>3</v>
      </c>
      <c r="E8">
        <v>2945108.08</v>
      </c>
      <c r="F8">
        <v>3648454.4</v>
      </c>
      <c r="G8">
        <v>6593562.4800000004</v>
      </c>
      <c r="H8">
        <v>594000.4</v>
      </c>
      <c r="I8">
        <v>455163.93</v>
      </c>
      <c r="J8">
        <v>384845.93</v>
      </c>
      <c r="K8">
        <v>648973.56999999995</v>
      </c>
      <c r="L8">
        <v>185081.48</v>
      </c>
      <c r="M8">
        <v>144600.68</v>
      </c>
      <c r="N8">
        <v>30480.799999999999</v>
      </c>
      <c r="O8">
        <v>0</v>
      </c>
      <c r="P8">
        <v>0</v>
      </c>
      <c r="Q8">
        <v>109446.76</v>
      </c>
      <c r="R8">
        <v>0</v>
      </c>
      <c r="S8">
        <v>0</v>
      </c>
      <c r="T8" t="s">
        <v>628</v>
      </c>
    </row>
    <row r="9" spans="1:20" x14ac:dyDescent="0.2">
      <c r="A9" t="b">
        <v>0</v>
      </c>
      <c r="B9" t="s">
        <v>956</v>
      </c>
      <c r="C9">
        <v>1</v>
      </c>
      <c r="D9">
        <v>5</v>
      </c>
      <c r="E9">
        <v>4943940.7</v>
      </c>
      <c r="F9">
        <v>0</v>
      </c>
      <c r="G9">
        <v>4943940.7</v>
      </c>
      <c r="H9">
        <v>459533.98</v>
      </c>
      <c r="I9">
        <v>863067.81</v>
      </c>
      <c r="J9">
        <v>1038427.38</v>
      </c>
      <c r="K9">
        <v>612369.1</v>
      </c>
      <c r="L9">
        <v>258064.17</v>
      </c>
      <c r="M9">
        <v>153345.57999999999</v>
      </c>
      <c r="N9">
        <v>259298.14</v>
      </c>
      <c r="O9">
        <v>14434.88</v>
      </c>
      <c r="P9">
        <v>0</v>
      </c>
      <c r="Q9">
        <v>0</v>
      </c>
      <c r="R9">
        <v>0</v>
      </c>
      <c r="S9">
        <v>0</v>
      </c>
      <c r="T9" t="s">
        <v>675</v>
      </c>
    </row>
    <row r="10" spans="1:20" x14ac:dyDescent="0.2">
      <c r="A10" t="b">
        <v>0</v>
      </c>
      <c r="B10" t="s">
        <v>957</v>
      </c>
      <c r="C10">
        <v>1</v>
      </c>
      <c r="D10">
        <v>3</v>
      </c>
      <c r="E10">
        <v>1781222.58</v>
      </c>
      <c r="F10">
        <v>3185338.74</v>
      </c>
      <c r="G10">
        <v>4966561.32</v>
      </c>
      <c r="H10">
        <v>461398.07</v>
      </c>
      <c r="I10">
        <v>426849.97</v>
      </c>
      <c r="J10">
        <v>331620.38</v>
      </c>
      <c r="K10">
        <v>149954.26999999999</v>
      </c>
      <c r="L10">
        <v>113353.39</v>
      </c>
      <c r="M10">
        <v>35625</v>
      </c>
      <c r="N10">
        <v>0</v>
      </c>
      <c r="O10">
        <v>41624.660000000003</v>
      </c>
      <c r="P10">
        <v>0</v>
      </c>
      <c r="Q10">
        <v>0</v>
      </c>
      <c r="R10">
        <v>0</v>
      </c>
      <c r="S10">
        <v>0</v>
      </c>
      <c r="T10" t="s">
        <v>684</v>
      </c>
    </row>
    <row r="11" spans="1:20" x14ac:dyDescent="0.2">
      <c r="A11" t="b">
        <v>0</v>
      </c>
      <c r="B11" t="s">
        <v>958</v>
      </c>
      <c r="C11">
        <v>1</v>
      </c>
      <c r="D11">
        <v>4</v>
      </c>
      <c r="E11">
        <v>2940452.38</v>
      </c>
      <c r="F11">
        <v>4426302.4000000004</v>
      </c>
      <c r="G11">
        <v>7366754.7800000003</v>
      </c>
      <c r="H11">
        <v>619987.55000000005</v>
      </c>
      <c r="I11">
        <v>863969.19</v>
      </c>
      <c r="J11">
        <v>706786.07</v>
      </c>
      <c r="K11">
        <v>202577.26</v>
      </c>
      <c r="L11">
        <v>54637.5</v>
      </c>
      <c r="M11">
        <v>0</v>
      </c>
      <c r="N11">
        <v>91889.06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711</v>
      </c>
    </row>
    <row r="12" spans="1:20" x14ac:dyDescent="0.2">
      <c r="A12" t="b">
        <v>0</v>
      </c>
      <c r="B12" t="s">
        <v>959</v>
      </c>
      <c r="C12">
        <v>1</v>
      </c>
      <c r="D12">
        <v>4</v>
      </c>
      <c r="E12">
        <v>4416107.82</v>
      </c>
      <c r="F12">
        <v>7516438.0199999996</v>
      </c>
      <c r="G12">
        <v>11932545.84</v>
      </c>
      <c r="H12">
        <v>878526.95</v>
      </c>
      <c r="I12">
        <v>557104.61</v>
      </c>
      <c r="J12">
        <v>1227023.1100000001</v>
      </c>
      <c r="K12">
        <v>631410.31999999995</v>
      </c>
      <c r="L12">
        <v>246059.01</v>
      </c>
      <c r="M12">
        <v>0</v>
      </c>
      <c r="N12">
        <v>0</v>
      </c>
      <c r="O12">
        <v>239784.26</v>
      </c>
      <c r="P12">
        <v>0</v>
      </c>
      <c r="Q12">
        <v>0</v>
      </c>
      <c r="R12">
        <v>0</v>
      </c>
      <c r="S12">
        <v>0</v>
      </c>
      <c r="T12" t="s">
        <v>750</v>
      </c>
    </row>
    <row r="13" spans="1:20" x14ac:dyDescent="0.2">
      <c r="A13" t="b">
        <v>0</v>
      </c>
      <c r="B13" t="s">
        <v>960</v>
      </c>
      <c r="C13">
        <v>1</v>
      </c>
      <c r="D13">
        <v>4</v>
      </c>
      <c r="E13">
        <v>1086972.32</v>
      </c>
      <c r="F13">
        <v>3892358.64</v>
      </c>
      <c r="G13">
        <v>4979330.96</v>
      </c>
      <c r="H13">
        <v>433899.53</v>
      </c>
      <c r="I13">
        <v>164572.82999999999</v>
      </c>
      <c r="J13">
        <v>215187.77</v>
      </c>
      <c r="K13">
        <v>36355.29</v>
      </c>
      <c r="L13">
        <v>16355.29</v>
      </c>
      <c r="M13">
        <v>0</v>
      </c>
      <c r="N13">
        <v>0</v>
      </c>
      <c r="O13">
        <v>92132.81</v>
      </c>
      <c r="P13">
        <v>0</v>
      </c>
      <c r="Q13">
        <v>0</v>
      </c>
      <c r="R13">
        <v>0</v>
      </c>
      <c r="S13">
        <v>0</v>
      </c>
      <c r="T13" t="s">
        <v>790</v>
      </c>
    </row>
    <row r="14" spans="1:20" x14ac:dyDescent="0.2">
      <c r="A14" t="b">
        <v>0</v>
      </c>
      <c r="B14" t="s">
        <v>961</v>
      </c>
      <c r="C14">
        <v>1</v>
      </c>
      <c r="D14">
        <v>4</v>
      </c>
      <c r="E14">
        <v>2377677.08</v>
      </c>
      <c r="F14">
        <v>1796546.32</v>
      </c>
      <c r="G14">
        <v>4174223.4</v>
      </c>
      <c r="H14">
        <v>308159.53000000003</v>
      </c>
      <c r="I14">
        <v>630567.31999999995</v>
      </c>
      <c r="J14">
        <v>305625.25</v>
      </c>
      <c r="K14">
        <v>295310.24</v>
      </c>
      <c r="L14">
        <v>44202.26</v>
      </c>
      <c r="M14">
        <v>0</v>
      </c>
      <c r="N14">
        <v>38888.68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811</v>
      </c>
    </row>
    <row r="15" spans="1:20" x14ac:dyDescent="0.2">
      <c r="A15" t="b">
        <v>0</v>
      </c>
      <c r="B15" t="s">
        <v>962</v>
      </c>
      <c r="C15">
        <v>1</v>
      </c>
      <c r="D15">
        <v>4</v>
      </c>
      <c r="E15">
        <v>698570.11</v>
      </c>
      <c r="F15">
        <v>0</v>
      </c>
      <c r="G15">
        <v>698570.11</v>
      </c>
      <c r="H15">
        <v>219532.99</v>
      </c>
      <c r="I15">
        <v>159073.66</v>
      </c>
      <c r="J15">
        <v>152042.51999999999</v>
      </c>
      <c r="K15">
        <v>8903.11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822</v>
      </c>
    </row>
    <row r="16" spans="1:20" x14ac:dyDescent="0.2">
      <c r="A16" t="b">
        <v>0</v>
      </c>
      <c r="B16" t="s">
        <v>963</v>
      </c>
      <c r="C16">
        <v>1</v>
      </c>
      <c r="D16">
        <v>4</v>
      </c>
      <c r="E16">
        <v>4666778.3499999996</v>
      </c>
      <c r="F16">
        <v>2019943.35</v>
      </c>
      <c r="G16">
        <v>6686721.7000000002</v>
      </c>
      <c r="H16">
        <v>991275.56</v>
      </c>
      <c r="I16">
        <v>1082014.06</v>
      </c>
      <c r="J16">
        <v>770401.74</v>
      </c>
      <c r="K16">
        <v>358340.8</v>
      </c>
      <c r="L16">
        <v>0</v>
      </c>
      <c r="M16">
        <v>0</v>
      </c>
      <c r="N16">
        <v>109303.16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854</v>
      </c>
    </row>
    <row r="17" spans="1:20" x14ac:dyDescent="0.2">
      <c r="A17" t="b">
        <v>0</v>
      </c>
      <c r="B17" t="s">
        <v>964</v>
      </c>
      <c r="C17">
        <v>1</v>
      </c>
      <c r="D17">
        <v>5</v>
      </c>
      <c r="E17">
        <v>1832593.48</v>
      </c>
      <c r="F17">
        <v>1598855</v>
      </c>
      <c r="G17">
        <v>3431448.48</v>
      </c>
      <c r="H17">
        <v>297254.31</v>
      </c>
      <c r="I17">
        <v>265423.55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964</v>
      </c>
    </row>
    <row r="18" spans="1:20" x14ac:dyDescent="0.2">
      <c r="A18" s="8" t="b">
        <v>1</v>
      </c>
      <c r="B18" s="8" t="s">
        <v>953</v>
      </c>
      <c r="C18" s="8">
        <v>0</v>
      </c>
      <c r="D18" s="8">
        <v>0</v>
      </c>
      <c r="E18" s="8">
        <v>0</v>
      </c>
      <c r="F18" s="8">
        <v>0</v>
      </c>
      <c r="G18" s="8">
        <v>7343388.8300000001</v>
      </c>
      <c r="H18" s="8">
        <v>0</v>
      </c>
      <c r="I18" s="8">
        <v>0</v>
      </c>
      <c r="J18" s="8">
        <v>468726.95</v>
      </c>
      <c r="K18" s="8">
        <v>1093696.21</v>
      </c>
      <c r="L18" s="8">
        <v>1484302</v>
      </c>
      <c r="M18" s="8">
        <v>1562423.16</v>
      </c>
      <c r="N18" s="8">
        <v>1484302</v>
      </c>
      <c r="O18" s="8">
        <v>1249938.52</v>
      </c>
      <c r="P18" s="8">
        <v>468726.95</v>
      </c>
      <c r="Q18" s="8">
        <v>0</v>
      </c>
      <c r="R18" s="8">
        <v>0</v>
      </c>
      <c r="S18" s="8">
        <v>0</v>
      </c>
      <c r="T18" s="8" t="s">
        <v>569</v>
      </c>
    </row>
    <row r="19" spans="1:20" x14ac:dyDescent="0.2">
      <c r="A19" s="8" t="b">
        <v>1</v>
      </c>
      <c r="B19" s="8" t="s">
        <v>954</v>
      </c>
      <c r="C19" s="8">
        <v>0</v>
      </c>
      <c r="D19" s="8">
        <v>0</v>
      </c>
      <c r="E19" s="8">
        <v>0</v>
      </c>
      <c r="F19" s="8">
        <v>0</v>
      </c>
      <c r="G19" s="8">
        <v>4656955.03</v>
      </c>
      <c r="H19" s="8">
        <v>0</v>
      </c>
      <c r="I19" s="8">
        <v>0</v>
      </c>
      <c r="J19" s="8">
        <v>325986.84999999998</v>
      </c>
      <c r="K19" s="8">
        <v>838251.91</v>
      </c>
      <c r="L19" s="8">
        <v>1117669.21</v>
      </c>
      <c r="M19" s="8">
        <v>1117669.21</v>
      </c>
      <c r="N19" s="8">
        <v>931391.01</v>
      </c>
      <c r="O19" s="8">
        <v>325986.84999999998</v>
      </c>
      <c r="P19" s="8">
        <v>0</v>
      </c>
      <c r="Q19" s="8">
        <v>0</v>
      </c>
      <c r="R19" s="8">
        <v>0</v>
      </c>
      <c r="S19" s="8">
        <v>0</v>
      </c>
      <c r="T19" s="8" t="s">
        <v>598</v>
      </c>
    </row>
    <row r="20" spans="1:20" x14ac:dyDescent="0.2">
      <c r="A20" s="8" t="b">
        <v>1</v>
      </c>
      <c r="B20" s="8" t="s">
        <v>955</v>
      </c>
      <c r="C20" s="8">
        <v>0</v>
      </c>
      <c r="D20" s="8">
        <v>0</v>
      </c>
      <c r="E20" s="8">
        <v>0</v>
      </c>
      <c r="F20" s="8">
        <v>0</v>
      </c>
      <c r="G20" s="8">
        <v>3600054.67</v>
      </c>
      <c r="H20" s="8">
        <v>0</v>
      </c>
      <c r="I20" s="8">
        <v>0</v>
      </c>
      <c r="J20" s="8">
        <v>81272.240000000005</v>
      </c>
      <c r="K20" s="8">
        <v>239800.92</v>
      </c>
      <c r="L20" s="8">
        <v>1278323.0900000001</v>
      </c>
      <c r="M20" s="8">
        <v>1199513.93</v>
      </c>
      <c r="N20" s="8">
        <v>801144.5</v>
      </c>
      <c r="O20" s="8">
        <v>0</v>
      </c>
      <c r="P20" s="8">
        <v>0</v>
      </c>
      <c r="Q20" s="8">
        <v>48399.73</v>
      </c>
      <c r="R20" s="8">
        <v>0</v>
      </c>
      <c r="S20" s="8">
        <v>0</v>
      </c>
      <c r="T20" s="8" t="s">
        <v>628</v>
      </c>
    </row>
    <row r="21" spans="1:20" x14ac:dyDescent="0.2">
      <c r="A21" s="8" t="b">
        <v>1</v>
      </c>
      <c r="B21" s="8" t="s">
        <v>957</v>
      </c>
      <c r="C21" s="8">
        <v>0</v>
      </c>
      <c r="D21" s="8">
        <v>0</v>
      </c>
      <c r="E21" s="8">
        <v>0</v>
      </c>
      <c r="F21" s="8">
        <v>0</v>
      </c>
      <c r="G21" s="8">
        <v>3185338.75</v>
      </c>
      <c r="H21" s="8">
        <v>0</v>
      </c>
      <c r="I21" s="8">
        <v>0</v>
      </c>
      <c r="J21" s="8">
        <v>93649.34</v>
      </c>
      <c r="K21" s="8">
        <v>1049789.95</v>
      </c>
      <c r="L21" s="8">
        <v>1109758.8600000001</v>
      </c>
      <c r="M21" s="8">
        <v>932140.61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 t="s">
        <v>684</v>
      </c>
    </row>
    <row r="22" spans="1:20" x14ac:dyDescent="0.2">
      <c r="A22" s="8" t="b">
        <v>1</v>
      </c>
      <c r="B22" s="8" t="s">
        <v>958</v>
      </c>
      <c r="C22" s="8">
        <v>0</v>
      </c>
      <c r="D22" s="8">
        <v>0</v>
      </c>
      <c r="E22" s="8">
        <v>0</v>
      </c>
      <c r="F22" s="8">
        <v>0</v>
      </c>
      <c r="G22" s="8">
        <v>4403141.12</v>
      </c>
      <c r="H22" s="8">
        <v>0</v>
      </c>
      <c r="I22" s="8">
        <v>0</v>
      </c>
      <c r="J22" s="8">
        <v>0</v>
      </c>
      <c r="K22" s="8">
        <v>231481.15</v>
      </c>
      <c r="L22" s="8">
        <v>974406.07</v>
      </c>
      <c r="M22" s="8">
        <v>1320637.72</v>
      </c>
      <c r="N22" s="8">
        <v>1184714.17</v>
      </c>
      <c r="O22" s="8">
        <v>691902</v>
      </c>
      <c r="P22" s="8">
        <v>23161.29</v>
      </c>
      <c r="Q22" s="8">
        <v>0</v>
      </c>
      <c r="R22" s="8">
        <v>0</v>
      </c>
      <c r="S22" s="8">
        <v>0</v>
      </c>
      <c r="T22" s="8" t="s">
        <v>711</v>
      </c>
    </row>
    <row r="23" spans="1:20" x14ac:dyDescent="0.2">
      <c r="A23" s="8" t="b">
        <v>1</v>
      </c>
      <c r="B23" s="8" t="s">
        <v>959</v>
      </c>
      <c r="C23" s="8">
        <v>0</v>
      </c>
      <c r="D23" s="8">
        <v>0</v>
      </c>
      <c r="E23" s="8">
        <v>0</v>
      </c>
      <c r="F23" s="8">
        <v>0</v>
      </c>
      <c r="G23" s="8">
        <v>7516438.0300000003</v>
      </c>
      <c r="H23" s="8">
        <v>0</v>
      </c>
      <c r="I23" s="8">
        <v>54356.5</v>
      </c>
      <c r="J23" s="8">
        <v>1810704.51</v>
      </c>
      <c r="K23" s="8">
        <v>2805531.22</v>
      </c>
      <c r="L23" s="8">
        <v>2295623.9700000002</v>
      </c>
      <c r="M23" s="8">
        <v>495861.37</v>
      </c>
      <c r="N23" s="8">
        <v>0</v>
      </c>
      <c r="O23" s="8">
        <v>54360.47</v>
      </c>
      <c r="P23" s="8">
        <v>0</v>
      </c>
      <c r="Q23" s="8">
        <v>0</v>
      </c>
      <c r="R23" s="8">
        <v>0</v>
      </c>
      <c r="S23" s="8">
        <v>0</v>
      </c>
      <c r="T23" s="8" t="s">
        <v>750</v>
      </c>
    </row>
    <row r="24" spans="1:20" x14ac:dyDescent="0.2">
      <c r="A24" s="8" t="b">
        <v>1</v>
      </c>
      <c r="B24" s="8" t="s">
        <v>960</v>
      </c>
      <c r="C24" s="8">
        <v>0</v>
      </c>
      <c r="D24" s="8">
        <v>0</v>
      </c>
      <c r="E24" s="8">
        <v>0</v>
      </c>
      <c r="F24" s="8">
        <v>0</v>
      </c>
      <c r="G24" s="8">
        <v>3807906.47</v>
      </c>
      <c r="H24" s="8">
        <v>0</v>
      </c>
      <c r="I24" s="8">
        <v>0</v>
      </c>
      <c r="J24" s="8">
        <v>409526.73</v>
      </c>
      <c r="K24" s="8">
        <v>969056.38</v>
      </c>
      <c r="L24" s="8">
        <v>1041758.82</v>
      </c>
      <c r="M24" s="8">
        <v>826130.61</v>
      </c>
      <c r="N24" s="8">
        <v>462538.43</v>
      </c>
      <c r="O24" s="8">
        <v>98895.49</v>
      </c>
      <c r="P24" s="8">
        <v>0</v>
      </c>
      <c r="Q24" s="8">
        <v>0</v>
      </c>
      <c r="R24" s="8">
        <v>0</v>
      </c>
      <c r="S24" s="8">
        <v>0</v>
      </c>
      <c r="T24" s="8" t="s">
        <v>790</v>
      </c>
    </row>
    <row r="25" spans="1:20" x14ac:dyDescent="0.2">
      <c r="A25" s="8" t="b">
        <v>1</v>
      </c>
      <c r="B25" s="8" t="s">
        <v>961</v>
      </c>
      <c r="C25" s="8">
        <v>0</v>
      </c>
      <c r="D25" s="8">
        <v>0</v>
      </c>
      <c r="E25" s="8">
        <v>0</v>
      </c>
      <c r="F25" s="8">
        <v>0</v>
      </c>
      <c r="G25" s="8">
        <v>1796546.32</v>
      </c>
      <c r="H25" s="8">
        <v>0</v>
      </c>
      <c r="I25" s="8">
        <v>636753.82999999996</v>
      </c>
      <c r="J25" s="8">
        <v>502025.9</v>
      </c>
      <c r="K25" s="8">
        <v>322849.46999999997</v>
      </c>
      <c r="L25" s="8">
        <v>242582.63</v>
      </c>
      <c r="M25" s="8">
        <v>92334.49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 t="s">
        <v>811</v>
      </c>
    </row>
    <row r="26" spans="1:20" x14ac:dyDescent="0.2">
      <c r="A26" s="8" t="b">
        <v>1</v>
      </c>
      <c r="B26" s="8" t="s">
        <v>963</v>
      </c>
      <c r="C26" s="8">
        <v>0</v>
      </c>
      <c r="D26" s="8">
        <v>0</v>
      </c>
      <c r="E26" s="8">
        <v>0</v>
      </c>
      <c r="F26" s="8">
        <v>0</v>
      </c>
      <c r="G26" s="8">
        <v>2019943.35</v>
      </c>
      <c r="H26" s="8">
        <v>0</v>
      </c>
      <c r="I26" s="8">
        <v>0</v>
      </c>
      <c r="J26" s="8">
        <v>590240.25</v>
      </c>
      <c r="K26" s="8">
        <v>590240.25</v>
      </c>
      <c r="L26" s="8">
        <v>419731.42</v>
      </c>
      <c r="M26" s="8">
        <v>419731.42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 t="s">
        <v>854</v>
      </c>
    </row>
  </sheetData>
  <autoFilter ref="A4:T2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204E"/>
  </sheetPr>
  <dimension ref="A1:H24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965</v>
      </c>
    </row>
    <row r="2" spans="1:8" x14ac:dyDescent="0.2">
      <c r="A2" t="s">
        <v>932</v>
      </c>
      <c r="B2" t="s">
        <v>933</v>
      </c>
      <c r="C2" t="s">
        <v>934</v>
      </c>
      <c r="D2" t="s">
        <v>966</v>
      </c>
      <c r="E2" t="s">
        <v>967</v>
      </c>
      <c r="F2" t="s">
        <v>968</v>
      </c>
      <c r="G2" t="s">
        <v>969</v>
      </c>
      <c r="H2" t="s">
        <v>970</v>
      </c>
    </row>
    <row r="3" spans="1:8" x14ac:dyDescent="0.2">
      <c r="A3" t="b">
        <v>0</v>
      </c>
      <c r="B3" t="s">
        <v>952</v>
      </c>
      <c r="C3">
        <v>1</v>
      </c>
      <c r="D3" t="b">
        <v>1</v>
      </c>
      <c r="E3" s="7">
        <v>45382</v>
      </c>
      <c r="F3">
        <v>49331.3</v>
      </c>
      <c r="G3" t="s">
        <v>497</v>
      </c>
      <c r="H3" s="7">
        <v>45443</v>
      </c>
    </row>
    <row r="4" spans="1:8" x14ac:dyDescent="0.2">
      <c r="A4" t="b">
        <v>0</v>
      </c>
      <c r="B4" t="s">
        <v>952</v>
      </c>
      <c r="C4">
        <v>1</v>
      </c>
      <c r="D4" t="b">
        <v>0</v>
      </c>
      <c r="E4" s="7">
        <v>45412</v>
      </c>
      <c r="F4">
        <v>190915.5</v>
      </c>
      <c r="G4" t="s">
        <v>497</v>
      </c>
      <c r="H4" s="7">
        <v>45443</v>
      </c>
    </row>
    <row r="5" spans="1:8" x14ac:dyDescent="0.2">
      <c r="A5" t="b">
        <v>0</v>
      </c>
      <c r="B5" t="s">
        <v>952</v>
      </c>
      <c r="C5">
        <f>IF(A5=FALSE, 1,SUMIFS('Cashflow Projection'!$C$50:$C$62, 'Cashflow Projection'!$B$33:$B$45, 'Updated Construction'!G5))</f>
        <v>1</v>
      </c>
      <c r="D5" t="b">
        <v>0</v>
      </c>
      <c r="E5" s="7">
        <v>45442</v>
      </c>
      <c r="F5">
        <v>177267.23</v>
      </c>
      <c r="G5" t="s">
        <v>497</v>
      </c>
      <c r="H5" s="7">
        <v>45504</v>
      </c>
    </row>
    <row r="6" spans="1:8" x14ac:dyDescent="0.2">
      <c r="A6" t="b">
        <v>0</v>
      </c>
      <c r="B6" t="s">
        <v>952</v>
      </c>
      <c r="C6">
        <f>IF(A6=FALSE, 1,SUMIFS('Cashflow Projection'!$C$50:$C$62, 'Cashflow Projection'!$B$33:$B$45, 'Updated Construction'!G6))</f>
        <v>1</v>
      </c>
      <c r="D6" t="b">
        <v>0</v>
      </c>
      <c r="E6" s="7">
        <v>45472</v>
      </c>
      <c r="F6">
        <v>86167.65</v>
      </c>
      <c r="G6" t="s">
        <v>497</v>
      </c>
      <c r="H6" s="7">
        <v>45504</v>
      </c>
    </row>
    <row r="7" spans="1:8" x14ac:dyDescent="0.2">
      <c r="A7" t="b">
        <v>0</v>
      </c>
      <c r="B7" t="s">
        <v>952</v>
      </c>
      <c r="C7">
        <f>IF(A7=FALSE, 1,SUMIFS('Cashflow Projection'!$C$50:$C$62, 'Cashflow Projection'!$B$33:$B$45, 'Updated Construction'!G7))</f>
        <v>1</v>
      </c>
      <c r="D7" t="b">
        <v>0</v>
      </c>
      <c r="E7" s="7">
        <v>45502</v>
      </c>
      <c r="F7">
        <v>0</v>
      </c>
      <c r="G7" t="s">
        <v>497</v>
      </c>
      <c r="H7" s="7">
        <v>45565</v>
      </c>
    </row>
    <row r="8" spans="1:8" x14ac:dyDescent="0.2">
      <c r="A8" t="b">
        <v>0</v>
      </c>
      <c r="B8" t="s">
        <v>952</v>
      </c>
      <c r="C8">
        <f>IF(A8=FALSE, 1,SUMIFS('Cashflow Projection'!$C$50:$C$62, 'Cashflow Projection'!$B$33:$B$45, 'Updated Construction'!G8))</f>
        <v>1</v>
      </c>
      <c r="D8" t="b">
        <v>0</v>
      </c>
      <c r="E8" s="7">
        <v>45532</v>
      </c>
      <c r="F8">
        <v>0</v>
      </c>
      <c r="G8" t="s">
        <v>497</v>
      </c>
      <c r="H8" s="7">
        <v>45565</v>
      </c>
    </row>
    <row r="9" spans="1:8" x14ac:dyDescent="0.2">
      <c r="A9" t="b">
        <v>0</v>
      </c>
      <c r="B9" t="s">
        <v>952</v>
      </c>
      <c r="C9">
        <f>IF(A9=FALSE, 1,SUMIFS('Cashflow Projection'!$C$50:$C$62, 'Cashflow Projection'!$B$33:$B$45, 'Updated Construction'!G9))</f>
        <v>1</v>
      </c>
      <c r="D9" t="b">
        <v>0</v>
      </c>
      <c r="E9" s="7">
        <v>45562</v>
      </c>
      <c r="F9">
        <v>0</v>
      </c>
      <c r="G9" t="s">
        <v>497</v>
      </c>
      <c r="H9" s="7">
        <v>45626</v>
      </c>
    </row>
    <row r="10" spans="1:8" x14ac:dyDescent="0.2">
      <c r="A10" t="b">
        <v>0</v>
      </c>
      <c r="B10" t="s">
        <v>952</v>
      </c>
      <c r="C10">
        <f>IF(A10=FALSE, 1,SUMIFS('Cashflow Projection'!$C$50:$C$62, 'Cashflow Projection'!$B$33:$B$45, 'Updated Construction'!G10))</f>
        <v>1</v>
      </c>
      <c r="D10" t="b">
        <v>0</v>
      </c>
      <c r="E10" s="7">
        <v>45596</v>
      </c>
      <c r="F10">
        <v>0</v>
      </c>
      <c r="G10" t="s">
        <v>497</v>
      </c>
      <c r="H10" s="7">
        <v>45626</v>
      </c>
    </row>
    <row r="11" spans="1:8" x14ac:dyDescent="0.2">
      <c r="A11" t="b">
        <v>0</v>
      </c>
      <c r="B11" t="s">
        <v>952</v>
      </c>
      <c r="C11">
        <f>IF(A11=FALSE, 1,SUMIFS('Cashflow Projection'!$C$50:$C$62, 'Cashflow Projection'!$B$33:$B$45, 'Updated Construction'!G11))</f>
        <v>1</v>
      </c>
      <c r="D11" t="b">
        <v>0</v>
      </c>
      <c r="E11" s="7">
        <v>45626</v>
      </c>
      <c r="F11">
        <v>0</v>
      </c>
      <c r="G11" t="s">
        <v>497</v>
      </c>
      <c r="H11" s="7">
        <v>45688</v>
      </c>
    </row>
    <row r="12" spans="1:8" x14ac:dyDescent="0.2">
      <c r="A12" t="b">
        <v>0</v>
      </c>
      <c r="B12" t="s">
        <v>952</v>
      </c>
      <c r="C12">
        <f>IF(A12=FALSE, 1,SUMIFS('Cashflow Projection'!$C$50:$C$62, 'Cashflow Projection'!$B$33:$B$45, 'Updated Construction'!G12))</f>
        <v>1</v>
      </c>
      <c r="D12" t="b">
        <v>0</v>
      </c>
      <c r="E12" s="7">
        <v>45657</v>
      </c>
      <c r="F12">
        <v>0</v>
      </c>
      <c r="G12" t="s">
        <v>497</v>
      </c>
      <c r="H12" s="7">
        <v>45688</v>
      </c>
    </row>
    <row r="13" spans="1:8" x14ac:dyDescent="0.2">
      <c r="A13" t="b">
        <v>0</v>
      </c>
      <c r="B13" t="s">
        <v>952</v>
      </c>
      <c r="C13">
        <f>IF(A13=FALSE, 1,SUMIFS('Cashflow Projection'!$C$50:$C$62, 'Cashflow Projection'!$B$33:$B$45, 'Updated Construction'!G13))</f>
        <v>1</v>
      </c>
      <c r="D13" t="b">
        <v>0</v>
      </c>
      <c r="E13" s="7">
        <v>45688</v>
      </c>
      <c r="F13">
        <v>0</v>
      </c>
      <c r="G13" t="s">
        <v>497</v>
      </c>
      <c r="H13" s="7">
        <v>45747</v>
      </c>
    </row>
    <row r="14" spans="1:8" x14ac:dyDescent="0.2">
      <c r="A14" t="b">
        <v>0</v>
      </c>
      <c r="B14" t="s">
        <v>953</v>
      </c>
      <c r="C14">
        <f>IF(A14=FALSE, 1,SUMIFS('Cashflow Projection'!$C$50:$C$62, 'Cashflow Projection'!$B$33:$B$45, 'Updated Construction'!G14))</f>
        <v>1</v>
      </c>
      <c r="D14" t="b">
        <v>1</v>
      </c>
      <c r="E14" s="7">
        <v>45382</v>
      </c>
      <c r="F14">
        <v>0</v>
      </c>
      <c r="G14" t="s">
        <v>569</v>
      </c>
      <c r="H14" s="7">
        <v>45443</v>
      </c>
    </row>
    <row r="15" spans="1:8" x14ac:dyDescent="0.2">
      <c r="A15" t="b">
        <v>0</v>
      </c>
      <c r="B15" t="s">
        <v>953</v>
      </c>
      <c r="C15">
        <f>IF(A15=FALSE, 1,SUMIFS('Cashflow Projection'!$C$50:$C$62, 'Cashflow Projection'!$B$33:$B$45, 'Updated Construction'!G15))</f>
        <v>1</v>
      </c>
      <c r="D15" t="b">
        <v>0</v>
      </c>
      <c r="E15" s="7">
        <v>45412</v>
      </c>
      <c r="F15">
        <v>0</v>
      </c>
      <c r="G15" t="s">
        <v>569</v>
      </c>
      <c r="H15" s="7">
        <v>45443</v>
      </c>
    </row>
    <row r="16" spans="1:8" x14ac:dyDescent="0.2">
      <c r="A16" t="b">
        <v>0</v>
      </c>
      <c r="B16" t="s">
        <v>953</v>
      </c>
      <c r="C16">
        <f>IF(A16=FALSE, 1,SUMIFS('Cashflow Projection'!$C$50:$C$62, 'Cashflow Projection'!$B$33:$B$45, 'Updated Construction'!G16))</f>
        <v>1</v>
      </c>
      <c r="D16" t="b">
        <v>0</v>
      </c>
      <c r="E16" s="7">
        <v>45442</v>
      </c>
      <c r="F16">
        <v>0</v>
      </c>
      <c r="G16" t="s">
        <v>569</v>
      </c>
      <c r="H16" s="7">
        <v>45504</v>
      </c>
    </row>
    <row r="17" spans="1:8" x14ac:dyDescent="0.2">
      <c r="A17" t="b">
        <v>0</v>
      </c>
      <c r="B17" t="s">
        <v>953</v>
      </c>
      <c r="C17">
        <f>IF(A17=FALSE, 1,SUMIFS('Cashflow Projection'!$C$50:$C$62, 'Cashflow Projection'!$B$33:$B$45, 'Updated Construction'!G17))</f>
        <v>1</v>
      </c>
      <c r="D17" t="b">
        <v>0</v>
      </c>
      <c r="E17" s="7">
        <v>45472</v>
      </c>
      <c r="F17">
        <v>0</v>
      </c>
      <c r="G17" t="s">
        <v>569</v>
      </c>
      <c r="H17" s="7">
        <v>45504</v>
      </c>
    </row>
    <row r="18" spans="1:8" x14ac:dyDescent="0.2">
      <c r="A18" t="b">
        <v>0</v>
      </c>
      <c r="B18" t="s">
        <v>953</v>
      </c>
      <c r="C18">
        <f>IF(A18=FALSE, 1,SUMIFS('Cashflow Projection'!$C$50:$C$62, 'Cashflow Projection'!$B$33:$B$45, 'Updated Construction'!G18))</f>
        <v>1</v>
      </c>
      <c r="D18" t="b">
        <v>0</v>
      </c>
      <c r="E18" s="7">
        <v>45502</v>
      </c>
      <c r="F18">
        <v>0</v>
      </c>
      <c r="G18" t="s">
        <v>569</v>
      </c>
      <c r="H18" s="7">
        <v>45565</v>
      </c>
    </row>
    <row r="19" spans="1:8" x14ac:dyDescent="0.2">
      <c r="A19" t="b">
        <v>0</v>
      </c>
      <c r="B19" t="s">
        <v>953</v>
      </c>
      <c r="C19">
        <f>IF(A19=FALSE, 1,SUMIFS('Cashflow Projection'!$C$50:$C$62, 'Cashflow Projection'!$B$33:$B$45, 'Updated Construction'!G19))</f>
        <v>1</v>
      </c>
      <c r="D19" t="b">
        <v>0</v>
      </c>
      <c r="E19" s="7">
        <v>45532</v>
      </c>
      <c r="F19">
        <v>0</v>
      </c>
      <c r="G19" t="s">
        <v>569</v>
      </c>
      <c r="H19" s="7">
        <v>45565</v>
      </c>
    </row>
    <row r="20" spans="1:8" x14ac:dyDescent="0.2">
      <c r="A20" t="b">
        <v>0</v>
      </c>
      <c r="B20" t="s">
        <v>953</v>
      </c>
      <c r="C20">
        <f>IF(A20=FALSE, 1,SUMIFS('Cashflow Projection'!$C$50:$C$62, 'Cashflow Projection'!$B$33:$B$45, 'Updated Construction'!G20))</f>
        <v>1</v>
      </c>
      <c r="D20" t="b">
        <v>0</v>
      </c>
      <c r="E20" s="7">
        <v>45562</v>
      </c>
      <c r="F20">
        <v>0</v>
      </c>
      <c r="G20" t="s">
        <v>569</v>
      </c>
      <c r="H20" s="7">
        <v>45626</v>
      </c>
    </row>
    <row r="21" spans="1:8" x14ac:dyDescent="0.2">
      <c r="A21" t="b">
        <v>0</v>
      </c>
      <c r="B21" t="s">
        <v>953</v>
      </c>
      <c r="C21">
        <f>IF(A21=FALSE, 1,SUMIFS('Cashflow Projection'!$C$50:$C$62, 'Cashflow Projection'!$B$33:$B$45, 'Updated Construction'!G21))</f>
        <v>1</v>
      </c>
      <c r="D21" t="b">
        <v>0</v>
      </c>
      <c r="E21" s="7">
        <v>45596</v>
      </c>
      <c r="F21">
        <v>0</v>
      </c>
      <c r="G21" t="s">
        <v>569</v>
      </c>
      <c r="H21" s="7">
        <v>45626</v>
      </c>
    </row>
    <row r="22" spans="1:8" x14ac:dyDescent="0.2">
      <c r="A22" t="b">
        <v>0</v>
      </c>
      <c r="B22" t="s">
        <v>953</v>
      </c>
      <c r="C22">
        <f>IF(A22=FALSE, 1,SUMIFS('Cashflow Projection'!$C$50:$C$62, 'Cashflow Projection'!$B$33:$B$45, 'Updated Construction'!G22))</f>
        <v>1</v>
      </c>
      <c r="D22" t="b">
        <v>0</v>
      </c>
      <c r="E22" s="7">
        <v>45626</v>
      </c>
      <c r="F22">
        <v>0</v>
      </c>
      <c r="G22" t="s">
        <v>569</v>
      </c>
      <c r="H22" s="7">
        <v>45688</v>
      </c>
    </row>
    <row r="23" spans="1:8" x14ac:dyDescent="0.2">
      <c r="A23" t="b">
        <v>0</v>
      </c>
      <c r="B23" t="s">
        <v>953</v>
      </c>
      <c r="C23">
        <f>IF(A23=FALSE, 1,SUMIFS('Cashflow Projection'!$C$50:$C$62, 'Cashflow Projection'!$B$33:$B$45, 'Updated Construction'!G23))</f>
        <v>1</v>
      </c>
      <c r="D23" t="b">
        <v>0</v>
      </c>
      <c r="E23" s="7">
        <v>45657</v>
      </c>
      <c r="F23">
        <v>0</v>
      </c>
      <c r="G23" t="s">
        <v>569</v>
      </c>
      <c r="H23" s="7">
        <v>45688</v>
      </c>
    </row>
    <row r="24" spans="1:8" x14ac:dyDescent="0.2">
      <c r="A24" t="b">
        <v>0</v>
      </c>
      <c r="B24" t="s">
        <v>953</v>
      </c>
      <c r="C24">
        <f>IF(A24=FALSE, 1,SUMIFS('Cashflow Projection'!$C$50:$C$62, 'Cashflow Projection'!$B$33:$B$45, 'Updated Construction'!G24))</f>
        <v>1</v>
      </c>
      <c r="D24" t="b">
        <v>0</v>
      </c>
      <c r="E24" s="7">
        <v>45688</v>
      </c>
      <c r="F24">
        <v>0</v>
      </c>
      <c r="G24" t="s">
        <v>569</v>
      </c>
      <c r="H24" s="7">
        <v>45747</v>
      </c>
    </row>
    <row r="25" spans="1:8" x14ac:dyDescent="0.2">
      <c r="A25" t="b">
        <v>0</v>
      </c>
      <c r="B25" t="s">
        <v>954</v>
      </c>
      <c r="C25">
        <f>IF(A25=FALSE, 1,SUMIFS('Cashflow Projection'!$C$50:$C$62, 'Cashflow Projection'!$B$33:$B$45, 'Updated Construction'!G25))</f>
        <v>1</v>
      </c>
      <c r="D25" t="b">
        <v>1</v>
      </c>
      <c r="E25" s="7">
        <v>45382</v>
      </c>
      <c r="F25">
        <v>2209.08</v>
      </c>
      <c r="G25" t="s">
        <v>598</v>
      </c>
      <c r="H25" s="7">
        <v>45443</v>
      </c>
    </row>
    <row r="26" spans="1:8" x14ac:dyDescent="0.2">
      <c r="A26" t="b">
        <v>0</v>
      </c>
      <c r="B26" t="s">
        <v>954</v>
      </c>
      <c r="C26">
        <f>IF(A26=FALSE, 1,SUMIFS('Cashflow Projection'!$C$50:$C$62, 'Cashflow Projection'!$B$33:$B$45, 'Updated Construction'!G26))</f>
        <v>1</v>
      </c>
      <c r="D26" t="b">
        <v>0</v>
      </c>
      <c r="E26" s="7">
        <v>45412</v>
      </c>
      <c r="F26">
        <v>73846.8</v>
      </c>
      <c r="G26" t="s">
        <v>598</v>
      </c>
      <c r="H26" s="7">
        <v>45443</v>
      </c>
    </row>
    <row r="27" spans="1:8" x14ac:dyDescent="0.2">
      <c r="A27" t="b">
        <v>0</v>
      </c>
      <c r="B27" t="s">
        <v>954</v>
      </c>
      <c r="C27">
        <f>IF(A27=FALSE, 1,SUMIFS('Cashflow Projection'!$C$50:$C$62, 'Cashflow Projection'!$B$33:$B$45, 'Updated Construction'!G27))</f>
        <v>1</v>
      </c>
      <c r="D27" t="b">
        <v>0</v>
      </c>
      <c r="E27" s="7">
        <v>45442</v>
      </c>
      <c r="F27">
        <v>0</v>
      </c>
      <c r="G27" t="s">
        <v>598</v>
      </c>
      <c r="H27" s="7">
        <v>45504</v>
      </c>
    </row>
    <row r="28" spans="1:8" x14ac:dyDescent="0.2">
      <c r="A28" t="b">
        <v>0</v>
      </c>
      <c r="B28" t="s">
        <v>954</v>
      </c>
      <c r="C28">
        <f>IF(A28=FALSE, 1,SUMIFS('Cashflow Projection'!$C$50:$C$62, 'Cashflow Projection'!$B$33:$B$45, 'Updated Construction'!G28))</f>
        <v>1</v>
      </c>
      <c r="D28" t="b">
        <v>0</v>
      </c>
      <c r="E28" s="7">
        <v>45472</v>
      </c>
      <c r="F28">
        <v>0</v>
      </c>
      <c r="G28" t="s">
        <v>598</v>
      </c>
      <c r="H28" s="7">
        <v>45504</v>
      </c>
    </row>
    <row r="29" spans="1:8" x14ac:dyDescent="0.2">
      <c r="A29" t="b">
        <v>0</v>
      </c>
      <c r="B29" t="s">
        <v>954</v>
      </c>
      <c r="C29">
        <f>IF(A29=FALSE, 1,SUMIFS('Cashflow Projection'!$C$50:$C$62, 'Cashflow Projection'!$B$33:$B$45, 'Updated Construction'!G29))</f>
        <v>1</v>
      </c>
      <c r="D29" t="b">
        <v>0</v>
      </c>
      <c r="E29" s="7">
        <v>45502</v>
      </c>
      <c r="F29">
        <v>0</v>
      </c>
      <c r="G29" t="s">
        <v>598</v>
      </c>
      <c r="H29" s="7">
        <v>45565</v>
      </c>
    </row>
    <row r="30" spans="1:8" x14ac:dyDescent="0.2">
      <c r="A30" t="b">
        <v>0</v>
      </c>
      <c r="B30" t="s">
        <v>954</v>
      </c>
      <c r="C30">
        <f>IF(A30=FALSE, 1,SUMIFS('Cashflow Projection'!$C$50:$C$62, 'Cashflow Projection'!$B$33:$B$45, 'Updated Construction'!G30))</f>
        <v>1</v>
      </c>
      <c r="D30" t="b">
        <v>0</v>
      </c>
      <c r="E30" s="7">
        <v>45532</v>
      </c>
      <c r="F30">
        <v>0</v>
      </c>
      <c r="G30" t="s">
        <v>598</v>
      </c>
      <c r="H30" s="7">
        <v>45565</v>
      </c>
    </row>
    <row r="31" spans="1:8" x14ac:dyDescent="0.2">
      <c r="A31" t="b">
        <v>0</v>
      </c>
      <c r="B31" t="s">
        <v>954</v>
      </c>
      <c r="C31">
        <f>IF(A31=FALSE, 1,SUMIFS('Cashflow Projection'!$C$50:$C$62, 'Cashflow Projection'!$B$33:$B$45, 'Updated Construction'!G31))</f>
        <v>1</v>
      </c>
      <c r="D31" t="b">
        <v>0</v>
      </c>
      <c r="E31" s="7">
        <v>45562</v>
      </c>
      <c r="F31">
        <v>0</v>
      </c>
      <c r="G31" t="s">
        <v>598</v>
      </c>
      <c r="H31" s="7">
        <v>45626</v>
      </c>
    </row>
    <row r="32" spans="1:8" x14ac:dyDescent="0.2">
      <c r="A32" t="b">
        <v>0</v>
      </c>
      <c r="B32" t="s">
        <v>954</v>
      </c>
      <c r="C32">
        <f>IF(A32=FALSE, 1,SUMIFS('Cashflow Projection'!$C$50:$C$62, 'Cashflow Projection'!$B$33:$B$45, 'Updated Construction'!G32))</f>
        <v>1</v>
      </c>
      <c r="D32" t="b">
        <v>0</v>
      </c>
      <c r="E32" s="7">
        <v>45596</v>
      </c>
      <c r="F32">
        <v>0</v>
      </c>
      <c r="G32" t="s">
        <v>598</v>
      </c>
      <c r="H32" s="7">
        <v>45626</v>
      </c>
    </row>
    <row r="33" spans="1:8" x14ac:dyDescent="0.2">
      <c r="A33" t="b">
        <v>0</v>
      </c>
      <c r="B33" t="s">
        <v>954</v>
      </c>
      <c r="C33">
        <f>IF(A33=FALSE, 1,SUMIFS('Cashflow Projection'!$C$50:$C$62, 'Cashflow Projection'!$B$33:$B$45, 'Updated Construction'!G33))</f>
        <v>1</v>
      </c>
      <c r="D33" t="b">
        <v>0</v>
      </c>
      <c r="E33" s="7">
        <v>45626</v>
      </c>
      <c r="F33">
        <v>0</v>
      </c>
      <c r="G33" t="s">
        <v>598</v>
      </c>
      <c r="H33" s="7">
        <v>45688</v>
      </c>
    </row>
    <row r="34" spans="1:8" x14ac:dyDescent="0.2">
      <c r="A34" t="b">
        <v>0</v>
      </c>
      <c r="B34" t="s">
        <v>954</v>
      </c>
      <c r="C34">
        <f>IF(A34=FALSE, 1,SUMIFS('Cashflow Projection'!$C$50:$C$62, 'Cashflow Projection'!$B$33:$B$45, 'Updated Construction'!G34))</f>
        <v>1</v>
      </c>
      <c r="D34" t="b">
        <v>0</v>
      </c>
      <c r="E34" s="7">
        <v>45657</v>
      </c>
      <c r="F34">
        <v>0</v>
      </c>
      <c r="G34" t="s">
        <v>598</v>
      </c>
      <c r="H34" s="7">
        <v>45688</v>
      </c>
    </row>
    <row r="35" spans="1:8" x14ac:dyDescent="0.2">
      <c r="A35" t="b">
        <v>0</v>
      </c>
      <c r="B35" t="s">
        <v>954</v>
      </c>
      <c r="C35">
        <f>IF(A35=FALSE, 1,SUMIFS('Cashflow Projection'!$C$50:$C$62, 'Cashflow Projection'!$B$33:$B$45, 'Updated Construction'!G35))</f>
        <v>1</v>
      </c>
      <c r="D35" t="b">
        <v>0</v>
      </c>
      <c r="E35" s="7">
        <v>45688</v>
      </c>
      <c r="F35">
        <v>0</v>
      </c>
      <c r="G35" t="s">
        <v>598</v>
      </c>
      <c r="H35" s="7">
        <v>45747</v>
      </c>
    </row>
    <row r="36" spans="1:8" x14ac:dyDescent="0.2">
      <c r="A36" t="b">
        <v>0</v>
      </c>
      <c r="B36" t="s">
        <v>955</v>
      </c>
      <c r="C36">
        <f>IF(A36=FALSE, 1,SUMIFS('Cashflow Projection'!$C$50:$C$62, 'Cashflow Projection'!$B$33:$B$45, 'Updated Construction'!G36))</f>
        <v>1</v>
      </c>
      <c r="D36" t="b">
        <v>1</v>
      </c>
      <c r="E36" s="7">
        <v>45382</v>
      </c>
      <c r="F36">
        <v>594000.4</v>
      </c>
      <c r="G36" t="s">
        <v>628</v>
      </c>
      <c r="H36" s="7">
        <v>45443</v>
      </c>
    </row>
    <row r="37" spans="1:8" x14ac:dyDescent="0.2">
      <c r="A37" t="b">
        <v>0</v>
      </c>
      <c r="B37" t="s">
        <v>955</v>
      </c>
      <c r="C37">
        <f>IF(A37=FALSE, 1,SUMIFS('Cashflow Projection'!$C$50:$C$62, 'Cashflow Projection'!$B$33:$B$45, 'Updated Construction'!G37))</f>
        <v>1</v>
      </c>
      <c r="D37" t="b">
        <v>0</v>
      </c>
      <c r="E37" s="7">
        <v>45412</v>
      </c>
      <c r="F37">
        <v>455163.93</v>
      </c>
      <c r="G37" t="s">
        <v>628</v>
      </c>
      <c r="H37" s="7">
        <v>45443</v>
      </c>
    </row>
    <row r="38" spans="1:8" x14ac:dyDescent="0.2">
      <c r="A38" t="b">
        <v>0</v>
      </c>
      <c r="B38" t="s">
        <v>955</v>
      </c>
      <c r="C38">
        <f>IF(A38=FALSE, 1,SUMIFS('Cashflow Projection'!$C$50:$C$62, 'Cashflow Projection'!$B$33:$B$45, 'Updated Construction'!G38))</f>
        <v>1</v>
      </c>
      <c r="D38" t="b">
        <v>0</v>
      </c>
      <c r="E38" s="7">
        <v>45442</v>
      </c>
      <c r="F38">
        <v>384845.93</v>
      </c>
      <c r="G38" t="s">
        <v>628</v>
      </c>
      <c r="H38" s="7">
        <v>45504</v>
      </c>
    </row>
    <row r="39" spans="1:8" x14ac:dyDescent="0.2">
      <c r="A39" t="b">
        <v>0</v>
      </c>
      <c r="B39" t="s">
        <v>955</v>
      </c>
      <c r="C39">
        <f>IF(A39=FALSE, 1,SUMIFS('Cashflow Projection'!$C$50:$C$62, 'Cashflow Projection'!$B$33:$B$45, 'Updated Construction'!G39))</f>
        <v>1</v>
      </c>
      <c r="D39" t="b">
        <v>0</v>
      </c>
      <c r="E39" s="7">
        <v>45472</v>
      </c>
      <c r="F39">
        <v>648973.56999999995</v>
      </c>
      <c r="G39" t="s">
        <v>628</v>
      </c>
      <c r="H39" s="7">
        <v>45504</v>
      </c>
    </row>
    <row r="40" spans="1:8" x14ac:dyDescent="0.2">
      <c r="A40" t="b">
        <v>0</v>
      </c>
      <c r="B40" t="s">
        <v>955</v>
      </c>
      <c r="C40">
        <f>IF(A40=FALSE, 1,SUMIFS('Cashflow Projection'!$C$50:$C$62, 'Cashflow Projection'!$B$33:$B$45, 'Updated Construction'!G40))</f>
        <v>1</v>
      </c>
      <c r="D40" t="b">
        <v>0</v>
      </c>
      <c r="E40" s="7">
        <v>45502</v>
      </c>
      <c r="F40">
        <v>185081.48</v>
      </c>
      <c r="G40" t="s">
        <v>628</v>
      </c>
      <c r="H40" s="7">
        <v>45565</v>
      </c>
    </row>
    <row r="41" spans="1:8" x14ac:dyDescent="0.2">
      <c r="A41" t="b">
        <v>0</v>
      </c>
      <c r="B41" t="s">
        <v>955</v>
      </c>
      <c r="C41">
        <f>IF(A41=FALSE, 1,SUMIFS('Cashflow Projection'!$C$50:$C$62, 'Cashflow Projection'!$B$33:$B$45, 'Updated Construction'!G41))</f>
        <v>1</v>
      </c>
      <c r="D41" t="b">
        <v>0</v>
      </c>
      <c r="E41" s="7">
        <v>45532</v>
      </c>
      <c r="F41">
        <v>144600.68</v>
      </c>
      <c r="G41" t="s">
        <v>628</v>
      </c>
      <c r="H41" s="7">
        <v>45565</v>
      </c>
    </row>
    <row r="42" spans="1:8" x14ac:dyDescent="0.2">
      <c r="A42" t="b">
        <v>0</v>
      </c>
      <c r="B42" t="s">
        <v>955</v>
      </c>
      <c r="C42">
        <f>IF(A42=FALSE, 1,SUMIFS('Cashflow Projection'!$C$50:$C$62, 'Cashflow Projection'!$B$33:$B$45, 'Updated Construction'!G42))</f>
        <v>1</v>
      </c>
      <c r="D42" t="b">
        <v>0</v>
      </c>
      <c r="E42" s="7">
        <v>45562</v>
      </c>
      <c r="F42">
        <v>30480.799999999999</v>
      </c>
      <c r="G42" t="s">
        <v>628</v>
      </c>
      <c r="H42" s="7">
        <v>45626</v>
      </c>
    </row>
    <row r="43" spans="1:8" x14ac:dyDescent="0.2">
      <c r="A43" t="b">
        <v>0</v>
      </c>
      <c r="B43" t="s">
        <v>955</v>
      </c>
      <c r="C43">
        <f>IF(A43=FALSE, 1,SUMIFS('Cashflow Projection'!$C$50:$C$62, 'Cashflow Projection'!$B$33:$B$45, 'Updated Construction'!G43))</f>
        <v>1</v>
      </c>
      <c r="D43" t="b">
        <v>0</v>
      </c>
      <c r="E43" s="7">
        <v>45596</v>
      </c>
      <c r="F43">
        <v>0</v>
      </c>
      <c r="G43" t="s">
        <v>628</v>
      </c>
      <c r="H43" s="7">
        <v>45626</v>
      </c>
    </row>
    <row r="44" spans="1:8" x14ac:dyDescent="0.2">
      <c r="A44" t="b">
        <v>0</v>
      </c>
      <c r="B44" t="s">
        <v>955</v>
      </c>
      <c r="C44">
        <f>IF(A44=FALSE, 1,SUMIFS('Cashflow Projection'!$C$50:$C$62, 'Cashflow Projection'!$B$33:$B$45, 'Updated Construction'!G44))</f>
        <v>1</v>
      </c>
      <c r="D44" t="b">
        <v>0</v>
      </c>
      <c r="E44" s="7">
        <v>45626</v>
      </c>
      <c r="F44">
        <v>0</v>
      </c>
      <c r="G44" t="s">
        <v>628</v>
      </c>
      <c r="H44" s="7">
        <v>45688</v>
      </c>
    </row>
    <row r="45" spans="1:8" x14ac:dyDescent="0.2">
      <c r="A45" t="b">
        <v>0</v>
      </c>
      <c r="B45" t="s">
        <v>955</v>
      </c>
      <c r="C45">
        <f>IF(A45=FALSE, 1,SUMIFS('Cashflow Projection'!$C$50:$C$62, 'Cashflow Projection'!$B$33:$B$45, 'Updated Construction'!G45))</f>
        <v>1</v>
      </c>
      <c r="D45" t="b">
        <v>0</v>
      </c>
      <c r="E45" s="7">
        <v>45657</v>
      </c>
      <c r="F45">
        <v>109446.76</v>
      </c>
      <c r="G45" t="s">
        <v>628</v>
      </c>
      <c r="H45" s="7">
        <v>45688</v>
      </c>
    </row>
    <row r="46" spans="1:8" x14ac:dyDescent="0.2">
      <c r="A46" t="b">
        <v>0</v>
      </c>
      <c r="B46" t="s">
        <v>955</v>
      </c>
      <c r="C46">
        <f>IF(A46=FALSE, 1,SUMIFS('Cashflow Projection'!$C$50:$C$62, 'Cashflow Projection'!$B$33:$B$45, 'Updated Construction'!G46))</f>
        <v>1</v>
      </c>
      <c r="D46" t="b">
        <v>0</v>
      </c>
      <c r="E46" s="7">
        <v>45688</v>
      </c>
      <c r="F46">
        <v>0</v>
      </c>
      <c r="G46" t="s">
        <v>628</v>
      </c>
      <c r="H46" s="7">
        <v>45747</v>
      </c>
    </row>
    <row r="47" spans="1:8" x14ac:dyDescent="0.2">
      <c r="A47" t="b">
        <v>0</v>
      </c>
      <c r="B47" t="s">
        <v>956</v>
      </c>
      <c r="C47">
        <f>IF(A47=FALSE, 1,SUMIFS('Cashflow Projection'!$C$50:$C$62, 'Cashflow Projection'!$B$33:$B$45, 'Updated Construction'!G47))</f>
        <v>1</v>
      </c>
      <c r="D47" t="b">
        <v>1</v>
      </c>
      <c r="E47" s="7">
        <v>45382</v>
      </c>
      <c r="F47">
        <v>459533.98</v>
      </c>
      <c r="G47" t="s">
        <v>675</v>
      </c>
      <c r="H47" s="7">
        <v>45443</v>
      </c>
    </row>
    <row r="48" spans="1:8" x14ac:dyDescent="0.2">
      <c r="A48" t="b">
        <v>0</v>
      </c>
      <c r="B48" t="s">
        <v>956</v>
      </c>
      <c r="C48">
        <f>IF(A48=FALSE, 1,SUMIFS('Cashflow Projection'!$C$50:$C$62, 'Cashflow Projection'!$B$33:$B$45, 'Updated Construction'!G48))</f>
        <v>1</v>
      </c>
      <c r="D48" t="b">
        <v>0</v>
      </c>
      <c r="E48" s="7">
        <v>45412</v>
      </c>
      <c r="F48">
        <v>863067.81</v>
      </c>
      <c r="G48" t="s">
        <v>675</v>
      </c>
      <c r="H48" s="7">
        <v>45443</v>
      </c>
    </row>
    <row r="49" spans="1:8" x14ac:dyDescent="0.2">
      <c r="A49" t="b">
        <v>0</v>
      </c>
      <c r="B49" t="s">
        <v>956</v>
      </c>
      <c r="C49">
        <f>IF(A49=FALSE, 1,SUMIFS('Cashflow Projection'!$C$50:$C$62, 'Cashflow Projection'!$B$33:$B$45, 'Updated Construction'!G49))</f>
        <v>1</v>
      </c>
      <c r="D49" t="b">
        <v>0</v>
      </c>
      <c r="E49" s="7">
        <v>45442</v>
      </c>
      <c r="F49">
        <v>1038427.38</v>
      </c>
      <c r="G49" t="s">
        <v>675</v>
      </c>
      <c r="H49" s="7">
        <v>45504</v>
      </c>
    </row>
    <row r="50" spans="1:8" x14ac:dyDescent="0.2">
      <c r="A50" t="b">
        <v>0</v>
      </c>
      <c r="B50" t="s">
        <v>956</v>
      </c>
      <c r="C50">
        <f>IF(A50=FALSE, 1,SUMIFS('Cashflow Projection'!$C$50:$C$62, 'Cashflow Projection'!$B$33:$B$45, 'Updated Construction'!G50))</f>
        <v>1</v>
      </c>
      <c r="D50" t="b">
        <v>0</v>
      </c>
      <c r="E50" s="7">
        <v>45472</v>
      </c>
      <c r="F50">
        <v>612369.1</v>
      </c>
      <c r="G50" t="s">
        <v>675</v>
      </c>
      <c r="H50" s="7">
        <v>45504</v>
      </c>
    </row>
    <row r="51" spans="1:8" x14ac:dyDescent="0.2">
      <c r="A51" t="b">
        <v>0</v>
      </c>
      <c r="B51" t="s">
        <v>956</v>
      </c>
      <c r="C51">
        <f>IF(A51=FALSE, 1,SUMIFS('Cashflow Projection'!$C$50:$C$62, 'Cashflow Projection'!$B$33:$B$45, 'Updated Construction'!G51))</f>
        <v>1</v>
      </c>
      <c r="D51" t="b">
        <v>0</v>
      </c>
      <c r="E51" s="7">
        <v>45502</v>
      </c>
      <c r="F51">
        <v>258064.17</v>
      </c>
      <c r="G51" t="s">
        <v>675</v>
      </c>
      <c r="H51" s="7">
        <v>45565</v>
      </c>
    </row>
    <row r="52" spans="1:8" x14ac:dyDescent="0.2">
      <c r="A52" t="b">
        <v>0</v>
      </c>
      <c r="B52" t="s">
        <v>956</v>
      </c>
      <c r="C52">
        <f>IF(A52=FALSE, 1,SUMIFS('Cashflow Projection'!$C$50:$C$62, 'Cashflow Projection'!$B$33:$B$45, 'Updated Construction'!G52))</f>
        <v>1</v>
      </c>
      <c r="D52" t="b">
        <v>0</v>
      </c>
      <c r="E52" s="7">
        <v>45532</v>
      </c>
      <c r="F52">
        <v>153345.57999999999</v>
      </c>
      <c r="G52" t="s">
        <v>675</v>
      </c>
      <c r="H52" s="7">
        <v>45565</v>
      </c>
    </row>
    <row r="53" spans="1:8" x14ac:dyDescent="0.2">
      <c r="A53" t="b">
        <v>0</v>
      </c>
      <c r="B53" t="s">
        <v>956</v>
      </c>
      <c r="C53">
        <f>IF(A53=FALSE, 1,SUMIFS('Cashflow Projection'!$C$50:$C$62, 'Cashflow Projection'!$B$33:$B$45, 'Updated Construction'!G53))</f>
        <v>1</v>
      </c>
      <c r="D53" t="b">
        <v>0</v>
      </c>
      <c r="E53" s="7">
        <v>45562</v>
      </c>
      <c r="F53">
        <v>259298.14</v>
      </c>
      <c r="G53" t="s">
        <v>675</v>
      </c>
      <c r="H53" s="7">
        <v>45626</v>
      </c>
    </row>
    <row r="54" spans="1:8" x14ac:dyDescent="0.2">
      <c r="A54" t="b">
        <v>0</v>
      </c>
      <c r="B54" t="s">
        <v>956</v>
      </c>
      <c r="C54">
        <f>IF(A54=FALSE, 1,SUMIFS('Cashflow Projection'!$C$50:$C$62, 'Cashflow Projection'!$B$33:$B$45, 'Updated Construction'!G54))</f>
        <v>1</v>
      </c>
      <c r="D54" t="b">
        <v>0</v>
      </c>
      <c r="E54" s="7">
        <v>45596</v>
      </c>
      <c r="F54">
        <v>14434.88</v>
      </c>
      <c r="G54" t="s">
        <v>675</v>
      </c>
      <c r="H54" s="7">
        <v>45626</v>
      </c>
    </row>
    <row r="55" spans="1:8" x14ac:dyDescent="0.2">
      <c r="A55" t="b">
        <v>0</v>
      </c>
      <c r="B55" t="s">
        <v>956</v>
      </c>
      <c r="C55">
        <f>IF(A55=FALSE, 1,SUMIFS('Cashflow Projection'!$C$50:$C$62, 'Cashflow Projection'!$B$33:$B$45, 'Updated Construction'!G55))</f>
        <v>1</v>
      </c>
      <c r="D55" t="b">
        <v>0</v>
      </c>
      <c r="E55" s="7">
        <v>45626</v>
      </c>
      <c r="F55">
        <v>0</v>
      </c>
      <c r="G55" t="s">
        <v>675</v>
      </c>
      <c r="H55" s="7">
        <v>45688</v>
      </c>
    </row>
    <row r="56" spans="1:8" x14ac:dyDescent="0.2">
      <c r="A56" t="b">
        <v>0</v>
      </c>
      <c r="B56" t="s">
        <v>956</v>
      </c>
      <c r="C56">
        <f>IF(A56=FALSE, 1,SUMIFS('Cashflow Projection'!$C$50:$C$62, 'Cashflow Projection'!$B$33:$B$45, 'Updated Construction'!G56))</f>
        <v>1</v>
      </c>
      <c r="D56" t="b">
        <v>0</v>
      </c>
      <c r="E56" s="7">
        <v>45657</v>
      </c>
      <c r="F56">
        <v>0</v>
      </c>
      <c r="G56" t="s">
        <v>675</v>
      </c>
      <c r="H56" s="7">
        <v>45688</v>
      </c>
    </row>
    <row r="57" spans="1:8" x14ac:dyDescent="0.2">
      <c r="A57" t="b">
        <v>0</v>
      </c>
      <c r="B57" t="s">
        <v>956</v>
      </c>
      <c r="C57">
        <f>IF(A57=FALSE, 1,SUMIFS('Cashflow Projection'!$C$50:$C$62, 'Cashflow Projection'!$B$33:$B$45, 'Updated Construction'!G57))</f>
        <v>1</v>
      </c>
      <c r="D57" t="b">
        <v>0</v>
      </c>
      <c r="E57" s="7">
        <v>45688</v>
      </c>
      <c r="F57">
        <v>0</v>
      </c>
      <c r="G57" t="s">
        <v>675</v>
      </c>
      <c r="H57" s="7">
        <v>45747</v>
      </c>
    </row>
    <row r="58" spans="1:8" x14ac:dyDescent="0.2">
      <c r="A58" t="b">
        <v>0</v>
      </c>
      <c r="B58" t="s">
        <v>957</v>
      </c>
      <c r="C58">
        <f>IF(A58=FALSE, 1,SUMIFS('Cashflow Projection'!$C$50:$C$62, 'Cashflow Projection'!$B$33:$B$45, 'Updated Construction'!G58))</f>
        <v>1</v>
      </c>
      <c r="D58" t="b">
        <v>1</v>
      </c>
      <c r="E58" s="7">
        <v>45382</v>
      </c>
      <c r="F58">
        <v>461398.07</v>
      </c>
      <c r="G58" t="s">
        <v>684</v>
      </c>
      <c r="H58" s="7">
        <v>45443</v>
      </c>
    </row>
    <row r="59" spans="1:8" x14ac:dyDescent="0.2">
      <c r="A59" t="b">
        <v>0</v>
      </c>
      <c r="B59" t="s">
        <v>957</v>
      </c>
      <c r="C59">
        <f>IF(A59=FALSE, 1,SUMIFS('Cashflow Projection'!$C$50:$C$62, 'Cashflow Projection'!$B$33:$B$45, 'Updated Construction'!G59))</f>
        <v>1</v>
      </c>
      <c r="D59" t="b">
        <v>0</v>
      </c>
      <c r="E59" s="7">
        <v>45412</v>
      </c>
      <c r="F59">
        <v>426849.97</v>
      </c>
      <c r="G59" t="s">
        <v>684</v>
      </c>
      <c r="H59" s="7">
        <v>45443</v>
      </c>
    </row>
    <row r="60" spans="1:8" x14ac:dyDescent="0.2">
      <c r="A60" t="b">
        <v>0</v>
      </c>
      <c r="B60" t="s">
        <v>957</v>
      </c>
      <c r="C60">
        <f>IF(A60=FALSE, 1,SUMIFS('Cashflow Projection'!$C$50:$C$62, 'Cashflow Projection'!$B$33:$B$45, 'Updated Construction'!G60))</f>
        <v>1</v>
      </c>
      <c r="D60" t="b">
        <v>0</v>
      </c>
      <c r="E60" s="7">
        <v>45442</v>
      </c>
      <c r="F60">
        <v>331620.38</v>
      </c>
      <c r="G60" t="s">
        <v>684</v>
      </c>
      <c r="H60" s="7">
        <v>45504</v>
      </c>
    </row>
    <row r="61" spans="1:8" x14ac:dyDescent="0.2">
      <c r="A61" t="b">
        <v>0</v>
      </c>
      <c r="B61" t="s">
        <v>957</v>
      </c>
      <c r="C61">
        <f>IF(A61=FALSE, 1,SUMIFS('Cashflow Projection'!$C$50:$C$62, 'Cashflow Projection'!$B$33:$B$45, 'Updated Construction'!G61))</f>
        <v>1</v>
      </c>
      <c r="D61" t="b">
        <v>0</v>
      </c>
      <c r="E61" s="7">
        <v>45472</v>
      </c>
      <c r="F61">
        <v>149954.26999999999</v>
      </c>
      <c r="G61" t="s">
        <v>684</v>
      </c>
      <c r="H61" s="7">
        <v>45504</v>
      </c>
    </row>
    <row r="62" spans="1:8" x14ac:dyDescent="0.2">
      <c r="A62" t="b">
        <v>0</v>
      </c>
      <c r="B62" t="s">
        <v>957</v>
      </c>
      <c r="C62">
        <f>IF(A62=FALSE, 1,SUMIFS('Cashflow Projection'!$C$50:$C$62, 'Cashflow Projection'!$B$33:$B$45, 'Updated Construction'!G62))</f>
        <v>1</v>
      </c>
      <c r="D62" t="b">
        <v>0</v>
      </c>
      <c r="E62" s="7">
        <v>45502</v>
      </c>
      <c r="F62">
        <v>113353.39</v>
      </c>
      <c r="G62" t="s">
        <v>684</v>
      </c>
      <c r="H62" s="7">
        <v>45565</v>
      </c>
    </row>
    <row r="63" spans="1:8" x14ac:dyDescent="0.2">
      <c r="A63" t="b">
        <v>0</v>
      </c>
      <c r="B63" t="s">
        <v>957</v>
      </c>
      <c r="C63">
        <f>IF(A63=FALSE, 1,SUMIFS('Cashflow Projection'!$C$50:$C$62, 'Cashflow Projection'!$B$33:$B$45, 'Updated Construction'!G63))</f>
        <v>1</v>
      </c>
      <c r="D63" t="b">
        <v>0</v>
      </c>
      <c r="E63" s="7">
        <v>45532</v>
      </c>
      <c r="F63">
        <v>35625</v>
      </c>
      <c r="G63" t="s">
        <v>684</v>
      </c>
      <c r="H63" s="7">
        <v>45565</v>
      </c>
    </row>
    <row r="64" spans="1:8" x14ac:dyDescent="0.2">
      <c r="A64" t="b">
        <v>0</v>
      </c>
      <c r="B64" t="s">
        <v>957</v>
      </c>
      <c r="C64">
        <f>IF(A64=FALSE, 1,SUMIFS('Cashflow Projection'!$C$50:$C$62, 'Cashflow Projection'!$B$33:$B$45, 'Updated Construction'!G64))</f>
        <v>1</v>
      </c>
      <c r="D64" t="b">
        <v>0</v>
      </c>
      <c r="E64" s="7">
        <v>45562</v>
      </c>
      <c r="F64">
        <v>0</v>
      </c>
      <c r="G64" t="s">
        <v>684</v>
      </c>
      <c r="H64" s="7">
        <v>45626</v>
      </c>
    </row>
    <row r="65" spans="1:8" x14ac:dyDescent="0.2">
      <c r="A65" t="b">
        <v>0</v>
      </c>
      <c r="B65" t="s">
        <v>957</v>
      </c>
      <c r="C65">
        <f>IF(A65=FALSE, 1,SUMIFS('Cashflow Projection'!$C$50:$C$62, 'Cashflow Projection'!$B$33:$B$45, 'Updated Construction'!G65))</f>
        <v>1</v>
      </c>
      <c r="D65" t="b">
        <v>0</v>
      </c>
      <c r="E65" s="7">
        <v>45596</v>
      </c>
      <c r="F65">
        <v>41624.660000000003</v>
      </c>
      <c r="G65" t="s">
        <v>684</v>
      </c>
      <c r="H65" s="7">
        <v>45626</v>
      </c>
    </row>
    <row r="66" spans="1:8" x14ac:dyDescent="0.2">
      <c r="A66" t="b">
        <v>0</v>
      </c>
      <c r="B66" t="s">
        <v>957</v>
      </c>
      <c r="C66">
        <f>IF(A66=FALSE, 1,SUMIFS('Cashflow Projection'!$C$50:$C$62, 'Cashflow Projection'!$B$33:$B$45, 'Updated Construction'!G66))</f>
        <v>1</v>
      </c>
      <c r="D66" t="b">
        <v>0</v>
      </c>
      <c r="E66" s="7">
        <v>45626</v>
      </c>
      <c r="F66">
        <v>0</v>
      </c>
      <c r="G66" t="s">
        <v>684</v>
      </c>
      <c r="H66" s="7">
        <v>45688</v>
      </c>
    </row>
    <row r="67" spans="1:8" x14ac:dyDescent="0.2">
      <c r="A67" t="b">
        <v>0</v>
      </c>
      <c r="B67" t="s">
        <v>957</v>
      </c>
      <c r="C67">
        <f>IF(A67=FALSE, 1,SUMIFS('Cashflow Projection'!$C$50:$C$62, 'Cashflow Projection'!$B$33:$B$45, 'Updated Construction'!G67))</f>
        <v>1</v>
      </c>
      <c r="D67" t="b">
        <v>0</v>
      </c>
      <c r="E67" s="7">
        <v>45657</v>
      </c>
      <c r="F67">
        <v>0</v>
      </c>
      <c r="G67" t="s">
        <v>684</v>
      </c>
      <c r="H67" s="7">
        <v>45688</v>
      </c>
    </row>
    <row r="68" spans="1:8" x14ac:dyDescent="0.2">
      <c r="A68" t="b">
        <v>0</v>
      </c>
      <c r="B68" t="s">
        <v>957</v>
      </c>
      <c r="C68">
        <f>IF(A68=FALSE, 1,SUMIFS('Cashflow Projection'!$C$50:$C$62, 'Cashflow Projection'!$B$33:$B$45, 'Updated Construction'!G68))</f>
        <v>1</v>
      </c>
      <c r="D68" t="b">
        <v>0</v>
      </c>
      <c r="E68" s="7">
        <v>45688</v>
      </c>
      <c r="F68">
        <v>0</v>
      </c>
      <c r="G68" t="s">
        <v>684</v>
      </c>
      <c r="H68" s="7">
        <v>45747</v>
      </c>
    </row>
    <row r="69" spans="1:8" x14ac:dyDescent="0.2">
      <c r="A69" t="b">
        <v>0</v>
      </c>
      <c r="B69" t="s">
        <v>958</v>
      </c>
      <c r="C69">
        <f>IF(A69=FALSE, 1,SUMIFS('Cashflow Projection'!$C$50:$C$62, 'Cashflow Projection'!$B$33:$B$45, 'Updated Construction'!G69))</f>
        <v>1</v>
      </c>
      <c r="D69" t="b">
        <v>1</v>
      </c>
      <c r="E69" s="7">
        <v>45382</v>
      </c>
      <c r="F69">
        <v>619987.55000000005</v>
      </c>
      <c r="G69" t="s">
        <v>711</v>
      </c>
      <c r="H69" s="7">
        <v>45443</v>
      </c>
    </row>
    <row r="70" spans="1:8" x14ac:dyDescent="0.2">
      <c r="A70" t="b">
        <v>0</v>
      </c>
      <c r="B70" t="s">
        <v>958</v>
      </c>
      <c r="C70">
        <f>IF(A70=FALSE, 1,SUMIFS('Cashflow Projection'!$C$50:$C$62, 'Cashflow Projection'!$B$33:$B$45, 'Updated Construction'!G70))</f>
        <v>1</v>
      </c>
      <c r="D70" t="b">
        <v>0</v>
      </c>
      <c r="E70" s="7">
        <v>45412</v>
      </c>
      <c r="F70">
        <v>863969.19</v>
      </c>
      <c r="G70" t="s">
        <v>711</v>
      </c>
      <c r="H70" s="7">
        <v>45443</v>
      </c>
    </row>
    <row r="71" spans="1:8" x14ac:dyDescent="0.2">
      <c r="A71" t="b">
        <v>0</v>
      </c>
      <c r="B71" t="s">
        <v>958</v>
      </c>
      <c r="C71">
        <f>IF(A71=FALSE, 1,SUMIFS('Cashflow Projection'!$C$50:$C$62, 'Cashflow Projection'!$B$33:$B$45, 'Updated Construction'!G71))</f>
        <v>1</v>
      </c>
      <c r="D71" t="b">
        <v>0</v>
      </c>
      <c r="E71" s="7">
        <v>45442</v>
      </c>
      <c r="F71">
        <v>706786.07</v>
      </c>
      <c r="G71" t="s">
        <v>711</v>
      </c>
      <c r="H71" s="7">
        <v>45504</v>
      </c>
    </row>
    <row r="72" spans="1:8" x14ac:dyDescent="0.2">
      <c r="A72" t="b">
        <v>0</v>
      </c>
      <c r="B72" t="s">
        <v>958</v>
      </c>
      <c r="C72">
        <f>IF(A72=FALSE, 1,SUMIFS('Cashflow Projection'!$C$50:$C$62, 'Cashflow Projection'!$B$33:$B$45, 'Updated Construction'!G72))</f>
        <v>1</v>
      </c>
      <c r="D72" t="b">
        <v>0</v>
      </c>
      <c r="E72" s="7">
        <v>45472</v>
      </c>
      <c r="F72">
        <v>202577.26</v>
      </c>
      <c r="G72" t="s">
        <v>711</v>
      </c>
      <c r="H72" s="7">
        <v>45504</v>
      </c>
    </row>
    <row r="73" spans="1:8" x14ac:dyDescent="0.2">
      <c r="A73" t="b">
        <v>0</v>
      </c>
      <c r="B73" t="s">
        <v>958</v>
      </c>
      <c r="C73">
        <f>IF(A73=FALSE, 1,SUMIFS('Cashflow Projection'!$C$50:$C$62, 'Cashflow Projection'!$B$33:$B$45, 'Updated Construction'!G73))</f>
        <v>1</v>
      </c>
      <c r="D73" t="b">
        <v>0</v>
      </c>
      <c r="E73" s="7">
        <v>45502</v>
      </c>
      <c r="F73">
        <v>54637.5</v>
      </c>
      <c r="G73" t="s">
        <v>711</v>
      </c>
      <c r="H73" s="7">
        <v>45565</v>
      </c>
    </row>
    <row r="74" spans="1:8" x14ac:dyDescent="0.2">
      <c r="A74" t="b">
        <v>0</v>
      </c>
      <c r="B74" t="s">
        <v>958</v>
      </c>
      <c r="C74">
        <f>IF(A74=FALSE, 1,SUMIFS('Cashflow Projection'!$C$50:$C$62, 'Cashflow Projection'!$B$33:$B$45, 'Updated Construction'!G74))</f>
        <v>1</v>
      </c>
      <c r="D74" t="b">
        <v>0</v>
      </c>
      <c r="E74" s="7">
        <v>45532</v>
      </c>
      <c r="F74">
        <v>0</v>
      </c>
      <c r="G74" t="s">
        <v>711</v>
      </c>
      <c r="H74" s="7">
        <v>45565</v>
      </c>
    </row>
    <row r="75" spans="1:8" x14ac:dyDescent="0.2">
      <c r="A75" t="b">
        <v>0</v>
      </c>
      <c r="B75" t="s">
        <v>958</v>
      </c>
      <c r="C75">
        <f>IF(A75=FALSE, 1,SUMIFS('Cashflow Projection'!$C$50:$C$62, 'Cashflow Projection'!$B$33:$B$45, 'Updated Construction'!G75))</f>
        <v>1</v>
      </c>
      <c r="D75" t="b">
        <v>0</v>
      </c>
      <c r="E75" s="7">
        <v>45562</v>
      </c>
      <c r="F75">
        <v>91889.06</v>
      </c>
      <c r="G75" t="s">
        <v>711</v>
      </c>
      <c r="H75" s="7">
        <v>45626</v>
      </c>
    </row>
    <row r="76" spans="1:8" x14ac:dyDescent="0.2">
      <c r="A76" t="b">
        <v>0</v>
      </c>
      <c r="B76" t="s">
        <v>958</v>
      </c>
      <c r="C76">
        <f>IF(A76=FALSE, 1,SUMIFS('Cashflow Projection'!$C$50:$C$62, 'Cashflow Projection'!$B$33:$B$45, 'Updated Construction'!G76))</f>
        <v>1</v>
      </c>
      <c r="D76" t="b">
        <v>0</v>
      </c>
      <c r="E76" s="7">
        <v>45596</v>
      </c>
      <c r="F76">
        <v>0</v>
      </c>
      <c r="G76" t="s">
        <v>711</v>
      </c>
      <c r="H76" s="7">
        <v>45626</v>
      </c>
    </row>
    <row r="77" spans="1:8" x14ac:dyDescent="0.2">
      <c r="A77" t="b">
        <v>0</v>
      </c>
      <c r="B77" t="s">
        <v>958</v>
      </c>
      <c r="C77">
        <f>IF(A77=FALSE, 1,SUMIFS('Cashflow Projection'!$C$50:$C$62, 'Cashflow Projection'!$B$33:$B$45, 'Updated Construction'!G77))</f>
        <v>1</v>
      </c>
      <c r="D77" t="b">
        <v>0</v>
      </c>
      <c r="E77" s="7">
        <v>45626</v>
      </c>
      <c r="F77">
        <v>0</v>
      </c>
      <c r="G77" t="s">
        <v>711</v>
      </c>
      <c r="H77" s="7">
        <v>45688</v>
      </c>
    </row>
    <row r="78" spans="1:8" x14ac:dyDescent="0.2">
      <c r="A78" t="b">
        <v>0</v>
      </c>
      <c r="B78" t="s">
        <v>958</v>
      </c>
      <c r="C78">
        <f>IF(A78=FALSE, 1,SUMIFS('Cashflow Projection'!$C$50:$C$62, 'Cashflow Projection'!$B$33:$B$45, 'Updated Construction'!G78))</f>
        <v>1</v>
      </c>
      <c r="D78" t="b">
        <v>0</v>
      </c>
      <c r="E78" s="7">
        <v>45657</v>
      </c>
      <c r="F78">
        <v>0</v>
      </c>
      <c r="G78" t="s">
        <v>711</v>
      </c>
      <c r="H78" s="7">
        <v>45688</v>
      </c>
    </row>
    <row r="79" spans="1:8" x14ac:dyDescent="0.2">
      <c r="A79" t="b">
        <v>0</v>
      </c>
      <c r="B79" t="s">
        <v>958</v>
      </c>
      <c r="C79">
        <f>IF(A79=FALSE, 1,SUMIFS('Cashflow Projection'!$C$50:$C$62, 'Cashflow Projection'!$B$33:$B$45, 'Updated Construction'!G79))</f>
        <v>1</v>
      </c>
      <c r="D79" t="b">
        <v>0</v>
      </c>
      <c r="E79" s="7">
        <v>45688</v>
      </c>
      <c r="F79">
        <v>0</v>
      </c>
      <c r="G79" t="s">
        <v>711</v>
      </c>
      <c r="H79" s="7">
        <v>45747</v>
      </c>
    </row>
    <row r="80" spans="1:8" x14ac:dyDescent="0.2">
      <c r="A80" t="b">
        <v>0</v>
      </c>
      <c r="B80" t="s">
        <v>959</v>
      </c>
      <c r="C80">
        <f>IF(A80=FALSE, 1,SUMIFS('Cashflow Projection'!$C$50:$C$62, 'Cashflow Projection'!$B$33:$B$45, 'Updated Construction'!G80))</f>
        <v>1</v>
      </c>
      <c r="D80" t="b">
        <v>1</v>
      </c>
      <c r="E80" s="7">
        <v>45382</v>
      </c>
      <c r="F80">
        <v>878526.95</v>
      </c>
      <c r="G80" t="s">
        <v>750</v>
      </c>
      <c r="H80" s="7">
        <v>45443</v>
      </c>
    </row>
    <row r="81" spans="1:8" x14ac:dyDescent="0.2">
      <c r="A81" t="b">
        <v>0</v>
      </c>
      <c r="B81" t="s">
        <v>959</v>
      </c>
      <c r="C81">
        <f>IF(A81=FALSE, 1,SUMIFS('Cashflow Projection'!$C$50:$C$62, 'Cashflow Projection'!$B$33:$B$45, 'Updated Construction'!G81))</f>
        <v>1</v>
      </c>
      <c r="D81" t="b">
        <v>0</v>
      </c>
      <c r="E81" s="7">
        <v>45412</v>
      </c>
      <c r="F81">
        <v>557104.61</v>
      </c>
      <c r="G81" t="s">
        <v>750</v>
      </c>
      <c r="H81" s="7">
        <v>45443</v>
      </c>
    </row>
    <row r="82" spans="1:8" x14ac:dyDescent="0.2">
      <c r="A82" t="b">
        <v>0</v>
      </c>
      <c r="B82" t="s">
        <v>959</v>
      </c>
      <c r="C82">
        <f>IF(A82=FALSE, 1,SUMIFS('Cashflow Projection'!$C$50:$C$62, 'Cashflow Projection'!$B$33:$B$45, 'Updated Construction'!G82))</f>
        <v>1</v>
      </c>
      <c r="D82" t="b">
        <v>0</v>
      </c>
      <c r="E82" s="7">
        <v>45442</v>
      </c>
      <c r="F82">
        <v>1227023.1100000001</v>
      </c>
      <c r="G82" t="s">
        <v>750</v>
      </c>
      <c r="H82" s="7">
        <v>45504</v>
      </c>
    </row>
    <row r="83" spans="1:8" x14ac:dyDescent="0.2">
      <c r="A83" t="b">
        <v>0</v>
      </c>
      <c r="B83" t="s">
        <v>959</v>
      </c>
      <c r="C83">
        <f>IF(A83=FALSE, 1,SUMIFS('Cashflow Projection'!$C$50:$C$62, 'Cashflow Projection'!$B$33:$B$45, 'Updated Construction'!G83))</f>
        <v>1</v>
      </c>
      <c r="D83" t="b">
        <v>0</v>
      </c>
      <c r="E83" s="7">
        <v>45472</v>
      </c>
      <c r="F83">
        <v>631410.31999999995</v>
      </c>
      <c r="G83" t="s">
        <v>750</v>
      </c>
      <c r="H83" s="7">
        <v>45504</v>
      </c>
    </row>
    <row r="84" spans="1:8" x14ac:dyDescent="0.2">
      <c r="A84" t="b">
        <v>0</v>
      </c>
      <c r="B84" t="s">
        <v>959</v>
      </c>
      <c r="C84">
        <f>IF(A84=FALSE, 1,SUMIFS('Cashflow Projection'!$C$50:$C$62, 'Cashflow Projection'!$B$33:$B$45, 'Updated Construction'!G84))</f>
        <v>1</v>
      </c>
      <c r="D84" t="b">
        <v>0</v>
      </c>
      <c r="E84" s="7">
        <v>45502</v>
      </c>
      <c r="F84">
        <v>246059.01</v>
      </c>
      <c r="G84" t="s">
        <v>750</v>
      </c>
      <c r="H84" s="7">
        <v>45565</v>
      </c>
    </row>
    <row r="85" spans="1:8" x14ac:dyDescent="0.2">
      <c r="A85" t="b">
        <v>0</v>
      </c>
      <c r="B85" t="s">
        <v>959</v>
      </c>
      <c r="C85">
        <f>IF(A85=FALSE, 1,SUMIFS('Cashflow Projection'!$C$50:$C$62, 'Cashflow Projection'!$B$33:$B$45, 'Updated Construction'!G85))</f>
        <v>1</v>
      </c>
      <c r="D85" t="b">
        <v>0</v>
      </c>
      <c r="E85" s="7">
        <v>45532</v>
      </c>
      <c r="F85">
        <v>0</v>
      </c>
      <c r="G85" t="s">
        <v>750</v>
      </c>
      <c r="H85" s="7">
        <v>45565</v>
      </c>
    </row>
    <row r="86" spans="1:8" x14ac:dyDescent="0.2">
      <c r="A86" t="b">
        <v>0</v>
      </c>
      <c r="B86" t="s">
        <v>959</v>
      </c>
      <c r="C86">
        <f>IF(A86=FALSE, 1,SUMIFS('Cashflow Projection'!$C$50:$C$62, 'Cashflow Projection'!$B$33:$B$45, 'Updated Construction'!G86))</f>
        <v>1</v>
      </c>
      <c r="D86" t="b">
        <v>0</v>
      </c>
      <c r="E86" s="7">
        <v>45562</v>
      </c>
      <c r="F86">
        <v>0</v>
      </c>
      <c r="G86" t="s">
        <v>750</v>
      </c>
      <c r="H86" s="7">
        <v>45626</v>
      </c>
    </row>
    <row r="87" spans="1:8" x14ac:dyDescent="0.2">
      <c r="A87" t="b">
        <v>0</v>
      </c>
      <c r="B87" t="s">
        <v>959</v>
      </c>
      <c r="C87">
        <f>IF(A87=FALSE, 1,SUMIFS('Cashflow Projection'!$C$50:$C$62, 'Cashflow Projection'!$B$33:$B$45, 'Updated Construction'!G87))</f>
        <v>1</v>
      </c>
      <c r="D87" t="b">
        <v>0</v>
      </c>
      <c r="E87" s="7">
        <v>45596</v>
      </c>
      <c r="F87">
        <v>239784.26</v>
      </c>
      <c r="G87" t="s">
        <v>750</v>
      </c>
      <c r="H87" s="7">
        <v>45626</v>
      </c>
    </row>
    <row r="88" spans="1:8" x14ac:dyDescent="0.2">
      <c r="A88" t="b">
        <v>0</v>
      </c>
      <c r="B88" t="s">
        <v>959</v>
      </c>
      <c r="C88">
        <f>IF(A88=FALSE, 1,SUMIFS('Cashflow Projection'!$C$50:$C$62, 'Cashflow Projection'!$B$33:$B$45, 'Updated Construction'!G88))</f>
        <v>1</v>
      </c>
      <c r="D88" t="b">
        <v>0</v>
      </c>
      <c r="E88" s="7">
        <v>45626</v>
      </c>
      <c r="F88">
        <v>0</v>
      </c>
      <c r="G88" t="s">
        <v>750</v>
      </c>
      <c r="H88" s="7">
        <v>45688</v>
      </c>
    </row>
    <row r="89" spans="1:8" x14ac:dyDescent="0.2">
      <c r="A89" t="b">
        <v>0</v>
      </c>
      <c r="B89" t="s">
        <v>959</v>
      </c>
      <c r="C89">
        <f>IF(A89=FALSE, 1,SUMIFS('Cashflow Projection'!$C$50:$C$62, 'Cashflow Projection'!$B$33:$B$45, 'Updated Construction'!G89))</f>
        <v>1</v>
      </c>
      <c r="D89" t="b">
        <v>0</v>
      </c>
      <c r="E89" s="7">
        <v>45657</v>
      </c>
      <c r="F89">
        <v>0</v>
      </c>
      <c r="G89" t="s">
        <v>750</v>
      </c>
      <c r="H89" s="7">
        <v>45688</v>
      </c>
    </row>
    <row r="90" spans="1:8" x14ac:dyDescent="0.2">
      <c r="A90" t="b">
        <v>0</v>
      </c>
      <c r="B90" t="s">
        <v>959</v>
      </c>
      <c r="C90">
        <f>IF(A90=FALSE, 1,SUMIFS('Cashflow Projection'!$C$50:$C$62, 'Cashflow Projection'!$B$33:$B$45, 'Updated Construction'!G90))</f>
        <v>1</v>
      </c>
      <c r="D90" t="b">
        <v>0</v>
      </c>
      <c r="E90" s="7">
        <v>45688</v>
      </c>
      <c r="F90">
        <v>0</v>
      </c>
      <c r="G90" t="s">
        <v>750</v>
      </c>
      <c r="H90" s="7">
        <v>45747</v>
      </c>
    </row>
    <row r="91" spans="1:8" x14ac:dyDescent="0.2">
      <c r="A91" t="b">
        <v>0</v>
      </c>
      <c r="B91" t="s">
        <v>960</v>
      </c>
      <c r="C91">
        <f>IF(A91=FALSE, 1,SUMIFS('Cashflow Projection'!$C$50:$C$62, 'Cashflow Projection'!$B$33:$B$45, 'Updated Construction'!G91))</f>
        <v>1</v>
      </c>
      <c r="D91" t="b">
        <v>1</v>
      </c>
      <c r="E91" s="7">
        <v>45382</v>
      </c>
      <c r="F91">
        <v>433899.53</v>
      </c>
      <c r="G91" t="s">
        <v>790</v>
      </c>
      <c r="H91" s="7">
        <v>45443</v>
      </c>
    </row>
    <row r="92" spans="1:8" x14ac:dyDescent="0.2">
      <c r="A92" t="b">
        <v>0</v>
      </c>
      <c r="B92" t="s">
        <v>960</v>
      </c>
      <c r="C92">
        <f>IF(A92=FALSE, 1,SUMIFS('Cashflow Projection'!$C$50:$C$62, 'Cashflow Projection'!$B$33:$B$45, 'Updated Construction'!G92))</f>
        <v>1</v>
      </c>
      <c r="D92" t="b">
        <v>0</v>
      </c>
      <c r="E92" s="7">
        <v>45412</v>
      </c>
      <c r="F92">
        <v>164572.82999999999</v>
      </c>
      <c r="G92" t="s">
        <v>790</v>
      </c>
      <c r="H92" s="7">
        <v>45443</v>
      </c>
    </row>
    <row r="93" spans="1:8" x14ac:dyDescent="0.2">
      <c r="A93" t="b">
        <v>0</v>
      </c>
      <c r="B93" t="s">
        <v>960</v>
      </c>
      <c r="C93">
        <f>IF(A93=FALSE, 1,SUMIFS('Cashflow Projection'!$C$50:$C$62, 'Cashflow Projection'!$B$33:$B$45, 'Updated Construction'!G93))</f>
        <v>1</v>
      </c>
      <c r="D93" t="b">
        <v>0</v>
      </c>
      <c r="E93" s="7">
        <v>45442</v>
      </c>
      <c r="F93">
        <v>215187.77</v>
      </c>
      <c r="G93" t="s">
        <v>790</v>
      </c>
      <c r="H93" s="7">
        <v>45504</v>
      </c>
    </row>
    <row r="94" spans="1:8" x14ac:dyDescent="0.2">
      <c r="A94" t="b">
        <v>0</v>
      </c>
      <c r="B94" t="s">
        <v>960</v>
      </c>
      <c r="C94">
        <f>IF(A94=FALSE, 1,SUMIFS('Cashflow Projection'!$C$50:$C$62, 'Cashflow Projection'!$B$33:$B$45, 'Updated Construction'!G94))</f>
        <v>1</v>
      </c>
      <c r="D94" t="b">
        <v>0</v>
      </c>
      <c r="E94" s="7">
        <v>45472</v>
      </c>
      <c r="F94">
        <v>36355.29</v>
      </c>
      <c r="G94" t="s">
        <v>790</v>
      </c>
      <c r="H94" s="7">
        <v>45504</v>
      </c>
    </row>
    <row r="95" spans="1:8" x14ac:dyDescent="0.2">
      <c r="A95" t="b">
        <v>0</v>
      </c>
      <c r="B95" t="s">
        <v>960</v>
      </c>
      <c r="C95">
        <f>IF(A95=FALSE, 1,SUMIFS('Cashflow Projection'!$C$50:$C$62, 'Cashflow Projection'!$B$33:$B$45, 'Updated Construction'!G95))</f>
        <v>1</v>
      </c>
      <c r="D95" t="b">
        <v>0</v>
      </c>
      <c r="E95" s="7">
        <v>45502</v>
      </c>
      <c r="F95">
        <v>16355.29</v>
      </c>
      <c r="G95" t="s">
        <v>790</v>
      </c>
      <c r="H95" s="7">
        <v>45565</v>
      </c>
    </row>
    <row r="96" spans="1:8" x14ac:dyDescent="0.2">
      <c r="A96" t="b">
        <v>0</v>
      </c>
      <c r="B96" t="s">
        <v>960</v>
      </c>
      <c r="C96">
        <f>IF(A96=FALSE, 1,SUMIFS('Cashflow Projection'!$C$50:$C$62, 'Cashflow Projection'!$B$33:$B$45, 'Updated Construction'!G96))</f>
        <v>1</v>
      </c>
      <c r="D96" t="b">
        <v>0</v>
      </c>
      <c r="E96" s="7">
        <v>45532</v>
      </c>
      <c r="F96">
        <v>0</v>
      </c>
      <c r="G96" t="s">
        <v>790</v>
      </c>
      <c r="H96" s="7">
        <v>45565</v>
      </c>
    </row>
    <row r="97" spans="1:8" x14ac:dyDescent="0.2">
      <c r="A97" t="b">
        <v>0</v>
      </c>
      <c r="B97" t="s">
        <v>960</v>
      </c>
      <c r="C97">
        <f>IF(A97=FALSE, 1,SUMIFS('Cashflow Projection'!$C$50:$C$62, 'Cashflow Projection'!$B$33:$B$45, 'Updated Construction'!G97))</f>
        <v>1</v>
      </c>
      <c r="D97" t="b">
        <v>0</v>
      </c>
      <c r="E97" s="7">
        <v>45562</v>
      </c>
      <c r="F97">
        <v>0</v>
      </c>
      <c r="G97" t="s">
        <v>790</v>
      </c>
      <c r="H97" s="7">
        <v>45626</v>
      </c>
    </row>
    <row r="98" spans="1:8" x14ac:dyDescent="0.2">
      <c r="A98" t="b">
        <v>0</v>
      </c>
      <c r="B98" t="s">
        <v>960</v>
      </c>
      <c r="C98">
        <f>IF(A98=FALSE, 1,SUMIFS('Cashflow Projection'!$C$50:$C$62, 'Cashflow Projection'!$B$33:$B$45, 'Updated Construction'!G98))</f>
        <v>1</v>
      </c>
      <c r="D98" t="b">
        <v>0</v>
      </c>
      <c r="E98" s="7">
        <v>45596</v>
      </c>
      <c r="F98">
        <v>92132.81</v>
      </c>
      <c r="G98" t="s">
        <v>790</v>
      </c>
      <c r="H98" s="7">
        <v>45626</v>
      </c>
    </row>
    <row r="99" spans="1:8" x14ac:dyDescent="0.2">
      <c r="A99" t="b">
        <v>0</v>
      </c>
      <c r="B99" t="s">
        <v>960</v>
      </c>
      <c r="C99">
        <f>IF(A99=FALSE, 1,SUMIFS('Cashflow Projection'!$C$50:$C$62, 'Cashflow Projection'!$B$33:$B$45, 'Updated Construction'!G99))</f>
        <v>1</v>
      </c>
      <c r="D99" t="b">
        <v>0</v>
      </c>
      <c r="E99" s="7">
        <v>45626</v>
      </c>
      <c r="F99">
        <v>0</v>
      </c>
      <c r="G99" t="s">
        <v>790</v>
      </c>
      <c r="H99" s="7">
        <v>45688</v>
      </c>
    </row>
    <row r="100" spans="1:8" x14ac:dyDescent="0.2">
      <c r="A100" t="b">
        <v>0</v>
      </c>
      <c r="B100" t="s">
        <v>960</v>
      </c>
      <c r="C100">
        <f>IF(A100=FALSE, 1,SUMIFS('Cashflow Projection'!$C$50:$C$62, 'Cashflow Projection'!$B$33:$B$45, 'Updated Construction'!G100))</f>
        <v>1</v>
      </c>
      <c r="D100" t="b">
        <v>0</v>
      </c>
      <c r="E100" s="7">
        <v>45657</v>
      </c>
      <c r="F100">
        <v>0</v>
      </c>
      <c r="G100" t="s">
        <v>790</v>
      </c>
      <c r="H100" s="7">
        <v>45688</v>
      </c>
    </row>
    <row r="101" spans="1:8" x14ac:dyDescent="0.2">
      <c r="A101" t="b">
        <v>0</v>
      </c>
      <c r="B101" t="s">
        <v>960</v>
      </c>
      <c r="C101">
        <f>IF(A101=FALSE, 1,SUMIFS('Cashflow Projection'!$C$50:$C$62, 'Cashflow Projection'!$B$33:$B$45, 'Updated Construction'!G101))</f>
        <v>1</v>
      </c>
      <c r="D101" t="b">
        <v>0</v>
      </c>
      <c r="E101" s="7">
        <v>45688</v>
      </c>
      <c r="F101">
        <v>0</v>
      </c>
      <c r="G101" t="s">
        <v>790</v>
      </c>
      <c r="H101" s="7">
        <v>45747</v>
      </c>
    </row>
    <row r="102" spans="1:8" x14ac:dyDescent="0.2">
      <c r="A102" t="b">
        <v>0</v>
      </c>
      <c r="B102" t="s">
        <v>961</v>
      </c>
      <c r="C102">
        <f>IF(A102=FALSE, 1,SUMIFS('Cashflow Projection'!$C$50:$C$62, 'Cashflow Projection'!$B$33:$B$45, 'Updated Construction'!G102))</f>
        <v>1</v>
      </c>
      <c r="D102" t="b">
        <v>1</v>
      </c>
      <c r="E102" s="7">
        <v>45382</v>
      </c>
      <c r="F102">
        <v>308159.53000000003</v>
      </c>
      <c r="G102" t="s">
        <v>811</v>
      </c>
      <c r="H102" s="7">
        <v>45443</v>
      </c>
    </row>
    <row r="103" spans="1:8" x14ac:dyDescent="0.2">
      <c r="A103" t="b">
        <v>0</v>
      </c>
      <c r="B103" t="s">
        <v>961</v>
      </c>
      <c r="C103">
        <f>IF(A103=FALSE, 1,SUMIFS('Cashflow Projection'!$C$50:$C$62, 'Cashflow Projection'!$B$33:$B$45, 'Updated Construction'!G103))</f>
        <v>1</v>
      </c>
      <c r="D103" t="b">
        <v>0</v>
      </c>
      <c r="E103" s="7">
        <v>45412</v>
      </c>
      <c r="F103">
        <v>630567.31999999995</v>
      </c>
      <c r="G103" t="s">
        <v>811</v>
      </c>
      <c r="H103" s="7">
        <v>45443</v>
      </c>
    </row>
    <row r="104" spans="1:8" x14ac:dyDescent="0.2">
      <c r="A104" t="b">
        <v>0</v>
      </c>
      <c r="B104" t="s">
        <v>961</v>
      </c>
      <c r="C104">
        <f>IF(A104=FALSE, 1,SUMIFS('Cashflow Projection'!$C$50:$C$62, 'Cashflow Projection'!$B$33:$B$45, 'Updated Construction'!G104))</f>
        <v>1</v>
      </c>
      <c r="D104" t="b">
        <v>0</v>
      </c>
      <c r="E104" s="7">
        <v>45442</v>
      </c>
      <c r="F104">
        <v>305625.25</v>
      </c>
      <c r="G104" t="s">
        <v>811</v>
      </c>
      <c r="H104" s="7">
        <v>45504</v>
      </c>
    </row>
    <row r="105" spans="1:8" x14ac:dyDescent="0.2">
      <c r="A105" t="b">
        <v>0</v>
      </c>
      <c r="B105" t="s">
        <v>961</v>
      </c>
      <c r="C105">
        <f>IF(A105=FALSE, 1,SUMIFS('Cashflow Projection'!$C$50:$C$62, 'Cashflow Projection'!$B$33:$B$45, 'Updated Construction'!G105))</f>
        <v>1</v>
      </c>
      <c r="D105" t="b">
        <v>0</v>
      </c>
      <c r="E105" s="7">
        <v>45472</v>
      </c>
      <c r="F105">
        <v>295310.24</v>
      </c>
      <c r="G105" t="s">
        <v>811</v>
      </c>
      <c r="H105" s="7">
        <v>45504</v>
      </c>
    </row>
    <row r="106" spans="1:8" x14ac:dyDescent="0.2">
      <c r="A106" t="b">
        <v>0</v>
      </c>
      <c r="B106" t="s">
        <v>961</v>
      </c>
      <c r="C106">
        <f>IF(A106=FALSE, 1,SUMIFS('Cashflow Projection'!$C$50:$C$62, 'Cashflow Projection'!$B$33:$B$45, 'Updated Construction'!G106))</f>
        <v>1</v>
      </c>
      <c r="D106" t="b">
        <v>0</v>
      </c>
      <c r="E106" s="7">
        <v>45502</v>
      </c>
      <c r="F106">
        <v>44202.26</v>
      </c>
      <c r="G106" t="s">
        <v>811</v>
      </c>
      <c r="H106" s="7">
        <v>45565</v>
      </c>
    </row>
    <row r="107" spans="1:8" x14ac:dyDescent="0.2">
      <c r="A107" t="b">
        <v>0</v>
      </c>
      <c r="B107" t="s">
        <v>961</v>
      </c>
      <c r="C107">
        <f>IF(A107=FALSE, 1,SUMIFS('Cashflow Projection'!$C$50:$C$62, 'Cashflow Projection'!$B$33:$B$45, 'Updated Construction'!G107))</f>
        <v>1</v>
      </c>
      <c r="D107" t="b">
        <v>0</v>
      </c>
      <c r="E107" s="7">
        <v>45532</v>
      </c>
      <c r="F107">
        <v>0</v>
      </c>
      <c r="G107" t="s">
        <v>811</v>
      </c>
      <c r="H107" s="7">
        <v>45565</v>
      </c>
    </row>
    <row r="108" spans="1:8" x14ac:dyDescent="0.2">
      <c r="A108" t="b">
        <v>0</v>
      </c>
      <c r="B108" t="s">
        <v>961</v>
      </c>
      <c r="C108">
        <f>IF(A108=FALSE, 1,SUMIFS('Cashflow Projection'!$C$50:$C$62, 'Cashflow Projection'!$B$33:$B$45, 'Updated Construction'!G108))</f>
        <v>1</v>
      </c>
      <c r="D108" t="b">
        <v>0</v>
      </c>
      <c r="E108" s="7">
        <v>45562</v>
      </c>
      <c r="F108">
        <v>38888.68</v>
      </c>
      <c r="G108" t="s">
        <v>811</v>
      </c>
      <c r="H108" s="7">
        <v>45626</v>
      </c>
    </row>
    <row r="109" spans="1:8" x14ac:dyDescent="0.2">
      <c r="A109" t="b">
        <v>0</v>
      </c>
      <c r="B109" t="s">
        <v>961</v>
      </c>
      <c r="C109">
        <f>IF(A109=FALSE, 1,SUMIFS('Cashflow Projection'!$C$50:$C$62, 'Cashflow Projection'!$B$33:$B$45, 'Updated Construction'!G109))</f>
        <v>1</v>
      </c>
      <c r="D109" t="b">
        <v>0</v>
      </c>
      <c r="E109" s="7">
        <v>45596</v>
      </c>
      <c r="F109">
        <v>0</v>
      </c>
      <c r="G109" t="s">
        <v>811</v>
      </c>
      <c r="H109" s="7">
        <v>45626</v>
      </c>
    </row>
    <row r="110" spans="1:8" x14ac:dyDescent="0.2">
      <c r="A110" t="b">
        <v>0</v>
      </c>
      <c r="B110" t="s">
        <v>961</v>
      </c>
      <c r="C110">
        <f>IF(A110=FALSE, 1,SUMIFS('Cashflow Projection'!$C$50:$C$62, 'Cashflow Projection'!$B$33:$B$45, 'Updated Construction'!G110))</f>
        <v>1</v>
      </c>
      <c r="D110" t="b">
        <v>0</v>
      </c>
      <c r="E110" s="7">
        <v>45626</v>
      </c>
      <c r="F110">
        <v>0</v>
      </c>
      <c r="G110" t="s">
        <v>811</v>
      </c>
      <c r="H110" s="7">
        <v>45688</v>
      </c>
    </row>
    <row r="111" spans="1:8" x14ac:dyDescent="0.2">
      <c r="A111" t="b">
        <v>0</v>
      </c>
      <c r="B111" t="s">
        <v>961</v>
      </c>
      <c r="C111">
        <f>IF(A111=FALSE, 1,SUMIFS('Cashflow Projection'!$C$50:$C$62, 'Cashflow Projection'!$B$33:$B$45, 'Updated Construction'!G111))</f>
        <v>1</v>
      </c>
      <c r="D111" t="b">
        <v>0</v>
      </c>
      <c r="E111" s="7">
        <v>45657</v>
      </c>
      <c r="F111">
        <v>0</v>
      </c>
      <c r="G111" t="s">
        <v>811</v>
      </c>
      <c r="H111" s="7">
        <v>45688</v>
      </c>
    </row>
    <row r="112" spans="1:8" x14ac:dyDescent="0.2">
      <c r="A112" t="b">
        <v>0</v>
      </c>
      <c r="B112" t="s">
        <v>961</v>
      </c>
      <c r="C112">
        <f>IF(A112=FALSE, 1,SUMIFS('Cashflow Projection'!$C$50:$C$62, 'Cashflow Projection'!$B$33:$B$45, 'Updated Construction'!G112))</f>
        <v>1</v>
      </c>
      <c r="D112" t="b">
        <v>0</v>
      </c>
      <c r="E112" s="7">
        <v>45688</v>
      </c>
      <c r="F112">
        <v>0</v>
      </c>
      <c r="G112" t="s">
        <v>811</v>
      </c>
      <c r="H112" s="7">
        <v>45747</v>
      </c>
    </row>
    <row r="113" spans="1:8" x14ac:dyDescent="0.2">
      <c r="A113" t="b">
        <v>0</v>
      </c>
      <c r="B113" t="s">
        <v>962</v>
      </c>
      <c r="C113">
        <f>IF(A113=FALSE, 1,SUMIFS('Cashflow Projection'!$C$50:$C$62, 'Cashflow Projection'!$B$33:$B$45, 'Updated Construction'!G113))</f>
        <v>1</v>
      </c>
      <c r="D113" t="b">
        <v>1</v>
      </c>
      <c r="E113" s="7">
        <v>45382</v>
      </c>
      <c r="F113">
        <v>219532.99</v>
      </c>
      <c r="G113" t="s">
        <v>822</v>
      </c>
      <c r="H113" s="7">
        <v>45443</v>
      </c>
    </row>
    <row r="114" spans="1:8" x14ac:dyDescent="0.2">
      <c r="A114" t="b">
        <v>0</v>
      </c>
      <c r="B114" t="s">
        <v>962</v>
      </c>
      <c r="C114">
        <f>IF(A114=FALSE, 1,SUMIFS('Cashflow Projection'!$C$50:$C$62, 'Cashflow Projection'!$B$33:$B$45, 'Updated Construction'!G114))</f>
        <v>1</v>
      </c>
      <c r="D114" t="b">
        <v>0</v>
      </c>
      <c r="E114" s="7">
        <v>45412</v>
      </c>
      <c r="F114">
        <v>159073.66</v>
      </c>
      <c r="G114" t="s">
        <v>822</v>
      </c>
      <c r="H114" s="7">
        <v>45443</v>
      </c>
    </row>
    <row r="115" spans="1:8" x14ac:dyDescent="0.2">
      <c r="A115" t="b">
        <v>0</v>
      </c>
      <c r="B115" t="s">
        <v>962</v>
      </c>
      <c r="C115">
        <f>IF(A115=FALSE, 1,SUMIFS('Cashflow Projection'!$C$50:$C$62, 'Cashflow Projection'!$B$33:$B$45, 'Updated Construction'!G115))</f>
        <v>1</v>
      </c>
      <c r="D115" t="b">
        <v>0</v>
      </c>
      <c r="E115" s="7">
        <v>45442</v>
      </c>
      <c r="F115">
        <v>152042.51999999999</v>
      </c>
      <c r="G115" t="s">
        <v>822</v>
      </c>
      <c r="H115" s="7">
        <v>45504</v>
      </c>
    </row>
    <row r="116" spans="1:8" x14ac:dyDescent="0.2">
      <c r="A116" t="b">
        <v>0</v>
      </c>
      <c r="B116" t="s">
        <v>962</v>
      </c>
      <c r="C116">
        <f>IF(A116=FALSE, 1,SUMIFS('Cashflow Projection'!$C$50:$C$62, 'Cashflow Projection'!$B$33:$B$45, 'Updated Construction'!G116))</f>
        <v>1</v>
      </c>
      <c r="D116" t="b">
        <v>0</v>
      </c>
      <c r="E116" s="7">
        <v>45472</v>
      </c>
      <c r="F116">
        <v>8903.11</v>
      </c>
      <c r="G116" t="s">
        <v>822</v>
      </c>
      <c r="H116" s="7">
        <v>45504</v>
      </c>
    </row>
    <row r="117" spans="1:8" x14ac:dyDescent="0.2">
      <c r="A117" t="b">
        <v>0</v>
      </c>
      <c r="B117" t="s">
        <v>962</v>
      </c>
      <c r="C117">
        <f>IF(A117=FALSE, 1,SUMIFS('Cashflow Projection'!$C$50:$C$62, 'Cashflow Projection'!$B$33:$B$45, 'Updated Construction'!G117))</f>
        <v>1</v>
      </c>
      <c r="D117" t="b">
        <v>0</v>
      </c>
      <c r="E117" s="7">
        <v>45502</v>
      </c>
      <c r="F117">
        <v>0</v>
      </c>
      <c r="G117" t="s">
        <v>822</v>
      </c>
      <c r="H117" s="7">
        <v>45565</v>
      </c>
    </row>
    <row r="118" spans="1:8" x14ac:dyDescent="0.2">
      <c r="A118" t="b">
        <v>0</v>
      </c>
      <c r="B118" t="s">
        <v>962</v>
      </c>
      <c r="C118">
        <f>IF(A118=FALSE, 1,SUMIFS('Cashflow Projection'!$C$50:$C$62, 'Cashflow Projection'!$B$33:$B$45, 'Updated Construction'!G118))</f>
        <v>1</v>
      </c>
      <c r="D118" t="b">
        <v>0</v>
      </c>
      <c r="E118" s="7">
        <v>45532</v>
      </c>
      <c r="F118">
        <v>0</v>
      </c>
      <c r="G118" t="s">
        <v>822</v>
      </c>
      <c r="H118" s="7">
        <v>45565</v>
      </c>
    </row>
    <row r="119" spans="1:8" x14ac:dyDescent="0.2">
      <c r="A119" t="b">
        <v>0</v>
      </c>
      <c r="B119" t="s">
        <v>962</v>
      </c>
      <c r="C119">
        <f>IF(A119=FALSE, 1,SUMIFS('Cashflow Projection'!$C$50:$C$62, 'Cashflow Projection'!$B$33:$B$45, 'Updated Construction'!G119))</f>
        <v>1</v>
      </c>
      <c r="D119" t="b">
        <v>0</v>
      </c>
      <c r="E119" s="7">
        <v>45562</v>
      </c>
      <c r="F119">
        <v>0</v>
      </c>
      <c r="G119" t="s">
        <v>822</v>
      </c>
      <c r="H119" s="7">
        <v>45626</v>
      </c>
    </row>
    <row r="120" spans="1:8" x14ac:dyDescent="0.2">
      <c r="A120" t="b">
        <v>0</v>
      </c>
      <c r="B120" t="s">
        <v>962</v>
      </c>
      <c r="C120">
        <f>IF(A120=FALSE, 1,SUMIFS('Cashflow Projection'!$C$50:$C$62, 'Cashflow Projection'!$B$33:$B$45, 'Updated Construction'!G120))</f>
        <v>1</v>
      </c>
      <c r="D120" t="b">
        <v>0</v>
      </c>
      <c r="E120" s="7">
        <v>45596</v>
      </c>
      <c r="F120">
        <v>0</v>
      </c>
      <c r="G120" t="s">
        <v>822</v>
      </c>
      <c r="H120" s="7">
        <v>45626</v>
      </c>
    </row>
    <row r="121" spans="1:8" x14ac:dyDescent="0.2">
      <c r="A121" t="b">
        <v>0</v>
      </c>
      <c r="B121" t="s">
        <v>962</v>
      </c>
      <c r="C121">
        <f>IF(A121=FALSE, 1,SUMIFS('Cashflow Projection'!$C$50:$C$62, 'Cashflow Projection'!$B$33:$B$45, 'Updated Construction'!G121))</f>
        <v>1</v>
      </c>
      <c r="D121" t="b">
        <v>0</v>
      </c>
      <c r="E121" s="7">
        <v>45626</v>
      </c>
      <c r="F121">
        <v>0</v>
      </c>
      <c r="G121" t="s">
        <v>822</v>
      </c>
      <c r="H121" s="7">
        <v>45688</v>
      </c>
    </row>
    <row r="122" spans="1:8" x14ac:dyDescent="0.2">
      <c r="A122" t="b">
        <v>0</v>
      </c>
      <c r="B122" t="s">
        <v>962</v>
      </c>
      <c r="C122">
        <f>IF(A122=FALSE, 1,SUMIFS('Cashflow Projection'!$C$50:$C$62, 'Cashflow Projection'!$B$33:$B$45, 'Updated Construction'!G122))</f>
        <v>1</v>
      </c>
      <c r="D122" t="b">
        <v>0</v>
      </c>
      <c r="E122" s="7">
        <v>45657</v>
      </c>
      <c r="F122">
        <v>0</v>
      </c>
      <c r="G122" t="s">
        <v>822</v>
      </c>
      <c r="H122" s="7">
        <v>45688</v>
      </c>
    </row>
    <row r="123" spans="1:8" x14ac:dyDescent="0.2">
      <c r="A123" t="b">
        <v>0</v>
      </c>
      <c r="B123" t="s">
        <v>962</v>
      </c>
      <c r="C123">
        <f>IF(A123=FALSE, 1,SUMIFS('Cashflow Projection'!$C$50:$C$62, 'Cashflow Projection'!$B$33:$B$45, 'Updated Construction'!G123))</f>
        <v>1</v>
      </c>
      <c r="D123" t="b">
        <v>0</v>
      </c>
      <c r="E123" s="7">
        <v>45688</v>
      </c>
      <c r="F123">
        <v>0</v>
      </c>
      <c r="G123" t="s">
        <v>822</v>
      </c>
      <c r="H123" s="7">
        <v>45747</v>
      </c>
    </row>
    <row r="124" spans="1:8" x14ac:dyDescent="0.2">
      <c r="A124" t="b">
        <v>0</v>
      </c>
      <c r="B124" t="s">
        <v>963</v>
      </c>
      <c r="C124">
        <f>IF(A124=FALSE, 1,SUMIFS('Cashflow Projection'!$C$50:$C$62, 'Cashflow Projection'!$B$33:$B$45, 'Updated Construction'!G124))</f>
        <v>1</v>
      </c>
      <c r="D124" t="b">
        <v>1</v>
      </c>
      <c r="E124" s="7">
        <v>45382</v>
      </c>
      <c r="F124">
        <v>991275.56</v>
      </c>
      <c r="G124" t="s">
        <v>854</v>
      </c>
      <c r="H124" s="7">
        <v>45443</v>
      </c>
    </row>
    <row r="125" spans="1:8" x14ac:dyDescent="0.2">
      <c r="A125" t="b">
        <v>0</v>
      </c>
      <c r="B125" t="s">
        <v>963</v>
      </c>
      <c r="C125">
        <f>IF(A125=FALSE, 1,SUMIFS('Cashflow Projection'!$C$50:$C$62, 'Cashflow Projection'!$B$33:$B$45, 'Updated Construction'!G125))</f>
        <v>1</v>
      </c>
      <c r="D125" t="b">
        <v>0</v>
      </c>
      <c r="E125" s="7">
        <v>45412</v>
      </c>
      <c r="F125">
        <v>1082014.06</v>
      </c>
      <c r="G125" t="s">
        <v>854</v>
      </c>
      <c r="H125" s="7">
        <v>45443</v>
      </c>
    </row>
    <row r="126" spans="1:8" x14ac:dyDescent="0.2">
      <c r="A126" t="b">
        <v>0</v>
      </c>
      <c r="B126" t="s">
        <v>963</v>
      </c>
      <c r="C126">
        <f>IF(A126=FALSE, 1,SUMIFS('Cashflow Projection'!$C$50:$C$62, 'Cashflow Projection'!$B$33:$B$45, 'Updated Construction'!G126))</f>
        <v>1</v>
      </c>
      <c r="D126" t="b">
        <v>0</v>
      </c>
      <c r="E126" s="7">
        <v>45442</v>
      </c>
      <c r="F126">
        <v>770401.74</v>
      </c>
      <c r="G126" t="s">
        <v>854</v>
      </c>
      <c r="H126" s="7">
        <v>45504</v>
      </c>
    </row>
    <row r="127" spans="1:8" x14ac:dyDescent="0.2">
      <c r="A127" t="b">
        <v>0</v>
      </c>
      <c r="B127" t="s">
        <v>963</v>
      </c>
      <c r="C127">
        <f>IF(A127=FALSE, 1,SUMIFS('Cashflow Projection'!$C$50:$C$62, 'Cashflow Projection'!$B$33:$B$45, 'Updated Construction'!G127))</f>
        <v>1</v>
      </c>
      <c r="D127" t="b">
        <v>0</v>
      </c>
      <c r="E127" s="7">
        <v>45472</v>
      </c>
      <c r="F127">
        <v>358340.8</v>
      </c>
      <c r="G127" t="s">
        <v>854</v>
      </c>
      <c r="H127" s="7">
        <v>45504</v>
      </c>
    </row>
    <row r="128" spans="1:8" x14ac:dyDescent="0.2">
      <c r="A128" t="b">
        <v>0</v>
      </c>
      <c r="B128" t="s">
        <v>963</v>
      </c>
      <c r="C128">
        <f>IF(A128=FALSE, 1,SUMIFS('Cashflow Projection'!$C$50:$C$62, 'Cashflow Projection'!$B$33:$B$45, 'Updated Construction'!G128))</f>
        <v>1</v>
      </c>
      <c r="D128" t="b">
        <v>0</v>
      </c>
      <c r="E128" s="7">
        <v>45502</v>
      </c>
      <c r="F128">
        <v>0</v>
      </c>
      <c r="G128" t="s">
        <v>854</v>
      </c>
      <c r="H128" s="7">
        <v>45565</v>
      </c>
    </row>
    <row r="129" spans="1:8" x14ac:dyDescent="0.2">
      <c r="A129" t="b">
        <v>0</v>
      </c>
      <c r="B129" t="s">
        <v>963</v>
      </c>
      <c r="C129">
        <f>IF(A129=FALSE, 1,SUMIFS('Cashflow Projection'!$C$50:$C$62, 'Cashflow Projection'!$B$33:$B$45, 'Updated Construction'!G129))</f>
        <v>1</v>
      </c>
      <c r="D129" t="b">
        <v>0</v>
      </c>
      <c r="E129" s="7">
        <v>45532</v>
      </c>
      <c r="F129">
        <v>0</v>
      </c>
      <c r="G129" t="s">
        <v>854</v>
      </c>
      <c r="H129" s="7">
        <v>45565</v>
      </c>
    </row>
    <row r="130" spans="1:8" x14ac:dyDescent="0.2">
      <c r="A130" t="b">
        <v>0</v>
      </c>
      <c r="B130" t="s">
        <v>963</v>
      </c>
      <c r="C130">
        <f>IF(A130=FALSE, 1,SUMIFS('Cashflow Projection'!$C$50:$C$62, 'Cashflow Projection'!$B$33:$B$45, 'Updated Construction'!G130))</f>
        <v>1</v>
      </c>
      <c r="D130" t="b">
        <v>0</v>
      </c>
      <c r="E130" s="7">
        <v>45562</v>
      </c>
      <c r="F130">
        <v>109303.16</v>
      </c>
      <c r="G130" t="s">
        <v>854</v>
      </c>
      <c r="H130" s="7">
        <v>45626</v>
      </c>
    </row>
    <row r="131" spans="1:8" x14ac:dyDescent="0.2">
      <c r="A131" t="b">
        <v>0</v>
      </c>
      <c r="B131" t="s">
        <v>963</v>
      </c>
      <c r="C131">
        <f>IF(A131=FALSE, 1,SUMIFS('Cashflow Projection'!$C$50:$C$62, 'Cashflow Projection'!$B$33:$B$45, 'Updated Construction'!G131))</f>
        <v>1</v>
      </c>
      <c r="D131" t="b">
        <v>0</v>
      </c>
      <c r="E131" s="7">
        <v>45596</v>
      </c>
      <c r="F131">
        <v>0</v>
      </c>
      <c r="G131" t="s">
        <v>854</v>
      </c>
      <c r="H131" s="7">
        <v>45626</v>
      </c>
    </row>
    <row r="132" spans="1:8" x14ac:dyDescent="0.2">
      <c r="A132" t="b">
        <v>0</v>
      </c>
      <c r="B132" t="s">
        <v>963</v>
      </c>
      <c r="C132">
        <f>IF(A132=FALSE, 1,SUMIFS('Cashflow Projection'!$C$50:$C$62, 'Cashflow Projection'!$B$33:$B$45, 'Updated Construction'!G132))</f>
        <v>1</v>
      </c>
      <c r="D132" t="b">
        <v>0</v>
      </c>
      <c r="E132" s="7">
        <v>45626</v>
      </c>
      <c r="F132">
        <v>0</v>
      </c>
      <c r="G132" t="s">
        <v>854</v>
      </c>
      <c r="H132" s="7">
        <v>45688</v>
      </c>
    </row>
    <row r="133" spans="1:8" x14ac:dyDescent="0.2">
      <c r="A133" t="b">
        <v>0</v>
      </c>
      <c r="B133" t="s">
        <v>963</v>
      </c>
      <c r="C133">
        <f>IF(A133=FALSE, 1,SUMIFS('Cashflow Projection'!$C$50:$C$62, 'Cashflow Projection'!$B$33:$B$45, 'Updated Construction'!G133))</f>
        <v>1</v>
      </c>
      <c r="D133" t="b">
        <v>0</v>
      </c>
      <c r="E133" s="7">
        <v>45657</v>
      </c>
      <c r="F133">
        <v>0</v>
      </c>
      <c r="G133" t="s">
        <v>854</v>
      </c>
      <c r="H133" s="7">
        <v>45688</v>
      </c>
    </row>
    <row r="134" spans="1:8" x14ac:dyDescent="0.2">
      <c r="A134" t="b">
        <v>0</v>
      </c>
      <c r="B134" t="s">
        <v>963</v>
      </c>
      <c r="C134">
        <f>IF(A134=FALSE, 1,SUMIFS('Cashflow Projection'!$C$50:$C$62, 'Cashflow Projection'!$B$33:$B$45, 'Updated Construction'!G134))</f>
        <v>1</v>
      </c>
      <c r="D134" t="b">
        <v>0</v>
      </c>
      <c r="E134" s="7">
        <v>45688</v>
      </c>
      <c r="F134">
        <v>0</v>
      </c>
      <c r="G134" t="s">
        <v>854</v>
      </c>
      <c r="H134" s="7">
        <v>45747</v>
      </c>
    </row>
    <row r="135" spans="1:8" x14ac:dyDescent="0.2">
      <c r="A135" t="b">
        <v>0</v>
      </c>
      <c r="B135" t="s">
        <v>964</v>
      </c>
      <c r="C135">
        <f>IF(A135=FALSE, 1,SUMIFS('Cashflow Projection'!$C$50:$C$62, 'Cashflow Projection'!$B$33:$B$45, 'Updated Construction'!G135))</f>
        <v>1</v>
      </c>
      <c r="D135" t="b">
        <v>1</v>
      </c>
      <c r="E135" s="7">
        <v>45382</v>
      </c>
      <c r="F135">
        <v>297254.31</v>
      </c>
      <c r="G135" t="s">
        <v>964</v>
      </c>
      <c r="H135" s="7">
        <v>45443</v>
      </c>
    </row>
    <row r="136" spans="1:8" x14ac:dyDescent="0.2">
      <c r="A136" t="b">
        <v>0</v>
      </c>
      <c r="B136" t="s">
        <v>964</v>
      </c>
      <c r="C136">
        <f>IF(A136=FALSE, 1,SUMIFS('Cashflow Projection'!$C$50:$C$62, 'Cashflow Projection'!$B$33:$B$45, 'Updated Construction'!G136))</f>
        <v>1</v>
      </c>
      <c r="D136" t="b">
        <v>0</v>
      </c>
      <c r="E136" s="7">
        <v>45412</v>
      </c>
      <c r="F136">
        <v>265423.55</v>
      </c>
      <c r="G136" t="s">
        <v>964</v>
      </c>
      <c r="H136" s="7">
        <v>45443</v>
      </c>
    </row>
    <row r="137" spans="1:8" x14ac:dyDescent="0.2">
      <c r="A137" t="b">
        <v>0</v>
      </c>
      <c r="B137" t="s">
        <v>964</v>
      </c>
      <c r="C137">
        <f>IF(A137=FALSE, 1,SUMIFS('Cashflow Projection'!$C$50:$C$62, 'Cashflow Projection'!$B$33:$B$45, 'Updated Construction'!G137))</f>
        <v>1</v>
      </c>
      <c r="D137" t="b">
        <v>0</v>
      </c>
      <c r="E137" s="7">
        <v>45442</v>
      </c>
      <c r="F137">
        <v>0</v>
      </c>
      <c r="G137" t="s">
        <v>964</v>
      </c>
      <c r="H137" s="7">
        <v>45504</v>
      </c>
    </row>
    <row r="138" spans="1:8" x14ac:dyDescent="0.2">
      <c r="A138" t="b">
        <v>0</v>
      </c>
      <c r="B138" t="s">
        <v>964</v>
      </c>
      <c r="C138">
        <f>IF(A138=FALSE, 1,SUMIFS('Cashflow Projection'!$C$50:$C$62, 'Cashflow Projection'!$B$33:$B$45, 'Updated Construction'!G138))</f>
        <v>1</v>
      </c>
      <c r="D138" t="b">
        <v>0</v>
      </c>
      <c r="E138" s="7">
        <v>45472</v>
      </c>
      <c r="F138">
        <v>0</v>
      </c>
      <c r="G138" t="s">
        <v>964</v>
      </c>
      <c r="H138" s="7">
        <v>45504</v>
      </c>
    </row>
    <row r="139" spans="1:8" x14ac:dyDescent="0.2">
      <c r="A139" t="b">
        <v>0</v>
      </c>
      <c r="B139" t="s">
        <v>964</v>
      </c>
      <c r="C139">
        <f>IF(A139=FALSE, 1,SUMIFS('Cashflow Projection'!$C$50:$C$62, 'Cashflow Projection'!$B$33:$B$45, 'Updated Construction'!G139))</f>
        <v>1</v>
      </c>
      <c r="D139" t="b">
        <v>0</v>
      </c>
      <c r="E139" s="7">
        <v>45502</v>
      </c>
      <c r="F139">
        <v>0</v>
      </c>
      <c r="G139" t="s">
        <v>964</v>
      </c>
      <c r="H139" s="7">
        <v>45565</v>
      </c>
    </row>
    <row r="140" spans="1:8" x14ac:dyDescent="0.2">
      <c r="A140" t="b">
        <v>0</v>
      </c>
      <c r="B140" t="s">
        <v>964</v>
      </c>
      <c r="C140">
        <f>IF(A140=FALSE, 1,SUMIFS('Cashflow Projection'!$C$50:$C$62, 'Cashflow Projection'!$B$33:$B$45, 'Updated Construction'!G140))</f>
        <v>1</v>
      </c>
      <c r="D140" t="b">
        <v>0</v>
      </c>
      <c r="E140" s="7">
        <v>45532</v>
      </c>
      <c r="F140">
        <v>0</v>
      </c>
      <c r="G140" t="s">
        <v>964</v>
      </c>
      <c r="H140" s="7">
        <v>45565</v>
      </c>
    </row>
    <row r="141" spans="1:8" x14ac:dyDescent="0.2">
      <c r="A141" t="b">
        <v>0</v>
      </c>
      <c r="B141" t="s">
        <v>964</v>
      </c>
      <c r="C141">
        <f>IF(A141=FALSE, 1,SUMIFS('Cashflow Projection'!$C$50:$C$62, 'Cashflow Projection'!$B$33:$B$45, 'Updated Construction'!G141))</f>
        <v>1</v>
      </c>
      <c r="D141" t="b">
        <v>0</v>
      </c>
      <c r="E141" s="7">
        <v>45562</v>
      </c>
      <c r="F141">
        <v>0</v>
      </c>
      <c r="G141" t="s">
        <v>964</v>
      </c>
      <c r="H141" s="7">
        <v>45626</v>
      </c>
    </row>
    <row r="142" spans="1:8" x14ac:dyDescent="0.2">
      <c r="A142" t="b">
        <v>0</v>
      </c>
      <c r="B142" t="s">
        <v>964</v>
      </c>
      <c r="C142">
        <f>IF(A142=FALSE, 1,SUMIFS('Cashflow Projection'!$C$50:$C$62, 'Cashflow Projection'!$B$33:$B$45, 'Updated Construction'!G142))</f>
        <v>1</v>
      </c>
      <c r="D142" t="b">
        <v>0</v>
      </c>
      <c r="E142" s="7">
        <v>45596</v>
      </c>
      <c r="F142">
        <v>0</v>
      </c>
      <c r="G142" t="s">
        <v>964</v>
      </c>
      <c r="H142" s="7">
        <v>45626</v>
      </c>
    </row>
    <row r="143" spans="1:8" x14ac:dyDescent="0.2">
      <c r="A143" t="b">
        <v>0</v>
      </c>
      <c r="B143" t="s">
        <v>964</v>
      </c>
      <c r="C143">
        <f>IF(A143=FALSE, 1,SUMIFS('Cashflow Projection'!$C$50:$C$62, 'Cashflow Projection'!$B$33:$B$45, 'Updated Construction'!G143))</f>
        <v>1</v>
      </c>
      <c r="D143" t="b">
        <v>0</v>
      </c>
      <c r="E143" s="7">
        <v>45626</v>
      </c>
      <c r="F143">
        <v>0</v>
      </c>
      <c r="G143" t="s">
        <v>964</v>
      </c>
      <c r="H143" s="7">
        <v>45688</v>
      </c>
    </row>
    <row r="144" spans="1:8" x14ac:dyDescent="0.2">
      <c r="A144" t="b">
        <v>0</v>
      </c>
      <c r="B144" t="s">
        <v>964</v>
      </c>
      <c r="C144">
        <f>IF(A144=FALSE, 1,SUMIFS('Cashflow Projection'!$C$50:$C$62, 'Cashflow Projection'!$B$33:$B$45, 'Updated Construction'!G144))</f>
        <v>1</v>
      </c>
      <c r="D144" t="b">
        <v>0</v>
      </c>
      <c r="E144" s="7">
        <v>45657</v>
      </c>
      <c r="F144">
        <v>0</v>
      </c>
      <c r="G144" t="s">
        <v>964</v>
      </c>
      <c r="H144" s="7">
        <v>45688</v>
      </c>
    </row>
    <row r="145" spans="1:8" x14ac:dyDescent="0.2">
      <c r="A145" t="b">
        <v>0</v>
      </c>
      <c r="B145" t="s">
        <v>964</v>
      </c>
      <c r="C145">
        <f>IF(A145=FALSE, 1,SUMIFS('Cashflow Projection'!$C$50:$C$62, 'Cashflow Projection'!$B$33:$B$45, 'Updated Construction'!G145))</f>
        <v>1</v>
      </c>
      <c r="D145" t="b">
        <v>0</v>
      </c>
      <c r="E145" s="7">
        <v>45688</v>
      </c>
      <c r="F145">
        <v>0</v>
      </c>
      <c r="G145" t="s">
        <v>964</v>
      </c>
      <c r="H145" s="7">
        <v>45747</v>
      </c>
    </row>
    <row r="146" spans="1:8" x14ac:dyDescent="0.2">
      <c r="A146" t="b">
        <v>1</v>
      </c>
      <c r="B146" t="s">
        <v>953</v>
      </c>
      <c r="C146">
        <f>IF(A146=FALSE, 1,SUMIFS('Cashflow Projection'!$C$50:$C$62, 'Cashflow Projection'!$B$33:$B$45, 'Updated Construction'!G146))</f>
        <v>0</v>
      </c>
      <c r="D146" t="b">
        <v>1</v>
      </c>
      <c r="E146" s="7">
        <v>45382</v>
      </c>
      <c r="F146">
        <v>0</v>
      </c>
      <c r="G146" t="s">
        <v>569</v>
      </c>
      <c r="H146" s="7">
        <v>45443</v>
      </c>
    </row>
    <row r="147" spans="1:8" x14ac:dyDescent="0.2">
      <c r="A147" t="b">
        <v>1</v>
      </c>
      <c r="B147" t="s">
        <v>953</v>
      </c>
      <c r="C147">
        <f>IF(A147=FALSE, 1,SUMIFS('Cashflow Projection'!$C$50:$C$62, 'Cashflow Projection'!$B$33:$B$45, 'Updated Construction'!G147))</f>
        <v>0</v>
      </c>
      <c r="D147" t="b">
        <v>0</v>
      </c>
      <c r="E147" s="7">
        <v>45412</v>
      </c>
      <c r="F147">
        <v>0</v>
      </c>
      <c r="G147" t="s">
        <v>569</v>
      </c>
      <c r="H147" s="7">
        <v>45443</v>
      </c>
    </row>
    <row r="148" spans="1:8" x14ac:dyDescent="0.2">
      <c r="A148" t="b">
        <v>1</v>
      </c>
      <c r="B148" t="s">
        <v>953</v>
      </c>
      <c r="C148">
        <f>IF(A148=FALSE, 1,SUMIFS('Cashflow Projection'!$C$50:$C$62, 'Cashflow Projection'!$B$33:$B$45, 'Updated Construction'!G148))</f>
        <v>0</v>
      </c>
      <c r="D148" t="b">
        <v>0</v>
      </c>
      <c r="E148" s="7">
        <v>45442</v>
      </c>
      <c r="F148">
        <v>468726.95</v>
      </c>
      <c r="G148" t="s">
        <v>569</v>
      </c>
      <c r="H148" s="7">
        <v>45504</v>
      </c>
    </row>
    <row r="149" spans="1:8" x14ac:dyDescent="0.2">
      <c r="A149" t="b">
        <v>1</v>
      </c>
      <c r="B149" t="s">
        <v>953</v>
      </c>
      <c r="C149">
        <f>IF(A149=FALSE, 1,SUMIFS('Cashflow Projection'!$C$50:$C$62, 'Cashflow Projection'!$B$33:$B$45, 'Updated Construction'!G149))</f>
        <v>0</v>
      </c>
      <c r="D149" t="b">
        <v>0</v>
      </c>
      <c r="E149" s="7">
        <v>45472</v>
      </c>
      <c r="F149">
        <v>1093696.21</v>
      </c>
      <c r="G149" t="s">
        <v>569</v>
      </c>
      <c r="H149" s="7">
        <v>45504</v>
      </c>
    </row>
    <row r="150" spans="1:8" x14ac:dyDescent="0.2">
      <c r="A150" t="b">
        <v>1</v>
      </c>
      <c r="B150" t="s">
        <v>953</v>
      </c>
      <c r="C150">
        <f>IF(A150=FALSE, 1,SUMIFS('Cashflow Projection'!$C$50:$C$62, 'Cashflow Projection'!$B$33:$B$45, 'Updated Construction'!G150))</f>
        <v>0</v>
      </c>
      <c r="D150" t="b">
        <v>0</v>
      </c>
      <c r="E150" s="7">
        <v>45502</v>
      </c>
      <c r="F150">
        <v>1484302</v>
      </c>
      <c r="G150" t="s">
        <v>569</v>
      </c>
      <c r="H150" s="7">
        <v>45565</v>
      </c>
    </row>
    <row r="151" spans="1:8" x14ac:dyDescent="0.2">
      <c r="A151" t="b">
        <v>1</v>
      </c>
      <c r="B151" t="s">
        <v>953</v>
      </c>
      <c r="C151">
        <f>IF(A151=FALSE, 1,SUMIFS('Cashflow Projection'!$C$50:$C$62, 'Cashflow Projection'!$B$33:$B$45, 'Updated Construction'!G151))</f>
        <v>0</v>
      </c>
      <c r="D151" t="b">
        <v>0</v>
      </c>
      <c r="E151" s="7">
        <v>45532</v>
      </c>
      <c r="F151">
        <v>1562423.16</v>
      </c>
      <c r="G151" t="s">
        <v>569</v>
      </c>
      <c r="H151" s="7">
        <v>45565</v>
      </c>
    </row>
    <row r="152" spans="1:8" x14ac:dyDescent="0.2">
      <c r="A152" t="b">
        <v>1</v>
      </c>
      <c r="B152" t="s">
        <v>953</v>
      </c>
      <c r="C152">
        <f>IF(A152=FALSE, 1,SUMIFS('Cashflow Projection'!$C$50:$C$62, 'Cashflow Projection'!$B$33:$B$45, 'Updated Construction'!G152))</f>
        <v>0</v>
      </c>
      <c r="D152" t="b">
        <v>0</v>
      </c>
      <c r="E152" s="7">
        <v>45562</v>
      </c>
      <c r="F152">
        <v>1484302</v>
      </c>
      <c r="G152" t="s">
        <v>569</v>
      </c>
      <c r="H152" s="7">
        <v>45626</v>
      </c>
    </row>
    <row r="153" spans="1:8" x14ac:dyDescent="0.2">
      <c r="A153" t="b">
        <v>1</v>
      </c>
      <c r="B153" t="s">
        <v>953</v>
      </c>
      <c r="C153">
        <f>IF(A153=FALSE, 1,SUMIFS('Cashflow Projection'!$C$50:$C$62, 'Cashflow Projection'!$B$33:$B$45, 'Updated Construction'!G153))</f>
        <v>0</v>
      </c>
      <c r="D153" t="b">
        <v>0</v>
      </c>
      <c r="E153" s="7">
        <v>45596</v>
      </c>
      <c r="F153">
        <v>1249938.52</v>
      </c>
      <c r="G153" t="s">
        <v>569</v>
      </c>
      <c r="H153" s="7">
        <v>45626</v>
      </c>
    </row>
    <row r="154" spans="1:8" x14ac:dyDescent="0.2">
      <c r="A154" t="b">
        <v>1</v>
      </c>
      <c r="B154" t="s">
        <v>953</v>
      </c>
      <c r="C154">
        <f>IF(A154=FALSE, 1,SUMIFS('Cashflow Projection'!$C$50:$C$62, 'Cashflow Projection'!$B$33:$B$45, 'Updated Construction'!G154))</f>
        <v>0</v>
      </c>
      <c r="D154" t="b">
        <v>0</v>
      </c>
      <c r="E154" s="7">
        <v>45626</v>
      </c>
      <c r="F154">
        <v>468726.95</v>
      </c>
      <c r="G154" t="s">
        <v>569</v>
      </c>
      <c r="H154" s="7">
        <v>45688</v>
      </c>
    </row>
    <row r="155" spans="1:8" x14ac:dyDescent="0.2">
      <c r="A155" t="b">
        <v>1</v>
      </c>
      <c r="B155" t="s">
        <v>953</v>
      </c>
      <c r="C155">
        <f>IF(A155=FALSE, 1,SUMIFS('Cashflow Projection'!$C$50:$C$62, 'Cashflow Projection'!$B$33:$B$45, 'Updated Construction'!G155))</f>
        <v>0</v>
      </c>
      <c r="D155" t="b">
        <v>0</v>
      </c>
      <c r="E155" s="7">
        <v>45657</v>
      </c>
      <c r="F155">
        <v>0</v>
      </c>
      <c r="G155" t="s">
        <v>569</v>
      </c>
      <c r="H155" s="7">
        <v>45688</v>
      </c>
    </row>
    <row r="156" spans="1:8" x14ac:dyDescent="0.2">
      <c r="A156" t="b">
        <v>1</v>
      </c>
      <c r="B156" t="s">
        <v>953</v>
      </c>
      <c r="C156">
        <f>IF(A156=FALSE, 1,SUMIFS('Cashflow Projection'!$C$50:$C$62, 'Cashflow Projection'!$B$33:$B$45, 'Updated Construction'!G156))</f>
        <v>0</v>
      </c>
      <c r="D156" t="b">
        <v>0</v>
      </c>
      <c r="E156" s="7">
        <v>45688</v>
      </c>
      <c r="F156">
        <v>0</v>
      </c>
      <c r="G156" t="s">
        <v>569</v>
      </c>
      <c r="H156" s="7">
        <v>45747</v>
      </c>
    </row>
    <row r="157" spans="1:8" x14ac:dyDescent="0.2">
      <c r="A157" t="b">
        <v>1</v>
      </c>
      <c r="B157" t="s">
        <v>954</v>
      </c>
      <c r="C157">
        <f>IF(A157=FALSE, 1,SUMIFS('Cashflow Projection'!$C$50:$C$62, 'Cashflow Projection'!$B$33:$B$45, 'Updated Construction'!G157))</f>
        <v>0</v>
      </c>
      <c r="D157" t="b">
        <v>1</v>
      </c>
      <c r="E157" s="7">
        <v>45382</v>
      </c>
      <c r="F157">
        <v>0</v>
      </c>
      <c r="G157" t="s">
        <v>598</v>
      </c>
      <c r="H157" s="7">
        <v>45443</v>
      </c>
    </row>
    <row r="158" spans="1:8" x14ac:dyDescent="0.2">
      <c r="A158" t="b">
        <v>1</v>
      </c>
      <c r="B158" t="s">
        <v>954</v>
      </c>
      <c r="C158">
        <f>IF(A158=FALSE, 1,SUMIFS('Cashflow Projection'!$C$50:$C$62, 'Cashflow Projection'!$B$33:$B$45, 'Updated Construction'!G158))</f>
        <v>0</v>
      </c>
      <c r="D158" t="b">
        <v>0</v>
      </c>
      <c r="E158" s="7">
        <v>45412</v>
      </c>
      <c r="F158">
        <v>0</v>
      </c>
      <c r="G158" t="s">
        <v>598</v>
      </c>
      <c r="H158" s="7">
        <v>45443</v>
      </c>
    </row>
    <row r="159" spans="1:8" x14ac:dyDescent="0.2">
      <c r="A159" t="b">
        <v>1</v>
      </c>
      <c r="B159" t="s">
        <v>954</v>
      </c>
      <c r="C159">
        <f>IF(A159=FALSE, 1,SUMIFS('Cashflow Projection'!$C$50:$C$62, 'Cashflow Projection'!$B$33:$B$45, 'Updated Construction'!G159))</f>
        <v>0</v>
      </c>
      <c r="D159" t="b">
        <v>0</v>
      </c>
      <c r="E159" s="7">
        <v>45442</v>
      </c>
      <c r="F159">
        <v>325986.84999999998</v>
      </c>
      <c r="G159" t="s">
        <v>598</v>
      </c>
      <c r="H159" s="7">
        <v>45504</v>
      </c>
    </row>
    <row r="160" spans="1:8" x14ac:dyDescent="0.2">
      <c r="A160" t="b">
        <v>1</v>
      </c>
      <c r="B160" t="s">
        <v>954</v>
      </c>
      <c r="C160">
        <f>IF(A160=FALSE, 1,SUMIFS('Cashflow Projection'!$C$50:$C$62, 'Cashflow Projection'!$B$33:$B$45, 'Updated Construction'!G160))</f>
        <v>0</v>
      </c>
      <c r="D160" t="b">
        <v>0</v>
      </c>
      <c r="E160" s="7">
        <v>45472</v>
      </c>
      <c r="F160">
        <v>838251.91</v>
      </c>
      <c r="G160" t="s">
        <v>598</v>
      </c>
      <c r="H160" s="7">
        <v>45504</v>
      </c>
    </row>
    <row r="161" spans="1:8" x14ac:dyDescent="0.2">
      <c r="A161" t="b">
        <v>1</v>
      </c>
      <c r="B161" t="s">
        <v>954</v>
      </c>
      <c r="C161">
        <f>IF(A161=FALSE, 1,SUMIFS('Cashflow Projection'!$C$50:$C$62, 'Cashflow Projection'!$B$33:$B$45, 'Updated Construction'!G161))</f>
        <v>0</v>
      </c>
      <c r="D161" t="b">
        <v>0</v>
      </c>
      <c r="E161" s="7">
        <v>45502</v>
      </c>
      <c r="F161">
        <v>1117669.21</v>
      </c>
      <c r="G161" t="s">
        <v>598</v>
      </c>
      <c r="H161" s="7">
        <v>45565</v>
      </c>
    </row>
    <row r="162" spans="1:8" x14ac:dyDescent="0.2">
      <c r="A162" t="b">
        <v>1</v>
      </c>
      <c r="B162" t="s">
        <v>954</v>
      </c>
      <c r="C162">
        <f>IF(A162=FALSE, 1,SUMIFS('Cashflow Projection'!$C$50:$C$62, 'Cashflow Projection'!$B$33:$B$45, 'Updated Construction'!G162))</f>
        <v>0</v>
      </c>
      <c r="D162" t="b">
        <v>0</v>
      </c>
      <c r="E162" s="7">
        <v>45532</v>
      </c>
      <c r="F162">
        <v>1117669.21</v>
      </c>
      <c r="G162" t="s">
        <v>598</v>
      </c>
      <c r="H162" s="7">
        <v>45565</v>
      </c>
    </row>
    <row r="163" spans="1:8" x14ac:dyDescent="0.2">
      <c r="A163" t="b">
        <v>1</v>
      </c>
      <c r="B163" t="s">
        <v>954</v>
      </c>
      <c r="C163">
        <f>IF(A163=FALSE, 1,SUMIFS('Cashflow Projection'!$C$50:$C$62, 'Cashflow Projection'!$B$33:$B$45, 'Updated Construction'!G163))</f>
        <v>0</v>
      </c>
      <c r="D163" t="b">
        <v>0</v>
      </c>
      <c r="E163" s="7">
        <v>45562</v>
      </c>
      <c r="F163">
        <v>931391.01</v>
      </c>
      <c r="G163" t="s">
        <v>598</v>
      </c>
      <c r="H163" s="7">
        <v>45626</v>
      </c>
    </row>
    <row r="164" spans="1:8" x14ac:dyDescent="0.2">
      <c r="A164" t="b">
        <v>1</v>
      </c>
      <c r="B164" t="s">
        <v>954</v>
      </c>
      <c r="C164">
        <f>IF(A164=FALSE, 1,SUMIFS('Cashflow Projection'!$C$50:$C$62, 'Cashflow Projection'!$B$33:$B$45, 'Updated Construction'!G164))</f>
        <v>0</v>
      </c>
      <c r="D164" t="b">
        <v>0</v>
      </c>
      <c r="E164" s="7">
        <v>45596</v>
      </c>
      <c r="F164">
        <v>325986.84999999998</v>
      </c>
      <c r="G164" t="s">
        <v>598</v>
      </c>
      <c r="H164" s="7">
        <v>45626</v>
      </c>
    </row>
    <row r="165" spans="1:8" x14ac:dyDescent="0.2">
      <c r="A165" t="b">
        <v>1</v>
      </c>
      <c r="B165" t="s">
        <v>954</v>
      </c>
      <c r="C165">
        <f>IF(A165=FALSE, 1,SUMIFS('Cashflow Projection'!$C$50:$C$62, 'Cashflow Projection'!$B$33:$B$45, 'Updated Construction'!G165))</f>
        <v>0</v>
      </c>
      <c r="D165" t="b">
        <v>0</v>
      </c>
      <c r="E165" s="7">
        <v>45626</v>
      </c>
      <c r="F165">
        <v>0</v>
      </c>
      <c r="G165" t="s">
        <v>598</v>
      </c>
      <c r="H165" s="7">
        <v>45688</v>
      </c>
    </row>
    <row r="166" spans="1:8" x14ac:dyDescent="0.2">
      <c r="A166" t="b">
        <v>1</v>
      </c>
      <c r="B166" t="s">
        <v>954</v>
      </c>
      <c r="C166">
        <f>IF(A166=FALSE, 1,SUMIFS('Cashflow Projection'!$C$50:$C$62, 'Cashflow Projection'!$B$33:$B$45, 'Updated Construction'!G166))</f>
        <v>0</v>
      </c>
      <c r="D166" t="b">
        <v>0</v>
      </c>
      <c r="E166" s="7">
        <v>45657</v>
      </c>
      <c r="F166">
        <v>0</v>
      </c>
      <c r="G166" t="s">
        <v>598</v>
      </c>
      <c r="H166" s="7">
        <v>45688</v>
      </c>
    </row>
    <row r="167" spans="1:8" x14ac:dyDescent="0.2">
      <c r="A167" t="b">
        <v>1</v>
      </c>
      <c r="B167" t="s">
        <v>954</v>
      </c>
      <c r="C167">
        <f>IF(A167=FALSE, 1,SUMIFS('Cashflow Projection'!$C$50:$C$62, 'Cashflow Projection'!$B$33:$B$45, 'Updated Construction'!G167))</f>
        <v>0</v>
      </c>
      <c r="D167" t="b">
        <v>0</v>
      </c>
      <c r="E167" s="7">
        <v>45688</v>
      </c>
      <c r="F167">
        <v>0</v>
      </c>
      <c r="G167" t="s">
        <v>598</v>
      </c>
      <c r="H167" s="7">
        <v>45747</v>
      </c>
    </row>
    <row r="168" spans="1:8" x14ac:dyDescent="0.2">
      <c r="A168" t="b">
        <v>1</v>
      </c>
      <c r="B168" t="s">
        <v>955</v>
      </c>
      <c r="C168">
        <f>IF(A168=FALSE, 1,SUMIFS('Cashflow Projection'!$C$50:$C$62, 'Cashflow Projection'!$B$33:$B$45, 'Updated Construction'!G168))</f>
        <v>0</v>
      </c>
      <c r="D168" t="b">
        <v>1</v>
      </c>
      <c r="E168" s="7">
        <v>45382</v>
      </c>
      <c r="F168">
        <v>0</v>
      </c>
      <c r="G168" t="s">
        <v>628</v>
      </c>
      <c r="H168" s="7">
        <v>45443</v>
      </c>
    </row>
    <row r="169" spans="1:8" x14ac:dyDescent="0.2">
      <c r="A169" t="b">
        <v>1</v>
      </c>
      <c r="B169" t="s">
        <v>955</v>
      </c>
      <c r="C169">
        <f>IF(A169=FALSE, 1,SUMIFS('Cashflow Projection'!$C$50:$C$62, 'Cashflow Projection'!$B$33:$B$45, 'Updated Construction'!G169))</f>
        <v>0</v>
      </c>
      <c r="D169" t="b">
        <v>0</v>
      </c>
      <c r="E169" s="7">
        <v>45412</v>
      </c>
      <c r="F169">
        <v>0</v>
      </c>
      <c r="G169" t="s">
        <v>628</v>
      </c>
      <c r="H169" s="7">
        <v>45443</v>
      </c>
    </row>
    <row r="170" spans="1:8" x14ac:dyDescent="0.2">
      <c r="A170" t="b">
        <v>1</v>
      </c>
      <c r="B170" t="s">
        <v>955</v>
      </c>
      <c r="C170">
        <f>IF(A170=FALSE, 1,SUMIFS('Cashflow Projection'!$C$50:$C$62, 'Cashflow Projection'!$B$33:$B$45, 'Updated Construction'!G170))</f>
        <v>0</v>
      </c>
      <c r="D170" t="b">
        <v>0</v>
      </c>
      <c r="E170" s="7">
        <v>45442</v>
      </c>
      <c r="F170">
        <v>81272.240000000005</v>
      </c>
      <c r="G170" t="s">
        <v>628</v>
      </c>
      <c r="H170" s="7">
        <v>45504</v>
      </c>
    </row>
    <row r="171" spans="1:8" x14ac:dyDescent="0.2">
      <c r="A171" t="b">
        <v>1</v>
      </c>
      <c r="B171" t="s">
        <v>955</v>
      </c>
      <c r="C171">
        <f>IF(A171=FALSE, 1,SUMIFS('Cashflow Projection'!$C$50:$C$62, 'Cashflow Projection'!$B$33:$B$45, 'Updated Construction'!G171))</f>
        <v>0</v>
      </c>
      <c r="D171" t="b">
        <v>0</v>
      </c>
      <c r="E171" s="7">
        <v>45472</v>
      </c>
      <c r="F171">
        <v>239800.92</v>
      </c>
      <c r="G171" t="s">
        <v>628</v>
      </c>
      <c r="H171" s="7">
        <v>45504</v>
      </c>
    </row>
    <row r="172" spans="1:8" x14ac:dyDescent="0.2">
      <c r="A172" t="b">
        <v>1</v>
      </c>
      <c r="B172" t="s">
        <v>955</v>
      </c>
      <c r="C172">
        <f>IF(A172=FALSE, 1,SUMIFS('Cashflow Projection'!$C$50:$C$62, 'Cashflow Projection'!$B$33:$B$45, 'Updated Construction'!G172))</f>
        <v>0</v>
      </c>
      <c r="D172" t="b">
        <v>0</v>
      </c>
      <c r="E172" s="7">
        <v>45502</v>
      </c>
      <c r="F172">
        <v>1278323.0900000001</v>
      </c>
      <c r="G172" t="s">
        <v>628</v>
      </c>
      <c r="H172" s="7">
        <v>45565</v>
      </c>
    </row>
    <row r="173" spans="1:8" x14ac:dyDescent="0.2">
      <c r="A173" t="b">
        <v>1</v>
      </c>
      <c r="B173" t="s">
        <v>955</v>
      </c>
      <c r="C173">
        <f>IF(A173=FALSE, 1,SUMIFS('Cashflow Projection'!$C$50:$C$62, 'Cashflow Projection'!$B$33:$B$45, 'Updated Construction'!G173))</f>
        <v>0</v>
      </c>
      <c r="D173" t="b">
        <v>0</v>
      </c>
      <c r="E173" s="7">
        <v>45532</v>
      </c>
      <c r="F173">
        <v>1199513.93</v>
      </c>
      <c r="G173" t="s">
        <v>628</v>
      </c>
      <c r="H173" s="7">
        <v>45565</v>
      </c>
    </row>
    <row r="174" spans="1:8" x14ac:dyDescent="0.2">
      <c r="A174" t="b">
        <v>1</v>
      </c>
      <c r="B174" t="s">
        <v>955</v>
      </c>
      <c r="C174">
        <f>IF(A174=FALSE, 1,SUMIFS('Cashflow Projection'!$C$50:$C$62, 'Cashflow Projection'!$B$33:$B$45, 'Updated Construction'!G174))</f>
        <v>0</v>
      </c>
      <c r="D174" t="b">
        <v>0</v>
      </c>
      <c r="E174" s="7">
        <v>45562</v>
      </c>
      <c r="F174">
        <v>801144.5</v>
      </c>
      <c r="G174" t="s">
        <v>628</v>
      </c>
      <c r="H174" s="7">
        <v>45626</v>
      </c>
    </row>
    <row r="175" spans="1:8" x14ac:dyDescent="0.2">
      <c r="A175" t="b">
        <v>1</v>
      </c>
      <c r="B175" t="s">
        <v>955</v>
      </c>
      <c r="C175">
        <f>IF(A175=FALSE, 1,SUMIFS('Cashflow Projection'!$C$50:$C$62, 'Cashflow Projection'!$B$33:$B$45, 'Updated Construction'!G175))</f>
        <v>0</v>
      </c>
      <c r="D175" t="b">
        <v>0</v>
      </c>
      <c r="E175" s="7">
        <v>45596</v>
      </c>
      <c r="F175">
        <v>0</v>
      </c>
      <c r="G175" t="s">
        <v>628</v>
      </c>
      <c r="H175" s="7">
        <v>45626</v>
      </c>
    </row>
    <row r="176" spans="1:8" x14ac:dyDescent="0.2">
      <c r="A176" t="b">
        <v>1</v>
      </c>
      <c r="B176" t="s">
        <v>955</v>
      </c>
      <c r="C176">
        <f>IF(A176=FALSE, 1,SUMIFS('Cashflow Projection'!$C$50:$C$62, 'Cashflow Projection'!$B$33:$B$45, 'Updated Construction'!G176))</f>
        <v>0</v>
      </c>
      <c r="D176" t="b">
        <v>0</v>
      </c>
      <c r="E176" s="7">
        <v>45626</v>
      </c>
      <c r="F176">
        <v>0</v>
      </c>
      <c r="G176" t="s">
        <v>628</v>
      </c>
      <c r="H176" s="7">
        <v>45688</v>
      </c>
    </row>
    <row r="177" spans="1:8" x14ac:dyDescent="0.2">
      <c r="A177" t="b">
        <v>1</v>
      </c>
      <c r="B177" t="s">
        <v>955</v>
      </c>
      <c r="C177">
        <f>IF(A177=FALSE, 1,SUMIFS('Cashflow Projection'!$C$50:$C$62, 'Cashflow Projection'!$B$33:$B$45, 'Updated Construction'!G177))</f>
        <v>0</v>
      </c>
      <c r="D177" t="b">
        <v>0</v>
      </c>
      <c r="E177" s="7">
        <v>45657</v>
      </c>
      <c r="F177">
        <v>48399.73</v>
      </c>
      <c r="G177" t="s">
        <v>628</v>
      </c>
      <c r="H177" s="7">
        <v>45688</v>
      </c>
    </row>
    <row r="178" spans="1:8" x14ac:dyDescent="0.2">
      <c r="A178" t="b">
        <v>1</v>
      </c>
      <c r="B178" t="s">
        <v>955</v>
      </c>
      <c r="C178">
        <f>IF(A178=FALSE, 1,SUMIFS('Cashflow Projection'!$C$50:$C$62, 'Cashflow Projection'!$B$33:$B$45, 'Updated Construction'!G178))</f>
        <v>0</v>
      </c>
      <c r="D178" t="b">
        <v>0</v>
      </c>
      <c r="E178" s="7">
        <v>45688</v>
      </c>
      <c r="F178">
        <v>0</v>
      </c>
      <c r="G178" t="s">
        <v>628</v>
      </c>
      <c r="H178" s="7">
        <v>45747</v>
      </c>
    </row>
    <row r="179" spans="1:8" x14ac:dyDescent="0.2">
      <c r="A179" t="b">
        <v>1</v>
      </c>
      <c r="B179" t="s">
        <v>957</v>
      </c>
      <c r="C179">
        <f>IF(A179=FALSE, 1,SUMIFS('Cashflow Projection'!$C$50:$C$62, 'Cashflow Projection'!$B$33:$B$45, 'Updated Construction'!G179))</f>
        <v>0</v>
      </c>
      <c r="D179" t="b">
        <v>1</v>
      </c>
      <c r="E179" s="7">
        <v>45382</v>
      </c>
      <c r="F179">
        <v>0</v>
      </c>
      <c r="G179" t="s">
        <v>684</v>
      </c>
      <c r="H179" s="7">
        <v>45443</v>
      </c>
    </row>
    <row r="180" spans="1:8" x14ac:dyDescent="0.2">
      <c r="A180" t="b">
        <v>1</v>
      </c>
      <c r="B180" t="s">
        <v>957</v>
      </c>
      <c r="C180">
        <f>IF(A180=FALSE, 1,SUMIFS('Cashflow Projection'!$C$50:$C$62, 'Cashflow Projection'!$B$33:$B$45, 'Updated Construction'!G180))</f>
        <v>0</v>
      </c>
      <c r="D180" t="b">
        <v>0</v>
      </c>
      <c r="E180" s="7">
        <v>45412</v>
      </c>
      <c r="F180">
        <v>0</v>
      </c>
      <c r="G180" t="s">
        <v>684</v>
      </c>
      <c r="H180" s="7">
        <v>45443</v>
      </c>
    </row>
    <row r="181" spans="1:8" x14ac:dyDescent="0.2">
      <c r="A181" t="b">
        <v>1</v>
      </c>
      <c r="B181" t="s">
        <v>957</v>
      </c>
      <c r="C181">
        <f>IF(A181=FALSE, 1,SUMIFS('Cashflow Projection'!$C$50:$C$62, 'Cashflow Projection'!$B$33:$B$45, 'Updated Construction'!G181))</f>
        <v>0</v>
      </c>
      <c r="D181" t="b">
        <v>0</v>
      </c>
      <c r="E181" s="7">
        <v>45442</v>
      </c>
      <c r="F181">
        <v>93649.34</v>
      </c>
      <c r="G181" t="s">
        <v>684</v>
      </c>
      <c r="H181" s="7">
        <v>45504</v>
      </c>
    </row>
    <row r="182" spans="1:8" x14ac:dyDescent="0.2">
      <c r="A182" t="b">
        <v>1</v>
      </c>
      <c r="B182" t="s">
        <v>957</v>
      </c>
      <c r="C182">
        <f>IF(A182=FALSE, 1,SUMIFS('Cashflow Projection'!$C$50:$C$62, 'Cashflow Projection'!$B$33:$B$45, 'Updated Construction'!G182))</f>
        <v>0</v>
      </c>
      <c r="D182" t="b">
        <v>0</v>
      </c>
      <c r="E182" s="7">
        <v>45472</v>
      </c>
      <c r="F182">
        <v>1049789.95</v>
      </c>
      <c r="G182" t="s">
        <v>684</v>
      </c>
      <c r="H182" s="7">
        <v>45504</v>
      </c>
    </row>
    <row r="183" spans="1:8" x14ac:dyDescent="0.2">
      <c r="A183" t="b">
        <v>1</v>
      </c>
      <c r="B183" t="s">
        <v>957</v>
      </c>
      <c r="C183">
        <f>IF(A183=FALSE, 1,SUMIFS('Cashflow Projection'!$C$50:$C$62, 'Cashflow Projection'!$B$33:$B$45, 'Updated Construction'!G183))</f>
        <v>0</v>
      </c>
      <c r="D183" t="b">
        <v>0</v>
      </c>
      <c r="E183" s="7">
        <v>45502</v>
      </c>
      <c r="F183">
        <v>1109758.8600000001</v>
      </c>
      <c r="G183" t="s">
        <v>684</v>
      </c>
      <c r="H183" s="7">
        <v>45565</v>
      </c>
    </row>
    <row r="184" spans="1:8" x14ac:dyDescent="0.2">
      <c r="A184" t="b">
        <v>1</v>
      </c>
      <c r="B184" t="s">
        <v>957</v>
      </c>
      <c r="C184">
        <f>IF(A184=FALSE, 1,SUMIFS('Cashflow Projection'!$C$50:$C$62, 'Cashflow Projection'!$B$33:$B$45, 'Updated Construction'!G184))</f>
        <v>0</v>
      </c>
      <c r="D184" t="b">
        <v>0</v>
      </c>
      <c r="E184" s="7">
        <v>45532</v>
      </c>
      <c r="F184">
        <v>932140.61</v>
      </c>
      <c r="G184" t="s">
        <v>684</v>
      </c>
      <c r="H184" s="7">
        <v>45565</v>
      </c>
    </row>
    <row r="185" spans="1:8" x14ac:dyDescent="0.2">
      <c r="A185" t="b">
        <v>1</v>
      </c>
      <c r="B185" t="s">
        <v>957</v>
      </c>
      <c r="C185">
        <f>IF(A185=FALSE, 1,SUMIFS('Cashflow Projection'!$C$50:$C$62, 'Cashflow Projection'!$B$33:$B$45, 'Updated Construction'!G185))</f>
        <v>0</v>
      </c>
      <c r="D185" t="b">
        <v>0</v>
      </c>
      <c r="E185" s="7">
        <v>45562</v>
      </c>
      <c r="F185">
        <v>0</v>
      </c>
      <c r="G185" t="s">
        <v>684</v>
      </c>
      <c r="H185" s="7">
        <v>45626</v>
      </c>
    </row>
    <row r="186" spans="1:8" x14ac:dyDescent="0.2">
      <c r="A186" t="b">
        <v>1</v>
      </c>
      <c r="B186" t="s">
        <v>957</v>
      </c>
      <c r="C186">
        <f>IF(A186=FALSE, 1,SUMIFS('Cashflow Projection'!$C$50:$C$62, 'Cashflow Projection'!$B$33:$B$45, 'Updated Construction'!G186))</f>
        <v>0</v>
      </c>
      <c r="D186" t="b">
        <v>0</v>
      </c>
      <c r="E186" s="7">
        <v>45596</v>
      </c>
      <c r="F186">
        <v>0</v>
      </c>
      <c r="G186" t="s">
        <v>684</v>
      </c>
      <c r="H186" s="7">
        <v>45626</v>
      </c>
    </row>
    <row r="187" spans="1:8" x14ac:dyDescent="0.2">
      <c r="A187" t="b">
        <v>1</v>
      </c>
      <c r="B187" t="s">
        <v>957</v>
      </c>
      <c r="C187">
        <f>IF(A187=FALSE, 1,SUMIFS('Cashflow Projection'!$C$50:$C$62, 'Cashflow Projection'!$B$33:$B$45, 'Updated Construction'!G187))</f>
        <v>0</v>
      </c>
      <c r="D187" t="b">
        <v>0</v>
      </c>
      <c r="E187" s="7">
        <v>45626</v>
      </c>
      <c r="F187">
        <v>0</v>
      </c>
      <c r="G187" t="s">
        <v>684</v>
      </c>
      <c r="H187" s="7">
        <v>45688</v>
      </c>
    </row>
    <row r="188" spans="1:8" x14ac:dyDescent="0.2">
      <c r="A188" t="b">
        <v>1</v>
      </c>
      <c r="B188" t="s">
        <v>957</v>
      </c>
      <c r="C188">
        <f>IF(A188=FALSE, 1,SUMIFS('Cashflow Projection'!$C$50:$C$62, 'Cashflow Projection'!$B$33:$B$45, 'Updated Construction'!G188))</f>
        <v>0</v>
      </c>
      <c r="D188" t="b">
        <v>0</v>
      </c>
      <c r="E188" s="7">
        <v>45657</v>
      </c>
      <c r="F188">
        <v>0</v>
      </c>
      <c r="G188" t="s">
        <v>684</v>
      </c>
      <c r="H188" s="7">
        <v>45688</v>
      </c>
    </row>
    <row r="189" spans="1:8" x14ac:dyDescent="0.2">
      <c r="A189" t="b">
        <v>1</v>
      </c>
      <c r="B189" t="s">
        <v>957</v>
      </c>
      <c r="C189">
        <f>IF(A189=FALSE, 1,SUMIFS('Cashflow Projection'!$C$50:$C$62, 'Cashflow Projection'!$B$33:$B$45, 'Updated Construction'!G189))</f>
        <v>0</v>
      </c>
      <c r="D189" t="b">
        <v>0</v>
      </c>
      <c r="E189" s="7">
        <v>45688</v>
      </c>
      <c r="F189">
        <v>0</v>
      </c>
      <c r="G189" t="s">
        <v>684</v>
      </c>
      <c r="H189" s="7">
        <v>45747</v>
      </c>
    </row>
    <row r="190" spans="1:8" x14ac:dyDescent="0.2">
      <c r="A190" t="b">
        <v>1</v>
      </c>
      <c r="B190" t="s">
        <v>958</v>
      </c>
      <c r="C190">
        <f>IF(A190=FALSE, 1,SUMIFS('Cashflow Projection'!$C$50:$C$62, 'Cashflow Projection'!$B$33:$B$45, 'Updated Construction'!G190))</f>
        <v>0</v>
      </c>
      <c r="D190" t="b">
        <v>1</v>
      </c>
      <c r="E190" s="7">
        <v>45382</v>
      </c>
      <c r="F190">
        <v>0</v>
      </c>
      <c r="G190" t="s">
        <v>711</v>
      </c>
      <c r="H190" s="7">
        <v>45443</v>
      </c>
    </row>
    <row r="191" spans="1:8" x14ac:dyDescent="0.2">
      <c r="A191" t="b">
        <v>1</v>
      </c>
      <c r="B191" t="s">
        <v>958</v>
      </c>
      <c r="C191">
        <f>IF(A191=FALSE, 1,SUMIFS('Cashflow Projection'!$C$50:$C$62, 'Cashflow Projection'!$B$33:$B$45, 'Updated Construction'!G191))</f>
        <v>0</v>
      </c>
      <c r="D191" t="b">
        <v>0</v>
      </c>
      <c r="E191" s="7">
        <v>45412</v>
      </c>
      <c r="F191">
        <v>0</v>
      </c>
      <c r="G191" t="s">
        <v>711</v>
      </c>
      <c r="H191" s="7">
        <v>45443</v>
      </c>
    </row>
    <row r="192" spans="1:8" x14ac:dyDescent="0.2">
      <c r="A192" t="b">
        <v>1</v>
      </c>
      <c r="B192" t="s">
        <v>958</v>
      </c>
      <c r="C192">
        <f>IF(A192=FALSE, 1,SUMIFS('Cashflow Projection'!$C$50:$C$62, 'Cashflow Projection'!$B$33:$B$45, 'Updated Construction'!G192))</f>
        <v>0</v>
      </c>
      <c r="D192" t="b">
        <v>0</v>
      </c>
      <c r="E192" s="7">
        <v>45442</v>
      </c>
      <c r="F192">
        <v>0</v>
      </c>
      <c r="G192" t="s">
        <v>711</v>
      </c>
      <c r="H192" s="7">
        <v>45504</v>
      </c>
    </row>
    <row r="193" spans="1:8" x14ac:dyDescent="0.2">
      <c r="A193" t="b">
        <v>1</v>
      </c>
      <c r="B193" t="s">
        <v>958</v>
      </c>
      <c r="C193">
        <f>IF(A193=FALSE, 1,SUMIFS('Cashflow Projection'!$C$50:$C$62, 'Cashflow Projection'!$B$33:$B$45, 'Updated Construction'!G193))</f>
        <v>0</v>
      </c>
      <c r="D193" t="b">
        <v>0</v>
      </c>
      <c r="E193" s="7">
        <v>45472</v>
      </c>
      <c r="F193">
        <v>231481.15</v>
      </c>
      <c r="G193" t="s">
        <v>711</v>
      </c>
      <c r="H193" s="7">
        <v>45504</v>
      </c>
    </row>
    <row r="194" spans="1:8" x14ac:dyDescent="0.2">
      <c r="A194" t="b">
        <v>1</v>
      </c>
      <c r="B194" t="s">
        <v>958</v>
      </c>
      <c r="C194">
        <f>IF(A194=FALSE, 1,SUMIFS('Cashflow Projection'!$C$50:$C$62, 'Cashflow Projection'!$B$33:$B$45, 'Updated Construction'!G194))</f>
        <v>0</v>
      </c>
      <c r="D194" t="b">
        <v>0</v>
      </c>
      <c r="E194" s="7">
        <v>45502</v>
      </c>
      <c r="F194">
        <v>974406.07</v>
      </c>
      <c r="G194" t="s">
        <v>711</v>
      </c>
      <c r="H194" s="7">
        <v>45565</v>
      </c>
    </row>
    <row r="195" spans="1:8" x14ac:dyDescent="0.2">
      <c r="A195" t="b">
        <v>1</v>
      </c>
      <c r="B195" t="s">
        <v>958</v>
      </c>
      <c r="C195">
        <f>IF(A195=FALSE, 1,SUMIFS('Cashflow Projection'!$C$50:$C$62, 'Cashflow Projection'!$B$33:$B$45, 'Updated Construction'!G195))</f>
        <v>0</v>
      </c>
      <c r="D195" t="b">
        <v>0</v>
      </c>
      <c r="E195" s="7">
        <v>45532</v>
      </c>
      <c r="F195">
        <v>1320637.72</v>
      </c>
      <c r="G195" t="s">
        <v>711</v>
      </c>
      <c r="H195" s="7">
        <v>45565</v>
      </c>
    </row>
    <row r="196" spans="1:8" x14ac:dyDescent="0.2">
      <c r="A196" t="b">
        <v>1</v>
      </c>
      <c r="B196" t="s">
        <v>958</v>
      </c>
      <c r="C196">
        <f>IF(A196=FALSE, 1,SUMIFS('Cashflow Projection'!$C$50:$C$62, 'Cashflow Projection'!$B$33:$B$45, 'Updated Construction'!G196))</f>
        <v>0</v>
      </c>
      <c r="D196" t="b">
        <v>0</v>
      </c>
      <c r="E196" s="7">
        <v>45562</v>
      </c>
      <c r="F196">
        <v>1184714.17</v>
      </c>
      <c r="G196" t="s">
        <v>711</v>
      </c>
      <c r="H196" s="7">
        <v>45626</v>
      </c>
    </row>
    <row r="197" spans="1:8" x14ac:dyDescent="0.2">
      <c r="A197" t="b">
        <v>1</v>
      </c>
      <c r="B197" t="s">
        <v>958</v>
      </c>
      <c r="C197">
        <f>IF(A197=FALSE, 1,SUMIFS('Cashflow Projection'!$C$50:$C$62, 'Cashflow Projection'!$B$33:$B$45, 'Updated Construction'!G197))</f>
        <v>0</v>
      </c>
      <c r="D197" t="b">
        <v>0</v>
      </c>
      <c r="E197" s="7">
        <v>45596</v>
      </c>
      <c r="F197">
        <v>691902</v>
      </c>
      <c r="G197" t="s">
        <v>711</v>
      </c>
      <c r="H197" s="7">
        <v>45626</v>
      </c>
    </row>
    <row r="198" spans="1:8" x14ac:dyDescent="0.2">
      <c r="A198" t="b">
        <v>1</v>
      </c>
      <c r="B198" t="s">
        <v>958</v>
      </c>
      <c r="C198">
        <f>IF(A198=FALSE, 1,SUMIFS('Cashflow Projection'!$C$50:$C$62, 'Cashflow Projection'!$B$33:$B$45, 'Updated Construction'!G198))</f>
        <v>0</v>
      </c>
      <c r="D198" t="b">
        <v>0</v>
      </c>
      <c r="E198" s="7">
        <v>45626</v>
      </c>
      <c r="F198">
        <v>23161.29</v>
      </c>
      <c r="G198" t="s">
        <v>711</v>
      </c>
      <c r="H198" s="7">
        <v>45688</v>
      </c>
    </row>
    <row r="199" spans="1:8" x14ac:dyDescent="0.2">
      <c r="A199" t="b">
        <v>1</v>
      </c>
      <c r="B199" t="s">
        <v>958</v>
      </c>
      <c r="C199">
        <f>IF(A199=FALSE, 1,SUMIFS('Cashflow Projection'!$C$50:$C$62, 'Cashflow Projection'!$B$33:$B$45, 'Updated Construction'!G199))</f>
        <v>0</v>
      </c>
      <c r="D199" t="b">
        <v>0</v>
      </c>
      <c r="E199" s="7">
        <v>45657</v>
      </c>
      <c r="F199">
        <v>0</v>
      </c>
      <c r="G199" t="s">
        <v>711</v>
      </c>
      <c r="H199" s="7">
        <v>45688</v>
      </c>
    </row>
    <row r="200" spans="1:8" x14ac:dyDescent="0.2">
      <c r="A200" t="b">
        <v>1</v>
      </c>
      <c r="B200" t="s">
        <v>958</v>
      </c>
      <c r="C200">
        <f>IF(A200=FALSE, 1,SUMIFS('Cashflow Projection'!$C$50:$C$62, 'Cashflow Projection'!$B$33:$B$45, 'Updated Construction'!G200))</f>
        <v>0</v>
      </c>
      <c r="D200" t="b">
        <v>0</v>
      </c>
      <c r="E200" s="7">
        <v>45688</v>
      </c>
      <c r="F200">
        <v>0</v>
      </c>
      <c r="G200" t="s">
        <v>711</v>
      </c>
      <c r="H200" s="7">
        <v>45747</v>
      </c>
    </row>
    <row r="201" spans="1:8" x14ac:dyDescent="0.2">
      <c r="A201" t="b">
        <v>1</v>
      </c>
      <c r="B201" t="s">
        <v>959</v>
      </c>
      <c r="C201">
        <f>IF(A201=FALSE, 1,SUMIFS('Cashflow Projection'!$C$50:$C$62, 'Cashflow Projection'!$B$33:$B$45, 'Updated Construction'!G201))</f>
        <v>0</v>
      </c>
      <c r="D201" t="b">
        <v>1</v>
      </c>
      <c r="E201" s="7">
        <v>45382</v>
      </c>
      <c r="F201">
        <v>0</v>
      </c>
      <c r="G201" t="s">
        <v>750</v>
      </c>
      <c r="H201" s="7">
        <v>45443</v>
      </c>
    </row>
    <row r="202" spans="1:8" x14ac:dyDescent="0.2">
      <c r="A202" t="b">
        <v>1</v>
      </c>
      <c r="B202" t="s">
        <v>959</v>
      </c>
      <c r="C202">
        <f>IF(A202=FALSE, 1,SUMIFS('Cashflow Projection'!$C$50:$C$62, 'Cashflow Projection'!$B$33:$B$45, 'Updated Construction'!G202))</f>
        <v>0</v>
      </c>
      <c r="D202" t="b">
        <v>0</v>
      </c>
      <c r="E202" s="7">
        <v>45412</v>
      </c>
      <c r="F202">
        <v>54356.5</v>
      </c>
      <c r="G202" t="s">
        <v>750</v>
      </c>
      <c r="H202" s="7">
        <v>45443</v>
      </c>
    </row>
    <row r="203" spans="1:8" x14ac:dyDescent="0.2">
      <c r="A203" t="b">
        <v>1</v>
      </c>
      <c r="B203" t="s">
        <v>959</v>
      </c>
      <c r="C203">
        <f>IF(A203=FALSE, 1,SUMIFS('Cashflow Projection'!$C$50:$C$62, 'Cashflow Projection'!$B$33:$B$45, 'Updated Construction'!G203))</f>
        <v>0</v>
      </c>
      <c r="D203" t="b">
        <v>0</v>
      </c>
      <c r="E203" s="7">
        <v>45442</v>
      </c>
      <c r="F203">
        <v>1810704.51</v>
      </c>
      <c r="G203" t="s">
        <v>750</v>
      </c>
      <c r="H203" s="7">
        <v>45504</v>
      </c>
    </row>
    <row r="204" spans="1:8" x14ac:dyDescent="0.2">
      <c r="A204" t="b">
        <v>1</v>
      </c>
      <c r="B204" t="s">
        <v>959</v>
      </c>
      <c r="C204">
        <f>IF(A204=FALSE, 1,SUMIFS('Cashflow Projection'!$C$50:$C$62, 'Cashflow Projection'!$B$33:$B$45, 'Updated Construction'!G204))</f>
        <v>0</v>
      </c>
      <c r="D204" t="b">
        <v>0</v>
      </c>
      <c r="E204" s="7">
        <v>45472</v>
      </c>
      <c r="F204">
        <v>2805531.22</v>
      </c>
      <c r="G204" t="s">
        <v>750</v>
      </c>
      <c r="H204" s="7">
        <v>45504</v>
      </c>
    </row>
    <row r="205" spans="1:8" x14ac:dyDescent="0.2">
      <c r="A205" t="b">
        <v>1</v>
      </c>
      <c r="B205" t="s">
        <v>959</v>
      </c>
      <c r="C205">
        <f>IF(A205=FALSE, 1,SUMIFS('Cashflow Projection'!$C$50:$C$62, 'Cashflow Projection'!$B$33:$B$45, 'Updated Construction'!G205))</f>
        <v>0</v>
      </c>
      <c r="D205" t="b">
        <v>0</v>
      </c>
      <c r="E205" s="7">
        <v>45502</v>
      </c>
      <c r="F205">
        <v>2295623.9700000002</v>
      </c>
      <c r="G205" t="s">
        <v>750</v>
      </c>
      <c r="H205" s="7">
        <v>45565</v>
      </c>
    </row>
    <row r="206" spans="1:8" x14ac:dyDescent="0.2">
      <c r="A206" t="b">
        <v>1</v>
      </c>
      <c r="B206" t="s">
        <v>959</v>
      </c>
      <c r="C206">
        <f>IF(A206=FALSE, 1,SUMIFS('Cashflow Projection'!$C$50:$C$62, 'Cashflow Projection'!$B$33:$B$45, 'Updated Construction'!G206))</f>
        <v>0</v>
      </c>
      <c r="D206" t="b">
        <v>0</v>
      </c>
      <c r="E206" s="7">
        <v>45532</v>
      </c>
      <c r="F206">
        <v>495861.37</v>
      </c>
      <c r="G206" t="s">
        <v>750</v>
      </c>
      <c r="H206" s="7">
        <v>45565</v>
      </c>
    </row>
    <row r="207" spans="1:8" x14ac:dyDescent="0.2">
      <c r="A207" t="b">
        <v>1</v>
      </c>
      <c r="B207" t="s">
        <v>959</v>
      </c>
      <c r="C207">
        <f>IF(A207=FALSE, 1,SUMIFS('Cashflow Projection'!$C$50:$C$62, 'Cashflow Projection'!$B$33:$B$45, 'Updated Construction'!G207))</f>
        <v>0</v>
      </c>
      <c r="D207" t="b">
        <v>0</v>
      </c>
      <c r="E207" s="7">
        <v>45562</v>
      </c>
      <c r="F207">
        <v>0</v>
      </c>
      <c r="G207" t="s">
        <v>750</v>
      </c>
      <c r="H207" s="7">
        <v>45626</v>
      </c>
    </row>
    <row r="208" spans="1:8" x14ac:dyDescent="0.2">
      <c r="A208" t="b">
        <v>1</v>
      </c>
      <c r="B208" t="s">
        <v>959</v>
      </c>
      <c r="C208">
        <f>IF(A208=FALSE, 1,SUMIFS('Cashflow Projection'!$C$50:$C$62, 'Cashflow Projection'!$B$33:$B$45, 'Updated Construction'!G208))</f>
        <v>0</v>
      </c>
      <c r="D208" t="b">
        <v>0</v>
      </c>
      <c r="E208" s="7">
        <v>45596</v>
      </c>
      <c r="F208">
        <v>54360.47</v>
      </c>
      <c r="G208" t="s">
        <v>750</v>
      </c>
      <c r="H208" s="7">
        <v>45626</v>
      </c>
    </row>
    <row r="209" spans="1:8" x14ac:dyDescent="0.2">
      <c r="A209" t="b">
        <v>1</v>
      </c>
      <c r="B209" t="s">
        <v>959</v>
      </c>
      <c r="C209">
        <f>IF(A209=FALSE, 1,SUMIFS('Cashflow Projection'!$C$50:$C$62, 'Cashflow Projection'!$B$33:$B$45, 'Updated Construction'!G209))</f>
        <v>0</v>
      </c>
      <c r="D209" t="b">
        <v>0</v>
      </c>
      <c r="E209" s="7">
        <v>45626</v>
      </c>
      <c r="F209">
        <v>0</v>
      </c>
      <c r="G209" t="s">
        <v>750</v>
      </c>
      <c r="H209" s="7">
        <v>45688</v>
      </c>
    </row>
    <row r="210" spans="1:8" x14ac:dyDescent="0.2">
      <c r="A210" t="b">
        <v>1</v>
      </c>
      <c r="B210" t="s">
        <v>959</v>
      </c>
      <c r="C210">
        <f>IF(A210=FALSE, 1,SUMIFS('Cashflow Projection'!$C$50:$C$62, 'Cashflow Projection'!$B$33:$B$45, 'Updated Construction'!G210))</f>
        <v>0</v>
      </c>
      <c r="D210" t="b">
        <v>0</v>
      </c>
      <c r="E210" s="7">
        <v>45657</v>
      </c>
      <c r="F210">
        <v>0</v>
      </c>
      <c r="G210" t="s">
        <v>750</v>
      </c>
      <c r="H210" s="7">
        <v>45688</v>
      </c>
    </row>
    <row r="211" spans="1:8" x14ac:dyDescent="0.2">
      <c r="A211" t="b">
        <v>1</v>
      </c>
      <c r="B211" t="s">
        <v>959</v>
      </c>
      <c r="C211">
        <f>IF(A211=FALSE, 1,SUMIFS('Cashflow Projection'!$C$50:$C$62, 'Cashflow Projection'!$B$33:$B$45, 'Updated Construction'!G211))</f>
        <v>0</v>
      </c>
      <c r="D211" t="b">
        <v>0</v>
      </c>
      <c r="E211" s="7">
        <v>45688</v>
      </c>
      <c r="F211">
        <v>0</v>
      </c>
      <c r="G211" t="s">
        <v>750</v>
      </c>
      <c r="H211" s="7">
        <v>45747</v>
      </c>
    </row>
    <row r="212" spans="1:8" x14ac:dyDescent="0.2">
      <c r="A212" t="b">
        <v>1</v>
      </c>
      <c r="B212" t="s">
        <v>960</v>
      </c>
      <c r="C212">
        <f>IF(A212=FALSE, 1,SUMIFS('Cashflow Projection'!$C$50:$C$62, 'Cashflow Projection'!$B$33:$B$45, 'Updated Construction'!G212))</f>
        <v>0</v>
      </c>
      <c r="D212" t="b">
        <v>1</v>
      </c>
      <c r="E212" s="7">
        <v>45382</v>
      </c>
      <c r="F212">
        <v>0</v>
      </c>
      <c r="G212" t="s">
        <v>790</v>
      </c>
      <c r="H212" s="7">
        <v>45443</v>
      </c>
    </row>
    <row r="213" spans="1:8" x14ac:dyDescent="0.2">
      <c r="A213" t="b">
        <v>1</v>
      </c>
      <c r="B213" t="s">
        <v>960</v>
      </c>
      <c r="C213">
        <f>IF(A213=FALSE, 1,SUMIFS('Cashflow Projection'!$C$50:$C$62, 'Cashflow Projection'!$B$33:$B$45, 'Updated Construction'!G213))</f>
        <v>0</v>
      </c>
      <c r="D213" t="b">
        <v>0</v>
      </c>
      <c r="E213" s="7">
        <v>45412</v>
      </c>
      <c r="F213">
        <v>0</v>
      </c>
      <c r="G213" t="s">
        <v>790</v>
      </c>
      <c r="H213" s="7">
        <v>45443</v>
      </c>
    </row>
    <row r="214" spans="1:8" x14ac:dyDescent="0.2">
      <c r="A214" t="b">
        <v>1</v>
      </c>
      <c r="B214" t="s">
        <v>960</v>
      </c>
      <c r="C214">
        <f>IF(A214=FALSE, 1,SUMIFS('Cashflow Projection'!$C$50:$C$62, 'Cashflow Projection'!$B$33:$B$45, 'Updated Construction'!G214))</f>
        <v>0</v>
      </c>
      <c r="D214" t="b">
        <v>0</v>
      </c>
      <c r="E214" s="7">
        <v>45442</v>
      </c>
      <c r="F214">
        <v>409526.73</v>
      </c>
      <c r="G214" t="s">
        <v>790</v>
      </c>
      <c r="H214" s="7">
        <v>45504</v>
      </c>
    </row>
    <row r="215" spans="1:8" x14ac:dyDescent="0.2">
      <c r="A215" t="b">
        <v>1</v>
      </c>
      <c r="B215" t="s">
        <v>960</v>
      </c>
      <c r="C215">
        <f>IF(A215=FALSE, 1,SUMIFS('Cashflow Projection'!$C$50:$C$62, 'Cashflow Projection'!$B$33:$B$45, 'Updated Construction'!G215))</f>
        <v>0</v>
      </c>
      <c r="D215" t="b">
        <v>0</v>
      </c>
      <c r="E215" s="7">
        <v>45472</v>
      </c>
      <c r="F215">
        <v>969056.38</v>
      </c>
      <c r="G215" t="s">
        <v>790</v>
      </c>
      <c r="H215" s="7">
        <v>45504</v>
      </c>
    </row>
    <row r="216" spans="1:8" x14ac:dyDescent="0.2">
      <c r="A216" t="b">
        <v>1</v>
      </c>
      <c r="B216" t="s">
        <v>960</v>
      </c>
      <c r="C216">
        <f>IF(A216=FALSE, 1,SUMIFS('Cashflow Projection'!$C$50:$C$62, 'Cashflow Projection'!$B$33:$B$45, 'Updated Construction'!G216))</f>
        <v>0</v>
      </c>
      <c r="D216" t="b">
        <v>0</v>
      </c>
      <c r="E216" s="7">
        <v>45502</v>
      </c>
      <c r="F216">
        <v>1041758.82</v>
      </c>
      <c r="G216" t="s">
        <v>790</v>
      </c>
      <c r="H216" s="7">
        <v>45565</v>
      </c>
    </row>
    <row r="217" spans="1:8" x14ac:dyDescent="0.2">
      <c r="A217" t="b">
        <v>1</v>
      </c>
      <c r="B217" t="s">
        <v>960</v>
      </c>
      <c r="C217">
        <f>IF(A217=FALSE, 1,SUMIFS('Cashflow Projection'!$C$50:$C$62, 'Cashflow Projection'!$B$33:$B$45, 'Updated Construction'!G217))</f>
        <v>0</v>
      </c>
      <c r="D217" t="b">
        <v>0</v>
      </c>
      <c r="E217" s="7">
        <v>45532</v>
      </c>
      <c r="F217">
        <v>826130.61</v>
      </c>
      <c r="G217" t="s">
        <v>790</v>
      </c>
      <c r="H217" s="7">
        <v>45565</v>
      </c>
    </row>
    <row r="218" spans="1:8" x14ac:dyDescent="0.2">
      <c r="A218" t="b">
        <v>1</v>
      </c>
      <c r="B218" t="s">
        <v>960</v>
      </c>
      <c r="C218">
        <f>IF(A218=FALSE, 1,SUMIFS('Cashflow Projection'!$C$50:$C$62, 'Cashflow Projection'!$B$33:$B$45, 'Updated Construction'!G218))</f>
        <v>0</v>
      </c>
      <c r="D218" t="b">
        <v>0</v>
      </c>
      <c r="E218" s="7">
        <v>45562</v>
      </c>
      <c r="F218">
        <v>462538.43</v>
      </c>
      <c r="G218" t="s">
        <v>790</v>
      </c>
      <c r="H218" s="7">
        <v>45626</v>
      </c>
    </row>
    <row r="219" spans="1:8" x14ac:dyDescent="0.2">
      <c r="A219" t="b">
        <v>1</v>
      </c>
      <c r="B219" t="s">
        <v>960</v>
      </c>
      <c r="C219">
        <f>IF(A219=FALSE, 1,SUMIFS('Cashflow Projection'!$C$50:$C$62, 'Cashflow Projection'!$B$33:$B$45, 'Updated Construction'!G219))</f>
        <v>0</v>
      </c>
      <c r="D219" t="b">
        <v>0</v>
      </c>
      <c r="E219" s="7">
        <v>45596</v>
      </c>
      <c r="F219">
        <v>98895.49</v>
      </c>
      <c r="G219" t="s">
        <v>790</v>
      </c>
      <c r="H219" s="7">
        <v>45626</v>
      </c>
    </row>
    <row r="220" spans="1:8" x14ac:dyDescent="0.2">
      <c r="A220" t="b">
        <v>1</v>
      </c>
      <c r="B220" t="s">
        <v>960</v>
      </c>
      <c r="C220">
        <f>IF(A220=FALSE, 1,SUMIFS('Cashflow Projection'!$C$50:$C$62, 'Cashflow Projection'!$B$33:$B$45, 'Updated Construction'!G220))</f>
        <v>0</v>
      </c>
      <c r="D220" t="b">
        <v>0</v>
      </c>
      <c r="E220" s="7">
        <v>45626</v>
      </c>
      <c r="F220">
        <v>0</v>
      </c>
      <c r="G220" t="s">
        <v>790</v>
      </c>
      <c r="H220" s="7">
        <v>45688</v>
      </c>
    </row>
    <row r="221" spans="1:8" x14ac:dyDescent="0.2">
      <c r="A221" t="b">
        <v>1</v>
      </c>
      <c r="B221" t="s">
        <v>960</v>
      </c>
      <c r="C221">
        <f>IF(A221=FALSE, 1,SUMIFS('Cashflow Projection'!$C$50:$C$62, 'Cashflow Projection'!$B$33:$B$45, 'Updated Construction'!G221))</f>
        <v>0</v>
      </c>
      <c r="D221" t="b">
        <v>0</v>
      </c>
      <c r="E221" s="7">
        <v>45657</v>
      </c>
      <c r="F221">
        <v>0</v>
      </c>
      <c r="G221" t="s">
        <v>790</v>
      </c>
      <c r="H221" s="7">
        <v>45688</v>
      </c>
    </row>
    <row r="222" spans="1:8" x14ac:dyDescent="0.2">
      <c r="A222" t="b">
        <v>1</v>
      </c>
      <c r="B222" t="s">
        <v>960</v>
      </c>
      <c r="C222">
        <f>IF(A222=FALSE, 1,SUMIFS('Cashflow Projection'!$C$50:$C$62, 'Cashflow Projection'!$B$33:$B$45, 'Updated Construction'!G222))</f>
        <v>0</v>
      </c>
      <c r="D222" t="b">
        <v>0</v>
      </c>
      <c r="E222" s="7">
        <v>45688</v>
      </c>
      <c r="F222">
        <v>0</v>
      </c>
      <c r="G222" t="s">
        <v>790</v>
      </c>
      <c r="H222" s="7">
        <v>45747</v>
      </c>
    </row>
    <row r="223" spans="1:8" x14ac:dyDescent="0.2">
      <c r="A223" t="b">
        <v>1</v>
      </c>
      <c r="B223" t="s">
        <v>961</v>
      </c>
      <c r="C223">
        <f>IF(A223=FALSE, 1,SUMIFS('Cashflow Projection'!$C$50:$C$62, 'Cashflow Projection'!$B$33:$B$45, 'Updated Construction'!G223))</f>
        <v>0</v>
      </c>
      <c r="D223" t="b">
        <v>1</v>
      </c>
      <c r="E223" s="7">
        <v>45382</v>
      </c>
      <c r="F223">
        <v>0</v>
      </c>
      <c r="G223" t="s">
        <v>811</v>
      </c>
      <c r="H223" s="7">
        <v>45443</v>
      </c>
    </row>
    <row r="224" spans="1:8" x14ac:dyDescent="0.2">
      <c r="A224" t="b">
        <v>1</v>
      </c>
      <c r="B224" t="s">
        <v>961</v>
      </c>
      <c r="C224">
        <f>IF(A224=FALSE, 1,SUMIFS('Cashflow Projection'!$C$50:$C$62, 'Cashflow Projection'!$B$33:$B$45, 'Updated Construction'!G224))</f>
        <v>0</v>
      </c>
      <c r="D224" t="b">
        <v>0</v>
      </c>
      <c r="E224" s="7">
        <v>45412</v>
      </c>
      <c r="F224">
        <v>636753.82999999996</v>
      </c>
      <c r="G224" t="s">
        <v>811</v>
      </c>
      <c r="H224" s="7">
        <v>45443</v>
      </c>
    </row>
    <row r="225" spans="1:8" x14ac:dyDescent="0.2">
      <c r="A225" t="b">
        <v>1</v>
      </c>
      <c r="B225" t="s">
        <v>961</v>
      </c>
      <c r="C225">
        <f>IF(A225=FALSE, 1,SUMIFS('Cashflow Projection'!$C$50:$C$62, 'Cashflow Projection'!$B$33:$B$45, 'Updated Construction'!G225))</f>
        <v>0</v>
      </c>
      <c r="D225" t="b">
        <v>0</v>
      </c>
      <c r="E225" s="7">
        <v>45442</v>
      </c>
      <c r="F225">
        <v>502025.9</v>
      </c>
      <c r="G225" t="s">
        <v>811</v>
      </c>
      <c r="H225" s="7">
        <v>45504</v>
      </c>
    </row>
    <row r="226" spans="1:8" x14ac:dyDescent="0.2">
      <c r="A226" t="b">
        <v>1</v>
      </c>
      <c r="B226" t="s">
        <v>961</v>
      </c>
      <c r="C226">
        <f>IF(A226=FALSE, 1,SUMIFS('Cashflow Projection'!$C$50:$C$62, 'Cashflow Projection'!$B$33:$B$45, 'Updated Construction'!G226))</f>
        <v>0</v>
      </c>
      <c r="D226" t="b">
        <v>0</v>
      </c>
      <c r="E226" s="7">
        <v>45472</v>
      </c>
      <c r="F226">
        <v>322849.46999999997</v>
      </c>
      <c r="G226" t="s">
        <v>811</v>
      </c>
      <c r="H226" s="7">
        <v>45504</v>
      </c>
    </row>
    <row r="227" spans="1:8" x14ac:dyDescent="0.2">
      <c r="A227" t="b">
        <v>1</v>
      </c>
      <c r="B227" t="s">
        <v>961</v>
      </c>
      <c r="C227">
        <f>IF(A227=FALSE, 1,SUMIFS('Cashflow Projection'!$C$50:$C$62, 'Cashflow Projection'!$B$33:$B$45, 'Updated Construction'!G227))</f>
        <v>0</v>
      </c>
      <c r="D227" t="b">
        <v>0</v>
      </c>
      <c r="E227" s="7">
        <v>45502</v>
      </c>
      <c r="F227">
        <v>242582.63</v>
      </c>
      <c r="G227" t="s">
        <v>811</v>
      </c>
      <c r="H227" s="7">
        <v>45565</v>
      </c>
    </row>
    <row r="228" spans="1:8" x14ac:dyDescent="0.2">
      <c r="A228" t="b">
        <v>1</v>
      </c>
      <c r="B228" t="s">
        <v>961</v>
      </c>
      <c r="C228">
        <f>IF(A228=FALSE, 1,SUMIFS('Cashflow Projection'!$C$50:$C$62, 'Cashflow Projection'!$B$33:$B$45, 'Updated Construction'!G228))</f>
        <v>0</v>
      </c>
      <c r="D228" t="b">
        <v>0</v>
      </c>
      <c r="E228" s="7">
        <v>45532</v>
      </c>
      <c r="F228">
        <v>92334.49</v>
      </c>
      <c r="G228" t="s">
        <v>811</v>
      </c>
      <c r="H228" s="7">
        <v>45565</v>
      </c>
    </row>
    <row r="229" spans="1:8" x14ac:dyDescent="0.2">
      <c r="A229" t="b">
        <v>1</v>
      </c>
      <c r="B229" t="s">
        <v>961</v>
      </c>
      <c r="C229">
        <f>IF(A229=FALSE, 1,SUMIFS('Cashflow Projection'!$C$50:$C$62, 'Cashflow Projection'!$B$33:$B$45, 'Updated Construction'!G229))</f>
        <v>0</v>
      </c>
      <c r="D229" t="b">
        <v>0</v>
      </c>
      <c r="E229" s="7">
        <v>45562</v>
      </c>
      <c r="F229">
        <v>0</v>
      </c>
      <c r="G229" t="s">
        <v>811</v>
      </c>
      <c r="H229" s="7">
        <v>45626</v>
      </c>
    </row>
    <row r="230" spans="1:8" x14ac:dyDescent="0.2">
      <c r="A230" t="b">
        <v>1</v>
      </c>
      <c r="B230" t="s">
        <v>961</v>
      </c>
      <c r="C230">
        <f>IF(A230=FALSE, 1,SUMIFS('Cashflow Projection'!$C$50:$C$62, 'Cashflow Projection'!$B$33:$B$45, 'Updated Construction'!G230))</f>
        <v>0</v>
      </c>
      <c r="D230" t="b">
        <v>0</v>
      </c>
      <c r="E230" s="7">
        <v>45596</v>
      </c>
      <c r="F230">
        <v>0</v>
      </c>
      <c r="G230" t="s">
        <v>811</v>
      </c>
      <c r="H230" s="7">
        <v>45626</v>
      </c>
    </row>
    <row r="231" spans="1:8" x14ac:dyDescent="0.2">
      <c r="A231" t="b">
        <v>1</v>
      </c>
      <c r="B231" t="s">
        <v>961</v>
      </c>
      <c r="C231">
        <f>IF(A231=FALSE, 1,SUMIFS('Cashflow Projection'!$C$50:$C$62, 'Cashflow Projection'!$B$33:$B$45, 'Updated Construction'!G231))</f>
        <v>0</v>
      </c>
      <c r="D231" t="b">
        <v>0</v>
      </c>
      <c r="E231" s="7">
        <v>45626</v>
      </c>
      <c r="F231">
        <v>0</v>
      </c>
      <c r="G231" t="s">
        <v>811</v>
      </c>
      <c r="H231" s="7">
        <v>45688</v>
      </c>
    </row>
    <row r="232" spans="1:8" x14ac:dyDescent="0.2">
      <c r="A232" t="b">
        <v>1</v>
      </c>
      <c r="B232" t="s">
        <v>961</v>
      </c>
      <c r="C232">
        <f>IF(A232=FALSE, 1,SUMIFS('Cashflow Projection'!$C$50:$C$62, 'Cashflow Projection'!$B$33:$B$45, 'Updated Construction'!G232))</f>
        <v>0</v>
      </c>
      <c r="D232" t="b">
        <v>0</v>
      </c>
      <c r="E232" s="7">
        <v>45657</v>
      </c>
      <c r="F232">
        <v>0</v>
      </c>
      <c r="G232" t="s">
        <v>811</v>
      </c>
      <c r="H232" s="7">
        <v>45688</v>
      </c>
    </row>
    <row r="233" spans="1:8" x14ac:dyDescent="0.2">
      <c r="A233" t="b">
        <v>1</v>
      </c>
      <c r="B233" t="s">
        <v>961</v>
      </c>
      <c r="C233">
        <f>IF(A233=FALSE, 1,SUMIFS('Cashflow Projection'!$C$50:$C$62, 'Cashflow Projection'!$B$33:$B$45, 'Updated Construction'!G233))</f>
        <v>0</v>
      </c>
      <c r="D233" t="b">
        <v>0</v>
      </c>
      <c r="E233" s="7">
        <v>45688</v>
      </c>
      <c r="F233">
        <v>0</v>
      </c>
      <c r="G233" t="s">
        <v>811</v>
      </c>
      <c r="H233" s="7">
        <v>45747</v>
      </c>
    </row>
    <row r="234" spans="1:8" x14ac:dyDescent="0.2">
      <c r="A234" t="b">
        <v>1</v>
      </c>
      <c r="B234" t="s">
        <v>963</v>
      </c>
      <c r="C234">
        <f>IF(A234=FALSE, 1,SUMIFS('Cashflow Projection'!$C$50:$C$62, 'Cashflow Projection'!$B$33:$B$45, 'Updated Construction'!G234))</f>
        <v>0</v>
      </c>
      <c r="D234" t="b">
        <v>1</v>
      </c>
      <c r="E234" s="7">
        <v>45382</v>
      </c>
      <c r="F234">
        <v>0</v>
      </c>
      <c r="G234" t="s">
        <v>854</v>
      </c>
      <c r="H234" s="7">
        <v>45443</v>
      </c>
    </row>
    <row r="235" spans="1:8" x14ac:dyDescent="0.2">
      <c r="A235" t="b">
        <v>1</v>
      </c>
      <c r="B235" t="s">
        <v>963</v>
      </c>
      <c r="C235">
        <f>IF(A235=FALSE, 1,SUMIFS('Cashflow Projection'!$C$50:$C$62, 'Cashflow Projection'!$B$33:$B$45, 'Updated Construction'!G235))</f>
        <v>0</v>
      </c>
      <c r="D235" t="b">
        <v>0</v>
      </c>
      <c r="E235" s="7">
        <v>45412</v>
      </c>
      <c r="F235">
        <v>0</v>
      </c>
      <c r="G235" t="s">
        <v>854</v>
      </c>
      <c r="H235" s="7">
        <v>45443</v>
      </c>
    </row>
    <row r="236" spans="1:8" x14ac:dyDescent="0.2">
      <c r="A236" t="b">
        <v>1</v>
      </c>
      <c r="B236" t="s">
        <v>963</v>
      </c>
      <c r="C236">
        <f>IF(A236=FALSE, 1,SUMIFS('Cashflow Projection'!$C$50:$C$62, 'Cashflow Projection'!$B$33:$B$45, 'Updated Construction'!G236))</f>
        <v>0</v>
      </c>
      <c r="D236" t="b">
        <v>0</v>
      </c>
      <c r="E236" s="7">
        <v>45442</v>
      </c>
      <c r="F236">
        <v>590240.25</v>
      </c>
      <c r="G236" t="s">
        <v>854</v>
      </c>
      <c r="H236" s="7">
        <v>45504</v>
      </c>
    </row>
    <row r="237" spans="1:8" x14ac:dyDescent="0.2">
      <c r="A237" t="b">
        <v>1</v>
      </c>
      <c r="B237" t="s">
        <v>963</v>
      </c>
      <c r="C237">
        <f>IF(A237=FALSE, 1,SUMIFS('Cashflow Projection'!$C$50:$C$62, 'Cashflow Projection'!$B$33:$B$45, 'Updated Construction'!G237))</f>
        <v>0</v>
      </c>
      <c r="D237" t="b">
        <v>0</v>
      </c>
      <c r="E237" s="7">
        <v>45472</v>
      </c>
      <c r="F237">
        <v>590240.25</v>
      </c>
      <c r="G237" t="s">
        <v>854</v>
      </c>
      <c r="H237" s="7">
        <v>45504</v>
      </c>
    </row>
    <row r="238" spans="1:8" x14ac:dyDescent="0.2">
      <c r="A238" t="b">
        <v>1</v>
      </c>
      <c r="B238" t="s">
        <v>963</v>
      </c>
      <c r="C238">
        <f>IF(A238=FALSE, 1,SUMIFS('Cashflow Projection'!$C$50:$C$62, 'Cashflow Projection'!$B$33:$B$45, 'Updated Construction'!G238))</f>
        <v>0</v>
      </c>
      <c r="D238" t="b">
        <v>0</v>
      </c>
      <c r="E238" s="7">
        <v>45502</v>
      </c>
      <c r="F238">
        <v>419731.42</v>
      </c>
      <c r="G238" t="s">
        <v>854</v>
      </c>
      <c r="H238" s="7">
        <v>45565</v>
      </c>
    </row>
    <row r="239" spans="1:8" x14ac:dyDescent="0.2">
      <c r="A239" t="b">
        <v>1</v>
      </c>
      <c r="B239" t="s">
        <v>963</v>
      </c>
      <c r="C239">
        <f>IF(A239=FALSE, 1,SUMIFS('Cashflow Projection'!$C$50:$C$62, 'Cashflow Projection'!$B$33:$B$45, 'Updated Construction'!G239))</f>
        <v>0</v>
      </c>
      <c r="D239" t="b">
        <v>0</v>
      </c>
      <c r="E239" s="7">
        <v>45532</v>
      </c>
      <c r="F239">
        <v>419731.42</v>
      </c>
      <c r="G239" t="s">
        <v>854</v>
      </c>
      <c r="H239" s="7">
        <v>45565</v>
      </c>
    </row>
    <row r="240" spans="1:8" x14ac:dyDescent="0.2">
      <c r="A240" t="b">
        <v>1</v>
      </c>
      <c r="B240" t="s">
        <v>963</v>
      </c>
      <c r="C240">
        <f>IF(A240=FALSE, 1,SUMIFS('Cashflow Projection'!$C$50:$C$62, 'Cashflow Projection'!$B$33:$B$45, 'Updated Construction'!G240))</f>
        <v>0</v>
      </c>
      <c r="D240" t="b">
        <v>0</v>
      </c>
      <c r="E240" s="7">
        <v>45562</v>
      </c>
      <c r="F240">
        <v>0</v>
      </c>
      <c r="G240" t="s">
        <v>854</v>
      </c>
      <c r="H240" s="7">
        <v>45626</v>
      </c>
    </row>
    <row r="241" spans="1:8" x14ac:dyDescent="0.2">
      <c r="A241" t="b">
        <v>1</v>
      </c>
      <c r="B241" t="s">
        <v>963</v>
      </c>
      <c r="C241">
        <f>IF(A241=FALSE, 1,SUMIFS('Cashflow Projection'!$C$50:$C$62, 'Cashflow Projection'!$B$33:$B$45, 'Updated Construction'!G241))</f>
        <v>0</v>
      </c>
      <c r="D241" t="b">
        <v>0</v>
      </c>
      <c r="E241" s="7">
        <v>45596</v>
      </c>
      <c r="F241">
        <v>0</v>
      </c>
      <c r="G241" t="s">
        <v>854</v>
      </c>
      <c r="H241" s="7">
        <v>45626</v>
      </c>
    </row>
    <row r="242" spans="1:8" x14ac:dyDescent="0.2">
      <c r="A242" t="b">
        <v>1</v>
      </c>
      <c r="B242" t="s">
        <v>963</v>
      </c>
      <c r="C242">
        <f>IF(A242=FALSE, 1,SUMIFS('Cashflow Projection'!$C$50:$C$62, 'Cashflow Projection'!$B$33:$B$45, 'Updated Construction'!G242))</f>
        <v>0</v>
      </c>
      <c r="D242" t="b">
        <v>0</v>
      </c>
      <c r="E242" s="7">
        <v>45626</v>
      </c>
      <c r="F242">
        <v>0</v>
      </c>
      <c r="G242" t="s">
        <v>854</v>
      </c>
      <c r="H242" s="7">
        <v>45688</v>
      </c>
    </row>
    <row r="243" spans="1:8" x14ac:dyDescent="0.2">
      <c r="A243" t="b">
        <v>1</v>
      </c>
      <c r="B243" t="s">
        <v>963</v>
      </c>
      <c r="C243">
        <f>IF(A243=FALSE, 1,SUMIFS('Cashflow Projection'!$C$50:$C$62, 'Cashflow Projection'!$B$33:$B$45, 'Updated Construction'!G243))</f>
        <v>0</v>
      </c>
      <c r="D243" t="b">
        <v>0</v>
      </c>
      <c r="E243" s="7">
        <v>45657</v>
      </c>
      <c r="F243">
        <v>0</v>
      </c>
      <c r="G243" t="s">
        <v>854</v>
      </c>
      <c r="H243" s="7">
        <v>45688</v>
      </c>
    </row>
    <row r="244" spans="1:8" x14ac:dyDescent="0.2">
      <c r="A244" t="b">
        <v>1</v>
      </c>
      <c r="B244" t="s">
        <v>963</v>
      </c>
      <c r="C244">
        <f>IF(A244=FALSE, 1,SUMIFS('Cashflow Projection'!$C$50:$C$62, 'Cashflow Projection'!$B$33:$B$45, 'Updated Construction'!G244))</f>
        <v>0</v>
      </c>
      <c r="D244" t="b">
        <v>0</v>
      </c>
      <c r="E244" s="7">
        <v>45688</v>
      </c>
      <c r="F244">
        <v>0</v>
      </c>
      <c r="G244" t="s">
        <v>854</v>
      </c>
      <c r="H244" s="7">
        <v>45747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072BA"/>
  </sheetPr>
  <dimension ref="A1:Z290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2" max="2" width="30" customWidth="1"/>
    <col min="6" max="8" width="30" customWidth="1"/>
  </cols>
  <sheetData>
    <row r="1" spans="1:26" x14ac:dyDescent="0.2">
      <c r="A1" t="s">
        <v>971</v>
      </c>
    </row>
    <row r="2" spans="1:26" x14ac:dyDescent="0.2">
      <c r="I2" s="1">
        <f t="shared" ref="I2:S2" si="0">SUBTOTAL(9,I5:I290)</f>
        <v>444205491</v>
      </c>
      <c r="J2" s="1">
        <f t="shared" si="0"/>
        <v>54621807.521739103</v>
      </c>
      <c r="K2" s="1">
        <f t="shared" si="0"/>
        <v>386265644.34782612</v>
      </c>
      <c r="L2" s="1">
        <f t="shared" si="0"/>
        <v>5291594.8800000157</v>
      </c>
      <c r="M2" s="1">
        <f t="shared" si="0"/>
        <v>511654</v>
      </c>
      <c r="N2" s="1">
        <f t="shared" si="0"/>
        <v>2221027.4550000005</v>
      </c>
      <c r="O2" s="1">
        <f t="shared" si="0"/>
        <v>22210274.549999993</v>
      </c>
      <c r="P2" s="1">
        <f t="shared" si="0"/>
        <v>5498169.8200000254</v>
      </c>
      <c r="Q2" s="1">
        <f t="shared" si="0"/>
        <v>408472770.29500204</v>
      </c>
      <c r="R2" s="1">
        <f t="shared" si="0"/>
        <v>86026223.834462807</v>
      </c>
      <c r="S2" s="1">
        <f t="shared" si="0"/>
        <v>314249915.6105383</v>
      </c>
    </row>
    <row r="4" spans="1:26" x14ac:dyDescent="0.2">
      <c r="A4" s="2" t="s">
        <v>4</v>
      </c>
      <c r="B4" s="2" t="s">
        <v>8</v>
      </c>
      <c r="C4" s="2" t="s">
        <v>5</v>
      </c>
      <c r="D4" s="2" t="s">
        <v>6</v>
      </c>
      <c r="E4" s="2" t="s">
        <v>923</v>
      </c>
      <c r="F4" s="2" t="s">
        <v>934</v>
      </c>
      <c r="G4" s="2" t="s">
        <v>972</v>
      </c>
      <c r="H4" s="2" t="s">
        <v>973</v>
      </c>
      <c r="I4" s="2" t="s">
        <v>974</v>
      </c>
      <c r="J4" s="2" t="s">
        <v>975</v>
      </c>
      <c r="K4" s="2" t="s">
        <v>976</v>
      </c>
      <c r="L4" s="2" t="s">
        <v>977</v>
      </c>
      <c r="M4" s="2" t="s">
        <v>978</v>
      </c>
      <c r="N4" s="2" t="s">
        <v>979</v>
      </c>
      <c r="O4" s="2" t="s">
        <v>980</v>
      </c>
      <c r="P4" s="2" t="s">
        <v>981</v>
      </c>
      <c r="Q4" s="2" t="s">
        <v>982</v>
      </c>
      <c r="R4" s="2" t="s">
        <v>983</v>
      </c>
      <c r="S4" s="2" t="s">
        <v>984</v>
      </c>
      <c r="T4" s="2" t="s">
        <v>985</v>
      </c>
      <c r="U4" s="2" t="s">
        <v>986</v>
      </c>
      <c r="V4" s="2" t="s">
        <v>987</v>
      </c>
      <c r="W4" t="s">
        <v>988</v>
      </c>
      <c r="X4" t="s">
        <v>989</v>
      </c>
      <c r="Y4" t="s">
        <v>990</v>
      </c>
      <c r="Z4" t="s">
        <v>991</v>
      </c>
    </row>
    <row r="5" spans="1:26" x14ac:dyDescent="0.2">
      <c r="A5" s="3" t="s">
        <v>992</v>
      </c>
      <c r="B5" s="3" t="s">
        <v>26</v>
      </c>
      <c r="C5" s="3" t="s">
        <v>993</v>
      </c>
      <c r="D5" s="3" t="b">
        <v>1</v>
      </c>
      <c r="E5" s="3" t="b">
        <v>1</v>
      </c>
      <c r="F5" s="3">
        <f>IF(OR(Z5=TRUE,SUMIFS('Cashflow Projection'!$E$117:$E$149,'Cashflow Projection'!$D$117:$D$149,Sales!C5)=1),0,SUMIFS('Cashflow Projection'!$C$7:$C$23,'Cashflow Projection'!$B$7:$B$23,Sales!B5,'Cashflow Projection'!$A$7:$A$23,Sales!A5))</f>
        <v>1</v>
      </c>
      <c r="G5" s="4">
        <v>45259</v>
      </c>
      <c r="H5" s="4">
        <v>45688</v>
      </c>
      <c r="I5" s="3">
        <v>1549900</v>
      </c>
      <c r="J5" s="3">
        <v>202160.86956521741</v>
      </c>
      <c r="K5" s="3">
        <v>1347739.1304347829</v>
      </c>
      <c r="L5" s="3">
        <v>18502.080000000002</v>
      </c>
      <c r="M5" s="3">
        <v>1789</v>
      </c>
      <c r="N5" s="3">
        <v>7749.5</v>
      </c>
      <c r="O5" s="3">
        <v>77495</v>
      </c>
      <c r="P5" s="3">
        <v>19224.37</v>
      </c>
      <c r="Q5" s="3">
        <v>1425140.05</v>
      </c>
      <c r="R5" s="9">
        <f>IF($F5=1,((SUMIFS(Investors!$M:$M,Investors!$E:$E,Sales!$C5,Investors!$O:$O,FALSE)+SUMIFS(Investors!$S:$S,Investors!$E:$E,Sales!$C5,Investors!$O:$O,FALSE))*$F5)-SUMIFS('Investor Exit List'!$Q:$Q,'Investor Exit List'!$Y:$Y,1,'Investor Exit List'!$Z:$Z,"Release",'Investor Exit List'!$C:$C,Sales!$C5),(SUMIFS(Investors!$M:$M,Investors!$E:$E,Sales!$C5,Investors!$O:$O,FALSE)+SUMIFS(Investors!$S:$S,Investors!$E:$E,Sales!$C5,Investors!$O:$O,FALSE))*$F5)</f>
        <v>0</v>
      </c>
      <c r="S5" s="9">
        <f t="shared" ref="S5:S68" si="1">IF(T5=FALSE,Q5-R5,+V5)</f>
        <v>1425140.05</v>
      </c>
      <c r="T5" s="3" t="b">
        <v>0</v>
      </c>
      <c r="U5" s="4">
        <v>45747</v>
      </c>
      <c r="V5" s="9">
        <v>285658.20068493107</v>
      </c>
      <c r="W5" s="10">
        <f>IF(SUMIFS('Cashflow Projection'!$E$117:$E$149,'Cashflow Projection'!$D$117:$D$149,Sales!C5)=1,SUMIFS('Cashflow Projection'!$C$117:$C$149,'Cashflow Projection'!$D$117:$D$149,Sales!C5),+Sales!H5)</f>
        <v>45688</v>
      </c>
      <c r="X5" s="10">
        <f t="shared" ref="X5:X68" si="2">IF(MOD(MONTH(W5), 2) &lt;&gt; 0, EOMONTH(W5, 2), EOMONTH(W5, 1))</f>
        <v>45747</v>
      </c>
      <c r="Y5" s="10">
        <f t="shared" ref="Y5:Y68" si="3">EOMONTH(X5,1)</f>
        <v>45777</v>
      </c>
      <c r="Z5" t="b">
        <v>0</v>
      </c>
    </row>
    <row r="6" spans="1:26" x14ac:dyDescent="0.2">
      <c r="A6" s="3" t="s">
        <v>992</v>
      </c>
      <c r="B6" s="3" t="s">
        <v>26</v>
      </c>
      <c r="C6" s="3" t="s">
        <v>994</v>
      </c>
      <c r="D6" s="3" t="b">
        <v>0</v>
      </c>
      <c r="E6" s="3" t="b">
        <v>0</v>
      </c>
      <c r="F6" s="3">
        <f>IF(OR(Z6=TRUE,SUMIFS('Cashflow Projection'!$E$117:$E$149,'Cashflow Projection'!$D$117:$D$149,Sales!C6)=1),0,SUMIFS('Cashflow Projection'!$C$7:$C$23,'Cashflow Projection'!$B$7:$B$23,Sales!B6,'Cashflow Projection'!$A$7:$A$23,Sales!A6))</f>
        <v>1</v>
      </c>
      <c r="G6" s="4">
        <v>45442</v>
      </c>
      <c r="H6" s="4">
        <v>45427</v>
      </c>
      <c r="I6" s="3">
        <v>1499900</v>
      </c>
      <c r="J6" s="3">
        <v>0</v>
      </c>
      <c r="K6" s="3">
        <v>1304260.869565218</v>
      </c>
      <c r="L6" s="3">
        <v>18502.080000000002</v>
      </c>
      <c r="M6" s="3">
        <v>1789</v>
      </c>
      <c r="N6" s="3">
        <v>7499.5</v>
      </c>
      <c r="O6" s="3">
        <v>74995</v>
      </c>
      <c r="P6" s="3">
        <v>19224.37</v>
      </c>
      <c r="Q6" s="3">
        <v>1377890.05</v>
      </c>
      <c r="R6" s="9">
        <f>IF($F6=1,((SUMIFS(Investors!$M:$M,Investors!$E:$E,Sales!$C6,Investors!$O:$O,FALSE)+SUMIFS(Investors!$S:$S,Investors!$E:$E,Sales!$C6,Investors!$O:$O,FALSE))*$F6)-SUMIFS('Investor Exit List'!$Q:$Q,'Investor Exit List'!$Y:$Y,1,'Investor Exit List'!$Z:$Z,"Release",'Investor Exit List'!$C:$C,Sales!$C6),(SUMIFS(Investors!$M:$M,Investors!$E:$E,Sales!$C6,Investors!$O:$O,FALSE)+SUMIFS(Investors!$S:$S,Investors!$E:$E,Sales!$C6,Investors!$O:$O,FALSE))*$F6)</f>
        <v>0</v>
      </c>
      <c r="S6" s="9">
        <f t="shared" si="1"/>
        <v>824500</v>
      </c>
      <c r="T6" s="3" t="b">
        <v>1</v>
      </c>
      <c r="U6" s="4">
        <v>45504</v>
      </c>
      <c r="V6" s="9">
        <v>824500</v>
      </c>
      <c r="W6" s="10">
        <f>IF(SUMIFS('Cashflow Projection'!$E$117:$E$149,'Cashflow Projection'!$D$117:$D$149,Sales!C6)=1,SUMIFS('Cashflow Projection'!$C$117:$C$149,'Cashflow Projection'!$D$117:$D$149,Sales!C6),+Sales!H6)</f>
        <v>45427</v>
      </c>
      <c r="X6" s="10">
        <f t="shared" si="2"/>
        <v>45504</v>
      </c>
      <c r="Y6" s="10">
        <f t="shared" si="3"/>
        <v>45535</v>
      </c>
      <c r="Z6" t="b">
        <v>0</v>
      </c>
    </row>
    <row r="7" spans="1:26" x14ac:dyDescent="0.2">
      <c r="A7" s="3" t="s">
        <v>992</v>
      </c>
      <c r="B7" s="3" t="s">
        <v>26</v>
      </c>
      <c r="C7" s="3" t="s">
        <v>995</v>
      </c>
      <c r="D7" s="3" t="b">
        <v>1</v>
      </c>
      <c r="E7" s="3" t="b">
        <v>1</v>
      </c>
      <c r="F7" s="3">
        <f>IF(OR(Z7=TRUE,SUMIFS('Cashflow Projection'!$E$117:$E$149,'Cashflow Projection'!$D$117:$D$149,Sales!C7)=1),0,SUMIFS('Cashflow Projection'!$C$7:$C$23,'Cashflow Projection'!$B$7:$B$23,Sales!B7,'Cashflow Projection'!$A$7:$A$23,Sales!A7))</f>
        <v>1</v>
      </c>
      <c r="G7" s="4">
        <v>45272</v>
      </c>
      <c r="H7" s="4">
        <v>45688</v>
      </c>
      <c r="I7" s="3">
        <v>1579900</v>
      </c>
      <c r="J7" s="3">
        <v>206073.91304347821</v>
      </c>
      <c r="K7" s="3">
        <v>1373826.086956522</v>
      </c>
      <c r="L7" s="3">
        <v>18502.080000000002</v>
      </c>
      <c r="M7" s="3">
        <v>1789</v>
      </c>
      <c r="N7" s="3">
        <v>7899.5</v>
      </c>
      <c r="O7" s="3">
        <v>78995</v>
      </c>
      <c r="P7" s="3">
        <v>19224.37</v>
      </c>
      <c r="Q7" s="3">
        <v>1453490.05</v>
      </c>
      <c r="R7" s="9">
        <f>IF($F7=1,((SUMIFS(Investors!$M:$M,Investors!$E:$E,Sales!$C7,Investors!$O:$O,FALSE)+SUMIFS(Investors!$S:$S,Investors!$E:$E,Sales!$C7,Investors!$O:$O,FALSE))*$F7)-SUMIFS('Investor Exit List'!$Q:$Q,'Investor Exit List'!$Y:$Y,1,'Investor Exit List'!$Z:$Z,"Release",'Investor Exit List'!$C:$C,Sales!$C7),(SUMIFS(Investors!$M:$M,Investors!$E:$E,Sales!$C7,Investors!$O:$O,FALSE)+SUMIFS(Investors!$S:$S,Investors!$E:$E,Sales!$C7,Investors!$O:$O,FALSE))*$F7)</f>
        <v>0</v>
      </c>
      <c r="S7" s="9">
        <f t="shared" si="1"/>
        <v>1453490.05</v>
      </c>
      <c r="T7" s="3" t="b">
        <v>0</v>
      </c>
      <c r="U7" s="4">
        <v>45747</v>
      </c>
      <c r="V7" s="9">
        <v>190757.17328767109</v>
      </c>
      <c r="W7" s="10">
        <f>IF(SUMIFS('Cashflow Projection'!$E$117:$E$149,'Cashflow Projection'!$D$117:$D$149,Sales!C7)=1,SUMIFS('Cashflow Projection'!$C$117:$C$149,'Cashflow Projection'!$D$117:$D$149,Sales!C7),+Sales!H7)</f>
        <v>45688</v>
      </c>
      <c r="X7" s="10">
        <f t="shared" si="2"/>
        <v>45747</v>
      </c>
      <c r="Y7" s="10">
        <f t="shared" si="3"/>
        <v>45777</v>
      </c>
      <c r="Z7" t="b">
        <v>0</v>
      </c>
    </row>
    <row r="8" spans="1:26" x14ac:dyDescent="0.2">
      <c r="A8" s="3" t="s">
        <v>992</v>
      </c>
      <c r="B8" s="3" t="s">
        <v>569</v>
      </c>
      <c r="C8" s="3" t="s">
        <v>996</v>
      </c>
      <c r="D8" s="3" t="b">
        <v>1</v>
      </c>
      <c r="E8" s="3" t="b">
        <v>1</v>
      </c>
      <c r="F8" s="3">
        <f>IF(OR(Z8=TRUE,SUMIFS('Cashflow Projection'!$E$117:$E$149,'Cashflow Projection'!$D$117:$D$149,Sales!C8)=1),0,SUMIFS('Cashflow Projection'!$C$7:$C$23,'Cashflow Projection'!$B$7:$B$23,Sales!B8,'Cashflow Projection'!$A$7:$A$23,Sales!A8))</f>
        <v>0</v>
      </c>
      <c r="G8" s="4">
        <v>44690</v>
      </c>
      <c r="H8" s="4">
        <v>45688</v>
      </c>
      <c r="I8" s="3">
        <v>1479900</v>
      </c>
      <c r="J8" s="3">
        <v>193030.4347826087</v>
      </c>
      <c r="K8" s="3">
        <v>1286869.5652173909</v>
      </c>
      <c r="L8" s="3">
        <v>18502.080000000002</v>
      </c>
      <c r="M8" s="3">
        <v>1789</v>
      </c>
      <c r="N8" s="3">
        <v>7399.5</v>
      </c>
      <c r="O8" s="3">
        <v>73995</v>
      </c>
      <c r="P8" s="3">
        <v>19224.37</v>
      </c>
      <c r="Q8" s="3">
        <v>1358990.05</v>
      </c>
      <c r="R8" s="9">
        <f>IF($F8=1,((SUMIFS(Investors!$M:$M,Investors!$E:$E,Sales!$C8,Investors!$O:$O,FALSE)+SUMIFS(Investors!$S:$S,Investors!$E:$E,Sales!$C8,Investors!$O:$O,FALSE))*$F8)-SUMIFS('Investor Exit List'!$Q:$Q,'Investor Exit List'!$Y:$Y,1,'Investor Exit List'!$Z:$Z,"Release",'Investor Exit List'!$C:$C,Sales!$C8),(SUMIFS(Investors!$M:$M,Investors!$E:$E,Sales!$C8,Investors!$O:$O,FALSE)+SUMIFS(Investors!$S:$S,Investors!$E:$E,Sales!$C8,Investors!$O:$O,FALSE))*$F8)</f>
        <v>0</v>
      </c>
      <c r="S8" s="9">
        <f t="shared" si="1"/>
        <v>1358990.05</v>
      </c>
      <c r="T8" s="3" t="b">
        <v>0</v>
      </c>
      <c r="U8" s="4">
        <v>45747</v>
      </c>
      <c r="V8" s="9">
        <v>150393.95895986311</v>
      </c>
      <c r="W8" s="10">
        <f>IF(SUMIFS('Cashflow Projection'!$E$117:$E$149,'Cashflow Projection'!$D$117:$D$149,Sales!C8)=1,SUMIFS('Cashflow Projection'!$C$117:$C$149,'Cashflow Projection'!$D$117:$D$149,Sales!C8),+Sales!H8)</f>
        <v>45688</v>
      </c>
      <c r="X8" s="10">
        <f t="shared" si="2"/>
        <v>45747</v>
      </c>
      <c r="Y8" s="10">
        <f t="shared" si="3"/>
        <v>45777</v>
      </c>
      <c r="Z8" t="b">
        <v>0</v>
      </c>
    </row>
    <row r="9" spans="1:26" x14ac:dyDescent="0.2">
      <c r="A9" s="3" t="s">
        <v>992</v>
      </c>
      <c r="B9" s="3" t="s">
        <v>569</v>
      </c>
      <c r="C9" s="3" t="s">
        <v>997</v>
      </c>
      <c r="D9" s="3" t="b">
        <v>1</v>
      </c>
      <c r="E9" s="3" t="b">
        <v>1</v>
      </c>
      <c r="F9" s="3">
        <f>IF(OR(Z9=TRUE,SUMIFS('Cashflow Projection'!$E$117:$E$149,'Cashflow Projection'!$D$117:$D$149,Sales!C9)=1),0,SUMIFS('Cashflow Projection'!$C$7:$C$23,'Cashflow Projection'!$B$7:$B$23,Sales!B9,'Cashflow Projection'!$A$7:$A$23,Sales!A9))</f>
        <v>0</v>
      </c>
      <c r="G9" s="4">
        <v>44657</v>
      </c>
      <c r="H9" s="4">
        <v>45688</v>
      </c>
      <c r="I9" s="3">
        <v>1449900</v>
      </c>
      <c r="J9" s="3">
        <v>189117.39130434781</v>
      </c>
      <c r="K9" s="3">
        <v>1260782.6086956521</v>
      </c>
      <c r="L9" s="3">
        <v>18502.080000000002</v>
      </c>
      <c r="M9" s="3">
        <v>1789</v>
      </c>
      <c r="N9" s="3">
        <v>7249.5</v>
      </c>
      <c r="O9" s="3">
        <v>72495</v>
      </c>
      <c r="P9" s="3">
        <v>19224.37</v>
      </c>
      <c r="Q9" s="3">
        <v>1330640.05</v>
      </c>
      <c r="R9" s="9">
        <f>IF($F9=1,((SUMIFS(Investors!$M:$M,Investors!$E:$E,Sales!$C9,Investors!$O:$O,FALSE)+SUMIFS(Investors!$S:$S,Investors!$E:$E,Sales!$C9,Investors!$O:$O,FALSE))*$F9)-SUMIFS('Investor Exit List'!$Q:$Q,'Investor Exit List'!$Y:$Y,1,'Investor Exit List'!$Z:$Z,"Release",'Investor Exit List'!$C:$C,Sales!$C9),(SUMIFS(Investors!$M:$M,Investors!$E:$E,Sales!$C9,Investors!$O:$O,FALSE)+SUMIFS(Investors!$S:$S,Investors!$E:$E,Sales!$C9,Investors!$O:$O,FALSE))*$F9)</f>
        <v>0</v>
      </c>
      <c r="S9" s="9">
        <f t="shared" si="1"/>
        <v>1330640.05</v>
      </c>
      <c r="T9" s="3" t="b">
        <v>0</v>
      </c>
      <c r="U9" s="4">
        <v>45747</v>
      </c>
      <c r="V9" s="9">
        <v>166567.65724109579</v>
      </c>
      <c r="W9" s="10">
        <f>IF(SUMIFS('Cashflow Projection'!$E$117:$E$149,'Cashflow Projection'!$D$117:$D$149,Sales!C9)=1,SUMIFS('Cashflow Projection'!$C$117:$C$149,'Cashflow Projection'!$D$117:$D$149,Sales!C9),+Sales!H9)</f>
        <v>45688</v>
      </c>
      <c r="X9" s="10">
        <f t="shared" si="2"/>
        <v>45747</v>
      </c>
      <c r="Y9" s="10">
        <f t="shared" si="3"/>
        <v>45777</v>
      </c>
      <c r="Z9" t="b">
        <v>0</v>
      </c>
    </row>
    <row r="10" spans="1:26" x14ac:dyDescent="0.2">
      <c r="A10" s="3" t="s">
        <v>992</v>
      </c>
      <c r="B10" s="3" t="s">
        <v>26</v>
      </c>
      <c r="C10" s="3" t="s">
        <v>998</v>
      </c>
      <c r="D10" s="3" t="b">
        <v>0</v>
      </c>
      <c r="E10" s="3" t="b">
        <v>0</v>
      </c>
      <c r="F10" s="3">
        <f>IF(OR(Z10=TRUE,SUMIFS('Cashflow Projection'!$E$117:$E$149,'Cashflow Projection'!$D$117:$D$149,Sales!C10)=1),0,SUMIFS('Cashflow Projection'!$C$7:$C$23,'Cashflow Projection'!$B$7:$B$23,Sales!B10,'Cashflow Projection'!$A$7:$A$23,Sales!A10))</f>
        <v>1</v>
      </c>
      <c r="G10" s="4">
        <v>45442</v>
      </c>
      <c r="H10" s="4">
        <v>45427</v>
      </c>
      <c r="I10" s="3">
        <v>1499900</v>
      </c>
      <c r="J10" s="3">
        <v>0</v>
      </c>
      <c r="K10" s="3">
        <v>1304260.869565218</v>
      </c>
      <c r="L10" s="3">
        <v>18502.080000000002</v>
      </c>
      <c r="M10" s="3">
        <v>1789</v>
      </c>
      <c r="N10" s="3">
        <v>7499.5</v>
      </c>
      <c r="O10" s="3">
        <v>74995</v>
      </c>
      <c r="P10" s="3">
        <v>19224.37</v>
      </c>
      <c r="Q10" s="3">
        <v>1377890.05</v>
      </c>
      <c r="R10" s="9">
        <f>IF($F10=1,((SUMIFS(Investors!$M:$M,Investors!$E:$E,Sales!$C10,Investors!$O:$O,FALSE)+SUMIFS(Investors!$S:$S,Investors!$E:$E,Sales!$C10,Investors!$O:$O,FALSE))*$F10)-SUMIFS('Investor Exit List'!$Q:$Q,'Investor Exit List'!$Y:$Y,1,'Investor Exit List'!$Z:$Z,"Release",'Investor Exit List'!$C:$C,Sales!$C10),(SUMIFS(Investors!$M:$M,Investors!$E:$E,Sales!$C10,Investors!$O:$O,FALSE)+SUMIFS(Investors!$S:$S,Investors!$E:$E,Sales!$C10,Investors!$O:$O,FALSE))*$F10)</f>
        <v>0</v>
      </c>
      <c r="S10" s="9">
        <f t="shared" si="1"/>
        <v>902100</v>
      </c>
      <c r="T10" s="3" t="b">
        <v>1</v>
      </c>
      <c r="U10" s="4">
        <v>45504</v>
      </c>
      <c r="V10" s="9">
        <v>902100</v>
      </c>
      <c r="W10" s="10">
        <f>IF(SUMIFS('Cashflow Projection'!$E$117:$E$149,'Cashflow Projection'!$D$117:$D$149,Sales!C10)=1,SUMIFS('Cashflow Projection'!$C$117:$C$149,'Cashflow Projection'!$D$117:$D$149,Sales!C10),+Sales!H10)</f>
        <v>45427</v>
      </c>
      <c r="X10" s="10">
        <f t="shared" si="2"/>
        <v>45504</v>
      </c>
      <c r="Y10" s="10">
        <f t="shared" si="3"/>
        <v>45535</v>
      </c>
      <c r="Z10" t="b">
        <v>0</v>
      </c>
    </row>
    <row r="11" spans="1:26" x14ac:dyDescent="0.2">
      <c r="A11" s="3" t="s">
        <v>992</v>
      </c>
      <c r="B11" s="3" t="s">
        <v>26</v>
      </c>
      <c r="C11" s="3" t="s">
        <v>999</v>
      </c>
      <c r="D11" s="3" t="b">
        <v>0</v>
      </c>
      <c r="E11" s="3" t="b">
        <v>0</v>
      </c>
      <c r="F11" s="3">
        <f>IF(OR(Z11=TRUE,SUMIFS('Cashflow Projection'!$E$117:$E$149,'Cashflow Projection'!$D$117:$D$149,Sales!C11)=1),0,SUMIFS('Cashflow Projection'!$C$7:$C$23,'Cashflow Projection'!$B$7:$B$23,Sales!B11,'Cashflow Projection'!$A$7:$A$23,Sales!A11))</f>
        <v>1</v>
      </c>
      <c r="G11" s="4">
        <v>45442</v>
      </c>
      <c r="H11" s="4">
        <v>45427</v>
      </c>
      <c r="I11" s="3">
        <v>1529900</v>
      </c>
      <c r="J11" s="3">
        <v>0</v>
      </c>
      <c r="K11" s="3">
        <v>1330347.826086957</v>
      </c>
      <c r="L11" s="3">
        <v>18502.080000000002</v>
      </c>
      <c r="M11" s="3">
        <v>1789</v>
      </c>
      <c r="N11" s="3">
        <v>7649.5</v>
      </c>
      <c r="O11" s="3">
        <v>76495</v>
      </c>
      <c r="P11" s="3">
        <v>19224.37</v>
      </c>
      <c r="Q11" s="3">
        <v>1406240.05</v>
      </c>
      <c r="R11" s="9">
        <f>IF($F11=1,((SUMIFS(Investors!$M:$M,Investors!$E:$E,Sales!$C11,Investors!$O:$O,FALSE)+SUMIFS(Investors!$S:$S,Investors!$E:$E,Sales!$C11,Investors!$O:$O,FALSE))*$F11)-SUMIFS('Investor Exit List'!$Q:$Q,'Investor Exit List'!$Y:$Y,1,'Investor Exit List'!$Z:$Z,"Release",'Investor Exit List'!$C:$C,Sales!$C11),(SUMIFS(Investors!$M:$M,Investors!$E:$E,Sales!$C11,Investors!$O:$O,FALSE)+SUMIFS(Investors!$S:$S,Investors!$E:$E,Sales!$C11,Investors!$O:$O,FALSE))*$F11)</f>
        <v>0</v>
      </c>
      <c r="S11" s="9">
        <f t="shared" si="1"/>
        <v>911800</v>
      </c>
      <c r="T11" s="3" t="b">
        <v>1</v>
      </c>
      <c r="U11" s="4">
        <v>45504</v>
      </c>
      <c r="V11" s="9">
        <v>911800</v>
      </c>
      <c r="W11" s="10">
        <f>IF(SUMIFS('Cashflow Projection'!$E$117:$E$149,'Cashflow Projection'!$D$117:$D$149,Sales!C11)=1,SUMIFS('Cashflow Projection'!$C$117:$C$149,'Cashflow Projection'!$D$117:$D$149,Sales!C11),+Sales!H11)</f>
        <v>45427</v>
      </c>
      <c r="X11" s="10">
        <f t="shared" si="2"/>
        <v>45504</v>
      </c>
      <c r="Y11" s="10">
        <f t="shared" si="3"/>
        <v>45535</v>
      </c>
      <c r="Z11" t="b">
        <v>0</v>
      </c>
    </row>
    <row r="12" spans="1:26" x14ac:dyDescent="0.2">
      <c r="A12" s="3" t="s">
        <v>992</v>
      </c>
      <c r="B12" s="3" t="s">
        <v>26</v>
      </c>
      <c r="C12" s="3" t="s">
        <v>1000</v>
      </c>
      <c r="D12" s="3" t="b">
        <v>1</v>
      </c>
      <c r="E12" s="3" t="b">
        <v>1</v>
      </c>
      <c r="F12" s="3">
        <f>IF(OR(Z12=TRUE,SUMIFS('Cashflow Projection'!$E$117:$E$149,'Cashflow Projection'!$D$117:$D$149,Sales!C12)=1),0,SUMIFS('Cashflow Projection'!$C$7:$C$23,'Cashflow Projection'!$B$7:$B$23,Sales!B12,'Cashflow Projection'!$A$7:$A$23,Sales!A12))</f>
        <v>1</v>
      </c>
      <c r="G12" s="4">
        <v>44831</v>
      </c>
      <c r="H12" s="4">
        <v>45688</v>
      </c>
      <c r="I12" s="3">
        <v>1559900</v>
      </c>
      <c r="J12" s="3">
        <v>203465.21739130441</v>
      </c>
      <c r="K12" s="3">
        <v>1356434.782608696</v>
      </c>
      <c r="L12" s="3">
        <v>18502.080000000002</v>
      </c>
      <c r="M12" s="3">
        <v>1789</v>
      </c>
      <c r="N12" s="3">
        <v>7799.5</v>
      </c>
      <c r="O12" s="3">
        <v>77995</v>
      </c>
      <c r="P12" s="3">
        <v>19224.37</v>
      </c>
      <c r="Q12" s="3">
        <v>1434590.05</v>
      </c>
      <c r="R12" s="9">
        <f>IF($F12=1,((SUMIFS(Investors!$M:$M,Investors!$E:$E,Sales!$C12,Investors!$O:$O,FALSE)+SUMIFS(Investors!$S:$S,Investors!$E:$E,Sales!$C12,Investors!$O:$O,FALSE))*$F12)-SUMIFS('Investor Exit List'!$Q:$Q,'Investor Exit List'!$Y:$Y,1,'Investor Exit List'!$Z:$Z,"Release",'Investor Exit List'!$C:$C,Sales!$C12),(SUMIFS(Investors!$M:$M,Investors!$E:$E,Sales!$C12,Investors!$O:$O,FALSE)+SUMIFS(Investors!$S:$S,Investors!$E:$E,Sales!$C12,Investors!$O:$O,FALSE))*$F12)</f>
        <v>0</v>
      </c>
      <c r="S12" s="9">
        <f t="shared" si="1"/>
        <v>1434590.05</v>
      </c>
      <c r="T12" s="3" t="b">
        <v>0</v>
      </c>
      <c r="U12" s="4">
        <v>45747</v>
      </c>
      <c r="V12" s="9">
        <v>220103.74863013669</v>
      </c>
      <c r="W12" s="10">
        <f>IF(SUMIFS('Cashflow Projection'!$E$117:$E$149,'Cashflow Projection'!$D$117:$D$149,Sales!C12)=1,SUMIFS('Cashflow Projection'!$C$117:$C$149,'Cashflow Projection'!$D$117:$D$149,Sales!C12),+Sales!H12)</f>
        <v>45688</v>
      </c>
      <c r="X12" s="10">
        <f t="shared" si="2"/>
        <v>45747</v>
      </c>
      <c r="Y12" s="10">
        <f t="shared" si="3"/>
        <v>45777</v>
      </c>
      <c r="Z12" t="b">
        <v>0</v>
      </c>
    </row>
    <row r="13" spans="1:26" x14ac:dyDescent="0.2">
      <c r="A13" s="3" t="s">
        <v>992</v>
      </c>
      <c r="B13" s="3" t="s">
        <v>26</v>
      </c>
      <c r="C13" s="3" t="s">
        <v>1001</v>
      </c>
      <c r="D13" s="3" t="b">
        <v>1</v>
      </c>
      <c r="E13" s="3" t="b">
        <v>1</v>
      </c>
      <c r="F13" s="3">
        <f>IF(OR(Z13=TRUE,SUMIFS('Cashflow Projection'!$E$117:$E$149,'Cashflow Projection'!$D$117:$D$149,Sales!C13)=1),0,SUMIFS('Cashflow Projection'!$C$7:$C$23,'Cashflow Projection'!$B$7:$B$23,Sales!B13,'Cashflow Projection'!$A$7:$A$23,Sales!A13))</f>
        <v>1</v>
      </c>
      <c r="G13" s="4">
        <v>45478</v>
      </c>
      <c r="H13" s="4">
        <v>45426</v>
      </c>
      <c r="I13" s="3">
        <v>1559900</v>
      </c>
      <c r="J13" s="3">
        <v>203465.21739130441</v>
      </c>
      <c r="K13" s="3">
        <v>1356434.782608696</v>
      </c>
      <c r="L13" s="3">
        <v>18502.080000000002</v>
      </c>
      <c r="M13" s="3">
        <v>1789</v>
      </c>
      <c r="N13" s="3">
        <v>7799.5</v>
      </c>
      <c r="O13" s="3">
        <v>77995</v>
      </c>
      <c r="P13" s="3">
        <v>19224.37</v>
      </c>
      <c r="Q13" s="3">
        <v>1434590.05</v>
      </c>
      <c r="R13" s="9">
        <f>IF($F13=1,((SUMIFS(Investors!$M:$M,Investors!$E:$E,Sales!$C13,Investors!$O:$O,FALSE)+SUMIFS(Investors!$S:$S,Investors!$E:$E,Sales!$C13,Investors!$O:$O,FALSE))*$F13)-SUMIFS('Investor Exit List'!$Q:$Q,'Investor Exit List'!$Y:$Y,1,'Investor Exit List'!$Z:$Z,"Release",'Investor Exit List'!$C:$C,Sales!$C13),(SUMIFS(Investors!$M:$M,Investors!$E:$E,Sales!$C13,Investors!$O:$O,FALSE)+SUMIFS(Investors!$S:$S,Investors!$E:$E,Sales!$C13,Investors!$O:$O,FALSE))*$F13)</f>
        <v>0</v>
      </c>
      <c r="S13" s="9">
        <f t="shared" si="1"/>
        <v>1434590.05</v>
      </c>
      <c r="T13" s="3" t="b">
        <v>0</v>
      </c>
      <c r="U13" s="4">
        <v>45504</v>
      </c>
      <c r="V13" s="9">
        <v>130005.1184931505</v>
      </c>
      <c r="W13" s="10">
        <f>IF(SUMIFS('Cashflow Projection'!$E$117:$E$149,'Cashflow Projection'!$D$117:$D$149,Sales!C13)=1,SUMIFS('Cashflow Projection'!$C$117:$C$149,'Cashflow Projection'!$D$117:$D$149,Sales!C13),+Sales!H13)</f>
        <v>45426</v>
      </c>
      <c r="X13" s="10">
        <f t="shared" si="2"/>
        <v>45504</v>
      </c>
      <c r="Y13" s="10">
        <f t="shared" si="3"/>
        <v>45535</v>
      </c>
      <c r="Z13" t="b">
        <v>0</v>
      </c>
    </row>
    <row r="14" spans="1:26" x14ac:dyDescent="0.2">
      <c r="A14" s="3" t="s">
        <v>992</v>
      </c>
      <c r="B14" s="3" t="s">
        <v>26</v>
      </c>
      <c r="C14" s="3" t="s">
        <v>1002</v>
      </c>
      <c r="D14" s="3" t="b">
        <v>1</v>
      </c>
      <c r="E14" s="3" t="b">
        <v>1</v>
      </c>
      <c r="F14" s="3">
        <f>IF(OR(Z14=TRUE,SUMIFS('Cashflow Projection'!$E$117:$E$149,'Cashflow Projection'!$D$117:$D$149,Sales!C14)=1),0,SUMIFS('Cashflow Projection'!$C$7:$C$23,'Cashflow Projection'!$B$7:$B$23,Sales!B14,'Cashflow Projection'!$A$7:$A$23,Sales!A14))</f>
        <v>1</v>
      </c>
      <c r="G14" s="4">
        <v>44858</v>
      </c>
      <c r="H14" s="4">
        <v>45688</v>
      </c>
      <c r="I14" s="3">
        <v>1549900</v>
      </c>
      <c r="J14" s="3">
        <v>202160.86956521741</v>
      </c>
      <c r="K14" s="3">
        <v>1347739.1304347829</v>
      </c>
      <c r="L14" s="3">
        <v>18502.080000000002</v>
      </c>
      <c r="M14" s="3">
        <v>1789</v>
      </c>
      <c r="N14" s="3">
        <v>7749.5</v>
      </c>
      <c r="O14" s="3">
        <v>77495</v>
      </c>
      <c r="P14" s="3">
        <v>19224.37</v>
      </c>
      <c r="Q14" s="3">
        <v>1425140.05</v>
      </c>
      <c r="R14" s="9">
        <f>IF($F14=1,((SUMIFS(Investors!$M:$M,Investors!$E:$E,Sales!$C14,Investors!$O:$O,FALSE)+SUMIFS(Investors!$S:$S,Investors!$E:$E,Sales!$C14,Investors!$O:$O,FALSE))*$F14)-SUMIFS('Investor Exit List'!$Q:$Q,'Investor Exit List'!$Y:$Y,1,'Investor Exit List'!$Z:$Z,"Release",'Investor Exit List'!$C:$C,Sales!$C14),(SUMIFS(Investors!$M:$M,Investors!$E:$E,Sales!$C14,Investors!$O:$O,FALSE)+SUMIFS(Investors!$S:$S,Investors!$E:$E,Sales!$C14,Investors!$O:$O,FALSE))*$F14)</f>
        <v>0</v>
      </c>
      <c r="S14" s="9">
        <f t="shared" si="1"/>
        <v>1425140.05</v>
      </c>
      <c r="T14" s="3" t="b">
        <v>0</v>
      </c>
      <c r="U14" s="4">
        <v>45747</v>
      </c>
      <c r="V14" s="9">
        <v>224923.61164383541</v>
      </c>
      <c r="W14" s="10">
        <f>IF(SUMIFS('Cashflow Projection'!$E$117:$E$149,'Cashflow Projection'!$D$117:$D$149,Sales!C14)=1,SUMIFS('Cashflow Projection'!$C$117:$C$149,'Cashflow Projection'!$D$117:$D$149,Sales!C14),+Sales!H14)</f>
        <v>45688</v>
      </c>
      <c r="X14" s="10">
        <f t="shared" si="2"/>
        <v>45747</v>
      </c>
      <c r="Y14" s="10">
        <f t="shared" si="3"/>
        <v>45777</v>
      </c>
      <c r="Z14" t="b">
        <v>0</v>
      </c>
    </row>
    <row r="15" spans="1:26" x14ac:dyDescent="0.2">
      <c r="A15" s="3" t="s">
        <v>992</v>
      </c>
      <c r="B15" s="3" t="s">
        <v>209</v>
      </c>
      <c r="C15" s="3" t="s">
        <v>1003</v>
      </c>
      <c r="D15" s="3" t="b">
        <v>0</v>
      </c>
      <c r="E15" s="3" t="b">
        <v>0</v>
      </c>
      <c r="F15" s="3">
        <f>IF(OR(Z15=TRUE,SUMIFS('Cashflow Projection'!$E$117:$E$149,'Cashflow Projection'!$D$117:$D$149,Sales!C15)=1),0,SUMIFS('Cashflow Projection'!$C$7:$C$23,'Cashflow Projection'!$B$7:$B$23,Sales!B15,'Cashflow Projection'!$A$7:$A$23,Sales!A15))</f>
        <v>1</v>
      </c>
      <c r="G15" s="4">
        <v>45505</v>
      </c>
      <c r="H15" s="4">
        <v>45427</v>
      </c>
      <c r="I15" s="3">
        <v>1519900</v>
      </c>
      <c r="J15" s="3">
        <v>0</v>
      </c>
      <c r="K15" s="3">
        <v>1321652.1739130439</v>
      </c>
      <c r="L15" s="3">
        <v>18502.080000000002</v>
      </c>
      <c r="M15" s="3">
        <v>1789</v>
      </c>
      <c r="N15" s="3">
        <v>7599.5</v>
      </c>
      <c r="O15" s="3">
        <v>75995</v>
      </c>
      <c r="P15" s="3">
        <v>19224.37</v>
      </c>
      <c r="Q15" s="3">
        <v>1396790.05</v>
      </c>
      <c r="R15" s="9">
        <f>IF($F15=1,((SUMIFS(Investors!$M:$M,Investors!$E:$E,Sales!$C15,Investors!$O:$O,FALSE)+SUMIFS(Investors!$S:$S,Investors!$E:$E,Sales!$C15,Investors!$O:$O,FALSE))*$F15)-SUMIFS('Investor Exit List'!$Q:$Q,'Investor Exit List'!$Y:$Y,1,'Investor Exit List'!$Z:$Z,"Release",'Investor Exit List'!$C:$C,Sales!$C15),(SUMIFS(Investors!$M:$M,Investors!$E:$E,Sales!$C15,Investors!$O:$O,FALSE)+SUMIFS(Investors!$S:$S,Investors!$E:$E,Sales!$C15,Investors!$O:$O,FALSE))*$F15)</f>
        <v>0</v>
      </c>
      <c r="S15" s="9">
        <f t="shared" si="1"/>
        <v>911800</v>
      </c>
      <c r="T15" s="3" t="b">
        <v>1</v>
      </c>
      <c r="U15" s="4">
        <v>45504</v>
      </c>
      <c r="V15" s="9">
        <v>911800</v>
      </c>
      <c r="W15" s="10">
        <f>IF(SUMIFS('Cashflow Projection'!$E$117:$E$149,'Cashflow Projection'!$D$117:$D$149,Sales!C15)=1,SUMIFS('Cashflow Projection'!$C$117:$C$149,'Cashflow Projection'!$D$117:$D$149,Sales!C15),+Sales!H15)</f>
        <v>45427</v>
      </c>
      <c r="X15" s="10">
        <f t="shared" si="2"/>
        <v>45504</v>
      </c>
      <c r="Y15" s="10">
        <f t="shared" si="3"/>
        <v>45535</v>
      </c>
      <c r="Z15" t="b">
        <v>0</v>
      </c>
    </row>
    <row r="16" spans="1:26" x14ac:dyDescent="0.2">
      <c r="A16" s="3" t="s">
        <v>992</v>
      </c>
      <c r="B16" s="3" t="s">
        <v>497</v>
      </c>
      <c r="C16" s="3" t="s">
        <v>1004</v>
      </c>
      <c r="D16" s="3" t="b">
        <v>1</v>
      </c>
      <c r="E16" s="3" t="b">
        <v>1</v>
      </c>
      <c r="F16" s="3">
        <f>IF(OR(Z16=TRUE,SUMIFS('Cashflow Projection'!$E$117:$E$149,'Cashflow Projection'!$D$117:$D$149,Sales!C16)=1),0,SUMIFS('Cashflow Projection'!$C$7:$C$23,'Cashflow Projection'!$B$7:$B$23,Sales!B16,'Cashflow Projection'!$A$7:$A$23,Sales!A16))</f>
        <v>0</v>
      </c>
      <c r="G16" s="4">
        <v>44732</v>
      </c>
      <c r="H16" s="4">
        <v>45688</v>
      </c>
      <c r="I16" s="3">
        <v>1424900</v>
      </c>
      <c r="J16" s="3">
        <v>185856.5217391304</v>
      </c>
      <c r="K16" s="3">
        <v>1239043.4782608701</v>
      </c>
      <c r="L16" s="3">
        <v>18502.080000000002</v>
      </c>
      <c r="M16" s="3">
        <v>1789</v>
      </c>
      <c r="N16" s="3">
        <v>7124.5</v>
      </c>
      <c r="O16" s="3">
        <v>71245</v>
      </c>
      <c r="P16" s="3">
        <v>19224.37</v>
      </c>
      <c r="Q16" s="3">
        <v>1307015.05</v>
      </c>
      <c r="R16" s="9">
        <f>IF($F16=1,((SUMIFS(Investors!$M:$M,Investors!$E:$E,Sales!$C16,Investors!$O:$O,FALSE)+SUMIFS(Investors!$S:$S,Investors!$E:$E,Sales!$C16,Investors!$O:$O,FALSE))*$F16)-SUMIFS('Investor Exit List'!$Q:$Q,'Investor Exit List'!$Y:$Y,1,'Investor Exit List'!$Z:$Z,"Release",'Investor Exit List'!$C:$C,Sales!$C16),(SUMIFS(Investors!$M:$M,Investors!$E:$E,Sales!$C16,Investors!$O:$O,FALSE)+SUMIFS(Investors!$S:$S,Investors!$E:$E,Sales!$C16,Investors!$O:$O,FALSE))*$F16)</f>
        <v>0</v>
      </c>
      <c r="S16" s="9">
        <f t="shared" si="1"/>
        <v>1307015.05</v>
      </c>
      <c r="T16" s="3" t="b">
        <v>0</v>
      </c>
      <c r="U16" s="4">
        <v>45747</v>
      </c>
      <c r="V16" s="9">
        <v>63234.228082191657</v>
      </c>
      <c r="W16" s="10">
        <f>IF(SUMIFS('Cashflow Projection'!$E$117:$E$149,'Cashflow Projection'!$D$117:$D$149,Sales!C16)=1,SUMIFS('Cashflow Projection'!$C$117:$C$149,'Cashflow Projection'!$D$117:$D$149,Sales!C16),+Sales!H16)</f>
        <v>45688</v>
      </c>
      <c r="X16" s="10">
        <f t="shared" si="2"/>
        <v>45747</v>
      </c>
      <c r="Y16" s="10">
        <f t="shared" si="3"/>
        <v>45777</v>
      </c>
      <c r="Z16" t="b">
        <v>0</v>
      </c>
    </row>
    <row r="17" spans="1:26" x14ac:dyDescent="0.2">
      <c r="A17" s="3" t="s">
        <v>992</v>
      </c>
      <c r="B17" s="3" t="s">
        <v>497</v>
      </c>
      <c r="C17" s="3" t="s">
        <v>1005</v>
      </c>
      <c r="D17" s="3" t="b">
        <v>1</v>
      </c>
      <c r="E17" s="3" t="b">
        <v>1</v>
      </c>
      <c r="F17" s="3">
        <f>IF(OR(Z17=TRUE,SUMIFS('Cashflow Projection'!$E$117:$E$149,'Cashflow Projection'!$D$117:$D$149,Sales!C17)=1),0,SUMIFS('Cashflow Projection'!$C$7:$C$23,'Cashflow Projection'!$B$7:$B$23,Sales!B17,'Cashflow Projection'!$A$7:$A$23,Sales!A17))</f>
        <v>0</v>
      </c>
      <c r="G17" s="4">
        <v>44704</v>
      </c>
      <c r="H17" s="4">
        <v>45688</v>
      </c>
      <c r="I17" s="3">
        <v>1299900</v>
      </c>
      <c r="J17" s="3">
        <v>169552.17391304349</v>
      </c>
      <c r="K17" s="3">
        <v>1130347.826086957</v>
      </c>
      <c r="L17" s="3">
        <v>18502.080000000002</v>
      </c>
      <c r="M17" s="3">
        <v>1789</v>
      </c>
      <c r="N17" s="3">
        <v>6499.5</v>
      </c>
      <c r="O17" s="3">
        <v>64995</v>
      </c>
      <c r="P17" s="3">
        <v>19224.37</v>
      </c>
      <c r="Q17" s="3">
        <v>1188890.05</v>
      </c>
      <c r="R17" s="9">
        <f>IF($F17=1,((SUMIFS(Investors!$M:$M,Investors!$E:$E,Sales!$C17,Investors!$O:$O,FALSE)+SUMIFS(Investors!$S:$S,Investors!$E:$E,Sales!$C17,Investors!$O:$O,FALSE))*$F17)-SUMIFS('Investor Exit List'!$Q:$Q,'Investor Exit List'!$Y:$Y,1,'Investor Exit List'!$Z:$Z,"Release",'Investor Exit List'!$C:$C,Sales!$C17),(SUMIFS(Investors!$M:$M,Investors!$E:$E,Sales!$C17,Investors!$O:$O,FALSE)+SUMIFS(Investors!$S:$S,Investors!$E:$E,Sales!$C17,Investors!$O:$O,FALSE))*$F17)</f>
        <v>0</v>
      </c>
      <c r="S17" s="9">
        <f t="shared" si="1"/>
        <v>1188890.05</v>
      </c>
      <c r="T17" s="3" t="b">
        <v>0</v>
      </c>
      <c r="U17" s="4">
        <v>45747</v>
      </c>
      <c r="V17" s="9">
        <v>-41082.552739726147</v>
      </c>
      <c r="W17" s="10">
        <f>IF(SUMIFS('Cashflow Projection'!$E$117:$E$149,'Cashflow Projection'!$D$117:$D$149,Sales!C17)=1,SUMIFS('Cashflow Projection'!$C$117:$C$149,'Cashflow Projection'!$D$117:$D$149,Sales!C17),+Sales!H17)</f>
        <v>45688</v>
      </c>
      <c r="X17" s="10">
        <f t="shared" si="2"/>
        <v>45747</v>
      </c>
      <c r="Y17" s="10">
        <f t="shared" si="3"/>
        <v>45777</v>
      </c>
      <c r="Z17" t="b">
        <v>0</v>
      </c>
    </row>
    <row r="18" spans="1:26" x14ac:dyDescent="0.2">
      <c r="A18" s="3" t="s">
        <v>992</v>
      </c>
      <c r="B18" s="3" t="s">
        <v>598</v>
      </c>
      <c r="C18" s="3" t="s">
        <v>1006</v>
      </c>
      <c r="D18" s="3" t="b">
        <v>1</v>
      </c>
      <c r="E18" s="3" t="b">
        <v>1</v>
      </c>
      <c r="F18" s="3">
        <f>IF(OR(Z18=TRUE,SUMIFS('Cashflow Projection'!$E$117:$E$149,'Cashflow Projection'!$D$117:$D$149,Sales!C18)=1),0,SUMIFS('Cashflow Projection'!$C$7:$C$23,'Cashflow Projection'!$B$7:$B$23,Sales!B18,'Cashflow Projection'!$A$7:$A$23,Sales!A18))</f>
        <v>0</v>
      </c>
      <c r="G18" s="4">
        <v>44711</v>
      </c>
      <c r="H18" s="4">
        <v>45688</v>
      </c>
      <c r="I18" s="3">
        <v>1479000</v>
      </c>
      <c r="J18" s="3">
        <v>192913.04347826089</v>
      </c>
      <c r="K18" s="3">
        <v>1286086.956521739</v>
      </c>
      <c r="L18" s="3">
        <v>18502.080000000002</v>
      </c>
      <c r="M18" s="3">
        <v>1789</v>
      </c>
      <c r="N18" s="3">
        <v>7395</v>
      </c>
      <c r="O18" s="3">
        <v>73950</v>
      </c>
      <c r="P18" s="3">
        <v>19224.37</v>
      </c>
      <c r="Q18" s="3">
        <v>1358139.55</v>
      </c>
      <c r="R18" s="9">
        <f>IF($F18=1,((SUMIFS(Investors!$M:$M,Investors!$E:$E,Sales!$C18,Investors!$O:$O,FALSE)+SUMIFS(Investors!$S:$S,Investors!$E:$E,Sales!$C18,Investors!$O:$O,FALSE))*$F18)-SUMIFS('Investor Exit List'!$Q:$Q,'Investor Exit List'!$Y:$Y,1,'Investor Exit List'!$Z:$Z,"Release",'Investor Exit List'!$C:$C,Sales!$C18),(SUMIFS(Investors!$M:$M,Investors!$E:$E,Sales!$C18,Investors!$O:$O,FALSE)+SUMIFS(Investors!$S:$S,Investors!$E:$E,Sales!$C18,Investors!$O:$O,FALSE))*$F18)</f>
        <v>0</v>
      </c>
      <c r="S18" s="9">
        <f t="shared" si="1"/>
        <v>1358139.55</v>
      </c>
      <c r="T18" s="3" t="b">
        <v>0</v>
      </c>
      <c r="U18" s="4">
        <v>45747</v>
      </c>
      <c r="V18" s="9">
        <v>147455.6225892464</v>
      </c>
      <c r="W18" s="10">
        <f>IF(SUMIFS('Cashflow Projection'!$E$117:$E$149,'Cashflow Projection'!$D$117:$D$149,Sales!C18)=1,SUMIFS('Cashflow Projection'!$C$117:$C$149,'Cashflow Projection'!$D$117:$D$149,Sales!C18),+Sales!H18)</f>
        <v>45688</v>
      </c>
      <c r="X18" s="10">
        <f t="shared" si="2"/>
        <v>45747</v>
      </c>
      <c r="Y18" s="10">
        <f t="shared" si="3"/>
        <v>45777</v>
      </c>
      <c r="Z18" t="b">
        <v>0</v>
      </c>
    </row>
    <row r="19" spans="1:26" x14ac:dyDescent="0.2">
      <c r="A19" s="3" t="s">
        <v>24</v>
      </c>
      <c r="B19" s="3" t="s">
        <v>26</v>
      </c>
      <c r="C19" s="3" t="s">
        <v>81</v>
      </c>
      <c r="D19" s="3" t="b">
        <v>1</v>
      </c>
      <c r="E19" s="3" t="b">
        <v>1</v>
      </c>
      <c r="F19" s="3">
        <f>IF(OR(Z19=TRUE,SUMIFS('Cashflow Projection'!$E$117:$E$149,'Cashflow Projection'!$D$117:$D$149,Sales!C19)=1),0,SUMIFS('Cashflow Projection'!$C$7:$C$23,'Cashflow Projection'!$B$7:$B$23,Sales!B19,'Cashflow Projection'!$A$7:$A$23,Sales!A19))</f>
        <v>0</v>
      </c>
      <c r="G19" s="4">
        <v>44887</v>
      </c>
      <c r="H19" s="4">
        <v>45688</v>
      </c>
      <c r="I19" s="3">
        <v>1279900</v>
      </c>
      <c r="J19" s="3">
        <v>166943.4782608696</v>
      </c>
      <c r="K19" s="3">
        <v>1112956.5217391311</v>
      </c>
      <c r="L19" s="3">
        <v>18502.080000000002</v>
      </c>
      <c r="M19" s="3">
        <v>1789</v>
      </c>
      <c r="N19" s="3">
        <v>6399.5</v>
      </c>
      <c r="O19" s="3">
        <v>63995</v>
      </c>
      <c r="P19" s="3">
        <v>19224.37</v>
      </c>
      <c r="Q19" s="3">
        <v>1169990.05</v>
      </c>
      <c r="R19" s="9">
        <f>IF($F19=1,((SUMIFS(Investors!$M:$M,Investors!$E:$E,Sales!$C19,Investors!$O:$O,FALSE)+SUMIFS(Investors!$S:$S,Investors!$E:$E,Sales!$C19,Investors!$O:$O,FALSE))*$F19)-SUMIFS('Investor Exit List'!$Q:$Q,'Investor Exit List'!$Y:$Y,1,'Investor Exit List'!$Z:$Z,"Release",'Investor Exit List'!$C:$C,Sales!$C19),(SUMIFS(Investors!$M:$M,Investors!$E:$E,Sales!$C19,Investors!$O:$O,FALSE)+SUMIFS(Investors!$S:$S,Investors!$E:$E,Sales!$C19,Investors!$O:$O,FALSE))*$F19)</f>
        <v>0</v>
      </c>
      <c r="S19" s="9">
        <f t="shared" si="1"/>
        <v>1169990.05</v>
      </c>
      <c r="T19" s="3" t="b">
        <v>0</v>
      </c>
      <c r="U19" s="4">
        <v>45747</v>
      </c>
      <c r="V19" s="9">
        <v>-613.53495452087373</v>
      </c>
      <c r="W19" s="10">
        <f>IF(SUMIFS('Cashflow Projection'!$E$117:$E$149,'Cashflow Projection'!$D$117:$D$149,Sales!C19)=1,SUMIFS('Cashflow Projection'!$C$117:$C$149,'Cashflow Projection'!$D$117:$D$149,Sales!C19),+Sales!H19)</f>
        <v>45688</v>
      </c>
      <c r="X19" s="10">
        <f t="shared" si="2"/>
        <v>45747</v>
      </c>
      <c r="Y19" s="10">
        <f t="shared" si="3"/>
        <v>45777</v>
      </c>
      <c r="Z19" t="b">
        <v>0</v>
      </c>
    </row>
    <row r="20" spans="1:26" x14ac:dyDescent="0.2">
      <c r="A20" s="3" t="s">
        <v>24</v>
      </c>
      <c r="B20" s="3" t="s">
        <v>209</v>
      </c>
      <c r="C20" s="3" t="s">
        <v>275</v>
      </c>
      <c r="D20" s="3" t="b">
        <v>1</v>
      </c>
      <c r="E20" s="3" t="b">
        <v>1</v>
      </c>
      <c r="F20" s="3">
        <f>IF(OR(Z20=TRUE,SUMIFS('Cashflow Projection'!$E$117:$E$149,'Cashflow Projection'!$D$117:$D$149,Sales!C20)=1),0,SUMIFS('Cashflow Projection'!$C$7:$C$23,'Cashflow Projection'!$B$7:$B$23,Sales!B20,'Cashflow Projection'!$A$7:$A$23,Sales!A20))</f>
        <v>1</v>
      </c>
      <c r="G20" s="4">
        <v>45027</v>
      </c>
      <c r="H20" s="4">
        <v>45688</v>
      </c>
      <c r="I20" s="3">
        <v>1574900</v>
      </c>
      <c r="J20" s="3">
        <v>205421.73913043481</v>
      </c>
      <c r="K20" s="3">
        <v>1369478.260869565</v>
      </c>
      <c r="L20" s="3">
        <v>18502.080000000002</v>
      </c>
      <c r="M20" s="3">
        <v>1789</v>
      </c>
      <c r="N20" s="3">
        <v>7874.5</v>
      </c>
      <c r="O20" s="3">
        <v>78745</v>
      </c>
      <c r="P20" s="3">
        <v>19224.37</v>
      </c>
      <c r="Q20" s="3">
        <v>1448765.05</v>
      </c>
      <c r="R20" s="9">
        <f>IF($F20=1,((SUMIFS(Investors!$M:$M,Investors!$E:$E,Sales!$C20,Investors!$O:$O,FALSE)+SUMIFS(Investors!$S:$S,Investors!$E:$E,Sales!$C20,Investors!$O:$O,FALSE))*$F20)-SUMIFS('Investor Exit List'!$Q:$Q,'Investor Exit List'!$Y:$Y,1,'Investor Exit List'!$Z:$Z,"Release",'Investor Exit List'!$C:$C,Sales!$C20),(SUMIFS(Investors!$M:$M,Investors!$E:$E,Sales!$C20,Investors!$O:$O,FALSE)+SUMIFS(Investors!$S:$S,Investors!$E:$E,Sales!$C20,Investors!$O:$O,FALSE))*$F20)</f>
        <v>1175044.5205479451</v>
      </c>
      <c r="S20" s="9">
        <f t="shared" si="1"/>
        <v>273720.52945205499</v>
      </c>
      <c r="T20" s="3" t="b">
        <v>0</v>
      </c>
      <c r="U20" s="4">
        <v>45747</v>
      </c>
      <c r="V20" s="9">
        <v>273720.52945205453</v>
      </c>
      <c r="W20" s="10">
        <f>IF(SUMIFS('Cashflow Projection'!$E$117:$E$149,'Cashflow Projection'!$D$117:$D$149,Sales!C20)=1,SUMIFS('Cashflow Projection'!$C$117:$C$149,'Cashflow Projection'!$D$117:$D$149,Sales!C20),+Sales!H20)</f>
        <v>45688</v>
      </c>
      <c r="X20" s="10">
        <f t="shared" si="2"/>
        <v>45747</v>
      </c>
      <c r="Y20" s="10">
        <f t="shared" si="3"/>
        <v>45777</v>
      </c>
      <c r="Z20" t="b">
        <v>0</v>
      </c>
    </row>
    <row r="21" spans="1:26" x14ac:dyDescent="0.2">
      <c r="A21" s="3" t="s">
        <v>24</v>
      </c>
      <c r="B21" s="3" t="s">
        <v>209</v>
      </c>
      <c r="C21" s="3" t="s">
        <v>284</v>
      </c>
      <c r="D21" s="3" t="b">
        <v>1</v>
      </c>
      <c r="E21" s="3" t="b">
        <v>1</v>
      </c>
      <c r="F21" s="3">
        <f>IF(OR(Z21=TRUE,SUMIFS('Cashflow Projection'!$E$117:$E$149,'Cashflow Projection'!$D$117:$D$149,Sales!C21)=1),0,SUMIFS('Cashflow Projection'!$C$7:$C$23,'Cashflow Projection'!$B$7:$B$23,Sales!B21,'Cashflow Projection'!$A$7:$A$23,Sales!A21))</f>
        <v>1</v>
      </c>
      <c r="G21" s="4">
        <v>44936</v>
      </c>
      <c r="H21" s="4">
        <v>45688</v>
      </c>
      <c r="I21" s="3">
        <v>1449900</v>
      </c>
      <c r="J21" s="3">
        <v>189117.39130434781</v>
      </c>
      <c r="K21" s="3">
        <v>1260782.6086956521</v>
      </c>
      <c r="L21" s="3">
        <v>18502.080000000002</v>
      </c>
      <c r="M21" s="3">
        <v>1789</v>
      </c>
      <c r="N21" s="3">
        <v>7249.5</v>
      </c>
      <c r="O21" s="3">
        <v>72495</v>
      </c>
      <c r="P21" s="3">
        <v>19224.37</v>
      </c>
      <c r="Q21" s="3">
        <v>1330640.05</v>
      </c>
      <c r="R21" s="9">
        <f>IF($F21=1,((SUMIFS(Investors!$M:$M,Investors!$E:$E,Sales!$C21,Investors!$O:$O,FALSE)+SUMIFS(Investors!$S:$S,Investors!$E:$E,Sales!$C21,Investors!$O:$O,FALSE))*$F21)-SUMIFS('Investor Exit List'!$Q:$Q,'Investor Exit List'!$Y:$Y,1,'Investor Exit List'!$Z:$Z,"Release",'Investor Exit List'!$C:$C,Sales!$C21),(SUMIFS(Investors!$M:$M,Investors!$E:$E,Sales!$C21,Investors!$O:$O,FALSE)+SUMIFS(Investors!$S:$S,Investors!$E:$E,Sales!$C21,Investors!$O:$O,FALSE))*$F21)</f>
        <v>1159347.9452054794</v>
      </c>
      <c r="S21" s="9">
        <f t="shared" si="1"/>
        <v>171292.10479452065</v>
      </c>
      <c r="T21" s="3" t="b">
        <v>0</v>
      </c>
      <c r="U21" s="4">
        <v>45747</v>
      </c>
      <c r="V21" s="9">
        <v>171292.10479452039</v>
      </c>
      <c r="W21" s="10">
        <f>IF(SUMIFS('Cashflow Projection'!$E$117:$E$149,'Cashflow Projection'!$D$117:$D$149,Sales!C21)=1,SUMIFS('Cashflow Projection'!$C$117:$C$149,'Cashflow Projection'!$D$117:$D$149,Sales!C21),+Sales!H21)</f>
        <v>45688</v>
      </c>
      <c r="X21" s="10">
        <f t="shared" si="2"/>
        <v>45747</v>
      </c>
      <c r="Y21" s="10">
        <f t="shared" si="3"/>
        <v>45777</v>
      </c>
      <c r="Z21" t="b">
        <v>0</v>
      </c>
    </row>
    <row r="22" spans="1:26" x14ac:dyDescent="0.2">
      <c r="A22" s="3" t="s">
        <v>386</v>
      </c>
      <c r="B22" s="3" t="s">
        <v>497</v>
      </c>
      <c r="C22" s="3" t="s">
        <v>553</v>
      </c>
      <c r="D22" s="3" t="b">
        <v>1</v>
      </c>
      <c r="E22" s="3" t="b">
        <v>1</v>
      </c>
      <c r="F22" s="3">
        <f>IF(OR(Z22=TRUE,SUMIFS('Cashflow Projection'!$E$117:$E$149,'Cashflow Projection'!$D$117:$D$149,Sales!C22)=1),0,SUMIFS('Cashflow Projection'!$C$7:$C$23,'Cashflow Projection'!$B$7:$B$23,Sales!B22,'Cashflow Projection'!$A$7:$A$23,Sales!A22))</f>
        <v>1</v>
      </c>
      <c r="G22" s="4">
        <v>45341</v>
      </c>
      <c r="H22" s="4">
        <v>45341</v>
      </c>
      <c r="I22" s="3">
        <v>1599900</v>
      </c>
      <c r="J22" s="3">
        <v>208682.60869565219</v>
      </c>
      <c r="K22" s="3">
        <v>1391217.3913043479</v>
      </c>
      <c r="L22" s="3">
        <v>18502.080000000002</v>
      </c>
      <c r="M22" s="3">
        <v>1789</v>
      </c>
      <c r="N22" s="3">
        <v>7999.5</v>
      </c>
      <c r="O22" s="3">
        <v>79995</v>
      </c>
      <c r="P22" s="3">
        <v>19224.37</v>
      </c>
      <c r="Q22" s="3">
        <v>1472390.05</v>
      </c>
      <c r="R22" s="9">
        <f>IF($F22=1,((SUMIFS(Investors!$M:$M,Investors!$E:$E,Sales!$C22,Investors!$O:$O,FALSE)+SUMIFS(Investors!$S:$S,Investors!$E:$E,Sales!$C22,Investors!$O:$O,FALSE))*$F22)-SUMIFS('Investor Exit List'!$Q:$Q,'Investor Exit List'!$Y:$Y,1,'Investor Exit List'!$Z:$Z,"Release",'Investor Exit List'!$C:$C,Sales!$C22),(SUMIFS(Investors!$M:$M,Investors!$E:$E,Sales!$C22,Investors!$O:$O,FALSE)+SUMIFS(Investors!$S:$S,Investors!$E:$E,Sales!$C22,Investors!$O:$O,FALSE))*$F22)</f>
        <v>0</v>
      </c>
      <c r="S22" s="9">
        <f t="shared" si="1"/>
        <v>1472390.05</v>
      </c>
      <c r="T22" s="3" t="b">
        <v>0</v>
      </c>
      <c r="U22" s="4">
        <v>45382</v>
      </c>
      <c r="V22" s="9">
        <v>188568.13219178069</v>
      </c>
      <c r="W22" s="10">
        <f>IF(SUMIFS('Cashflow Projection'!$E$117:$E$149,'Cashflow Projection'!$D$117:$D$149,Sales!C22)=1,SUMIFS('Cashflow Projection'!$C$117:$C$149,'Cashflow Projection'!$D$117:$D$149,Sales!C22),+Sales!H22)</f>
        <v>45341</v>
      </c>
      <c r="X22" s="10">
        <f t="shared" si="2"/>
        <v>45382</v>
      </c>
      <c r="Y22" s="10">
        <f t="shared" si="3"/>
        <v>45412</v>
      </c>
      <c r="Z22" t="b">
        <v>0</v>
      </c>
    </row>
    <row r="23" spans="1:26" x14ac:dyDescent="0.2">
      <c r="A23" s="3" t="s">
        <v>386</v>
      </c>
      <c r="B23" s="3" t="s">
        <v>822</v>
      </c>
      <c r="C23" s="3" t="s">
        <v>850</v>
      </c>
      <c r="D23" s="3" t="b">
        <v>1</v>
      </c>
      <c r="E23" s="3" t="b">
        <v>0</v>
      </c>
      <c r="F23" s="3">
        <f>IF(OR(Z23=TRUE,SUMIFS('Cashflow Projection'!$E$117:$E$149,'Cashflow Projection'!$D$117:$D$149,Sales!C23)=1),0,SUMIFS('Cashflow Projection'!$C$7:$C$23,'Cashflow Projection'!$B$7:$B$23,Sales!B23,'Cashflow Projection'!$A$7:$A$23,Sales!A23))</f>
        <v>1</v>
      </c>
      <c r="G23" s="4">
        <v>45464</v>
      </c>
      <c r="H23" s="4">
        <v>45498</v>
      </c>
      <c r="I23" s="3">
        <v>1499900</v>
      </c>
      <c r="J23" s="3">
        <v>195639.13043478259</v>
      </c>
      <c r="K23" s="3">
        <v>1304260.869565218</v>
      </c>
      <c r="L23" s="3">
        <v>18502.080000000002</v>
      </c>
      <c r="M23" s="3">
        <v>1789</v>
      </c>
      <c r="N23" s="3">
        <v>7499.5</v>
      </c>
      <c r="O23" s="3">
        <v>74995</v>
      </c>
      <c r="P23" s="3">
        <v>19224.37</v>
      </c>
      <c r="Q23" s="3">
        <v>1377890.05</v>
      </c>
      <c r="R23" s="9">
        <f>IF($F23=1,((SUMIFS(Investors!$M:$M,Investors!$E:$E,Sales!$C23,Investors!$O:$O,FALSE)+SUMIFS(Investors!$S:$S,Investors!$E:$E,Sales!$C23,Investors!$O:$O,FALSE))*$F23)-SUMIFS('Investor Exit List'!$Q:$Q,'Investor Exit List'!$Y:$Y,1,'Investor Exit List'!$Z:$Z,"Release",'Investor Exit List'!$C:$C,Sales!$C23),(SUMIFS(Investors!$M:$M,Investors!$E:$E,Sales!$C23,Investors!$O:$O,FALSE)+SUMIFS(Investors!$S:$S,Investors!$E:$E,Sales!$C23,Investors!$O:$O,FALSE))*$F23)</f>
        <v>1355409.5576219177</v>
      </c>
      <c r="S23" s="9">
        <f t="shared" si="1"/>
        <v>22480.492378082359</v>
      </c>
      <c r="T23" s="3" t="b">
        <v>0</v>
      </c>
      <c r="U23" s="4">
        <v>45565</v>
      </c>
      <c r="V23" s="9">
        <v>38167.769555068342</v>
      </c>
      <c r="W23" s="10">
        <f>IF(SUMIFS('Cashflow Projection'!$E$117:$E$149,'Cashflow Projection'!$D$117:$D$149,Sales!C23)=1,SUMIFS('Cashflow Projection'!$C$117:$C$149,'Cashflow Projection'!$D$117:$D$149,Sales!C23),+Sales!H23)</f>
        <v>45498</v>
      </c>
      <c r="X23" s="10">
        <f t="shared" si="2"/>
        <v>45565</v>
      </c>
      <c r="Y23" s="10">
        <f t="shared" si="3"/>
        <v>45596</v>
      </c>
      <c r="Z23" t="b">
        <v>0</v>
      </c>
    </row>
    <row r="24" spans="1:26" x14ac:dyDescent="0.2">
      <c r="A24" s="3" t="s">
        <v>386</v>
      </c>
      <c r="B24" s="3" t="s">
        <v>711</v>
      </c>
      <c r="C24" s="3" t="s">
        <v>735</v>
      </c>
      <c r="D24" s="3" t="b">
        <v>0</v>
      </c>
      <c r="E24" s="3" t="b">
        <v>0</v>
      </c>
      <c r="F24" s="3">
        <f>IF(OR(Z24=TRUE,SUMIFS('Cashflow Projection'!$E$117:$E$149,'Cashflow Projection'!$D$117:$D$149,Sales!C24)=1),0,SUMIFS('Cashflow Projection'!$C$7:$C$23,'Cashflow Projection'!$B$7:$B$23,Sales!B24,'Cashflow Projection'!$A$7:$A$23,Sales!A24))</f>
        <v>0</v>
      </c>
      <c r="G24" s="4">
        <v>45552</v>
      </c>
      <c r="H24" s="4">
        <v>45552</v>
      </c>
      <c r="I24" s="3">
        <v>1649900</v>
      </c>
      <c r="J24" s="3">
        <v>215204.34782608689</v>
      </c>
      <c r="K24" s="3">
        <v>1434695.6521739131</v>
      </c>
      <c r="L24" s="3">
        <v>18502.080000000002</v>
      </c>
      <c r="M24" s="3">
        <v>1789</v>
      </c>
      <c r="N24" s="3">
        <v>8249.5</v>
      </c>
      <c r="O24" s="3">
        <v>82495</v>
      </c>
      <c r="P24" s="3">
        <v>19224.37</v>
      </c>
      <c r="Q24" s="3">
        <v>1519640.05</v>
      </c>
      <c r="R24" s="9">
        <f>IF($F24=1,((SUMIFS(Investors!$M:$M,Investors!$E:$E,Sales!$C24,Investors!$O:$O,FALSE)+SUMIFS(Investors!$S:$S,Investors!$E:$E,Sales!$C24,Investors!$O:$O,FALSE))*$F24)-SUMIFS('Investor Exit List'!$Q:$Q,'Investor Exit List'!$Y:$Y,1,'Investor Exit List'!$Z:$Z,"Release",'Investor Exit List'!$C:$C,Sales!$C24),(SUMIFS(Investors!$M:$M,Investors!$E:$E,Sales!$C24,Investors!$O:$O,FALSE)+SUMIFS(Investors!$S:$S,Investors!$E:$E,Sales!$C24,Investors!$O:$O,FALSE))*$F24)</f>
        <v>0</v>
      </c>
      <c r="S24" s="9">
        <f t="shared" si="1"/>
        <v>1519640.05</v>
      </c>
      <c r="T24" s="3" t="b">
        <v>0</v>
      </c>
      <c r="U24" s="4">
        <v>45626</v>
      </c>
      <c r="V24" s="9">
        <v>141013.33767123261</v>
      </c>
      <c r="W24" s="10">
        <f>IF(SUMIFS('Cashflow Projection'!$E$117:$E$149,'Cashflow Projection'!$D$117:$D$149,Sales!C24)=1,SUMIFS('Cashflow Projection'!$C$117:$C$149,'Cashflow Projection'!$D$117:$D$149,Sales!C24),+Sales!H24)</f>
        <v>45552</v>
      </c>
      <c r="X24" s="10">
        <f t="shared" si="2"/>
        <v>45626</v>
      </c>
      <c r="Y24" s="10">
        <f t="shared" si="3"/>
        <v>45657</v>
      </c>
      <c r="Z24" t="b">
        <v>0</v>
      </c>
    </row>
    <row r="25" spans="1:26" x14ac:dyDescent="0.2">
      <c r="A25" s="3" t="s">
        <v>386</v>
      </c>
      <c r="B25" s="3" t="s">
        <v>711</v>
      </c>
      <c r="C25" s="3" t="s">
        <v>739</v>
      </c>
      <c r="D25" s="3" t="b">
        <v>0</v>
      </c>
      <c r="E25" s="3" t="b">
        <v>0</v>
      </c>
      <c r="F25" s="3">
        <f>IF(OR(Z25=TRUE,SUMIFS('Cashflow Projection'!$E$117:$E$149,'Cashflow Projection'!$D$117:$D$149,Sales!C25)=1),0,SUMIFS('Cashflow Projection'!$C$7:$C$23,'Cashflow Projection'!$B$7:$B$23,Sales!B25,'Cashflow Projection'!$A$7:$A$23,Sales!A25))</f>
        <v>0</v>
      </c>
      <c r="G25" s="4">
        <v>45552</v>
      </c>
      <c r="H25" s="4">
        <v>45552</v>
      </c>
      <c r="I25" s="3">
        <v>1649900</v>
      </c>
      <c r="J25" s="3">
        <v>215204.34782608689</v>
      </c>
      <c r="K25" s="3">
        <v>1434695.6521739131</v>
      </c>
      <c r="L25" s="3">
        <v>18502.080000000002</v>
      </c>
      <c r="M25" s="3">
        <v>1789</v>
      </c>
      <c r="N25" s="3">
        <v>8249.5</v>
      </c>
      <c r="O25" s="3">
        <v>82495</v>
      </c>
      <c r="P25" s="3">
        <v>19224.37</v>
      </c>
      <c r="Q25" s="3">
        <v>1519640.05</v>
      </c>
      <c r="R25" s="9">
        <f>IF($F25=1,((SUMIFS(Investors!$M:$M,Investors!$E:$E,Sales!$C25,Investors!$O:$O,FALSE)+SUMIFS(Investors!$S:$S,Investors!$E:$E,Sales!$C25,Investors!$O:$O,FALSE))*$F25)-SUMIFS('Investor Exit List'!$Q:$Q,'Investor Exit List'!$Y:$Y,1,'Investor Exit List'!$Z:$Z,"Release",'Investor Exit List'!$C:$C,Sales!$C25),(SUMIFS(Investors!$M:$M,Investors!$E:$E,Sales!$C25,Investors!$O:$O,FALSE)+SUMIFS(Investors!$S:$S,Investors!$E:$E,Sales!$C25,Investors!$O:$O,FALSE))*$F25)</f>
        <v>0</v>
      </c>
      <c r="S25" s="9">
        <f t="shared" si="1"/>
        <v>1519640.05</v>
      </c>
      <c r="T25" s="3" t="b">
        <v>0</v>
      </c>
      <c r="U25" s="4">
        <v>45626</v>
      </c>
      <c r="V25" s="9">
        <v>138455.11849315051</v>
      </c>
      <c r="W25" s="10">
        <f>IF(SUMIFS('Cashflow Projection'!$E$117:$E$149,'Cashflow Projection'!$D$117:$D$149,Sales!C25)=1,SUMIFS('Cashflow Projection'!$C$117:$C$149,'Cashflow Projection'!$D$117:$D$149,Sales!C25),+Sales!H25)</f>
        <v>45552</v>
      </c>
      <c r="X25" s="10">
        <f t="shared" si="2"/>
        <v>45626</v>
      </c>
      <c r="Y25" s="10">
        <f t="shared" si="3"/>
        <v>45657</v>
      </c>
      <c r="Z25" t="b">
        <v>0</v>
      </c>
    </row>
    <row r="26" spans="1:26" x14ac:dyDescent="0.2">
      <c r="A26" s="3" t="s">
        <v>386</v>
      </c>
      <c r="B26" s="3" t="s">
        <v>711</v>
      </c>
      <c r="C26" s="3" t="s">
        <v>744</v>
      </c>
      <c r="D26" s="3" t="b">
        <v>0</v>
      </c>
      <c r="E26" s="3" t="b">
        <v>0</v>
      </c>
      <c r="F26" s="3">
        <f>IF(OR(Z26=TRUE,SUMIFS('Cashflow Projection'!$E$117:$E$149,'Cashflow Projection'!$D$117:$D$149,Sales!C26)=1),0,SUMIFS('Cashflow Projection'!$C$7:$C$23,'Cashflow Projection'!$B$7:$B$23,Sales!B26,'Cashflow Projection'!$A$7:$A$23,Sales!A26))</f>
        <v>0</v>
      </c>
      <c r="G26" s="4">
        <v>45552</v>
      </c>
      <c r="H26" s="4">
        <v>45552</v>
      </c>
      <c r="I26" s="3">
        <v>1699900</v>
      </c>
      <c r="J26" s="3">
        <v>221726.0869565217</v>
      </c>
      <c r="K26" s="3">
        <v>1478173.913043478</v>
      </c>
      <c r="L26" s="3">
        <v>18502.080000000002</v>
      </c>
      <c r="M26" s="3">
        <v>1789</v>
      </c>
      <c r="N26" s="3">
        <v>8499.5</v>
      </c>
      <c r="O26" s="3">
        <v>84995</v>
      </c>
      <c r="P26" s="3">
        <v>19224.37</v>
      </c>
      <c r="Q26" s="3">
        <v>1566890.05</v>
      </c>
      <c r="R26" s="9">
        <f>IF($F26=1,((SUMIFS(Investors!$M:$M,Investors!$E:$E,Sales!$C26,Investors!$O:$O,FALSE)+SUMIFS(Investors!$S:$S,Investors!$E:$E,Sales!$C26,Investors!$O:$O,FALSE))*$F26)-SUMIFS('Investor Exit List'!$Q:$Q,'Investor Exit List'!$Y:$Y,1,'Investor Exit List'!$Z:$Z,"Release",'Investor Exit List'!$C:$C,Sales!$C26),(SUMIFS(Investors!$M:$M,Investors!$E:$E,Sales!$C26,Investors!$O:$O,FALSE)+SUMIFS(Investors!$S:$S,Investors!$E:$E,Sales!$C26,Investors!$O:$O,FALSE))*$F26)</f>
        <v>0</v>
      </c>
      <c r="S26" s="9">
        <f t="shared" si="1"/>
        <v>1566890.05</v>
      </c>
      <c r="T26" s="3" t="b">
        <v>0</v>
      </c>
      <c r="U26" s="4">
        <v>45626</v>
      </c>
      <c r="V26" s="9">
        <v>190410.5979452054</v>
      </c>
      <c r="W26" s="10">
        <f>IF(SUMIFS('Cashflow Projection'!$E$117:$E$149,'Cashflow Projection'!$D$117:$D$149,Sales!C26)=1,SUMIFS('Cashflow Projection'!$C$117:$C$149,'Cashflow Projection'!$D$117:$D$149,Sales!C26),+Sales!H26)</f>
        <v>45552</v>
      </c>
      <c r="X26" s="10">
        <f t="shared" si="2"/>
        <v>45626</v>
      </c>
      <c r="Y26" s="10">
        <f t="shared" si="3"/>
        <v>45657</v>
      </c>
      <c r="Z26" t="b">
        <v>0</v>
      </c>
    </row>
    <row r="27" spans="1:26" x14ac:dyDescent="0.2">
      <c r="A27" s="3" t="s">
        <v>386</v>
      </c>
      <c r="B27" s="3" t="s">
        <v>891</v>
      </c>
      <c r="C27" s="3" t="s">
        <v>890</v>
      </c>
      <c r="D27" s="3" t="b">
        <v>1</v>
      </c>
      <c r="E27" s="3" t="b">
        <v>1</v>
      </c>
      <c r="F27" s="3">
        <f>IF(OR(Z27=TRUE,SUMIFS('Cashflow Projection'!$E$117:$E$149,'Cashflow Projection'!$D$117:$D$149,Sales!C27)=1),0,SUMIFS('Cashflow Projection'!$C$7:$C$23,'Cashflow Projection'!$B$7:$B$23,Sales!B27,'Cashflow Projection'!$A$7:$A$23,Sales!A27))</f>
        <v>1</v>
      </c>
      <c r="G27" s="4">
        <v>45177</v>
      </c>
      <c r="H27" s="4">
        <v>45688</v>
      </c>
      <c r="I27" s="3">
        <v>1749900</v>
      </c>
      <c r="J27" s="3">
        <v>228247.82608695651</v>
      </c>
      <c r="K27" s="3">
        <v>1521652.1739130439</v>
      </c>
      <c r="L27" s="3">
        <v>18502.080000000002</v>
      </c>
      <c r="M27" s="3">
        <v>1789</v>
      </c>
      <c r="N27" s="3">
        <v>8749.5</v>
      </c>
      <c r="O27" s="3">
        <v>87495</v>
      </c>
      <c r="P27" s="3">
        <v>19224.37</v>
      </c>
      <c r="Q27" s="3">
        <v>1614140.05</v>
      </c>
      <c r="R27" s="9">
        <f>IF($F27=1,((SUMIFS(Investors!$M:$M,Investors!$E:$E,Sales!$C27,Investors!$O:$O,FALSE)+SUMIFS(Investors!$S:$S,Investors!$E:$E,Sales!$C27,Investors!$O:$O,FALSE))*$F27)-SUMIFS('Investor Exit List'!$Q:$Q,'Investor Exit List'!$Y:$Y,1,'Investor Exit List'!$Z:$Z,"Release",'Investor Exit List'!$C:$C,Sales!$C27),(SUMIFS(Investors!$M:$M,Investors!$E:$E,Sales!$C27,Investors!$O:$O,FALSE)+SUMIFS(Investors!$S:$S,Investors!$E:$E,Sales!$C27,Investors!$O:$O,FALSE))*$F27)</f>
        <v>1288256.8493150685</v>
      </c>
      <c r="S27" s="9">
        <f t="shared" si="1"/>
        <v>325883.20068493159</v>
      </c>
      <c r="T27" s="3" t="b">
        <v>0</v>
      </c>
      <c r="U27" s="4">
        <v>45747</v>
      </c>
      <c r="V27" s="9">
        <v>325883.20068493107</v>
      </c>
      <c r="W27" s="10">
        <f>IF(SUMIFS('Cashflow Projection'!$E$117:$E$149,'Cashflow Projection'!$D$117:$D$149,Sales!C27)=1,SUMIFS('Cashflow Projection'!$C$117:$C$149,'Cashflow Projection'!$D$117:$D$149,Sales!C27),+Sales!H27)</f>
        <v>45688</v>
      </c>
      <c r="X27" s="10">
        <f t="shared" si="2"/>
        <v>45747</v>
      </c>
      <c r="Y27" s="10">
        <f t="shared" si="3"/>
        <v>45777</v>
      </c>
      <c r="Z27" t="b">
        <v>0</v>
      </c>
    </row>
    <row r="28" spans="1:26" x14ac:dyDescent="0.2">
      <c r="A28" s="3" t="s">
        <v>386</v>
      </c>
      <c r="B28" s="3" t="s">
        <v>628</v>
      </c>
      <c r="C28" s="3" t="s">
        <v>642</v>
      </c>
      <c r="D28" s="3" t="b">
        <v>0</v>
      </c>
      <c r="E28" s="3" t="b">
        <v>0</v>
      </c>
      <c r="F28" s="3">
        <f>IF(OR(Z28=TRUE,SUMIFS('Cashflow Projection'!$E$117:$E$149,'Cashflow Projection'!$D$117:$D$149,Sales!C28)=1),0,SUMIFS('Cashflow Projection'!$C$7:$C$23,'Cashflow Projection'!$B$7:$B$23,Sales!B28,'Cashflow Projection'!$A$7:$A$23,Sales!A28))</f>
        <v>0</v>
      </c>
      <c r="G28" s="4">
        <v>45523</v>
      </c>
      <c r="H28" s="4">
        <v>45532</v>
      </c>
      <c r="I28" s="3">
        <v>1649900</v>
      </c>
      <c r="J28" s="3">
        <v>215204.34782608689</v>
      </c>
      <c r="K28" s="3">
        <v>1434695.6521739131</v>
      </c>
      <c r="L28" s="3">
        <v>18502.080000000002</v>
      </c>
      <c r="M28" s="3">
        <v>1789</v>
      </c>
      <c r="N28" s="3">
        <v>8249.5</v>
      </c>
      <c r="O28" s="3">
        <v>82495</v>
      </c>
      <c r="P28" s="3">
        <v>19224.37</v>
      </c>
      <c r="Q28" s="3">
        <v>1519640.05</v>
      </c>
      <c r="R28" s="9">
        <f>IF($F28=1,((SUMIFS(Investors!$M:$M,Investors!$E:$E,Sales!$C28,Investors!$O:$O,FALSE)+SUMIFS(Investors!$S:$S,Investors!$E:$E,Sales!$C28,Investors!$O:$O,FALSE))*$F28)-SUMIFS('Investor Exit List'!$Q:$Q,'Investor Exit List'!$Y:$Y,1,'Investor Exit List'!$Z:$Z,"Release",'Investor Exit List'!$C:$C,Sales!$C28),(SUMIFS(Investors!$M:$M,Investors!$E:$E,Sales!$C28,Investors!$O:$O,FALSE)+SUMIFS(Investors!$S:$S,Investors!$E:$E,Sales!$C28,Investors!$O:$O,FALSE))*$F28)</f>
        <v>0</v>
      </c>
      <c r="S28" s="9">
        <f t="shared" si="1"/>
        <v>1519640.05</v>
      </c>
      <c r="T28" s="3" t="b">
        <v>0</v>
      </c>
      <c r="U28" s="4">
        <v>45565</v>
      </c>
      <c r="V28" s="9">
        <v>200679.77602739731</v>
      </c>
      <c r="W28" s="10">
        <f>IF(SUMIFS('Cashflow Projection'!$E$117:$E$149,'Cashflow Projection'!$D$117:$D$149,Sales!C28)=1,SUMIFS('Cashflow Projection'!$C$117:$C$149,'Cashflow Projection'!$D$117:$D$149,Sales!C28),+Sales!H28)</f>
        <v>45532</v>
      </c>
      <c r="X28" s="10">
        <f t="shared" si="2"/>
        <v>45565</v>
      </c>
      <c r="Y28" s="10">
        <f t="shared" si="3"/>
        <v>45596</v>
      </c>
      <c r="Z28" t="b">
        <v>0</v>
      </c>
    </row>
    <row r="29" spans="1:26" x14ac:dyDescent="0.2">
      <c r="A29" s="3" t="s">
        <v>386</v>
      </c>
      <c r="B29" s="3" t="s">
        <v>388</v>
      </c>
      <c r="C29" s="3" t="s">
        <v>446</v>
      </c>
      <c r="D29" s="3" t="b">
        <v>0</v>
      </c>
      <c r="E29" s="3" t="b">
        <v>0</v>
      </c>
      <c r="F29" s="3">
        <f>IF(OR(Z29=TRUE,SUMIFS('Cashflow Projection'!$E$117:$E$149,'Cashflow Projection'!$D$117:$D$149,Sales!C29)=1),0,SUMIFS('Cashflow Projection'!$C$7:$C$23,'Cashflow Projection'!$B$7:$B$23,Sales!B29,'Cashflow Projection'!$A$7:$A$23,Sales!A29))</f>
        <v>1</v>
      </c>
      <c r="G29" s="4">
        <v>45485</v>
      </c>
      <c r="H29" s="4">
        <v>45646</v>
      </c>
      <c r="I29" s="3">
        <v>1429900</v>
      </c>
      <c r="J29" s="3">
        <v>186508.69565217389</v>
      </c>
      <c r="K29" s="3">
        <v>1243391.3043478259</v>
      </c>
      <c r="L29" s="3">
        <v>18502.080000000002</v>
      </c>
      <c r="M29" s="3">
        <v>1789</v>
      </c>
      <c r="N29" s="3">
        <v>7149.5</v>
      </c>
      <c r="O29" s="3">
        <v>71495</v>
      </c>
      <c r="P29" s="3">
        <v>19224.37</v>
      </c>
      <c r="Q29" s="3">
        <v>1311740.05</v>
      </c>
      <c r="R29" s="9">
        <f>IF($F29=1,((SUMIFS(Investors!$M:$M,Investors!$E:$E,Sales!$C29,Investors!$O:$O,FALSE)+SUMIFS(Investors!$S:$S,Investors!$E:$E,Sales!$C29,Investors!$O:$O,FALSE))*$F29)-SUMIFS('Investor Exit List'!$Q:$Q,'Investor Exit List'!$Y:$Y,1,'Investor Exit List'!$Z:$Z,"Release",'Investor Exit List'!$C:$C,Sales!$C29),(SUMIFS(Investors!$M:$M,Investors!$E:$E,Sales!$C29,Investors!$O:$O,FALSE)+SUMIFS(Investors!$S:$S,Investors!$E:$E,Sales!$C29,Investors!$O:$O,FALSE))*$F29)</f>
        <v>475114.20438568504</v>
      </c>
      <c r="S29" s="9">
        <f t="shared" si="1"/>
        <v>836625.84561431501</v>
      </c>
      <c r="T29" s="3" t="b">
        <v>0</v>
      </c>
      <c r="U29" s="4">
        <v>45688</v>
      </c>
      <c r="V29" s="9">
        <v>-59785.283137739869</v>
      </c>
      <c r="W29" s="10">
        <f>IF(SUMIFS('Cashflow Projection'!$E$117:$E$149,'Cashflow Projection'!$D$117:$D$149,Sales!C29)=1,SUMIFS('Cashflow Projection'!$C$117:$C$149,'Cashflow Projection'!$D$117:$D$149,Sales!C29),+Sales!H29)</f>
        <v>45646</v>
      </c>
      <c r="X29" s="10">
        <f t="shared" si="2"/>
        <v>45688</v>
      </c>
      <c r="Y29" s="10">
        <f t="shared" si="3"/>
        <v>45716</v>
      </c>
      <c r="Z29" t="b">
        <v>0</v>
      </c>
    </row>
    <row r="30" spans="1:26" x14ac:dyDescent="0.2">
      <c r="A30" s="3" t="s">
        <v>386</v>
      </c>
      <c r="B30" s="3" t="s">
        <v>854</v>
      </c>
      <c r="C30" s="3" t="s">
        <v>861</v>
      </c>
      <c r="D30" s="3" t="b">
        <v>1</v>
      </c>
      <c r="E30" s="3" t="b">
        <v>0</v>
      </c>
      <c r="F30" s="3">
        <f>IF(OR(Z30=TRUE,SUMIFS('Cashflow Projection'!$E$117:$E$149,'Cashflow Projection'!$D$117:$D$149,Sales!C30)=1),0,SUMIFS('Cashflow Projection'!$C$7:$C$23,'Cashflow Projection'!$B$7:$B$23,Sales!B30,'Cashflow Projection'!$A$7:$A$23,Sales!A30))</f>
        <v>0</v>
      </c>
      <c r="G30" s="4">
        <v>45518</v>
      </c>
      <c r="H30" s="4">
        <v>45518</v>
      </c>
      <c r="I30" s="3">
        <v>1739900</v>
      </c>
      <c r="J30" s="3">
        <v>226943.4782608696</v>
      </c>
      <c r="K30" s="3">
        <v>1512956.5217391311</v>
      </c>
      <c r="L30" s="3">
        <v>18502.080000000002</v>
      </c>
      <c r="M30" s="3">
        <v>1789</v>
      </c>
      <c r="N30" s="3">
        <v>8699.5</v>
      </c>
      <c r="O30" s="3">
        <v>86995</v>
      </c>
      <c r="P30" s="3">
        <v>19224.37</v>
      </c>
      <c r="Q30" s="3">
        <v>1604690.05</v>
      </c>
      <c r="R30" s="9">
        <f>IF($F30=1,((SUMIFS(Investors!$M:$M,Investors!$E:$E,Sales!$C30,Investors!$O:$O,FALSE)+SUMIFS(Investors!$S:$S,Investors!$E:$E,Sales!$C30,Investors!$O:$O,FALSE))*$F30)-SUMIFS('Investor Exit List'!$Q:$Q,'Investor Exit List'!$Y:$Y,1,'Investor Exit List'!$Z:$Z,"Release",'Investor Exit List'!$C:$C,Sales!$C30),(SUMIFS(Investors!$M:$M,Investors!$E:$E,Sales!$C30,Investors!$O:$O,FALSE)+SUMIFS(Investors!$S:$S,Investors!$E:$E,Sales!$C30,Investors!$O:$O,FALSE))*$F30)</f>
        <v>0</v>
      </c>
      <c r="S30" s="9">
        <f t="shared" si="1"/>
        <v>1604690.05</v>
      </c>
      <c r="T30" s="3" t="b">
        <v>0</v>
      </c>
      <c r="U30" s="4">
        <v>45565</v>
      </c>
      <c r="V30" s="9">
        <v>210830.06599842431</v>
      </c>
      <c r="W30" s="10">
        <f>IF(SUMIFS('Cashflow Projection'!$E$117:$E$149,'Cashflow Projection'!$D$117:$D$149,Sales!C30)=1,SUMIFS('Cashflow Projection'!$C$117:$C$149,'Cashflow Projection'!$D$117:$D$149,Sales!C30),+Sales!H30)</f>
        <v>45518</v>
      </c>
      <c r="X30" s="10">
        <f t="shared" si="2"/>
        <v>45565</v>
      </c>
      <c r="Y30" s="10">
        <f t="shared" si="3"/>
        <v>45596</v>
      </c>
      <c r="Z30" t="b">
        <v>0</v>
      </c>
    </row>
    <row r="31" spans="1:26" x14ac:dyDescent="0.2">
      <c r="A31" s="3" t="s">
        <v>386</v>
      </c>
      <c r="B31" s="3" t="s">
        <v>388</v>
      </c>
      <c r="C31" s="3" t="s">
        <v>422</v>
      </c>
      <c r="D31" s="3" t="b">
        <v>1</v>
      </c>
      <c r="E31" s="3" t="b">
        <v>1</v>
      </c>
      <c r="F31" s="3">
        <f>IF(OR(Z31=TRUE,SUMIFS('Cashflow Projection'!$E$117:$E$149,'Cashflow Projection'!$D$117:$D$149,Sales!C31)=1),0,SUMIFS('Cashflow Projection'!$C$7:$C$23,'Cashflow Projection'!$B$7:$B$23,Sales!B31,'Cashflow Projection'!$A$7:$A$23,Sales!A31))</f>
        <v>1</v>
      </c>
      <c r="G31" s="4">
        <v>45177</v>
      </c>
      <c r="H31" s="4">
        <v>45688</v>
      </c>
      <c r="I31" s="3">
        <v>1529900</v>
      </c>
      <c r="J31" s="3">
        <v>199552.17391304349</v>
      </c>
      <c r="K31" s="3">
        <v>1330347.826086957</v>
      </c>
      <c r="L31" s="3">
        <v>18502.080000000002</v>
      </c>
      <c r="M31" s="3">
        <v>1789</v>
      </c>
      <c r="N31" s="3">
        <v>7649.5</v>
      </c>
      <c r="O31" s="3">
        <v>76495</v>
      </c>
      <c r="P31" s="3">
        <v>19224.37</v>
      </c>
      <c r="Q31" s="3">
        <v>1406240.05</v>
      </c>
      <c r="R31" s="9">
        <f>IF($F31=1,((SUMIFS(Investors!$M:$M,Investors!$E:$E,Sales!$C31,Investors!$O:$O,FALSE)+SUMIFS(Investors!$S:$S,Investors!$E:$E,Sales!$C31,Investors!$O:$O,FALSE))*$F31)-SUMIFS('Investor Exit List'!$Q:$Q,'Investor Exit List'!$Y:$Y,1,'Investor Exit List'!$Z:$Z,"Release",'Investor Exit List'!$C:$C,Sales!$C31),(SUMIFS(Investors!$M:$M,Investors!$E:$E,Sales!$C31,Investors!$O:$O,FALSE)+SUMIFS(Investors!$S:$S,Investors!$E:$E,Sales!$C31,Investors!$O:$O,FALSE))*$F31)</f>
        <v>1228522.798518904</v>
      </c>
      <c r="S31" s="9">
        <f t="shared" si="1"/>
        <v>177717.25148109603</v>
      </c>
      <c r="T31" s="3" t="b">
        <v>0</v>
      </c>
      <c r="U31" s="4">
        <v>45747</v>
      </c>
      <c r="V31" s="9">
        <v>177717.25148109579</v>
      </c>
      <c r="W31" s="10">
        <f>IF(SUMIFS('Cashflow Projection'!$E$117:$E$149,'Cashflow Projection'!$D$117:$D$149,Sales!C31)=1,SUMIFS('Cashflow Projection'!$C$117:$C$149,'Cashflow Projection'!$D$117:$D$149,Sales!C31),+Sales!H31)</f>
        <v>45688</v>
      </c>
      <c r="X31" s="10">
        <f t="shared" si="2"/>
        <v>45747</v>
      </c>
      <c r="Y31" s="10">
        <f t="shared" si="3"/>
        <v>45777</v>
      </c>
      <c r="Z31" t="b">
        <v>0</v>
      </c>
    </row>
    <row r="32" spans="1:26" x14ac:dyDescent="0.2">
      <c r="A32" s="3" t="s">
        <v>386</v>
      </c>
      <c r="B32" s="3" t="s">
        <v>569</v>
      </c>
      <c r="C32" s="3" t="s">
        <v>596</v>
      </c>
      <c r="D32" s="3" t="b">
        <v>0</v>
      </c>
      <c r="E32" s="3" t="b">
        <v>0</v>
      </c>
      <c r="F32" s="3">
        <f>IF(OR(Z32=TRUE,SUMIFS('Cashflow Projection'!$E$117:$E$149,'Cashflow Projection'!$D$117:$D$149,Sales!C32)=1),0,SUMIFS('Cashflow Projection'!$C$7:$C$23,'Cashflow Projection'!$B$7:$B$23,Sales!B32,'Cashflow Projection'!$A$7:$A$23,Sales!A32))</f>
        <v>0</v>
      </c>
      <c r="G32" s="4">
        <v>45685</v>
      </c>
      <c r="H32" s="4">
        <v>45685</v>
      </c>
      <c r="I32" s="3">
        <v>1499900</v>
      </c>
      <c r="J32" s="3">
        <v>195639.13043478259</v>
      </c>
      <c r="K32" s="3">
        <v>1304260.869565218</v>
      </c>
      <c r="L32" s="3">
        <v>18502.080000000002</v>
      </c>
      <c r="M32" s="3">
        <v>1789</v>
      </c>
      <c r="N32" s="3">
        <v>7499.5</v>
      </c>
      <c r="O32" s="3">
        <v>74995</v>
      </c>
      <c r="P32" s="3">
        <v>19224.37</v>
      </c>
      <c r="Q32" s="3">
        <v>1377890.05</v>
      </c>
      <c r="R32" s="9">
        <f>IF($F32=1,((SUMIFS(Investors!$M:$M,Investors!$E:$E,Sales!$C32,Investors!$O:$O,FALSE)+SUMIFS(Investors!$S:$S,Investors!$E:$E,Sales!$C32,Investors!$O:$O,FALSE))*$F32)-SUMIFS('Investor Exit List'!$Q:$Q,'Investor Exit List'!$Y:$Y,1,'Investor Exit List'!$Z:$Z,"Release",'Investor Exit List'!$C:$C,Sales!$C32),(SUMIFS(Investors!$M:$M,Investors!$E:$E,Sales!$C32,Investors!$O:$O,FALSE)+SUMIFS(Investors!$S:$S,Investors!$E:$E,Sales!$C32,Investors!$O:$O,FALSE))*$F32)</f>
        <v>0</v>
      </c>
      <c r="S32" s="9">
        <f t="shared" si="1"/>
        <v>1377890.05</v>
      </c>
      <c r="T32" s="3" t="b">
        <v>0</v>
      </c>
      <c r="U32" s="4">
        <v>45747</v>
      </c>
      <c r="V32" s="9">
        <v>-78942.826712328941</v>
      </c>
      <c r="W32" s="10">
        <f>IF(SUMIFS('Cashflow Projection'!$E$117:$E$149,'Cashflow Projection'!$D$117:$D$149,Sales!C32)=1,SUMIFS('Cashflow Projection'!$C$117:$C$149,'Cashflow Projection'!$D$117:$D$149,Sales!C32),+Sales!H32)</f>
        <v>45685</v>
      </c>
      <c r="X32" s="10">
        <f t="shared" si="2"/>
        <v>45747</v>
      </c>
      <c r="Y32" s="10">
        <f t="shared" si="3"/>
        <v>45777</v>
      </c>
      <c r="Z32" t="b">
        <v>0</v>
      </c>
    </row>
    <row r="33" spans="1:26" x14ac:dyDescent="0.2">
      <c r="A33" s="3" t="s">
        <v>386</v>
      </c>
      <c r="B33" s="3" t="s">
        <v>750</v>
      </c>
      <c r="C33" s="3" t="s">
        <v>759</v>
      </c>
      <c r="D33" s="3" t="b">
        <v>0</v>
      </c>
      <c r="E33" s="3" t="b">
        <v>0</v>
      </c>
      <c r="F33" s="3">
        <f>IF(OR(Z33=TRUE,SUMIFS('Cashflow Projection'!$E$117:$E$149,'Cashflow Projection'!$D$117:$D$149,Sales!C33)=1),0,SUMIFS('Cashflow Projection'!$C$7:$C$23,'Cashflow Projection'!$B$7:$B$23,Sales!B33,'Cashflow Projection'!$A$7:$A$23,Sales!A33))</f>
        <v>0</v>
      </c>
      <c r="G33" s="4">
        <v>45510</v>
      </c>
      <c r="H33" s="4">
        <v>45625</v>
      </c>
      <c r="I33" s="3">
        <v>1499900</v>
      </c>
      <c r="J33" s="3">
        <v>195639.13043478259</v>
      </c>
      <c r="K33" s="3">
        <v>1304260.869565218</v>
      </c>
      <c r="L33" s="3">
        <v>18502.080000000002</v>
      </c>
      <c r="M33" s="3">
        <v>1789</v>
      </c>
      <c r="N33" s="3">
        <v>7499.5</v>
      </c>
      <c r="O33" s="3">
        <v>74995</v>
      </c>
      <c r="P33" s="3">
        <v>19224.37</v>
      </c>
      <c r="Q33" s="3">
        <v>1377890.05</v>
      </c>
      <c r="R33" s="9">
        <f>IF($F33=1,((SUMIFS(Investors!$M:$M,Investors!$E:$E,Sales!$C33,Investors!$O:$O,FALSE)+SUMIFS(Investors!$S:$S,Investors!$E:$E,Sales!$C33,Investors!$O:$O,FALSE))*$F33)-SUMIFS('Investor Exit List'!$Q:$Q,'Investor Exit List'!$Y:$Y,1,'Investor Exit List'!$Z:$Z,"Release",'Investor Exit List'!$C:$C,Sales!$C33),(SUMIFS(Investors!$M:$M,Investors!$E:$E,Sales!$C33,Investors!$O:$O,FALSE)+SUMIFS(Investors!$S:$S,Investors!$E:$E,Sales!$C33,Investors!$O:$O,FALSE))*$F33)</f>
        <v>0</v>
      </c>
      <c r="S33" s="9">
        <f t="shared" si="1"/>
        <v>1377890.05</v>
      </c>
      <c r="T33" s="3" t="b">
        <v>0</v>
      </c>
      <c r="U33" s="4">
        <v>45688</v>
      </c>
      <c r="V33" s="9">
        <v>-10865.334636095909</v>
      </c>
      <c r="W33" s="10">
        <f>IF(SUMIFS('Cashflow Projection'!$E$117:$E$149,'Cashflow Projection'!$D$117:$D$149,Sales!C33)=1,SUMIFS('Cashflow Projection'!$C$117:$C$149,'Cashflow Projection'!$D$117:$D$149,Sales!C33),+Sales!H33)</f>
        <v>45625</v>
      </c>
      <c r="X33" s="10">
        <f t="shared" si="2"/>
        <v>45688</v>
      </c>
      <c r="Y33" s="10">
        <f t="shared" si="3"/>
        <v>45716</v>
      </c>
      <c r="Z33" t="b">
        <v>0</v>
      </c>
    </row>
    <row r="34" spans="1:26" x14ac:dyDescent="0.2">
      <c r="A34" s="3" t="s">
        <v>386</v>
      </c>
      <c r="B34" s="3" t="s">
        <v>750</v>
      </c>
      <c r="C34" s="3" t="s">
        <v>778</v>
      </c>
      <c r="D34" s="3" t="b">
        <v>0</v>
      </c>
      <c r="E34" s="3" t="b">
        <v>0</v>
      </c>
      <c r="F34" s="3">
        <f>IF(OR(Z34=TRUE,SUMIFS('Cashflow Projection'!$E$117:$E$149,'Cashflow Projection'!$D$117:$D$149,Sales!C34)=1),0,SUMIFS('Cashflow Projection'!$C$7:$C$23,'Cashflow Projection'!$B$7:$B$23,Sales!B34,'Cashflow Projection'!$A$7:$A$23,Sales!A34))</f>
        <v>0</v>
      </c>
      <c r="G34" s="4">
        <v>45510</v>
      </c>
      <c r="H34" s="4">
        <v>45625</v>
      </c>
      <c r="I34" s="3">
        <v>1749900</v>
      </c>
      <c r="J34" s="3">
        <v>228247.82608695651</v>
      </c>
      <c r="K34" s="3">
        <v>1521652.1739130439</v>
      </c>
      <c r="L34" s="3">
        <v>18502.080000000002</v>
      </c>
      <c r="M34" s="3">
        <v>1789</v>
      </c>
      <c r="N34" s="3">
        <v>8749.5</v>
      </c>
      <c r="O34" s="3">
        <v>87495</v>
      </c>
      <c r="P34" s="3">
        <v>19224.37</v>
      </c>
      <c r="Q34" s="3">
        <v>1614140.05</v>
      </c>
      <c r="R34" s="9">
        <f>IF($F34=1,((SUMIFS(Investors!$M:$M,Investors!$E:$E,Sales!$C34,Investors!$O:$O,FALSE)+SUMIFS(Investors!$S:$S,Investors!$E:$E,Sales!$C34,Investors!$O:$O,FALSE))*$F34)-SUMIFS('Investor Exit List'!$Q:$Q,'Investor Exit List'!$Y:$Y,1,'Investor Exit List'!$Z:$Z,"Release",'Investor Exit List'!$C:$C,Sales!$C34),(SUMIFS(Investors!$M:$M,Investors!$E:$E,Sales!$C34,Investors!$O:$O,FALSE)+SUMIFS(Investors!$S:$S,Investors!$E:$E,Sales!$C34,Investors!$O:$O,FALSE))*$F34)</f>
        <v>0</v>
      </c>
      <c r="S34" s="9">
        <f t="shared" si="1"/>
        <v>1614140.05</v>
      </c>
      <c r="T34" s="3" t="b">
        <v>0</v>
      </c>
      <c r="U34" s="4">
        <v>45688</v>
      </c>
      <c r="V34" s="9">
        <v>243164.749769863</v>
      </c>
      <c r="W34" s="10">
        <f>IF(SUMIFS('Cashflow Projection'!$E$117:$E$149,'Cashflow Projection'!$D$117:$D$149,Sales!C34)=1,SUMIFS('Cashflow Projection'!$C$117:$C$149,'Cashflow Projection'!$D$117:$D$149,Sales!C34),+Sales!H34)</f>
        <v>45625</v>
      </c>
      <c r="X34" s="10">
        <f t="shared" si="2"/>
        <v>45688</v>
      </c>
      <c r="Y34" s="10">
        <f t="shared" si="3"/>
        <v>45716</v>
      </c>
      <c r="Z34" t="b">
        <v>0</v>
      </c>
    </row>
    <row r="35" spans="1:26" x14ac:dyDescent="0.2">
      <c r="A35" s="3" t="s">
        <v>992</v>
      </c>
      <c r="B35" s="3" t="s">
        <v>26</v>
      </c>
      <c r="C35" s="3" t="s">
        <v>1007</v>
      </c>
      <c r="D35" s="3" t="b">
        <v>1</v>
      </c>
      <c r="E35" s="3" t="b">
        <v>1</v>
      </c>
      <c r="F35" s="3">
        <f>IF(OR(Z35=TRUE,SUMIFS('Cashflow Projection'!$E$117:$E$149,'Cashflow Projection'!$D$117:$D$149,Sales!C35)=1),0,SUMIFS('Cashflow Projection'!$C$7:$C$23,'Cashflow Projection'!$B$7:$B$23,Sales!B35,'Cashflow Projection'!$A$7:$A$23,Sales!A35))</f>
        <v>1</v>
      </c>
      <c r="G35" s="4">
        <v>45079</v>
      </c>
      <c r="H35" s="4">
        <v>45688</v>
      </c>
      <c r="I35" s="3">
        <v>1559900</v>
      </c>
      <c r="J35" s="3">
        <v>203465.21739130441</v>
      </c>
      <c r="K35" s="3">
        <v>1356434.782608696</v>
      </c>
      <c r="L35" s="3">
        <v>18502.080000000002</v>
      </c>
      <c r="M35" s="3">
        <v>1789</v>
      </c>
      <c r="N35" s="3">
        <v>7799.5</v>
      </c>
      <c r="O35" s="3">
        <v>77995</v>
      </c>
      <c r="P35" s="3">
        <v>19224.37</v>
      </c>
      <c r="Q35" s="3">
        <v>1434590.05</v>
      </c>
      <c r="R35" s="9">
        <f>IF($F35=1,((SUMIFS(Investors!$M:$M,Investors!$E:$E,Sales!$C35,Investors!$O:$O,FALSE)+SUMIFS(Investors!$S:$S,Investors!$E:$E,Sales!$C35,Investors!$O:$O,FALSE))*$F35)-SUMIFS('Investor Exit List'!$Q:$Q,'Investor Exit List'!$Y:$Y,1,'Investor Exit List'!$Z:$Z,"Release",'Investor Exit List'!$C:$C,Sales!$C35),(SUMIFS(Investors!$M:$M,Investors!$E:$E,Sales!$C35,Investors!$O:$O,FALSE)+SUMIFS(Investors!$S:$S,Investors!$E:$E,Sales!$C35,Investors!$O:$O,FALSE))*$F35)</f>
        <v>0</v>
      </c>
      <c r="S35" s="9">
        <f t="shared" si="1"/>
        <v>1434590.05</v>
      </c>
      <c r="T35" s="3" t="b">
        <v>0</v>
      </c>
      <c r="U35" s="4">
        <v>45747</v>
      </c>
      <c r="V35" s="9">
        <v>397481.14589041081</v>
      </c>
      <c r="W35" s="10">
        <f>IF(SUMIFS('Cashflow Projection'!$E$117:$E$149,'Cashflow Projection'!$D$117:$D$149,Sales!C35)=1,SUMIFS('Cashflow Projection'!$C$117:$C$149,'Cashflow Projection'!$D$117:$D$149,Sales!C35),+Sales!H35)</f>
        <v>45688</v>
      </c>
      <c r="X35" s="10">
        <f t="shared" si="2"/>
        <v>45747</v>
      </c>
      <c r="Y35" s="10">
        <f t="shared" si="3"/>
        <v>45777</v>
      </c>
      <c r="Z35" t="b">
        <v>0</v>
      </c>
    </row>
    <row r="36" spans="1:26" x14ac:dyDescent="0.2">
      <c r="A36" s="3" t="s">
        <v>992</v>
      </c>
      <c r="B36" s="3" t="s">
        <v>26</v>
      </c>
      <c r="C36" s="3" t="s">
        <v>1008</v>
      </c>
      <c r="D36" s="3" t="b">
        <v>1</v>
      </c>
      <c r="E36" s="3" t="b">
        <v>1</v>
      </c>
      <c r="F36" s="3">
        <f>IF(OR(Z36=TRUE,SUMIFS('Cashflow Projection'!$E$117:$E$149,'Cashflow Projection'!$D$117:$D$149,Sales!C36)=1),0,SUMIFS('Cashflow Projection'!$C$7:$C$23,'Cashflow Projection'!$B$7:$B$23,Sales!B36,'Cashflow Projection'!$A$7:$A$23,Sales!A36))</f>
        <v>1</v>
      </c>
      <c r="G36" s="4">
        <v>44869</v>
      </c>
      <c r="H36" s="4">
        <v>45688</v>
      </c>
      <c r="I36" s="3">
        <v>1549900</v>
      </c>
      <c r="J36" s="3">
        <v>202160.86956521741</v>
      </c>
      <c r="K36" s="3">
        <v>1347739.1304347829</v>
      </c>
      <c r="L36" s="3">
        <v>18502.080000000002</v>
      </c>
      <c r="M36" s="3">
        <v>1789</v>
      </c>
      <c r="N36" s="3">
        <v>7749.5</v>
      </c>
      <c r="O36" s="3">
        <v>77495</v>
      </c>
      <c r="P36" s="3">
        <v>19224.37</v>
      </c>
      <c r="Q36" s="3">
        <v>1425140.05</v>
      </c>
      <c r="R36" s="9">
        <f>IF($F36=1,((SUMIFS(Investors!$M:$M,Investors!$E:$E,Sales!$C36,Investors!$O:$O,FALSE)+SUMIFS(Investors!$S:$S,Investors!$E:$E,Sales!$C36,Investors!$O:$O,FALSE))*$F36)-SUMIFS('Investor Exit List'!$Q:$Q,'Investor Exit List'!$Y:$Y,1,'Investor Exit List'!$Z:$Z,"Release",'Investor Exit List'!$C:$C,Sales!$C36),(SUMIFS(Investors!$M:$M,Investors!$E:$E,Sales!$C36,Investors!$O:$O,FALSE)+SUMIFS(Investors!$S:$S,Investors!$E:$E,Sales!$C36,Investors!$O:$O,FALSE))*$F36)</f>
        <v>0</v>
      </c>
      <c r="S36" s="9">
        <f t="shared" si="1"/>
        <v>1425140.05</v>
      </c>
      <c r="T36" s="3" t="b">
        <v>0</v>
      </c>
      <c r="U36" s="4">
        <v>45747</v>
      </c>
      <c r="V36" s="9">
        <v>196095.5294520545</v>
      </c>
      <c r="W36" s="10">
        <f>IF(SUMIFS('Cashflow Projection'!$E$117:$E$149,'Cashflow Projection'!$D$117:$D$149,Sales!C36)=1,SUMIFS('Cashflow Projection'!$C$117:$C$149,'Cashflow Projection'!$D$117:$D$149,Sales!C36),+Sales!H36)</f>
        <v>45688</v>
      </c>
      <c r="X36" s="10">
        <f t="shared" si="2"/>
        <v>45747</v>
      </c>
      <c r="Y36" s="10">
        <f t="shared" si="3"/>
        <v>45777</v>
      </c>
      <c r="Z36" t="b">
        <v>0</v>
      </c>
    </row>
    <row r="37" spans="1:26" x14ac:dyDescent="0.2">
      <c r="A37" s="3" t="s">
        <v>992</v>
      </c>
      <c r="B37" s="3" t="s">
        <v>26</v>
      </c>
      <c r="C37" s="3" t="s">
        <v>1009</v>
      </c>
      <c r="D37" s="3" t="b">
        <v>1</v>
      </c>
      <c r="E37" s="3" t="b">
        <v>1</v>
      </c>
      <c r="F37" s="3">
        <f>IF(OR(Z37=TRUE,SUMIFS('Cashflow Projection'!$E$117:$E$149,'Cashflow Projection'!$D$117:$D$149,Sales!C37)=1),0,SUMIFS('Cashflow Projection'!$C$7:$C$23,'Cashflow Projection'!$B$7:$B$23,Sales!B37,'Cashflow Projection'!$A$7:$A$23,Sales!A37))</f>
        <v>1</v>
      </c>
      <c r="G37" s="4">
        <v>44960</v>
      </c>
      <c r="H37" s="4">
        <v>45688</v>
      </c>
      <c r="I37" s="3">
        <v>1559900</v>
      </c>
      <c r="J37" s="3">
        <v>203465.21739130441</v>
      </c>
      <c r="K37" s="3">
        <v>1356434.782608696</v>
      </c>
      <c r="L37" s="3">
        <v>18502.080000000002</v>
      </c>
      <c r="M37" s="3">
        <v>1789</v>
      </c>
      <c r="N37" s="3">
        <v>7799.5</v>
      </c>
      <c r="O37" s="3">
        <v>77995</v>
      </c>
      <c r="P37" s="3">
        <v>19224.37</v>
      </c>
      <c r="Q37" s="3">
        <v>1434590.05</v>
      </c>
      <c r="R37" s="9">
        <f>IF($F37=1,((SUMIFS(Investors!$M:$M,Investors!$E:$E,Sales!$C37,Investors!$O:$O,FALSE)+SUMIFS(Investors!$S:$S,Investors!$E:$E,Sales!$C37,Investors!$O:$O,FALSE))*$F37)-SUMIFS('Investor Exit List'!$Q:$Q,'Investor Exit List'!$Y:$Y,1,'Investor Exit List'!$Z:$Z,"Release",'Investor Exit List'!$C:$C,Sales!$C37),(SUMIFS(Investors!$M:$M,Investors!$E:$E,Sales!$C37,Investors!$O:$O,FALSE)+SUMIFS(Investors!$S:$S,Investors!$E:$E,Sales!$C37,Investors!$O:$O,FALSE))*$F37)</f>
        <v>0</v>
      </c>
      <c r="S37" s="9">
        <f t="shared" si="1"/>
        <v>1434590.05</v>
      </c>
      <c r="T37" s="3" t="b">
        <v>0</v>
      </c>
      <c r="U37" s="4">
        <v>45747</v>
      </c>
      <c r="V37" s="9">
        <v>156487.31027397231</v>
      </c>
      <c r="W37" s="10">
        <f>IF(SUMIFS('Cashflow Projection'!$E$117:$E$149,'Cashflow Projection'!$D$117:$D$149,Sales!C37)=1,SUMIFS('Cashflow Projection'!$C$117:$C$149,'Cashflow Projection'!$D$117:$D$149,Sales!C37),+Sales!H37)</f>
        <v>45688</v>
      </c>
      <c r="X37" s="10">
        <f t="shared" si="2"/>
        <v>45747</v>
      </c>
      <c r="Y37" s="10">
        <f t="shared" si="3"/>
        <v>45777</v>
      </c>
      <c r="Z37" t="b">
        <v>0</v>
      </c>
    </row>
    <row r="38" spans="1:26" x14ac:dyDescent="0.2">
      <c r="A38" s="3" t="s">
        <v>992</v>
      </c>
      <c r="B38" s="3" t="s">
        <v>26</v>
      </c>
      <c r="C38" s="3" t="s">
        <v>1010</v>
      </c>
      <c r="D38" s="3" t="b">
        <v>0</v>
      </c>
      <c r="E38" s="3" t="b">
        <v>0</v>
      </c>
      <c r="F38" s="3">
        <f>IF(OR(Z38=TRUE,SUMIFS('Cashflow Projection'!$E$117:$E$149,'Cashflow Projection'!$D$117:$D$149,Sales!C38)=1),0,SUMIFS('Cashflow Projection'!$C$7:$C$23,'Cashflow Projection'!$B$7:$B$23,Sales!B38,'Cashflow Projection'!$A$7:$A$23,Sales!A38))</f>
        <v>1</v>
      </c>
      <c r="G38" s="4">
        <v>45478</v>
      </c>
      <c r="H38" s="4">
        <v>45427</v>
      </c>
      <c r="I38" s="3">
        <v>1559900</v>
      </c>
      <c r="J38" s="3">
        <v>0</v>
      </c>
      <c r="K38" s="3">
        <v>1356434.782608696</v>
      </c>
      <c r="L38" s="3">
        <v>18502.080000000002</v>
      </c>
      <c r="M38" s="3">
        <v>1789</v>
      </c>
      <c r="N38" s="3">
        <v>7799.5</v>
      </c>
      <c r="O38" s="3">
        <v>77995</v>
      </c>
      <c r="P38" s="3">
        <v>19224.37</v>
      </c>
      <c r="Q38" s="3">
        <v>1434590.05</v>
      </c>
      <c r="R38" s="9">
        <f>IF($F38=1,((SUMIFS(Investors!$M:$M,Investors!$E:$E,Sales!$C38,Investors!$O:$O,FALSE)+SUMIFS(Investors!$S:$S,Investors!$E:$E,Sales!$C38,Investors!$O:$O,FALSE))*$F38)-SUMIFS('Investor Exit List'!$Q:$Q,'Investor Exit List'!$Y:$Y,1,'Investor Exit List'!$Z:$Z,"Release",'Investor Exit List'!$C:$C,Sales!$C38),(SUMIFS(Investors!$M:$M,Investors!$E:$E,Sales!$C38,Investors!$O:$O,FALSE)+SUMIFS(Investors!$S:$S,Investors!$E:$E,Sales!$C38,Investors!$O:$O,FALSE))*$F38)</f>
        <v>0</v>
      </c>
      <c r="S38" s="9">
        <f t="shared" si="1"/>
        <v>921500</v>
      </c>
      <c r="T38" s="3" t="b">
        <v>1</v>
      </c>
      <c r="U38" s="4">
        <v>45504</v>
      </c>
      <c r="V38" s="9">
        <v>921500</v>
      </c>
      <c r="W38" s="10">
        <f>IF(SUMIFS('Cashflow Projection'!$E$117:$E$149,'Cashflow Projection'!$D$117:$D$149,Sales!C38)=1,SUMIFS('Cashflow Projection'!$C$117:$C$149,'Cashflow Projection'!$D$117:$D$149,Sales!C38),+Sales!H38)</f>
        <v>45427</v>
      </c>
      <c r="X38" s="10">
        <f t="shared" si="2"/>
        <v>45504</v>
      </c>
      <c r="Y38" s="10">
        <f t="shared" si="3"/>
        <v>45535</v>
      </c>
      <c r="Z38" t="b">
        <v>0</v>
      </c>
    </row>
    <row r="39" spans="1:26" x14ac:dyDescent="0.2">
      <c r="A39" s="3" t="s">
        <v>992</v>
      </c>
      <c r="B39" s="3" t="s">
        <v>26</v>
      </c>
      <c r="C39" s="3" t="s">
        <v>1011</v>
      </c>
      <c r="D39" s="3" t="b">
        <v>1</v>
      </c>
      <c r="E39" s="3" t="b">
        <v>1</v>
      </c>
      <c r="F39" s="3">
        <f>IF(OR(Z39=TRUE,SUMIFS('Cashflow Projection'!$E$117:$E$149,'Cashflow Projection'!$D$117:$D$149,Sales!C39)=1),0,SUMIFS('Cashflow Projection'!$C$7:$C$23,'Cashflow Projection'!$B$7:$B$23,Sales!B39,'Cashflow Projection'!$A$7:$A$23,Sales!A39))</f>
        <v>1</v>
      </c>
      <c r="G39" s="4">
        <v>44845</v>
      </c>
      <c r="H39" s="4">
        <v>45688</v>
      </c>
      <c r="I39" s="3">
        <v>1599900</v>
      </c>
      <c r="J39" s="3">
        <v>208682.60869565219</v>
      </c>
      <c r="K39" s="3">
        <v>1391217.3913043479</v>
      </c>
      <c r="L39" s="3">
        <v>18502.080000000002</v>
      </c>
      <c r="M39" s="3">
        <v>1789</v>
      </c>
      <c r="N39" s="3">
        <v>7999.5</v>
      </c>
      <c r="O39" s="3">
        <v>79995</v>
      </c>
      <c r="P39" s="3">
        <v>19224.37</v>
      </c>
      <c r="Q39" s="3">
        <v>1472390.05</v>
      </c>
      <c r="R39" s="9">
        <f>IF($F39=1,((SUMIFS(Investors!$M:$M,Investors!$E:$E,Sales!$C39,Investors!$O:$O,FALSE)+SUMIFS(Investors!$S:$S,Investors!$E:$E,Sales!$C39,Investors!$O:$O,FALSE))*$F39)-SUMIFS('Investor Exit List'!$Q:$Q,'Investor Exit List'!$Y:$Y,1,'Investor Exit List'!$Z:$Z,"Release",'Investor Exit List'!$C:$C,Sales!$C39),(SUMIFS(Investors!$M:$M,Investors!$E:$E,Sales!$C39,Investors!$O:$O,FALSE)+SUMIFS(Investors!$S:$S,Investors!$E:$E,Sales!$C39,Investors!$O:$O,FALSE))*$F39)</f>
        <v>0</v>
      </c>
      <c r="S39" s="9">
        <f t="shared" si="1"/>
        <v>1472390.05</v>
      </c>
      <c r="T39" s="3" t="b">
        <v>0</v>
      </c>
      <c r="U39" s="4">
        <v>45747</v>
      </c>
      <c r="V39" s="9">
        <v>288141.41986301361</v>
      </c>
      <c r="W39" s="10">
        <f>IF(SUMIFS('Cashflow Projection'!$E$117:$E$149,'Cashflow Projection'!$D$117:$D$149,Sales!C39)=1,SUMIFS('Cashflow Projection'!$C$117:$C$149,'Cashflow Projection'!$D$117:$D$149,Sales!C39),+Sales!H39)</f>
        <v>45688</v>
      </c>
      <c r="X39" s="10">
        <f t="shared" si="2"/>
        <v>45747</v>
      </c>
      <c r="Y39" s="10">
        <f t="shared" si="3"/>
        <v>45777</v>
      </c>
      <c r="Z39" t="b">
        <v>0</v>
      </c>
    </row>
    <row r="40" spans="1:26" x14ac:dyDescent="0.2">
      <c r="A40" s="3" t="s">
        <v>992</v>
      </c>
      <c r="B40" s="3" t="s">
        <v>388</v>
      </c>
      <c r="C40" s="3" t="s">
        <v>1012</v>
      </c>
      <c r="D40" s="3" t="b">
        <v>1</v>
      </c>
      <c r="E40" s="3" t="b">
        <v>1</v>
      </c>
      <c r="F40" s="3">
        <f>IF(OR(Z40=TRUE,SUMIFS('Cashflow Projection'!$E$117:$E$149,'Cashflow Projection'!$D$117:$D$149,Sales!C40)=1),0,SUMIFS('Cashflow Projection'!$C$7:$C$23,'Cashflow Projection'!$B$7:$B$23,Sales!B40,'Cashflow Projection'!$A$7:$A$23,Sales!A40))</f>
        <v>0</v>
      </c>
      <c r="G40" s="4">
        <v>44848</v>
      </c>
      <c r="H40" s="4">
        <v>45688</v>
      </c>
      <c r="I40" s="3">
        <v>1479900</v>
      </c>
      <c r="J40" s="3">
        <v>193030.4347826087</v>
      </c>
      <c r="K40" s="3">
        <v>1286869.5652173909</v>
      </c>
      <c r="L40" s="3">
        <v>18502.080000000002</v>
      </c>
      <c r="M40" s="3">
        <v>1789</v>
      </c>
      <c r="N40" s="3">
        <v>7399.5</v>
      </c>
      <c r="O40" s="3">
        <v>73995</v>
      </c>
      <c r="P40" s="3">
        <v>19224.37</v>
      </c>
      <c r="Q40" s="3">
        <v>1358990.05</v>
      </c>
      <c r="R40" s="9">
        <f>IF($F40=1,((SUMIFS(Investors!$M:$M,Investors!$E:$E,Sales!$C40,Investors!$O:$O,FALSE)+SUMIFS(Investors!$S:$S,Investors!$E:$E,Sales!$C40,Investors!$O:$O,FALSE))*$F40)-SUMIFS('Investor Exit List'!$Q:$Q,'Investor Exit List'!$Y:$Y,1,'Investor Exit List'!$Z:$Z,"Release",'Investor Exit List'!$C:$C,Sales!$C40),(SUMIFS(Investors!$M:$M,Investors!$E:$E,Sales!$C40,Investors!$O:$O,FALSE)+SUMIFS(Investors!$S:$S,Investors!$E:$E,Sales!$C40,Investors!$O:$O,FALSE))*$F40)</f>
        <v>0</v>
      </c>
      <c r="S40" s="9">
        <f t="shared" si="1"/>
        <v>1358990.05</v>
      </c>
      <c r="T40" s="3" t="b">
        <v>0</v>
      </c>
      <c r="U40" s="4">
        <v>45747</v>
      </c>
      <c r="V40" s="9">
        <v>166868.4524613698</v>
      </c>
      <c r="W40" s="10">
        <f>IF(SUMIFS('Cashflow Projection'!$E$117:$E$149,'Cashflow Projection'!$D$117:$D$149,Sales!C40)=1,SUMIFS('Cashflow Projection'!$C$117:$C$149,'Cashflow Projection'!$D$117:$D$149,Sales!C40),+Sales!H40)</f>
        <v>45688</v>
      </c>
      <c r="X40" s="10">
        <f t="shared" si="2"/>
        <v>45747</v>
      </c>
      <c r="Y40" s="10">
        <f t="shared" si="3"/>
        <v>45777</v>
      </c>
      <c r="Z40" t="b">
        <v>0</v>
      </c>
    </row>
    <row r="41" spans="1:26" x14ac:dyDescent="0.2">
      <c r="A41" s="3" t="s">
        <v>992</v>
      </c>
      <c r="B41" s="3" t="s">
        <v>497</v>
      </c>
      <c r="C41" s="3" t="s">
        <v>1013</v>
      </c>
      <c r="D41" s="3" t="b">
        <v>1</v>
      </c>
      <c r="E41" s="3" t="b">
        <v>1</v>
      </c>
      <c r="F41" s="3">
        <f>IF(OR(Z41=TRUE,SUMIFS('Cashflow Projection'!$E$117:$E$149,'Cashflow Projection'!$D$117:$D$149,Sales!C41)=1),0,SUMIFS('Cashflow Projection'!$C$7:$C$23,'Cashflow Projection'!$B$7:$B$23,Sales!B41,'Cashflow Projection'!$A$7:$A$23,Sales!A41))</f>
        <v>0</v>
      </c>
      <c r="G41" s="4">
        <v>44687</v>
      </c>
      <c r="H41" s="4">
        <v>45688</v>
      </c>
      <c r="I41" s="3">
        <v>1349900</v>
      </c>
      <c r="J41" s="3">
        <v>176073.91304347821</v>
      </c>
      <c r="K41" s="3">
        <v>1173826.086956522</v>
      </c>
      <c r="L41" s="3">
        <v>18502.080000000002</v>
      </c>
      <c r="M41" s="3">
        <v>1789</v>
      </c>
      <c r="N41" s="3">
        <v>6749.5</v>
      </c>
      <c r="O41" s="3">
        <v>67495</v>
      </c>
      <c r="P41" s="3">
        <v>19224.37</v>
      </c>
      <c r="Q41" s="3">
        <v>1236140.05</v>
      </c>
      <c r="R41" s="9">
        <f>IF($F41=1,((SUMIFS(Investors!$M:$M,Investors!$E:$E,Sales!$C41,Investors!$O:$O,FALSE)+SUMIFS(Investors!$S:$S,Investors!$E:$E,Sales!$C41,Investors!$O:$O,FALSE))*$F41)-SUMIFS('Investor Exit List'!$Q:$Q,'Investor Exit List'!$Y:$Y,1,'Investor Exit List'!$Z:$Z,"Release",'Investor Exit List'!$C:$C,Sales!$C41),(SUMIFS(Investors!$M:$M,Investors!$E:$E,Sales!$C41,Investors!$O:$O,FALSE)+SUMIFS(Investors!$S:$S,Investors!$E:$E,Sales!$C41,Investors!$O:$O,FALSE))*$F41)</f>
        <v>0</v>
      </c>
      <c r="S41" s="9">
        <f t="shared" si="1"/>
        <v>1236140.05</v>
      </c>
      <c r="T41" s="3" t="b">
        <v>0</v>
      </c>
      <c r="U41" s="4">
        <v>45747</v>
      </c>
      <c r="V41" s="9">
        <v>33144.356343561318</v>
      </c>
      <c r="W41" s="10">
        <f>IF(SUMIFS('Cashflow Projection'!$E$117:$E$149,'Cashflow Projection'!$D$117:$D$149,Sales!C41)=1,SUMIFS('Cashflow Projection'!$C$117:$C$149,'Cashflow Projection'!$D$117:$D$149,Sales!C41),+Sales!H41)</f>
        <v>45688</v>
      </c>
      <c r="X41" s="10">
        <f t="shared" si="2"/>
        <v>45747</v>
      </c>
      <c r="Y41" s="10">
        <f t="shared" si="3"/>
        <v>45777</v>
      </c>
      <c r="Z41" t="b">
        <v>0</v>
      </c>
    </row>
    <row r="42" spans="1:26" x14ac:dyDescent="0.2">
      <c r="A42" s="3" t="s">
        <v>992</v>
      </c>
      <c r="B42" s="3" t="s">
        <v>569</v>
      </c>
      <c r="C42" s="3" t="s">
        <v>1014</v>
      </c>
      <c r="D42" s="3" t="b">
        <v>1</v>
      </c>
      <c r="E42" s="3" t="b">
        <v>1</v>
      </c>
      <c r="F42" s="3">
        <f>IF(OR(Z42=TRUE,SUMIFS('Cashflow Projection'!$E$117:$E$149,'Cashflow Projection'!$D$117:$D$149,Sales!C42)=1),0,SUMIFS('Cashflow Projection'!$C$7:$C$23,'Cashflow Projection'!$B$7:$B$23,Sales!B42,'Cashflow Projection'!$A$7:$A$23,Sales!A42))</f>
        <v>0</v>
      </c>
      <c r="G42" s="4">
        <v>44657</v>
      </c>
      <c r="H42" s="4">
        <v>45688</v>
      </c>
      <c r="I42" s="3">
        <v>1434900</v>
      </c>
      <c r="J42" s="3">
        <v>187160.86956521741</v>
      </c>
      <c r="K42" s="3">
        <v>1247739.1304347829</v>
      </c>
      <c r="L42" s="3">
        <v>18502.080000000002</v>
      </c>
      <c r="M42" s="3">
        <v>1789</v>
      </c>
      <c r="N42" s="3">
        <v>7174.5</v>
      </c>
      <c r="O42" s="3">
        <v>71745</v>
      </c>
      <c r="P42" s="3">
        <v>19224.37</v>
      </c>
      <c r="Q42" s="3">
        <v>1316465.05</v>
      </c>
      <c r="R42" s="9">
        <f>IF($F42=1,((SUMIFS(Investors!$M:$M,Investors!$E:$E,Sales!$C42,Investors!$O:$O,FALSE)+SUMIFS(Investors!$S:$S,Investors!$E:$E,Sales!$C42,Investors!$O:$O,FALSE))*$F42)-SUMIFS('Investor Exit List'!$Q:$Q,'Investor Exit List'!$Y:$Y,1,'Investor Exit List'!$Z:$Z,"Release",'Investor Exit List'!$C:$C,Sales!$C42),(SUMIFS(Investors!$M:$M,Investors!$E:$E,Sales!$C42,Investors!$O:$O,FALSE)+SUMIFS(Investors!$S:$S,Investors!$E:$E,Sales!$C42,Investors!$O:$O,FALSE))*$F42)</f>
        <v>0</v>
      </c>
      <c r="S42" s="9">
        <f t="shared" si="1"/>
        <v>1316465.05</v>
      </c>
      <c r="T42" s="3" t="b">
        <v>0</v>
      </c>
      <c r="U42" s="4">
        <v>45747</v>
      </c>
      <c r="V42" s="9">
        <v>82555.460958903888</v>
      </c>
      <c r="W42" s="10">
        <f>IF(SUMIFS('Cashflow Projection'!$E$117:$E$149,'Cashflow Projection'!$D$117:$D$149,Sales!C42)=1,SUMIFS('Cashflow Projection'!$C$117:$C$149,'Cashflow Projection'!$D$117:$D$149,Sales!C42),+Sales!H42)</f>
        <v>45688</v>
      </c>
      <c r="X42" s="10">
        <f t="shared" si="2"/>
        <v>45747</v>
      </c>
      <c r="Y42" s="10">
        <f t="shared" si="3"/>
        <v>45777</v>
      </c>
      <c r="Z42" t="b">
        <v>0</v>
      </c>
    </row>
    <row r="43" spans="1:26" x14ac:dyDescent="0.2">
      <c r="A43" s="3" t="s">
        <v>24</v>
      </c>
      <c r="B43" s="3" t="s">
        <v>26</v>
      </c>
      <c r="C43" s="3" t="s">
        <v>25</v>
      </c>
      <c r="D43" s="3" t="b">
        <v>1</v>
      </c>
      <c r="E43" s="3" t="b">
        <v>1</v>
      </c>
      <c r="F43" s="3">
        <f>IF(OR(Z43=TRUE,SUMIFS('Cashflow Projection'!$E$117:$E$149,'Cashflow Projection'!$D$117:$D$149,Sales!C43)=1),0,SUMIFS('Cashflow Projection'!$C$7:$C$23,'Cashflow Projection'!$B$7:$B$23,Sales!B43,'Cashflow Projection'!$A$7:$A$23,Sales!A43))</f>
        <v>0</v>
      </c>
      <c r="G43" s="4">
        <v>44887</v>
      </c>
      <c r="H43" s="4">
        <v>45688</v>
      </c>
      <c r="I43" s="3">
        <v>1479900</v>
      </c>
      <c r="J43" s="3">
        <v>193030.4347826087</v>
      </c>
      <c r="K43" s="3">
        <v>1286869.5652173909</v>
      </c>
      <c r="L43" s="3">
        <v>18502.080000000002</v>
      </c>
      <c r="M43" s="3">
        <v>1789</v>
      </c>
      <c r="N43" s="3">
        <v>7399.5</v>
      </c>
      <c r="O43" s="3">
        <v>73995</v>
      </c>
      <c r="P43" s="3">
        <v>19224.37</v>
      </c>
      <c r="Q43" s="3">
        <v>1358990.05</v>
      </c>
      <c r="R43" s="9">
        <f>IF($F43=1,((SUMIFS(Investors!$M:$M,Investors!$E:$E,Sales!$C43,Investors!$O:$O,FALSE)+SUMIFS(Investors!$S:$S,Investors!$E:$E,Sales!$C43,Investors!$O:$O,FALSE))*$F43)-SUMIFS('Investor Exit List'!$Q:$Q,'Investor Exit List'!$Y:$Y,1,'Investor Exit List'!$Z:$Z,"Release",'Investor Exit List'!$C:$C,Sales!$C43),(SUMIFS(Investors!$M:$M,Investors!$E:$E,Sales!$C43,Investors!$O:$O,FALSE)+SUMIFS(Investors!$S:$S,Investors!$E:$E,Sales!$C43,Investors!$O:$O,FALSE))*$F43)</f>
        <v>0</v>
      </c>
      <c r="S43" s="9">
        <f t="shared" si="1"/>
        <v>1358990.05</v>
      </c>
      <c r="T43" s="3" t="b">
        <v>0</v>
      </c>
      <c r="U43" s="4">
        <v>45747</v>
      </c>
      <c r="V43" s="9">
        <v>206805.42597520541</v>
      </c>
      <c r="W43" s="10">
        <f>IF(SUMIFS('Cashflow Projection'!$E$117:$E$149,'Cashflow Projection'!$D$117:$D$149,Sales!C43)=1,SUMIFS('Cashflow Projection'!$C$117:$C$149,'Cashflow Projection'!$D$117:$D$149,Sales!C43),+Sales!H43)</f>
        <v>45688</v>
      </c>
      <c r="X43" s="10">
        <f t="shared" si="2"/>
        <v>45747</v>
      </c>
      <c r="Y43" s="10">
        <f t="shared" si="3"/>
        <v>45777</v>
      </c>
      <c r="Z43" t="b">
        <v>0</v>
      </c>
    </row>
    <row r="44" spans="1:26" x14ac:dyDescent="0.2">
      <c r="A44" s="3" t="s">
        <v>24</v>
      </c>
      <c r="B44" s="3" t="s">
        <v>26</v>
      </c>
      <c r="C44" s="3" t="s">
        <v>126</v>
      </c>
      <c r="D44" s="3" t="b">
        <v>1</v>
      </c>
      <c r="E44" s="3" t="b">
        <v>1</v>
      </c>
      <c r="F44" s="3">
        <f>IF(OR(Z44=TRUE,SUMIFS('Cashflow Projection'!$E$117:$E$149,'Cashflow Projection'!$D$117:$D$149,Sales!C44)=1),0,SUMIFS('Cashflow Projection'!$C$7:$C$23,'Cashflow Projection'!$B$7:$B$23,Sales!B44,'Cashflow Projection'!$A$7:$A$23,Sales!A44))</f>
        <v>0</v>
      </c>
      <c r="G44" s="4">
        <v>44943</v>
      </c>
      <c r="H44" s="4">
        <v>45688</v>
      </c>
      <c r="I44" s="3">
        <v>1279900</v>
      </c>
      <c r="J44" s="3">
        <v>166943.4782608696</v>
      </c>
      <c r="K44" s="3">
        <v>1112956.5217391311</v>
      </c>
      <c r="L44" s="3">
        <v>18502.080000000002</v>
      </c>
      <c r="M44" s="3">
        <v>1789</v>
      </c>
      <c r="N44" s="3">
        <v>6399.5</v>
      </c>
      <c r="O44" s="3">
        <v>63995</v>
      </c>
      <c r="P44" s="3">
        <v>19224.37</v>
      </c>
      <c r="Q44" s="3">
        <v>1169990.05</v>
      </c>
      <c r="R44" s="9">
        <f>IF($F44=1,((SUMIFS(Investors!$M:$M,Investors!$E:$E,Sales!$C44,Investors!$O:$O,FALSE)+SUMIFS(Investors!$S:$S,Investors!$E:$E,Sales!$C44,Investors!$O:$O,FALSE))*$F44)-SUMIFS('Investor Exit List'!$Q:$Q,'Investor Exit List'!$Y:$Y,1,'Investor Exit List'!$Z:$Z,"Release",'Investor Exit List'!$C:$C,Sales!$C44),(SUMIFS(Investors!$M:$M,Investors!$E:$E,Sales!$C44,Investors!$O:$O,FALSE)+SUMIFS(Investors!$S:$S,Investors!$E:$E,Sales!$C44,Investors!$O:$O,FALSE))*$F44)</f>
        <v>0</v>
      </c>
      <c r="S44" s="9">
        <f t="shared" si="1"/>
        <v>1169990.05</v>
      </c>
      <c r="T44" s="3" t="b">
        <v>0</v>
      </c>
      <c r="U44" s="4">
        <v>45747</v>
      </c>
      <c r="V44" s="9">
        <v>3265.9256409585942</v>
      </c>
      <c r="W44" s="10">
        <f>IF(SUMIFS('Cashflow Projection'!$E$117:$E$149,'Cashflow Projection'!$D$117:$D$149,Sales!C44)=1,SUMIFS('Cashflow Projection'!$C$117:$C$149,'Cashflow Projection'!$D$117:$D$149,Sales!C44),+Sales!H44)</f>
        <v>45688</v>
      </c>
      <c r="X44" s="10">
        <f t="shared" si="2"/>
        <v>45747</v>
      </c>
      <c r="Y44" s="10">
        <f t="shared" si="3"/>
        <v>45777</v>
      </c>
      <c r="Z44" t="b">
        <v>0</v>
      </c>
    </row>
    <row r="45" spans="1:26" x14ac:dyDescent="0.2">
      <c r="A45" s="3" t="s">
        <v>24</v>
      </c>
      <c r="B45" s="3" t="s">
        <v>26</v>
      </c>
      <c r="C45" s="3" t="s">
        <v>68</v>
      </c>
      <c r="D45" s="3" t="b">
        <v>1</v>
      </c>
      <c r="E45" s="3" t="b">
        <v>1</v>
      </c>
      <c r="F45" s="3">
        <f>IF(OR(Z45=TRUE,SUMIFS('Cashflow Projection'!$E$117:$E$149,'Cashflow Projection'!$D$117:$D$149,Sales!C45)=1),0,SUMIFS('Cashflow Projection'!$C$7:$C$23,'Cashflow Projection'!$B$7:$B$23,Sales!B45,'Cashflow Projection'!$A$7:$A$23,Sales!A45))</f>
        <v>0</v>
      </c>
      <c r="G45" s="4">
        <v>44887</v>
      </c>
      <c r="H45" s="4">
        <v>45688</v>
      </c>
      <c r="I45" s="3">
        <v>1549900</v>
      </c>
      <c r="J45" s="3">
        <v>202160.86956521741</v>
      </c>
      <c r="K45" s="3">
        <v>1347739.1304347829</v>
      </c>
      <c r="L45" s="3">
        <v>18502.080000000002</v>
      </c>
      <c r="M45" s="3">
        <v>1789</v>
      </c>
      <c r="N45" s="3">
        <v>7749.5</v>
      </c>
      <c r="O45" s="3">
        <v>77495</v>
      </c>
      <c r="P45" s="3">
        <v>19224.37</v>
      </c>
      <c r="Q45" s="3">
        <v>1425140.05</v>
      </c>
      <c r="R45" s="9">
        <f>IF($F45=1,((SUMIFS(Investors!$M:$M,Investors!$E:$E,Sales!$C45,Investors!$O:$O,FALSE)+SUMIFS(Investors!$S:$S,Investors!$E:$E,Sales!$C45,Investors!$O:$O,FALSE))*$F45)-SUMIFS('Investor Exit List'!$Q:$Q,'Investor Exit List'!$Y:$Y,1,'Investor Exit List'!$Z:$Z,"Release",'Investor Exit List'!$C:$C,Sales!$C45),(SUMIFS(Investors!$M:$M,Investors!$E:$E,Sales!$C45,Investors!$O:$O,FALSE)+SUMIFS(Investors!$S:$S,Investors!$E:$E,Sales!$C45,Investors!$O:$O,FALSE))*$F45)</f>
        <v>0</v>
      </c>
      <c r="S45" s="9">
        <f t="shared" si="1"/>
        <v>1425140.05</v>
      </c>
      <c r="T45" s="3" t="b">
        <v>0</v>
      </c>
      <c r="U45" s="4">
        <v>45747</v>
      </c>
      <c r="V45" s="9">
        <v>265790.12128767121</v>
      </c>
      <c r="W45" s="10">
        <f>IF(SUMIFS('Cashflow Projection'!$E$117:$E$149,'Cashflow Projection'!$D$117:$D$149,Sales!C45)=1,SUMIFS('Cashflow Projection'!$C$117:$C$149,'Cashflow Projection'!$D$117:$D$149,Sales!C45),+Sales!H45)</f>
        <v>45688</v>
      </c>
      <c r="X45" s="10">
        <f t="shared" si="2"/>
        <v>45747</v>
      </c>
      <c r="Y45" s="10">
        <f t="shared" si="3"/>
        <v>45777</v>
      </c>
      <c r="Z45" t="b">
        <v>0</v>
      </c>
    </row>
    <row r="46" spans="1:26" x14ac:dyDescent="0.2">
      <c r="A46" s="3" t="s">
        <v>386</v>
      </c>
      <c r="B46" s="3" t="s">
        <v>822</v>
      </c>
      <c r="C46" s="3" t="s">
        <v>833</v>
      </c>
      <c r="D46" s="3" t="b">
        <v>1</v>
      </c>
      <c r="E46" s="3" t="b">
        <v>1</v>
      </c>
      <c r="F46" s="3">
        <f>IF(OR(Z46=TRUE,SUMIFS('Cashflow Projection'!$E$117:$E$149,'Cashflow Projection'!$D$117:$D$149,Sales!C46)=1),0,SUMIFS('Cashflow Projection'!$C$7:$C$23,'Cashflow Projection'!$B$7:$B$23,Sales!B46,'Cashflow Projection'!$A$7:$A$23,Sales!A46))</f>
        <v>1</v>
      </c>
      <c r="G46" s="4">
        <v>45308</v>
      </c>
      <c r="H46" s="4">
        <v>45688</v>
      </c>
      <c r="I46" s="3">
        <v>1689900</v>
      </c>
      <c r="J46" s="3">
        <v>220421.73913043481</v>
      </c>
      <c r="K46" s="3">
        <v>1469478.260869565</v>
      </c>
      <c r="L46" s="3">
        <v>18502.080000000002</v>
      </c>
      <c r="M46" s="3">
        <v>1789</v>
      </c>
      <c r="N46" s="3">
        <v>8449.5</v>
      </c>
      <c r="O46" s="3">
        <v>84495</v>
      </c>
      <c r="P46" s="3">
        <v>19224.37</v>
      </c>
      <c r="Q46" s="3">
        <v>1557440.05</v>
      </c>
      <c r="R46" s="9">
        <f>IF($F46=1,((SUMIFS(Investors!$M:$M,Investors!$E:$E,Sales!$C46,Investors!$O:$O,FALSE)+SUMIFS(Investors!$S:$S,Investors!$E:$E,Sales!$C46,Investors!$O:$O,FALSE))*$F46)-SUMIFS('Investor Exit List'!$Q:$Q,'Investor Exit List'!$Y:$Y,1,'Investor Exit List'!$Z:$Z,"Release",'Investor Exit List'!$C:$C,Sales!$C46),(SUMIFS(Investors!$M:$M,Investors!$E:$E,Sales!$C46,Investors!$O:$O,FALSE)+SUMIFS(Investors!$S:$S,Investors!$E:$E,Sales!$C46,Investors!$O:$O,FALSE))*$F46)</f>
        <v>319452.05479452055</v>
      </c>
      <c r="S46" s="9">
        <f t="shared" si="1"/>
        <v>1237987.9952054794</v>
      </c>
      <c r="T46" s="3" t="b">
        <v>0</v>
      </c>
      <c r="U46" s="4">
        <v>45747</v>
      </c>
      <c r="V46" s="9">
        <v>348866.465127534</v>
      </c>
      <c r="W46" s="10">
        <f>IF(SUMIFS('Cashflow Projection'!$E$117:$E$149,'Cashflow Projection'!$D$117:$D$149,Sales!C46)=1,SUMIFS('Cashflow Projection'!$C$117:$C$149,'Cashflow Projection'!$D$117:$D$149,Sales!C46),+Sales!H46)</f>
        <v>45688</v>
      </c>
      <c r="X46" s="10">
        <f t="shared" si="2"/>
        <v>45747</v>
      </c>
      <c r="Y46" s="10">
        <f t="shared" si="3"/>
        <v>45777</v>
      </c>
      <c r="Z46" t="b">
        <v>0</v>
      </c>
    </row>
    <row r="47" spans="1:26" x14ac:dyDescent="0.2">
      <c r="A47" s="3" t="s">
        <v>386</v>
      </c>
      <c r="B47" s="3" t="s">
        <v>822</v>
      </c>
      <c r="C47" s="3" t="s">
        <v>848</v>
      </c>
      <c r="D47" s="3" t="b">
        <v>0</v>
      </c>
      <c r="E47" s="3" t="b">
        <v>0</v>
      </c>
      <c r="F47" s="3">
        <f>IF(OR(Z47=TRUE,SUMIFS('Cashflow Projection'!$E$117:$E$149,'Cashflow Projection'!$D$117:$D$149,Sales!C47)=1),0,SUMIFS('Cashflow Projection'!$C$7:$C$23,'Cashflow Projection'!$B$7:$B$23,Sales!B47,'Cashflow Projection'!$A$7:$A$23,Sales!A47))</f>
        <v>1</v>
      </c>
      <c r="G47" s="4">
        <v>45422</v>
      </c>
      <c r="H47" s="4">
        <v>45464</v>
      </c>
      <c r="I47" s="3">
        <v>1489900</v>
      </c>
      <c r="J47" s="3">
        <v>194334.78260869559</v>
      </c>
      <c r="K47" s="3">
        <v>1295565.217391304</v>
      </c>
      <c r="L47" s="3">
        <v>18502.080000000002</v>
      </c>
      <c r="M47" s="3">
        <v>1789</v>
      </c>
      <c r="N47" s="3">
        <v>7449.5</v>
      </c>
      <c r="O47" s="3">
        <v>74495</v>
      </c>
      <c r="P47" s="3">
        <v>19224.37</v>
      </c>
      <c r="Q47" s="3">
        <v>1368440.05</v>
      </c>
      <c r="R47" s="9">
        <f>IF($F47=1,((SUMIFS(Investors!$M:$M,Investors!$E:$E,Sales!$C47,Investors!$O:$O,FALSE)+SUMIFS(Investors!$S:$S,Investors!$E:$E,Sales!$C47,Investors!$O:$O,FALSE))*$F47)-SUMIFS('Investor Exit List'!$Q:$Q,'Investor Exit List'!$Y:$Y,1,'Investor Exit List'!$Z:$Z,"Release",'Investor Exit List'!$C:$C,Sales!$C47),(SUMIFS(Investors!$M:$M,Investors!$E:$E,Sales!$C47,Investors!$O:$O,FALSE)+SUMIFS(Investors!$S:$S,Investors!$E:$E,Sales!$C47,Investors!$O:$O,FALSE))*$F47)</f>
        <v>1354739.7260273974</v>
      </c>
      <c r="S47" s="9">
        <f t="shared" si="1"/>
        <v>13700.323972602608</v>
      </c>
      <c r="T47" s="3" t="b">
        <v>0</v>
      </c>
      <c r="U47" s="4">
        <v>45504</v>
      </c>
      <c r="V47" s="9">
        <v>34412.652739725767</v>
      </c>
      <c r="W47" s="10">
        <f>IF(SUMIFS('Cashflow Projection'!$E$117:$E$149,'Cashflow Projection'!$D$117:$D$149,Sales!C47)=1,SUMIFS('Cashflow Projection'!$C$117:$C$149,'Cashflow Projection'!$D$117:$D$149,Sales!C47),+Sales!H47)</f>
        <v>45464</v>
      </c>
      <c r="X47" s="10">
        <f t="shared" si="2"/>
        <v>45504</v>
      </c>
      <c r="Y47" s="10">
        <f t="shared" si="3"/>
        <v>45535</v>
      </c>
      <c r="Z47" t="b">
        <v>0</v>
      </c>
    </row>
    <row r="48" spans="1:26" x14ac:dyDescent="0.2">
      <c r="A48" s="3" t="s">
        <v>386</v>
      </c>
      <c r="B48" s="3" t="s">
        <v>711</v>
      </c>
      <c r="C48" s="3" t="s">
        <v>715</v>
      </c>
      <c r="D48" s="3" t="b">
        <v>0</v>
      </c>
      <c r="E48" s="3" t="b">
        <v>0</v>
      </c>
      <c r="F48" s="3">
        <f>IF(OR(Z48=TRUE,SUMIFS('Cashflow Projection'!$E$117:$E$149,'Cashflow Projection'!$D$117:$D$149,Sales!C48)=1),0,SUMIFS('Cashflow Projection'!$C$7:$C$23,'Cashflow Projection'!$B$7:$B$23,Sales!B48,'Cashflow Projection'!$A$7:$A$23,Sales!A48))</f>
        <v>0</v>
      </c>
      <c r="G48" s="4">
        <v>45552</v>
      </c>
      <c r="H48" s="4">
        <v>45552</v>
      </c>
      <c r="I48" s="3">
        <v>1749900</v>
      </c>
      <c r="J48" s="3">
        <v>228247.82608695651</v>
      </c>
      <c r="K48" s="3">
        <v>1521652.1739130439</v>
      </c>
      <c r="L48" s="3">
        <v>18502.080000000002</v>
      </c>
      <c r="M48" s="3">
        <v>1789</v>
      </c>
      <c r="N48" s="3">
        <v>8749.5</v>
      </c>
      <c r="O48" s="3">
        <v>87495</v>
      </c>
      <c r="P48" s="3">
        <v>19224.37</v>
      </c>
      <c r="Q48" s="3">
        <v>1614140.05</v>
      </c>
      <c r="R48" s="9">
        <f>IF($F48=1,((SUMIFS(Investors!$M:$M,Investors!$E:$E,Sales!$C48,Investors!$O:$O,FALSE)+SUMIFS(Investors!$S:$S,Investors!$E:$E,Sales!$C48,Investors!$O:$O,FALSE))*$F48)-SUMIFS('Investor Exit List'!$Q:$Q,'Investor Exit List'!$Y:$Y,1,'Investor Exit List'!$Z:$Z,"Release",'Investor Exit List'!$C:$C,Sales!$C48),(SUMIFS(Investors!$M:$M,Investors!$E:$E,Sales!$C48,Investors!$O:$O,FALSE)+SUMIFS(Investors!$S:$S,Investors!$E:$E,Sales!$C48,Investors!$O:$O,FALSE))*$F48)</f>
        <v>0</v>
      </c>
      <c r="S48" s="9">
        <f t="shared" si="1"/>
        <v>1614140.05</v>
      </c>
      <c r="T48" s="3" t="b">
        <v>0</v>
      </c>
      <c r="U48" s="4">
        <v>45626</v>
      </c>
      <c r="V48" s="9">
        <v>267553.06369862979</v>
      </c>
      <c r="W48" s="10">
        <f>IF(SUMIFS('Cashflow Projection'!$E$117:$E$149,'Cashflow Projection'!$D$117:$D$149,Sales!C48)=1,SUMIFS('Cashflow Projection'!$C$117:$C$149,'Cashflow Projection'!$D$117:$D$149,Sales!C48),+Sales!H48)</f>
        <v>45552</v>
      </c>
      <c r="X48" s="10">
        <f t="shared" si="2"/>
        <v>45626</v>
      </c>
      <c r="Y48" s="10">
        <f t="shared" si="3"/>
        <v>45657</v>
      </c>
      <c r="Z48" t="b">
        <v>0</v>
      </c>
    </row>
    <row r="49" spans="1:26" x14ac:dyDescent="0.2">
      <c r="A49" s="3" t="s">
        <v>386</v>
      </c>
      <c r="B49" s="3" t="s">
        <v>711</v>
      </c>
      <c r="C49" s="3" t="s">
        <v>731</v>
      </c>
      <c r="D49" s="3" t="b">
        <v>0</v>
      </c>
      <c r="E49" s="3" t="b">
        <v>0</v>
      </c>
      <c r="F49" s="3">
        <f>IF(OR(Z49=TRUE,SUMIFS('Cashflow Projection'!$E$117:$E$149,'Cashflow Projection'!$D$117:$D$149,Sales!C49)=1),0,SUMIFS('Cashflow Projection'!$C$7:$C$23,'Cashflow Projection'!$B$7:$B$23,Sales!B49,'Cashflow Projection'!$A$7:$A$23,Sales!A49))</f>
        <v>0</v>
      </c>
      <c r="G49" s="4">
        <v>45552</v>
      </c>
      <c r="H49" s="4">
        <v>45552</v>
      </c>
      <c r="I49" s="3">
        <v>1649900</v>
      </c>
      <c r="J49" s="3">
        <v>215204.34782608689</v>
      </c>
      <c r="K49" s="3">
        <v>1434695.6521739131</v>
      </c>
      <c r="L49" s="3">
        <v>18502.080000000002</v>
      </c>
      <c r="M49" s="3">
        <v>1789</v>
      </c>
      <c r="N49" s="3">
        <v>8249.5</v>
      </c>
      <c r="O49" s="3">
        <v>82495</v>
      </c>
      <c r="P49" s="3">
        <v>19224.37</v>
      </c>
      <c r="Q49" s="3">
        <v>1519640.05</v>
      </c>
      <c r="R49" s="9">
        <f>IF($F49=1,((SUMIFS(Investors!$M:$M,Investors!$E:$E,Sales!$C49,Investors!$O:$O,FALSE)+SUMIFS(Investors!$S:$S,Investors!$E:$E,Sales!$C49,Investors!$O:$O,FALSE))*$F49)-SUMIFS('Investor Exit List'!$Q:$Q,'Investor Exit List'!$Y:$Y,1,'Investor Exit List'!$Z:$Z,"Release",'Investor Exit List'!$C:$C,Sales!$C49),(SUMIFS(Investors!$M:$M,Investors!$E:$E,Sales!$C49,Investors!$O:$O,FALSE)+SUMIFS(Investors!$S:$S,Investors!$E:$E,Sales!$C49,Investors!$O:$O,FALSE))*$F49)</f>
        <v>0</v>
      </c>
      <c r="S49" s="9">
        <f t="shared" si="1"/>
        <v>1519640.05</v>
      </c>
      <c r="T49" s="3" t="b">
        <v>0</v>
      </c>
      <c r="U49" s="4">
        <v>45626</v>
      </c>
      <c r="V49" s="9">
        <v>200421.43424575331</v>
      </c>
      <c r="W49" s="10">
        <f>IF(SUMIFS('Cashflow Projection'!$E$117:$E$149,'Cashflow Projection'!$D$117:$D$149,Sales!C49)=1,SUMIFS('Cashflow Projection'!$C$117:$C$149,'Cashflow Projection'!$D$117:$D$149,Sales!C49),+Sales!H49)</f>
        <v>45552</v>
      </c>
      <c r="X49" s="10">
        <f t="shared" si="2"/>
        <v>45626</v>
      </c>
      <c r="Y49" s="10">
        <f t="shared" si="3"/>
        <v>45657</v>
      </c>
      <c r="Z49" t="b">
        <v>0</v>
      </c>
    </row>
    <row r="50" spans="1:26" x14ac:dyDescent="0.2">
      <c r="A50" s="3" t="s">
        <v>386</v>
      </c>
      <c r="B50" s="3" t="s">
        <v>711</v>
      </c>
      <c r="C50" s="3" t="s">
        <v>726</v>
      </c>
      <c r="D50" s="3" t="b">
        <v>1</v>
      </c>
      <c r="E50" s="3" t="b">
        <v>0</v>
      </c>
      <c r="F50" s="3">
        <f>IF(OR(Z50=TRUE,SUMIFS('Cashflow Projection'!$E$117:$E$149,'Cashflow Projection'!$D$117:$D$149,Sales!C50)=1),0,SUMIFS('Cashflow Projection'!$C$7:$C$23,'Cashflow Projection'!$B$7:$B$23,Sales!B50,'Cashflow Projection'!$A$7:$A$23,Sales!A50))</f>
        <v>0</v>
      </c>
      <c r="G50" s="4">
        <v>45552</v>
      </c>
      <c r="H50" s="4">
        <v>45552</v>
      </c>
      <c r="I50" s="3">
        <v>1599900</v>
      </c>
      <c r="J50" s="3">
        <v>208682.60869565219</v>
      </c>
      <c r="K50" s="3">
        <v>1391217.3913043479</v>
      </c>
      <c r="L50" s="3">
        <v>18502.080000000002</v>
      </c>
      <c r="M50" s="3">
        <v>1789</v>
      </c>
      <c r="N50" s="3">
        <v>7999.5</v>
      </c>
      <c r="O50" s="3">
        <v>79995</v>
      </c>
      <c r="P50" s="3">
        <v>19224.37</v>
      </c>
      <c r="Q50" s="3">
        <v>1472390.05</v>
      </c>
      <c r="R50" s="9">
        <f>IF($F50=1,((SUMIFS(Investors!$M:$M,Investors!$E:$E,Sales!$C50,Investors!$O:$O,FALSE)+SUMIFS(Investors!$S:$S,Investors!$E:$E,Sales!$C50,Investors!$O:$O,FALSE))*$F50)-SUMIFS('Investor Exit List'!$Q:$Q,'Investor Exit List'!$Y:$Y,1,'Investor Exit List'!$Z:$Z,"Release",'Investor Exit List'!$C:$C,Sales!$C50),(SUMIFS(Investors!$M:$M,Investors!$E:$E,Sales!$C50,Investors!$O:$O,FALSE)+SUMIFS(Investors!$S:$S,Investors!$E:$E,Sales!$C50,Investors!$O:$O,FALSE))*$F50)</f>
        <v>0</v>
      </c>
      <c r="S50" s="9">
        <f t="shared" si="1"/>
        <v>1472390.05</v>
      </c>
      <c r="T50" s="3" t="b">
        <v>0</v>
      </c>
      <c r="U50" s="4">
        <v>45626</v>
      </c>
      <c r="V50" s="9">
        <v>96321.556849314831</v>
      </c>
      <c r="W50" s="10">
        <f>IF(SUMIFS('Cashflow Projection'!$E$117:$E$149,'Cashflow Projection'!$D$117:$D$149,Sales!C50)=1,SUMIFS('Cashflow Projection'!$C$117:$C$149,'Cashflow Projection'!$D$117:$D$149,Sales!C50),+Sales!H50)</f>
        <v>45552</v>
      </c>
      <c r="X50" s="10">
        <f t="shared" si="2"/>
        <v>45626</v>
      </c>
      <c r="Y50" s="10">
        <f t="shared" si="3"/>
        <v>45657</v>
      </c>
      <c r="Z50" t="b">
        <v>0</v>
      </c>
    </row>
    <row r="51" spans="1:26" x14ac:dyDescent="0.2">
      <c r="A51" s="3" t="s">
        <v>386</v>
      </c>
      <c r="B51" s="3" t="s">
        <v>388</v>
      </c>
      <c r="C51" s="3" t="s">
        <v>408</v>
      </c>
      <c r="D51" s="3" t="b">
        <v>1</v>
      </c>
      <c r="E51" s="3" t="b">
        <v>1</v>
      </c>
      <c r="F51" s="3">
        <f>IF(OR(Z51=TRUE,SUMIFS('Cashflow Projection'!$E$117:$E$149,'Cashflow Projection'!$D$117:$D$149,Sales!C51)=1),0,SUMIFS('Cashflow Projection'!$C$7:$C$23,'Cashflow Projection'!$B$7:$B$23,Sales!B51,'Cashflow Projection'!$A$7:$A$23,Sales!A51))</f>
        <v>1</v>
      </c>
      <c r="G51" s="4">
        <v>45175</v>
      </c>
      <c r="H51" s="4">
        <v>45688</v>
      </c>
      <c r="I51" s="3">
        <v>1619900</v>
      </c>
      <c r="J51" s="3">
        <v>211291.30434782611</v>
      </c>
      <c r="K51" s="3">
        <v>1408608.6956521741</v>
      </c>
      <c r="L51" s="3">
        <v>18502.080000000002</v>
      </c>
      <c r="M51" s="3">
        <v>1789</v>
      </c>
      <c r="N51" s="3">
        <v>8099.5</v>
      </c>
      <c r="O51" s="3">
        <v>80995</v>
      </c>
      <c r="P51" s="3">
        <v>19224.37</v>
      </c>
      <c r="Q51" s="3">
        <v>1491290.05</v>
      </c>
      <c r="R51" s="9">
        <f>IF($F51=1,((SUMIFS(Investors!$M:$M,Investors!$E:$E,Sales!$C51,Investors!$O:$O,FALSE)+SUMIFS(Investors!$S:$S,Investors!$E:$E,Sales!$C51,Investors!$O:$O,FALSE))*$F51)-SUMIFS('Investor Exit List'!$Q:$Q,'Investor Exit List'!$Y:$Y,1,'Investor Exit List'!$Z:$Z,"Release",'Investor Exit List'!$C:$C,Sales!$C51),(SUMIFS(Investors!$M:$M,Investors!$E:$E,Sales!$C51,Investors!$O:$O,FALSE)+SUMIFS(Investors!$S:$S,Investors!$E:$E,Sales!$C51,Investors!$O:$O,FALSE))*$F51)</f>
        <v>1292474.5697427397</v>
      </c>
      <c r="S51" s="9">
        <f t="shared" si="1"/>
        <v>198815.48025726038</v>
      </c>
      <c r="T51" s="3" t="b">
        <v>0</v>
      </c>
      <c r="U51" s="4">
        <v>45747</v>
      </c>
      <c r="V51" s="9">
        <v>198815.48025726009</v>
      </c>
      <c r="W51" s="10">
        <f>IF(SUMIFS('Cashflow Projection'!$E$117:$E$149,'Cashflow Projection'!$D$117:$D$149,Sales!C51)=1,SUMIFS('Cashflow Projection'!$C$117:$C$149,'Cashflow Projection'!$D$117:$D$149,Sales!C51),+Sales!H51)</f>
        <v>45688</v>
      </c>
      <c r="X51" s="10">
        <f t="shared" si="2"/>
        <v>45747</v>
      </c>
      <c r="Y51" s="10">
        <f t="shared" si="3"/>
        <v>45777</v>
      </c>
      <c r="Z51" t="b">
        <v>0</v>
      </c>
    </row>
    <row r="52" spans="1:26" x14ac:dyDescent="0.2">
      <c r="A52" s="3" t="s">
        <v>386</v>
      </c>
      <c r="B52" s="3" t="s">
        <v>388</v>
      </c>
      <c r="C52" s="3" t="s">
        <v>404</v>
      </c>
      <c r="D52" s="3" t="b">
        <v>1</v>
      </c>
      <c r="E52" s="3" t="b">
        <v>1</v>
      </c>
      <c r="F52" s="3">
        <f>IF(OR(Z52=TRUE,SUMIFS('Cashflow Projection'!$E$117:$E$149,'Cashflow Projection'!$D$117:$D$149,Sales!C52)=1),0,SUMIFS('Cashflow Projection'!$C$7:$C$23,'Cashflow Projection'!$B$7:$B$23,Sales!B52,'Cashflow Projection'!$A$7:$A$23,Sales!A52))</f>
        <v>1</v>
      </c>
      <c r="G52" s="4">
        <v>45167</v>
      </c>
      <c r="H52" s="4">
        <v>45688</v>
      </c>
      <c r="I52" s="3">
        <v>1579900</v>
      </c>
      <c r="J52" s="3">
        <v>206073.91304347821</v>
      </c>
      <c r="K52" s="3">
        <v>1373826.086956522</v>
      </c>
      <c r="L52" s="3">
        <v>18502.080000000002</v>
      </c>
      <c r="M52" s="3">
        <v>1789</v>
      </c>
      <c r="N52" s="3">
        <v>7899.5</v>
      </c>
      <c r="O52" s="3">
        <v>78995</v>
      </c>
      <c r="P52" s="3">
        <v>19224.37</v>
      </c>
      <c r="Q52" s="3">
        <v>1453490.05</v>
      </c>
      <c r="R52" s="9">
        <f>IF($F52=1,((SUMIFS(Investors!$M:$M,Investors!$E:$E,Sales!$C52,Investors!$O:$O,FALSE)+SUMIFS(Investors!$S:$S,Investors!$E:$E,Sales!$C52,Investors!$O:$O,FALSE))*$F52)-SUMIFS('Investor Exit List'!$Q:$Q,'Investor Exit List'!$Y:$Y,1,'Investor Exit List'!$Z:$Z,"Release",'Investor Exit List'!$C:$C,Sales!$C52),(SUMIFS(Investors!$M:$M,Investors!$E:$E,Sales!$C52,Investors!$O:$O,FALSE)+SUMIFS(Investors!$S:$S,Investors!$E:$E,Sales!$C52,Investors!$O:$O,FALSE))*$F52)</f>
        <v>1237560.5479452054</v>
      </c>
      <c r="S52" s="9">
        <f t="shared" si="1"/>
        <v>215929.50205479469</v>
      </c>
      <c r="T52" s="3" t="b">
        <v>0</v>
      </c>
      <c r="U52" s="4">
        <v>45747</v>
      </c>
      <c r="V52" s="9">
        <v>215929.5020547942</v>
      </c>
      <c r="W52" s="10">
        <f>IF(SUMIFS('Cashflow Projection'!$E$117:$E$149,'Cashflow Projection'!$D$117:$D$149,Sales!C52)=1,SUMIFS('Cashflow Projection'!$C$117:$C$149,'Cashflow Projection'!$D$117:$D$149,Sales!C52),+Sales!H52)</f>
        <v>45688</v>
      </c>
      <c r="X52" s="10">
        <f t="shared" si="2"/>
        <v>45747</v>
      </c>
      <c r="Y52" s="10">
        <f t="shared" si="3"/>
        <v>45777</v>
      </c>
      <c r="Z52" t="b">
        <v>0</v>
      </c>
    </row>
    <row r="53" spans="1:26" x14ac:dyDescent="0.2">
      <c r="A53" s="3" t="s">
        <v>386</v>
      </c>
      <c r="B53" s="3" t="s">
        <v>750</v>
      </c>
      <c r="C53" s="3" t="s">
        <v>766</v>
      </c>
      <c r="D53" s="3" t="b">
        <v>0</v>
      </c>
      <c r="E53" s="3" t="b">
        <v>0</v>
      </c>
      <c r="F53" s="3">
        <f>IF(OR(Z53=TRUE,SUMIFS('Cashflow Projection'!$E$117:$E$149,'Cashflow Projection'!$D$117:$D$149,Sales!C53)=1),0,SUMIFS('Cashflow Projection'!$C$7:$C$23,'Cashflow Projection'!$B$7:$B$23,Sales!B53,'Cashflow Projection'!$A$7:$A$23,Sales!A53))</f>
        <v>0</v>
      </c>
      <c r="G53" s="4">
        <v>45510</v>
      </c>
      <c r="H53" s="4">
        <v>45625</v>
      </c>
      <c r="I53" s="3">
        <v>1529900</v>
      </c>
      <c r="J53" s="3">
        <v>199552.17391304349</v>
      </c>
      <c r="K53" s="3">
        <v>1330347.826086957</v>
      </c>
      <c r="L53" s="3">
        <v>18502.080000000002</v>
      </c>
      <c r="M53" s="3">
        <v>1789</v>
      </c>
      <c r="N53" s="3">
        <v>7649.5</v>
      </c>
      <c r="O53" s="3">
        <v>76495</v>
      </c>
      <c r="P53" s="3">
        <v>19224.37</v>
      </c>
      <c r="Q53" s="3">
        <v>1406240.05</v>
      </c>
      <c r="R53" s="9">
        <f>IF($F53=1,((SUMIFS(Investors!$M:$M,Investors!$E:$E,Sales!$C53,Investors!$O:$O,FALSE)+SUMIFS(Investors!$S:$S,Investors!$E:$E,Sales!$C53,Investors!$O:$O,FALSE))*$F53)-SUMIFS('Investor Exit List'!$Q:$Q,'Investor Exit List'!$Y:$Y,1,'Investor Exit List'!$Z:$Z,"Release",'Investor Exit List'!$C:$C,Sales!$C53),(SUMIFS(Investors!$M:$M,Investors!$E:$E,Sales!$C53,Investors!$O:$O,FALSE)+SUMIFS(Investors!$S:$S,Investors!$E:$E,Sales!$C53,Investors!$O:$O,FALSE))*$F53)</f>
        <v>0</v>
      </c>
      <c r="S53" s="9">
        <f t="shared" si="1"/>
        <v>1406240.05</v>
      </c>
      <c r="T53" s="3" t="b">
        <v>0</v>
      </c>
      <c r="U53" s="4">
        <v>45688</v>
      </c>
      <c r="V53" s="9">
        <v>9381.7966639725491</v>
      </c>
      <c r="W53" s="10">
        <f>IF(SUMIFS('Cashflow Projection'!$E$117:$E$149,'Cashflow Projection'!$D$117:$D$149,Sales!C53)=1,SUMIFS('Cashflow Projection'!$C$117:$C$149,'Cashflow Projection'!$D$117:$D$149,Sales!C53),+Sales!H53)</f>
        <v>45625</v>
      </c>
      <c r="X53" s="10">
        <f t="shared" si="2"/>
        <v>45688</v>
      </c>
      <c r="Y53" s="10">
        <f t="shared" si="3"/>
        <v>45716</v>
      </c>
      <c r="Z53" t="b">
        <v>0</v>
      </c>
    </row>
    <row r="54" spans="1:26" x14ac:dyDescent="0.2">
      <c r="A54" s="3" t="s">
        <v>386</v>
      </c>
      <c r="B54" s="3" t="s">
        <v>675</v>
      </c>
      <c r="C54" s="3" t="s">
        <v>680</v>
      </c>
      <c r="D54" s="3" t="b">
        <v>1</v>
      </c>
      <c r="E54" s="3" t="b">
        <v>0</v>
      </c>
      <c r="F54" s="3">
        <f>IF(OR(Z54=TRUE,SUMIFS('Cashflow Projection'!$E$117:$E$149,'Cashflow Projection'!$D$117:$D$149,Sales!C54)=1),0,SUMIFS('Cashflow Projection'!$C$7:$C$23,'Cashflow Projection'!$B$7:$B$23,Sales!B54,'Cashflow Projection'!$A$7:$A$23,Sales!A54))</f>
        <v>1</v>
      </c>
      <c r="G54" s="4">
        <v>45490</v>
      </c>
      <c r="H54" s="4">
        <v>45490</v>
      </c>
      <c r="I54" s="3">
        <v>1690999</v>
      </c>
      <c r="J54" s="3">
        <v>220565.0869565217</v>
      </c>
      <c r="K54" s="3">
        <v>1470433.913043478</v>
      </c>
      <c r="L54" s="3">
        <v>18502.080000000002</v>
      </c>
      <c r="M54" s="3">
        <v>1789</v>
      </c>
      <c r="N54" s="3">
        <v>8454.9950000000008</v>
      </c>
      <c r="O54" s="3">
        <v>84549.950000000012</v>
      </c>
      <c r="P54" s="3">
        <v>19224.37</v>
      </c>
      <c r="Q54" s="3">
        <v>1558478.605</v>
      </c>
      <c r="R54" s="9">
        <f>IF($F54=1,((SUMIFS(Investors!$M:$M,Investors!$E:$E,Sales!$C54,Investors!$O:$O,FALSE)+SUMIFS(Investors!$S:$S,Investors!$E:$E,Sales!$C54,Investors!$O:$O,FALSE))*$F54)-SUMIFS('Investor Exit List'!$Q:$Q,'Investor Exit List'!$Y:$Y,1,'Investor Exit List'!$Z:$Z,"Release",'Investor Exit List'!$C:$C,Sales!$C54),(SUMIFS(Investors!$M:$M,Investors!$E:$E,Sales!$C54,Investors!$O:$O,FALSE)+SUMIFS(Investors!$S:$S,Investors!$E:$E,Sales!$C54,Investors!$O:$O,FALSE))*$F54)</f>
        <v>1224013.6986301369</v>
      </c>
      <c r="S54" s="9">
        <f t="shared" si="1"/>
        <v>334464.90636986308</v>
      </c>
      <c r="T54" s="3" t="b">
        <v>0</v>
      </c>
      <c r="U54" s="4">
        <v>45565</v>
      </c>
      <c r="V54" s="9">
        <v>334464.90636986279</v>
      </c>
      <c r="W54" s="10">
        <f>IF(SUMIFS('Cashflow Projection'!$E$117:$E$149,'Cashflow Projection'!$D$117:$D$149,Sales!C54)=1,SUMIFS('Cashflow Projection'!$C$117:$C$149,'Cashflow Projection'!$D$117:$D$149,Sales!C54),+Sales!H54)</f>
        <v>45490</v>
      </c>
      <c r="X54" s="10">
        <f t="shared" si="2"/>
        <v>45565</v>
      </c>
      <c r="Y54" s="10">
        <f t="shared" si="3"/>
        <v>45596</v>
      </c>
      <c r="Z54" t="b">
        <v>0</v>
      </c>
    </row>
    <row r="55" spans="1:26" x14ac:dyDescent="0.2">
      <c r="A55" s="3" t="s">
        <v>386</v>
      </c>
      <c r="B55" s="3" t="s">
        <v>750</v>
      </c>
      <c r="C55" s="3" t="s">
        <v>755</v>
      </c>
      <c r="D55" s="3" t="b">
        <v>0</v>
      </c>
      <c r="E55" s="3" t="b">
        <v>0</v>
      </c>
      <c r="F55" s="3">
        <f>IF(OR(Z55=TRUE,SUMIFS('Cashflow Projection'!$E$117:$E$149,'Cashflow Projection'!$D$117:$D$149,Sales!C55)=1),0,SUMIFS('Cashflow Projection'!$C$7:$C$23,'Cashflow Projection'!$B$7:$B$23,Sales!B55,'Cashflow Projection'!$A$7:$A$23,Sales!A55))</f>
        <v>0</v>
      </c>
      <c r="G55" s="4">
        <v>45510</v>
      </c>
      <c r="H55" s="4">
        <v>45625</v>
      </c>
      <c r="I55" s="3">
        <v>1739900</v>
      </c>
      <c r="J55" s="3">
        <v>226943.4782608696</v>
      </c>
      <c r="K55" s="3">
        <v>1512956.5217391311</v>
      </c>
      <c r="L55" s="3">
        <v>18502.080000000002</v>
      </c>
      <c r="M55" s="3">
        <v>1789</v>
      </c>
      <c r="N55" s="3">
        <v>8699.5</v>
      </c>
      <c r="O55" s="3">
        <v>86995</v>
      </c>
      <c r="P55" s="3">
        <v>19224.37</v>
      </c>
      <c r="Q55" s="3">
        <v>1604690.05</v>
      </c>
      <c r="R55" s="9">
        <f>IF($F55=1,((SUMIFS(Investors!$M:$M,Investors!$E:$E,Sales!$C55,Investors!$O:$O,FALSE)+SUMIFS(Investors!$S:$S,Investors!$E:$E,Sales!$C55,Investors!$O:$O,FALSE))*$F55)-SUMIFS('Investor Exit List'!$Q:$Q,'Investor Exit List'!$Y:$Y,1,'Investor Exit List'!$Z:$Z,"Release",'Investor Exit List'!$C:$C,Sales!$C55),(SUMIFS(Investors!$M:$M,Investors!$E:$E,Sales!$C55,Investors!$O:$O,FALSE)+SUMIFS(Investors!$S:$S,Investors!$E:$E,Sales!$C55,Investors!$O:$O,FALSE))*$F55)</f>
        <v>0</v>
      </c>
      <c r="S55" s="9">
        <f t="shared" si="1"/>
        <v>1604690.05</v>
      </c>
      <c r="T55" s="3" t="b">
        <v>0</v>
      </c>
      <c r="U55" s="4">
        <v>45688</v>
      </c>
      <c r="V55" s="9">
        <v>167543.08389116431</v>
      </c>
      <c r="W55" s="10">
        <f>IF(SUMIFS('Cashflow Projection'!$E$117:$E$149,'Cashflow Projection'!$D$117:$D$149,Sales!C55)=1,SUMIFS('Cashflow Projection'!$C$117:$C$149,'Cashflow Projection'!$D$117:$D$149,Sales!C55),+Sales!H55)</f>
        <v>45625</v>
      </c>
      <c r="X55" s="10">
        <f t="shared" si="2"/>
        <v>45688</v>
      </c>
      <c r="Y55" s="10">
        <f t="shared" si="3"/>
        <v>45716</v>
      </c>
      <c r="Z55" t="b">
        <v>0</v>
      </c>
    </row>
    <row r="56" spans="1:26" x14ac:dyDescent="0.2">
      <c r="A56" s="3" t="s">
        <v>24</v>
      </c>
      <c r="B56" s="3" t="s">
        <v>26</v>
      </c>
      <c r="C56" s="3" t="s">
        <v>175</v>
      </c>
      <c r="D56" s="3" t="b">
        <v>1</v>
      </c>
      <c r="E56" s="3" t="b">
        <v>1</v>
      </c>
      <c r="F56" s="3">
        <f>IF(OR(Z56=TRUE,SUMIFS('Cashflow Projection'!$E$117:$E$149,'Cashflow Projection'!$D$117:$D$149,Sales!C56)=1),0,SUMIFS('Cashflow Projection'!$C$7:$C$23,'Cashflow Projection'!$B$7:$B$23,Sales!B56,'Cashflow Projection'!$A$7:$A$23,Sales!A56))</f>
        <v>0</v>
      </c>
      <c r="G56" s="4">
        <v>45056</v>
      </c>
      <c r="H56" s="4">
        <v>45688</v>
      </c>
      <c r="I56" s="3">
        <v>1379900</v>
      </c>
      <c r="J56" s="3">
        <v>179986.95652173911</v>
      </c>
      <c r="K56" s="3">
        <v>1199913.043478261</v>
      </c>
      <c r="L56" s="3">
        <v>18502.080000000002</v>
      </c>
      <c r="M56" s="3">
        <v>1789</v>
      </c>
      <c r="N56" s="3">
        <v>6899.5</v>
      </c>
      <c r="O56" s="3">
        <v>68995</v>
      </c>
      <c r="P56" s="3">
        <v>19224.37</v>
      </c>
      <c r="Q56" s="3">
        <v>1264490.05</v>
      </c>
      <c r="R56" s="9">
        <f>IF($F56=1,((SUMIFS(Investors!$M:$M,Investors!$E:$E,Sales!$C56,Investors!$O:$O,FALSE)+SUMIFS(Investors!$S:$S,Investors!$E:$E,Sales!$C56,Investors!$O:$O,FALSE))*$F56)-SUMIFS('Investor Exit List'!$Q:$Q,'Investor Exit List'!$Y:$Y,1,'Investor Exit List'!$Z:$Z,"Release",'Investor Exit List'!$C:$C,Sales!$C56),(SUMIFS(Investors!$M:$M,Investors!$E:$E,Sales!$C56,Investors!$O:$O,FALSE)+SUMIFS(Investors!$S:$S,Investors!$E:$E,Sales!$C56,Investors!$O:$O,FALSE))*$F56)</f>
        <v>0</v>
      </c>
      <c r="S56" s="9">
        <f t="shared" si="1"/>
        <v>1264490.05</v>
      </c>
      <c r="T56" s="3" t="b">
        <v>0</v>
      </c>
      <c r="U56" s="4">
        <v>45747</v>
      </c>
      <c r="V56" s="9">
        <v>306409.5705479451</v>
      </c>
      <c r="W56" s="10">
        <f>IF(SUMIFS('Cashflow Projection'!$E$117:$E$149,'Cashflow Projection'!$D$117:$D$149,Sales!C56)=1,SUMIFS('Cashflow Projection'!$C$117:$C$149,'Cashflow Projection'!$D$117:$D$149,Sales!C56),+Sales!H56)</f>
        <v>45688</v>
      </c>
      <c r="X56" s="10">
        <f t="shared" si="2"/>
        <v>45747</v>
      </c>
      <c r="Y56" s="10">
        <f t="shared" si="3"/>
        <v>45777</v>
      </c>
      <c r="Z56" t="b">
        <v>0</v>
      </c>
    </row>
    <row r="57" spans="1:26" x14ac:dyDescent="0.2">
      <c r="A57" s="3" t="s">
        <v>24</v>
      </c>
      <c r="B57" s="3" t="s">
        <v>209</v>
      </c>
      <c r="C57" s="3" t="s">
        <v>349</v>
      </c>
      <c r="D57" s="3" t="b">
        <v>1</v>
      </c>
      <c r="E57" s="3" t="b">
        <v>1</v>
      </c>
      <c r="F57" s="3">
        <f>IF(OR(Z57=TRUE,SUMIFS('Cashflow Projection'!$E$117:$E$149,'Cashflow Projection'!$D$117:$D$149,Sales!C57)=1),0,SUMIFS('Cashflow Projection'!$C$7:$C$23,'Cashflow Projection'!$B$7:$B$23,Sales!B57,'Cashflow Projection'!$A$7:$A$23,Sales!A57))</f>
        <v>1</v>
      </c>
      <c r="G57" s="4">
        <v>44942</v>
      </c>
      <c r="H57" s="4">
        <v>45688</v>
      </c>
      <c r="I57" s="3">
        <v>1379900</v>
      </c>
      <c r="J57" s="3">
        <v>179986.95652173911</v>
      </c>
      <c r="K57" s="3">
        <v>1199913.043478261</v>
      </c>
      <c r="L57" s="3">
        <v>18502.080000000002</v>
      </c>
      <c r="M57" s="3">
        <v>1789</v>
      </c>
      <c r="N57" s="3">
        <v>6899.5</v>
      </c>
      <c r="O57" s="3">
        <v>68995</v>
      </c>
      <c r="P57" s="3">
        <v>19224.37</v>
      </c>
      <c r="Q57" s="3">
        <v>1264490.05</v>
      </c>
      <c r="R57" s="9">
        <f>IF($F57=1,((SUMIFS(Investors!$M:$M,Investors!$E:$E,Sales!$C57,Investors!$O:$O,FALSE)+SUMIFS(Investors!$S:$S,Investors!$E:$E,Sales!$C57,Investors!$O:$O,FALSE))*$F57)-SUMIFS('Investor Exit List'!$Q:$Q,'Investor Exit List'!$Y:$Y,1,'Investor Exit List'!$Z:$Z,"Release",'Investor Exit List'!$C:$C,Sales!$C57),(SUMIFS(Investors!$M:$M,Investors!$E:$E,Sales!$C57,Investors!$O:$O,FALSE)+SUMIFS(Investors!$S:$S,Investors!$E:$E,Sales!$C57,Investors!$O:$O,FALSE))*$F57)</f>
        <v>562015.41095890407</v>
      </c>
      <c r="S57" s="9">
        <f t="shared" si="1"/>
        <v>702474.63904109597</v>
      </c>
      <c r="T57" s="3" t="b">
        <v>0</v>
      </c>
      <c r="U57" s="4">
        <v>45747</v>
      </c>
      <c r="V57" s="9">
        <v>702474.63904109574</v>
      </c>
      <c r="W57" s="10">
        <f>IF(SUMIFS('Cashflow Projection'!$E$117:$E$149,'Cashflow Projection'!$D$117:$D$149,Sales!C57)=1,SUMIFS('Cashflow Projection'!$C$117:$C$149,'Cashflow Projection'!$D$117:$D$149,Sales!C57),+Sales!H57)</f>
        <v>45688</v>
      </c>
      <c r="X57" s="10">
        <f t="shared" si="2"/>
        <v>45747</v>
      </c>
      <c r="Y57" s="10">
        <f t="shared" si="3"/>
        <v>45777</v>
      </c>
      <c r="Z57" t="b">
        <v>0</v>
      </c>
    </row>
    <row r="58" spans="1:26" x14ac:dyDescent="0.2">
      <c r="A58" s="3" t="s">
        <v>24</v>
      </c>
      <c r="B58" s="3" t="s">
        <v>209</v>
      </c>
      <c r="C58" s="3" t="s">
        <v>345</v>
      </c>
      <c r="D58" s="3" t="b">
        <v>1</v>
      </c>
      <c r="E58" s="3" t="b">
        <v>1</v>
      </c>
      <c r="F58" s="3">
        <f>IF(OR(Z58=TRUE,SUMIFS('Cashflow Projection'!$E$117:$E$149,'Cashflow Projection'!$D$117:$D$149,Sales!C58)=1),0,SUMIFS('Cashflow Projection'!$C$7:$C$23,'Cashflow Projection'!$B$7:$B$23,Sales!B58,'Cashflow Projection'!$A$7:$A$23,Sales!A58))</f>
        <v>1</v>
      </c>
      <c r="G58" s="4">
        <v>44952</v>
      </c>
      <c r="H58" s="4">
        <v>45688</v>
      </c>
      <c r="I58" s="3">
        <v>1449900</v>
      </c>
      <c r="J58" s="3">
        <v>189117.39130434781</v>
      </c>
      <c r="K58" s="3">
        <v>1260782.6086956521</v>
      </c>
      <c r="L58" s="3">
        <v>18502.080000000002</v>
      </c>
      <c r="M58" s="3">
        <v>1789</v>
      </c>
      <c r="N58" s="3">
        <v>7249.5</v>
      </c>
      <c r="O58" s="3">
        <v>72495</v>
      </c>
      <c r="P58" s="3">
        <v>19224.37</v>
      </c>
      <c r="Q58" s="3">
        <v>1330640.05</v>
      </c>
      <c r="R58" s="9">
        <f>IF($F58=1,((SUMIFS(Investors!$M:$M,Investors!$E:$E,Sales!$C58,Investors!$O:$O,FALSE)+SUMIFS(Investors!$S:$S,Investors!$E:$E,Sales!$C58,Investors!$O:$O,FALSE))*$F58)-SUMIFS('Investor Exit List'!$Q:$Q,'Investor Exit List'!$Y:$Y,1,'Investor Exit List'!$Z:$Z,"Release",'Investor Exit List'!$C:$C,Sales!$C58),(SUMIFS(Investors!$M:$M,Investors!$E:$E,Sales!$C58,Investors!$O:$O,FALSE)+SUMIFS(Investors!$S:$S,Investors!$E:$E,Sales!$C58,Investors!$O:$O,FALSE))*$F58)</f>
        <v>1209000</v>
      </c>
      <c r="S58" s="9">
        <f t="shared" si="1"/>
        <v>121640.05000000005</v>
      </c>
      <c r="T58" s="3" t="b">
        <v>0</v>
      </c>
      <c r="U58" s="4">
        <v>45747</v>
      </c>
      <c r="V58" s="9">
        <v>121640.0499999998</v>
      </c>
      <c r="W58" s="10">
        <f>IF(SUMIFS('Cashflow Projection'!$E$117:$E$149,'Cashflow Projection'!$D$117:$D$149,Sales!C58)=1,SUMIFS('Cashflow Projection'!$C$117:$C$149,'Cashflow Projection'!$D$117:$D$149,Sales!C58),+Sales!H58)</f>
        <v>45688</v>
      </c>
      <c r="X58" s="10">
        <f t="shared" si="2"/>
        <v>45747</v>
      </c>
      <c r="Y58" s="10">
        <f t="shared" si="3"/>
        <v>45777</v>
      </c>
      <c r="Z58" t="b">
        <v>0</v>
      </c>
    </row>
    <row r="59" spans="1:26" x14ac:dyDescent="0.2">
      <c r="A59" s="3" t="s">
        <v>24</v>
      </c>
      <c r="B59" s="3" t="s">
        <v>209</v>
      </c>
      <c r="C59" s="3" t="s">
        <v>369</v>
      </c>
      <c r="D59" s="3" t="b">
        <v>1</v>
      </c>
      <c r="E59" s="3" t="b">
        <v>1</v>
      </c>
      <c r="F59" s="3">
        <f>IF(OR(Z59=TRUE,SUMIFS('Cashflow Projection'!$E$117:$E$149,'Cashflow Projection'!$D$117:$D$149,Sales!C59)=1),0,SUMIFS('Cashflow Projection'!$C$7:$C$23,'Cashflow Projection'!$B$7:$B$23,Sales!B59,'Cashflow Projection'!$A$7:$A$23,Sales!A59))</f>
        <v>1</v>
      </c>
      <c r="G59" s="4">
        <v>45027</v>
      </c>
      <c r="H59" s="4">
        <v>45688</v>
      </c>
      <c r="I59" s="3">
        <v>1459900</v>
      </c>
      <c r="J59" s="3">
        <v>190421.73913043481</v>
      </c>
      <c r="K59" s="3">
        <v>1269478.260869565</v>
      </c>
      <c r="L59" s="3">
        <v>18502.080000000002</v>
      </c>
      <c r="M59" s="3">
        <v>1789</v>
      </c>
      <c r="N59" s="3">
        <v>7299.5</v>
      </c>
      <c r="O59" s="3">
        <v>72995</v>
      </c>
      <c r="P59" s="3">
        <v>19224.37</v>
      </c>
      <c r="Q59" s="3">
        <v>1340090.05</v>
      </c>
      <c r="R59" s="9">
        <f>IF($F59=1,((SUMIFS(Investors!$M:$M,Investors!$E:$E,Sales!$C59,Investors!$O:$O,FALSE)+SUMIFS(Investors!$S:$S,Investors!$E:$E,Sales!$C59,Investors!$O:$O,FALSE))*$F59)-SUMIFS('Investor Exit List'!$Q:$Q,'Investor Exit List'!$Y:$Y,1,'Investor Exit List'!$Z:$Z,"Release",'Investor Exit List'!$C:$C,Sales!$C59),(SUMIFS(Investors!$M:$M,Investors!$E:$E,Sales!$C59,Investors!$O:$O,FALSE)+SUMIFS(Investors!$S:$S,Investors!$E:$E,Sales!$C59,Investors!$O:$O,FALSE))*$F59)</f>
        <v>0</v>
      </c>
      <c r="S59" s="9">
        <f t="shared" si="1"/>
        <v>1340090.05</v>
      </c>
      <c r="T59" s="3" t="b">
        <v>0</v>
      </c>
      <c r="U59" s="4">
        <v>45747</v>
      </c>
      <c r="V59" s="9">
        <v>138829.77602739699</v>
      </c>
      <c r="W59" s="10">
        <f>IF(SUMIFS('Cashflow Projection'!$E$117:$E$149,'Cashflow Projection'!$D$117:$D$149,Sales!C59)=1,SUMIFS('Cashflow Projection'!$C$117:$C$149,'Cashflow Projection'!$D$117:$D$149,Sales!C59),+Sales!H59)</f>
        <v>45688</v>
      </c>
      <c r="X59" s="10">
        <f t="shared" si="2"/>
        <v>45747</v>
      </c>
      <c r="Y59" s="10">
        <f t="shared" si="3"/>
        <v>45777</v>
      </c>
      <c r="Z59" t="b">
        <v>0</v>
      </c>
    </row>
    <row r="60" spans="1:26" x14ac:dyDescent="0.2">
      <c r="A60" s="3" t="s">
        <v>24</v>
      </c>
      <c r="B60" s="3" t="s">
        <v>209</v>
      </c>
      <c r="C60" s="3" t="s">
        <v>381</v>
      </c>
      <c r="D60" s="3" t="b">
        <v>1</v>
      </c>
      <c r="E60" s="3" t="b">
        <v>1</v>
      </c>
      <c r="F60" s="3">
        <f>IF(OR(Z60=TRUE,SUMIFS('Cashflow Projection'!$E$117:$E$149,'Cashflow Projection'!$D$117:$D$149,Sales!C60)=1),0,SUMIFS('Cashflow Projection'!$C$7:$C$23,'Cashflow Projection'!$B$7:$B$23,Sales!B60,'Cashflow Projection'!$A$7:$A$23,Sales!A60))</f>
        <v>1</v>
      </c>
      <c r="G60" s="4">
        <v>45027</v>
      </c>
      <c r="H60" s="4">
        <v>45688</v>
      </c>
      <c r="I60" s="3">
        <v>1399900</v>
      </c>
      <c r="J60" s="3">
        <v>182595.65217391311</v>
      </c>
      <c r="K60" s="3">
        <v>1217304.3478260869</v>
      </c>
      <c r="L60" s="3">
        <v>18502.080000000002</v>
      </c>
      <c r="M60" s="3">
        <v>1789</v>
      </c>
      <c r="N60" s="3">
        <v>6999.5</v>
      </c>
      <c r="O60" s="3">
        <v>69995</v>
      </c>
      <c r="P60" s="3">
        <v>19224.37</v>
      </c>
      <c r="Q60" s="3">
        <v>1283390.05</v>
      </c>
      <c r="R60" s="9">
        <f>IF($F60=1,((SUMIFS(Investors!$M:$M,Investors!$E:$E,Sales!$C60,Investors!$O:$O,FALSE)+SUMIFS(Investors!$S:$S,Investors!$E:$E,Sales!$C60,Investors!$O:$O,FALSE))*$F60)-SUMIFS('Investor Exit List'!$Q:$Q,'Investor Exit List'!$Y:$Y,1,'Investor Exit List'!$Z:$Z,"Release",'Investor Exit List'!$C:$C,Sales!$C60),(SUMIFS(Investors!$M:$M,Investors!$E:$E,Sales!$C60,Investors!$O:$O,FALSE)+SUMIFS(Investors!$S:$S,Investors!$E:$E,Sales!$C60,Investors!$O:$O,FALSE))*$F60)</f>
        <v>1241013.6986301369</v>
      </c>
      <c r="S60" s="9">
        <f t="shared" si="1"/>
        <v>42376.351369863143</v>
      </c>
      <c r="T60" s="3" t="b">
        <v>0</v>
      </c>
      <c r="U60" s="4">
        <v>45747</v>
      </c>
      <c r="V60" s="9">
        <v>42376.35136986291</v>
      </c>
      <c r="W60" s="10">
        <f>IF(SUMIFS('Cashflow Projection'!$E$117:$E$149,'Cashflow Projection'!$D$117:$D$149,Sales!C60)=1,SUMIFS('Cashflow Projection'!$C$117:$C$149,'Cashflow Projection'!$D$117:$D$149,Sales!C60),+Sales!H60)</f>
        <v>45688</v>
      </c>
      <c r="X60" s="10">
        <f t="shared" si="2"/>
        <v>45747</v>
      </c>
      <c r="Y60" s="10">
        <f t="shared" si="3"/>
        <v>45777</v>
      </c>
      <c r="Z60" t="b">
        <v>0</v>
      </c>
    </row>
    <row r="61" spans="1:26" x14ac:dyDescent="0.2">
      <c r="A61" s="3" t="s">
        <v>386</v>
      </c>
      <c r="B61" s="3" t="s">
        <v>497</v>
      </c>
      <c r="C61" s="3" t="s">
        <v>504</v>
      </c>
      <c r="D61" s="3" t="b">
        <v>1</v>
      </c>
      <c r="E61" s="3" t="b">
        <v>1</v>
      </c>
      <c r="F61" s="3">
        <f>IF(OR(Z61=TRUE,SUMIFS('Cashflow Projection'!$E$117:$E$149,'Cashflow Projection'!$D$117:$D$149,Sales!C61)=1),0,SUMIFS('Cashflow Projection'!$C$7:$C$23,'Cashflow Projection'!$B$7:$B$23,Sales!B61,'Cashflow Projection'!$A$7:$A$23,Sales!A61))</f>
        <v>1</v>
      </c>
      <c r="G61" s="4">
        <v>45341</v>
      </c>
      <c r="H61" s="4">
        <v>45341</v>
      </c>
      <c r="I61" s="3">
        <v>1699900</v>
      </c>
      <c r="J61" s="3">
        <v>221726.0869565217</v>
      </c>
      <c r="K61" s="3">
        <v>1478173.913043478</v>
      </c>
      <c r="L61" s="3">
        <v>18502.080000000002</v>
      </c>
      <c r="M61" s="3">
        <v>1789</v>
      </c>
      <c r="N61" s="3">
        <v>8499.5</v>
      </c>
      <c r="O61" s="3">
        <v>84995</v>
      </c>
      <c r="P61" s="3">
        <v>19224.37</v>
      </c>
      <c r="Q61" s="3">
        <v>1566890.05</v>
      </c>
      <c r="R61" s="9">
        <f>IF($F61=1,((SUMIFS(Investors!$M:$M,Investors!$E:$E,Sales!$C61,Investors!$O:$O,FALSE)+SUMIFS(Investors!$S:$S,Investors!$E:$E,Sales!$C61,Investors!$O:$O,FALSE))*$F61)-SUMIFS('Investor Exit List'!$Q:$Q,'Investor Exit List'!$Y:$Y,1,'Investor Exit List'!$Z:$Z,"Release",'Investor Exit List'!$C:$C,Sales!$C61),(SUMIFS(Investors!$M:$M,Investors!$E:$E,Sales!$C61,Investors!$O:$O,FALSE)+SUMIFS(Investors!$S:$S,Investors!$E:$E,Sales!$C61,Investors!$O:$O,FALSE))*$F61)</f>
        <v>0</v>
      </c>
      <c r="S61" s="9">
        <f t="shared" si="1"/>
        <v>1566890.05</v>
      </c>
      <c r="T61" s="3" t="b">
        <v>0</v>
      </c>
      <c r="U61" s="4">
        <v>45382</v>
      </c>
      <c r="V61" s="9">
        <v>303985.9404109586</v>
      </c>
      <c r="W61" s="10">
        <f>IF(SUMIFS('Cashflow Projection'!$E$117:$E$149,'Cashflow Projection'!$D$117:$D$149,Sales!C61)=1,SUMIFS('Cashflow Projection'!$C$117:$C$149,'Cashflow Projection'!$D$117:$D$149,Sales!C61),+Sales!H61)</f>
        <v>45341</v>
      </c>
      <c r="X61" s="10">
        <f t="shared" si="2"/>
        <v>45382</v>
      </c>
      <c r="Y61" s="10">
        <f t="shared" si="3"/>
        <v>45412</v>
      </c>
      <c r="Z61" t="b">
        <v>0</v>
      </c>
    </row>
    <row r="62" spans="1:26" x14ac:dyDescent="0.2">
      <c r="A62" s="3" t="s">
        <v>386</v>
      </c>
      <c r="B62" s="3" t="s">
        <v>822</v>
      </c>
      <c r="C62" s="3" t="s">
        <v>829</v>
      </c>
      <c r="D62" s="3" t="b">
        <v>1</v>
      </c>
      <c r="E62" s="3" t="b">
        <v>1</v>
      </c>
      <c r="F62" s="3">
        <f>IF(OR(Z62=TRUE,SUMIFS('Cashflow Projection'!$E$117:$E$149,'Cashflow Projection'!$D$117:$D$149,Sales!C62)=1),0,SUMIFS('Cashflow Projection'!$C$7:$C$23,'Cashflow Projection'!$B$7:$B$23,Sales!B62,'Cashflow Projection'!$A$7:$A$23,Sales!A62))</f>
        <v>1</v>
      </c>
      <c r="G62" s="4">
        <v>45428</v>
      </c>
      <c r="H62" s="4">
        <v>45420</v>
      </c>
      <c r="I62" s="3">
        <v>1689900</v>
      </c>
      <c r="J62" s="3">
        <v>220421.73913043481</v>
      </c>
      <c r="K62" s="3">
        <v>1469478.260869565</v>
      </c>
      <c r="L62" s="3">
        <v>18502.080000000002</v>
      </c>
      <c r="M62" s="3">
        <v>1789</v>
      </c>
      <c r="N62" s="3">
        <v>8449.5</v>
      </c>
      <c r="O62" s="3">
        <v>84495</v>
      </c>
      <c r="P62" s="3">
        <v>19224.37</v>
      </c>
      <c r="Q62" s="3">
        <v>1557440.05</v>
      </c>
      <c r="R62" s="9">
        <f>IF($F62=1,((SUMIFS(Investors!$M:$M,Investors!$E:$E,Sales!$C62,Investors!$O:$O,FALSE)+SUMIFS(Investors!$S:$S,Investors!$E:$E,Sales!$C62,Investors!$O:$O,FALSE))*$F62)-SUMIFS('Investor Exit List'!$Q:$Q,'Investor Exit List'!$Y:$Y,1,'Investor Exit List'!$Z:$Z,"Release",'Investor Exit List'!$C:$C,Sales!$C62),(SUMIFS(Investors!$M:$M,Investors!$E:$E,Sales!$C62,Investors!$O:$O,FALSE)+SUMIFS(Investors!$S:$S,Investors!$E:$E,Sales!$C62,Investors!$O:$O,FALSE))*$F62)</f>
        <v>1329589.0410958903</v>
      </c>
      <c r="S62" s="9">
        <f t="shared" si="1"/>
        <v>227851.00890410971</v>
      </c>
      <c r="T62" s="3" t="b">
        <v>0</v>
      </c>
      <c r="U62" s="4">
        <v>45504</v>
      </c>
      <c r="V62" s="9">
        <v>223905.80342465729</v>
      </c>
      <c r="W62" s="10">
        <f>IF(SUMIFS('Cashflow Projection'!$E$117:$E$149,'Cashflow Projection'!$D$117:$D$149,Sales!C62)=1,SUMIFS('Cashflow Projection'!$C$117:$C$149,'Cashflow Projection'!$D$117:$D$149,Sales!C62),+Sales!H62)</f>
        <v>45420</v>
      </c>
      <c r="X62" s="10">
        <f t="shared" si="2"/>
        <v>45504</v>
      </c>
      <c r="Y62" s="10">
        <f t="shared" si="3"/>
        <v>45535</v>
      </c>
      <c r="Z62" t="b">
        <v>0</v>
      </c>
    </row>
    <row r="63" spans="1:26" x14ac:dyDescent="0.2">
      <c r="A63" s="3" t="s">
        <v>386</v>
      </c>
      <c r="B63" s="3" t="s">
        <v>822</v>
      </c>
      <c r="C63" s="3" t="s">
        <v>839</v>
      </c>
      <c r="D63" s="3" t="b">
        <v>1</v>
      </c>
      <c r="E63" s="3" t="b">
        <v>1</v>
      </c>
      <c r="F63" s="3">
        <f>IF(OR(Z63=TRUE,SUMIFS('Cashflow Projection'!$E$117:$E$149,'Cashflow Projection'!$D$117:$D$149,Sales!C63)=1),0,SUMIFS('Cashflow Projection'!$C$7:$C$23,'Cashflow Projection'!$B$7:$B$23,Sales!B63,'Cashflow Projection'!$A$7:$A$23,Sales!A63))</f>
        <v>1</v>
      </c>
      <c r="G63" s="4">
        <v>45336</v>
      </c>
      <c r="H63" s="4">
        <v>45688</v>
      </c>
      <c r="I63" s="3">
        <v>1469900</v>
      </c>
      <c r="J63" s="3">
        <v>191726.0869565217</v>
      </c>
      <c r="K63" s="3">
        <v>1278173.913043478</v>
      </c>
      <c r="L63" s="3">
        <v>18502.080000000002</v>
      </c>
      <c r="M63" s="3">
        <v>1789</v>
      </c>
      <c r="N63" s="3">
        <v>7349.5</v>
      </c>
      <c r="O63" s="3">
        <v>73495</v>
      </c>
      <c r="P63" s="3">
        <v>19224.37</v>
      </c>
      <c r="Q63" s="3">
        <v>1349540.05</v>
      </c>
      <c r="R63" s="9">
        <f>IF($F63=1,((SUMIFS(Investors!$M:$M,Investors!$E:$E,Sales!$C63,Investors!$O:$O,FALSE)+SUMIFS(Investors!$S:$S,Investors!$E:$E,Sales!$C63,Investors!$O:$O,FALSE))*$F63)-SUMIFS('Investor Exit List'!$Q:$Q,'Investor Exit List'!$Y:$Y,1,'Investor Exit List'!$Z:$Z,"Release",'Investor Exit List'!$C:$C,Sales!$C63),(SUMIFS(Investors!$M:$M,Investors!$E:$E,Sales!$C63,Investors!$O:$O,FALSE)+SUMIFS(Investors!$S:$S,Investors!$E:$E,Sales!$C63,Investors!$O:$O,FALSE))*$F63)</f>
        <v>970006.84931506845</v>
      </c>
      <c r="S63" s="9">
        <f t="shared" si="1"/>
        <v>379533.20068493159</v>
      </c>
      <c r="T63" s="3" t="b">
        <v>0</v>
      </c>
      <c r="U63" s="4">
        <v>45747</v>
      </c>
      <c r="V63" s="9">
        <v>56485.255479451967</v>
      </c>
      <c r="W63" s="10">
        <f>IF(SUMIFS('Cashflow Projection'!$E$117:$E$149,'Cashflow Projection'!$D$117:$D$149,Sales!C63)=1,SUMIFS('Cashflow Projection'!$C$117:$C$149,'Cashflow Projection'!$D$117:$D$149,Sales!C63),+Sales!H63)</f>
        <v>45688</v>
      </c>
      <c r="X63" s="10">
        <f t="shared" si="2"/>
        <v>45747</v>
      </c>
      <c r="Y63" s="10">
        <f t="shared" si="3"/>
        <v>45777</v>
      </c>
      <c r="Z63" t="b">
        <v>0</v>
      </c>
    </row>
    <row r="64" spans="1:26" x14ac:dyDescent="0.2">
      <c r="A64" s="3" t="s">
        <v>386</v>
      </c>
      <c r="B64" s="3" t="s">
        <v>891</v>
      </c>
      <c r="C64" s="3" t="s">
        <v>920</v>
      </c>
      <c r="D64" s="3" t="b">
        <v>1</v>
      </c>
      <c r="E64" s="3" t="b">
        <v>1</v>
      </c>
      <c r="F64" s="3">
        <f>IF(OR(Z64=TRUE,SUMIFS('Cashflow Projection'!$E$117:$E$149,'Cashflow Projection'!$D$117:$D$149,Sales!C64)=1),0,SUMIFS('Cashflow Projection'!$C$7:$C$23,'Cashflow Projection'!$B$7:$B$23,Sales!B64,'Cashflow Projection'!$A$7:$A$23,Sales!A64))</f>
        <v>1</v>
      </c>
      <c r="G64" s="4">
        <v>45271</v>
      </c>
      <c r="H64" s="4">
        <v>45688</v>
      </c>
      <c r="I64" s="3">
        <v>1779900</v>
      </c>
      <c r="J64" s="3">
        <v>232160.86956521741</v>
      </c>
      <c r="K64" s="3">
        <v>1547739.1304347829</v>
      </c>
      <c r="L64" s="3">
        <v>18502.080000000002</v>
      </c>
      <c r="M64" s="3">
        <v>1789</v>
      </c>
      <c r="N64" s="3">
        <v>8899.5</v>
      </c>
      <c r="O64" s="3">
        <v>88995</v>
      </c>
      <c r="P64" s="3">
        <v>19224.37</v>
      </c>
      <c r="Q64" s="3">
        <v>1642490.05</v>
      </c>
      <c r="R64" s="9">
        <f>IF($F64=1,((SUMIFS(Investors!$M:$M,Investors!$E:$E,Sales!$C64,Investors!$O:$O,FALSE)+SUMIFS(Investors!$S:$S,Investors!$E:$E,Sales!$C64,Investors!$O:$O,FALSE))*$F64)-SUMIFS('Investor Exit List'!$Q:$Q,'Investor Exit List'!$Y:$Y,1,'Investor Exit List'!$Z:$Z,"Release",'Investor Exit List'!$C:$C,Sales!$C64),(SUMIFS(Investors!$M:$M,Investors!$E:$E,Sales!$C64,Investors!$O:$O,FALSE)+SUMIFS(Investors!$S:$S,Investors!$E:$E,Sales!$C64,Investors!$O:$O,FALSE))*$F64)</f>
        <v>1257391.1214399999</v>
      </c>
      <c r="S64" s="9">
        <f t="shared" si="1"/>
        <v>385098.92856000015</v>
      </c>
      <c r="T64" s="3" t="b">
        <v>0</v>
      </c>
      <c r="U64" s="4">
        <v>45747</v>
      </c>
      <c r="V64" s="9">
        <v>385098.92855999991</v>
      </c>
      <c r="W64" s="10">
        <f>IF(SUMIFS('Cashflow Projection'!$E$117:$E$149,'Cashflow Projection'!$D$117:$D$149,Sales!C64)=1,SUMIFS('Cashflow Projection'!$C$117:$C$149,'Cashflow Projection'!$D$117:$D$149,Sales!C64),+Sales!H64)</f>
        <v>45688</v>
      </c>
      <c r="X64" s="10">
        <f t="shared" si="2"/>
        <v>45747</v>
      </c>
      <c r="Y64" s="10">
        <f t="shared" si="3"/>
        <v>45777</v>
      </c>
      <c r="Z64" t="b">
        <v>0</v>
      </c>
    </row>
    <row r="65" spans="1:26" x14ac:dyDescent="0.2">
      <c r="A65" s="3" t="s">
        <v>386</v>
      </c>
      <c r="B65" s="3" t="s">
        <v>750</v>
      </c>
      <c r="C65" s="3" t="s">
        <v>783</v>
      </c>
      <c r="D65" s="3" t="b">
        <v>0</v>
      </c>
      <c r="E65" s="3" t="b">
        <v>0</v>
      </c>
      <c r="F65" s="3">
        <f>IF(OR(Z65=TRUE,SUMIFS('Cashflow Projection'!$E$117:$E$149,'Cashflow Projection'!$D$117:$D$149,Sales!C65)=1),0,SUMIFS('Cashflow Projection'!$C$7:$C$23,'Cashflow Projection'!$B$7:$B$23,Sales!B65,'Cashflow Projection'!$A$7:$A$23,Sales!A65))</f>
        <v>0</v>
      </c>
      <c r="G65" s="4">
        <v>45510</v>
      </c>
      <c r="H65" s="4">
        <v>45625</v>
      </c>
      <c r="I65" s="3">
        <v>1499900</v>
      </c>
      <c r="J65" s="3">
        <v>195639.13043478259</v>
      </c>
      <c r="K65" s="3">
        <v>1304260.869565218</v>
      </c>
      <c r="L65" s="3">
        <v>18502.080000000002</v>
      </c>
      <c r="M65" s="3">
        <v>1789</v>
      </c>
      <c r="N65" s="3">
        <v>7499.5</v>
      </c>
      <c r="O65" s="3">
        <v>74995</v>
      </c>
      <c r="P65" s="3">
        <v>19224.37</v>
      </c>
      <c r="Q65" s="3">
        <v>1377890.05</v>
      </c>
      <c r="R65" s="9">
        <f>IF($F65=1,((SUMIFS(Investors!$M:$M,Investors!$E:$E,Sales!$C65,Investors!$O:$O,FALSE)+SUMIFS(Investors!$S:$S,Investors!$E:$E,Sales!$C65,Investors!$O:$O,FALSE))*$F65)-SUMIFS('Investor Exit List'!$Q:$Q,'Investor Exit List'!$Y:$Y,1,'Investor Exit List'!$Z:$Z,"Release",'Investor Exit List'!$C:$C,Sales!$C65),(SUMIFS(Investors!$M:$M,Investors!$E:$E,Sales!$C65,Investors!$O:$O,FALSE)+SUMIFS(Investors!$S:$S,Investors!$E:$E,Sales!$C65,Investors!$O:$O,FALSE))*$F65)</f>
        <v>0</v>
      </c>
      <c r="S65" s="9">
        <f t="shared" si="1"/>
        <v>1377890.05</v>
      </c>
      <c r="T65" s="3" t="b">
        <v>0</v>
      </c>
      <c r="U65" s="4">
        <v>45688</v>
      </c>
      <c r="V65" s="9">
        <v>5391.4198630135506</v>
      </c>
      <c r="W65" s="10">
        <f>IF(SUMIFS('Cashflow Projection'!$E$117:$E$149,'Cashflow Projection'!$D$117:$D$149,Sales!C65)=1,SUMIFS('Cashflow Projection'!$C$117:$C$149,'Cashflow Projection'!$D$117:$D$149,Sales!C65),+Sales!H65)</f>
        <v>45625</v>
      </c>
      <c r="X65" s="10">
        <f t="shared" si="2"/>
        <v>45688</v>
      </c>
      <c r="Y65" s="10">
        <f t="shared" si="3"/>
        <v>45716</v>
      </c>
      <c r="Z65" t="b">
        <v>0</v>
      </c>
    </row>
    <row r="66" spans="1:26" x14ac:dyDescent="0.2">
      <c r="A66" s="3" t="s">
        <v>386</v>
      </c>
      <c r="B66" s="3" t="s">
        <v>628</v>
      </c>
      <c r="C66" s="3" t="s">
        <v>655</v>
      </c>
      <c r="D66" s="3" t="b">
        <v>0</v>
      </c>
      <c r="E66" s="3" t="b">
        <v>0</v>
      </c>
      <c r="F66" s="3">
        <f>IF(OR(Z66=TRUE,SUMIFS('Cashflow Projection'!$E$117:$E$149,'Cashflow Projection'!$D$117:$D$149,Sales!C66)=1),0,SUMIFS('Cashflow Projection'!$C$7:$C$23,'Cashflow Projection'!$B$7:$B$23,Sales!B66,'Cashflow Projection'!$A$7:$A$23,Sales!A66))</f>
        <v>0</v>
      </c>
      <c r="G66" s="4">
        <v>45523</v>
      </c>
      <c r="H66" s="4">
        <v>45532</v>
      </c>
      <c r="I66" s="3">
        <v>1449900</v>
      </c>
      <c r="J66" s="3">
        <v>189117.39130434781</v>
      </c>
      <c r="K66" s="3">
        <v>1260782.6086956521</v>
      </c>
      <c r="L66" s="3">
        <v>18502.080000000002</v>
      </c>
      <c r="M66" s="3">
        <v>1789</v>
      </c>
      <c r="N66" s="3">
        <v>7249.5</v>
      </c>
      <c r="O66" s="3">
        <v>72495</v>
      </c>
      <c r="P66" s="3">
        <v>19224.37</v>
      </c>
      <c r="Q66" s="3">
        <v>1330640.05</v>
      </c>
      <c r="R66" s="9">
        <f>IF($F66=1,((SUMIFS(Investors!$M:$M,Investors!$E:$E,Sales!$C66,Investors!$O:$O,FALSE)+SUMIFS(Investors!$S:$S,Investors!$E:$E,Sales!$C66,Investors!$O:$O,FALSE))*$F66)-SUMIFS('Investor Exit List'!$Q:$Q,'Investor Exit List'!$Y:$Y,1,'Investor Exit List'!$Z:$Z,"Release",'Investor Exit List'!$C:$C,Sales!$C66),(SUMIFS(Investors!$M:$M,Investors!$E:$E,Sales!$C66,Investors!$O:$O,FALSE)+SUMIFS(Investors!$S:$S,Investors!$E:$E,Sales!$C66,Investors!$O:$O,FALSE))*$F66)</f>
        <v>0</v>
      </c>
      <c r="S66" s="9">
        <f t="shared" si="1"/>
        <v>1330640.05</v>
      </c>
      <c r="T66" s="3" t="b">
        <v>0</v>
      </c>
      <c r="U66" s="4">
        <v>45565</v>
      </c>
      <c r="V66" s="9">
        <v>28879.091095890151</v>
      </c>
      <c r="W66" s="10">
        <f>IF(SUMIFS('Cashflow Projection'!$E$117:$E$149,'Cashflow Projection'!$D$117:$D$149,Sales!C66)=1,SUMIFS('Cashflow Projection'!$C$117:$C$149,'Cashflow Projection'!$D$117:$D$149,Sales!C66),+Sales!H66)</f>
        <v>45532</v>
      </c>
      <c r="X66" s="10">
        <f t="shared" si="2"/>
        <v>45565</v>
      </c>
      <c r="Y66" s="10">
        <f t="shared" si="3"/>
        <v>45596</v>
      </c>
      <c r="Z66" t="b">
        <v>0</v>
      </c>
    </row>
    <row r="67" spans="1:26" x14ac:dyDescent="0.2">
      <c r="A67" s="3" t="s">
        <v>386</v>
      </c>
      <c r="B67" s="3" t="s">
        <v>750</v>
      </c>
      <c r="C67" s="3" t="s">
        <v>761</v>
      </c>
      <c r="D67" s="3" t="b">
        <v>0</v>
      </c>
      <c r="E67" s="3" t="b">
        <v>0</v>
      </c>
      <c r="F67" s="3">
        <f>IF(OR(Z67=TRUE,SUMIFS('Cashflow Projection'!$E$117:$E$149,'Cashflow Projection'!$D$117:$D$149,Sales!C67)=1),0,SUMIFS('Cashflow Projection'!$C$7:$C$23,'Cashflow Projection'!$B$7:$B$23,Sales!B67,'Cashflow Projection'!$A$7:$A$23,Sales!A67))</f>
        <v>0</v>
      </c>
      <c r="G67" s="4">
        <v>45510</v>
      </c>
      <c r="H67" s="4">
        <v>45625</v>
      </c>
      <c r="I67" s="3">
        <v>1499900</v>
      </c>
      <c r="J67" s="3">
        <v>195639.13043478259</v>
      </c>
      <c r="K67" s="3">
        <v>1304260.869565218</v>
      </c>
      <c r="L67" s="3">
        <v>18502.080000000002</v>
      </c>
      <c r="M67" s="3">
        <v>1789</v>
      </c>
      <c r="N67" s="3">
        <v>7499.5</v>
      </c>
      <c r="O67" s="3">
        <v>74995</v>
      </c>
      <c r="P67" s="3">
        <v>19224.37</v>
      </c>
      <c r="Q67" s="3">
        <v>1377890.05</v>
      </c>
      <c r="R67" s="9">
        <f>IF($F67=1,((SUMIFS(Investors!$M:$M,Investors!$E:$E,Sales!$C67,Investors!$O:$O,FALSE)+SUMIFS(Investors!$S:$S,Investors!$E:$E,Sales!$C67,Investors!$O:$O,FALSE))*$F67)-SUMIFS('Investor Exit List'!$Q:$Q,'Investor Exit List'!$Y:$Y,1,'Investor Exit List'!$Z:$Z,"Release",'Investor Exit List'!$C:$C,Sales!$C67),(SUMIFS(Investors!$M:$M,Investors!$E:$E,Sales!$C67,Investors!$O:$O,FALSE)+SUMIFS(Investors!$S:$S,Investors!$E:$E,Sales!$C67,Investors!$O:$O,FALSE))*$F67)</f>
        <v>0</v>
      </c>
      <c r="S67" s="9">
        <f t="shared" si="1"/>
        <v>1377890.05</v>
      </c>
      <c r="T67" s="3" t="b">
        <v>0</v>
      </c>
      <c r="U67" s="4">
        <v>45688</v>
      </c>
      <c r="V67" s="9">
        <v>-15585.21300739748</v>
      </c>
      <c r="W67" s="10">
        <f>IF(SUMIFS('Cashflow Projection'!$E$117:$E$149,'Cashflow Projection'!$D$117:$D$149,Sales!C67)=1,SUMIFS('Cashflow Projection'!$C$117:$C$149,'Cashflow Projection'!$D$117:$D$149,Sales!C67),+Sales!H67)</f>
        <v>45625</v>
      </c>
      <c r="X67" s="10">
        <f t="shared" si="2"/>
        <v>45688</v>
      </c>
      <c r="Y67" s="10">
        <f t="shared" si="3"/>
        <v>45716</v>
      </c>
      <c r="Z67" t="b">
        <v>0</v>
      </c>
    </row>
    <row r="68" spans="1:26" x14ac:dyDescent="0.2">
      <c r="A68" s="3" t="s">
        <v>386</v>
      </c>
      <c r="B68" s="3" t="s">
        <v>628</v>
      </c>
      <c r="C68" s="3" t="s">
        <v>627</v>
      </c>
      <c r="D68" s="3" t="b">
        <v>0</v>
      </c>
      <c r="E68" s="3" t="b">
        <v>0</v>
      </c>
      <c r="F68" s="3">
        <f>IF(OR(Z68=TRUE,SUMIFS('Cashflow Projection'!$E$117:$E$149,'Cashflow Projection'!$D$117:$D$149,Sales!C68)=1),0,SUMIFS('Cashflow Projection'!$C$7:$C$23,'Cashflow Projection'!$B$7:$B$23,Sales!B68,'Cashflow Projection'!$A$7:$A$23,Sales!A68))</f>
        <v>0</v>
      </c>
      <c r="G68" s="4">
        <v>45523</v>
      </c>
      <c r="H68" s="4">
        <v>45532</v>
      </c>
      <c r="I68" s="3">
        <v>1649900</v>
      </c>
      <c r="J68" s="3">
        <v>215204.34782608689</v>
      </c>
      <c r="K68" s="3">
        <v>1434695.6521739131</v>
      </c>
      <c r="L68" s="3">
        <v>18502.080000000002</v>
      </c>
      <c r="M68" s="3">
        <v>1789</v>
      </c>
      <c r="N68" s="3">
        <v>8249.5</v>
      </c>
      <c r="O68" s="3">
        <v>82495</v>
      </c>
      <c r="P68" s="3">
        <v>19224.37</v>
      </c>
      <c r="Q68" s="3">
        <v>1519640.05</v>
      </c>
      <c r="R68" s="9">
        <f>IF($F68=1,((SUMIFS(Investors!$M:$M,Investors!$E:$E,Sales!$C68,Investors!$O:$O,FALSE)+SUMIFS(Investors!$S:$S,Investors!$E:$E,Sales!$C68,Investors!$O:$O,FALSE))*$F68)-SUMIFS('Investor Exit List'!$Q:$Q,'Investor Exit List'!$Y:$Y,1,'Investor Exit List'!$Z:$Z,"Release",'Investor Exit List'!$C:$C,Sales!$C68),(SUMIFS(Investors!$M:$M,Investors!$E:$E,Sales!$C68,Investors!$O:$O,FALSE)+SUMIFS(Investors!$S:$S,Investors!$E:$E,Sales!$C68,Investors!$O:$O,FALSE))*$F68)</f>
        <v>0</v>
      </c>
      <c r="S68" s="9">
        <f t="shared" si="1"/>
        <v>1519640.05</v>
      </c>
      <c r="T68" s="3" t="b">
        <v>0</v>
      </c>
      <c r="U68" s="4">
        <v>45565</v>
      </c>
      <c r="V68" s="9">
        <v>170000.04999999981</v>
      </c>
      <c r="W68" s="10">
        <f>IF(SUMIFS('Cashflow Projection'!$E$117:$E$149,'Cashflow Projection'!$D$117:$D$149,Sales!C68)=1,SUMIFS('Cashflow Projection'!$C$117:$C$149,'Cashflow Projection'!$D$117:$D$149,Sales!C68),+Sales!H68)</f>
        <v>45532</v>
      </c>
      <c r="X68" s="10">
        <f t="shared" si="2"/>
        <v>45565</v>
      </c>
      <c r="Y68" s="10">
        <f t="shared" si="3"/>
        <v>45596</v>
      </c>
      <c r="Z68" t="b">
        <v>0</v>
      </c>
    </row>
    <row r="69" spans="1:26" x14ac:dyDescent="0.2">
      <c r="A69" s="3" t="s">
        <v>386</v>
      </c>
      <c r="B69" s="3" t="s">
        <v>684</v>
      </c>
      <c r="C69" s="3" t="s">
        <v>707</v>
      </c>
      <c r="D69" s="3" t="b">
        <v>0</v>
      </c>
      <c r="E69" s="3" t="b">
        <v>0</v>
      </c>
      <c r="F69" s="3">
        <f>IF(OR(Z69=TRUE,SUMIFS('Cashflow Projection'!$E$117:$E$149,'Cashflow Projection'!$D$117:$D$149,Sales!C69)=1),0,SUMIFS('Cashflow Projection'!$C$7:$C$23,'Cashflow Projection'!$B$7:$B$23,Sales!B69,'Cashflow Projection'!$A$7:$A$23,Sales!A69))</f>
        <v>0</v>
      </c>
      <c r="G69" s="4">
        <v>45491</v>
      </c>
      <c r="H69" s="4">
        <v>45596</v>
      </c>
      <c r="I69" s="3">
        <v>1549900</v>
      </c>
      <c r="J69" s="3">
        <v>202160.86956521741</v>
      </c>
      <c r="K69" s="3">
        <v>1347739.1304347829</v>
      </c>
      <c r="L69" s="3">
        <v>18502.080000000002</v>
      </c>
      <c r="M69" s="3">
        <v>1789</v>
      </c>
      <c r="N69" s="3">
        <v>7749.5</v>
      </c>
      <c r="O69" s="3">
        <v>77495</v>
      </c>
      <c r="P69" s="3">
        <v>19224.37</v>
      </c>
      <c r="Q69" s="3">
        <v>1425140.05</v>
      </c>
      <c r="R69" s="9">
        <f>IF($F69=1,((SUMIFS(Investors!$M:$M,Investors!$E:$E,Sales!$C69,Investors!$O:$O,FALSE)+SUMIFS(Investors!$S:$S,Investors!$E:$E,Sales!$C69,Investors!$O:$O,FALSE))*$F69)-SUMIFS('Investor Exit List'!$Q:$Q,'Investor Exit List'!$Y:$Y,1,'Investor Exit List'!$Z:$Z,"Release",'Investor Exit List'!$C:$C,Sales!$C69),(SUMIFS(Investors!$M:$M,Investors!$E:$E,Sales!$C69,Investors!$O:$O,FALSE)+SUMIFS(Investors!$S:$S,Investors!$E:$E,Sales!$C69,Investors!$O:$O,FALSE))*$F69)</f>
        <v>0</v>
      </c>
      <c r="S69" s="9">
        <f t="shared" ref="S69:S132" si="4">IF(T69=FALSE,Q69-R69,+V69)</f>
        <v>1425140.05</v>
      </c>
      <c r="T69" s="3" t="b">
        <v>0</v>
      </c>
      <c r="U69" s="4">
        <v>45626</v>
      </c>
      <c r="V69" s="9">
        <v>145583.8856164382</v>
      </c>
      <c r="W69" s="10">
        <f>IF(SUMIFS('Cashflow Projection'!$E$117:$E$149,'Cashflow Projection'!$D$117:$D$149,Sales!C69)=1,SUMIFS('Cashflow Projection'!$C$117:$C$149,'Cashflow Projection'!$D$117:$D$149,Sales!C69),+Sales!H69)</f>
        <v>45596</v>
      </c>
      <c r="X69" s="10">
        <f t="shared" ref="X69:X132" si="5">IF(MOD(MONTH(W69), 2) &lt;&gt; 0, EOMONTH(W69, 2), EOMONTH(W69, 1))</f>
        <v>45626</v>
      </c>
      <c r="Y69" s="10">
        <f t="shared" ref="Y69:Y132" si="6">EOMONTH(X69,1)</f>
        <v>45657</v>
      </c>
      <c r="Z69" t="b">
        <v>0</v>
      </c>
    </row>
    <row r="70" spans="1:26" x14ac:dyDescent="0.2">
      <c r="A70" s="3" t="s">
        <v>386</v>
      </c>
      <c r="B70" s="3" t="s">
        <v>854</v>
      </c>
      <c r="C70" s="3" t="s">
        <v>881</v>
      </c>
      <c r="D70" s="3" t="b">
        <v>0</v>
      </c>
      <c r="E70" s="3" t="b">
        <v>0</v>
      </c>
      <c r="F70" s="3">
        <f>IF(OR(Z70=TRUE,SUMIFS('Cashflow Projection'!$E$117:$E$149,'Cashflow Projection'!$D$117:$D$149,Sales!C70)=1),0,SUMIFS('Cashflow Projection'!$C$7:$C$23,'Cashflow Projection'!$B$7:$B$23,Sales!B70,'Cashflow Projection'!$A$7:$A$23,Sales!A70))</f>
        <v>0</v>
      </c>
      <c r="G70" s="4">
        <v>45518</v>
      </c>
      <c r="H70" s="4">
        <v>45518</v>
      </c>
      <c r="I70" s="3">
        <v>1689900</v>
      </c>
      <c r="J70" s="3">
        <v>220421.73913043481</v>
      </c>
      <c r="K70" s="3">
        <v>1469478.260869565</v>
      </c>
      <c r="L70" s="3">
        <v>18502.080000000002</v>
      </c>
      <c r="M70" s="3">
        <v>1789</v>
      </c>
      <c r="N70" s="3">
        <v>8449.5</v>
      </c>
      <c r="O70" s="3">
        <v>84495</v>
      </c>
      <c r="P70" s="3">
        <v>19224.37</v>
      </c>
      <c r="Q70" s="3">
        <v>1557440.05</v>
      </c>
      <c r="R70" s="9">
        <f>IF($F70=1,((SUMIFS(Investors!$M:$M,Investors!$E:$E,Sales!$C70,Investors!$O:$O,FALSE)+SUMIFS(Investors!$S:$S,Investors!$E:$E,Sales!$C70,Investors!$O:$O,FALSE))*$F70)-SUMIFS('Investor Exit List'!$Q:$Q,'Investor Exit List'!$Y:$Y,1,'Investor Exit List'!$Z:$Z,"Release",'Investor Exit List'!$C:$C,Sales!$C70),(SUMIFS(Investors!$M:$M,Investors!$E:$E,Sales!$C70,Investors!$O:$O,FALSE)+SUMIFS(Investors!$S:$S,Investors!$E:$E,Sales!$C70,Investors!$O:$O,FALSE))*$F70)</f>
        <v>0</v>
      </c>
      <c r="S70" s="9">
        <f t="shared" si="4"/>
        <v>1557440.05</v>
      </c>
      <c r="T70" s="3" t="b">
        <v>0</v>
      </c>
      <c r="U70" s="4">
        <v>45565</v>
      </c>
      <c r="V70" s="9">
        <v>211700.18504684931</v>
      </c>
      <c r="W70" s="10">
        <f>IF(SUMIFS('Cashflow Projection'!$E$117:$E$149,'Cashflow Projection'!$D$117:$D$149,Sales!C70)=1,SUMIFS('Cashflow Projection'!$C$117:$C$149,'Cashflow Projection'!$D$117:$D$149,Sales!C70),+Sales!H70)</f>
        <v>45518</v>
      </c>
      <c r="X70" s="10">
        <f t="shared" si="5"/>
        <v>45565</v>
      </c>
      <c r="Y70" s="10">
        <f t="shared" si="6"/>
        <v>45596</v>
      </c>
      <c r="Z70" t="b">
        <v>0</v>
      </c>
    </row>
    <row r="71" spans="1:26" x14ac:dyDescent="0.2">
      <c r="A71" s="3" t="s">
        <v>386</v>
      </c>
      <c r="B71" s="3" t="s">
        <v>854</v>
      </c>
      <c r="C71" s="3" t="s">
        <v>864</v>
      </c>
      <c r="D71" s="3" t="b">
        <v>1</v>
      </c>
      <c r="E71" s="3" t="b">
        <v>0</v>
      </c>
      <c r="F71" s="3">
        <f>IF(OR(Z71=TRUE,SUMIFS('Cashflow Projection'!$E$117:$E$149,'Cashflow Projection'!$D$117:$D$149,Sales!C71)=1),0,SUMIFS('Cashflow Projection'!$C$7:$C$23,'Cashflow Projection'!$B$7:$B$23,Sales!B71,'Cashflow Projection'!$A$7:$A$23,Sales!A71))</f>
        <v>0</v>
      </c>
      <c r="G71" s="4">
        <v>45518</v>
      </c>
      <c r="H71" s="4">
        <v>45518</v>
      </c>
      <c r="I71" s="3">
        <v>1679900</v>
      </c>
      <c r="J71" s="3">
        <v>219117.39130434781</v>
      </c>
      <c r="K71" s="3">
        <v>1460782.6086956521</v>
      </c>
      <c r="L71" s="3">
        <v>18502.080000000002</v>
      </c>
      <c r="M71" s="3">
        <v>1789</v>
      </c>
      <c r="N71" s="3">
        <v>8399.5</v>
      </c>
      <c r="O71" s="3">
        <v>83995</v>
      </c>
      <c r="P71" s="3">
        <v>19224.37</v>
      </c>
      <c r="Q71" s="3">
        <v>1547990.05</v>
      </c>
      <c r="R71" s="9">
        <f>IF($F71=1,((SUMIFS(Investors!$M:$M,Investors!$E:$E,Sales!$C71,Investors!$O:$O,FALSE)+SUMIFS(Investors!$S:$S,Investors!$E:$E,Sales!$C71,Investors!$O:$O,FALSE))*$F71)-SUMIFS('Investor Exit List'!$Q:$Q,'Investor Exit List'!$Y:$Y,1,'Investor Exit List'!$Z:$Z,"Release",'Investor Exit List'!$C:$C,Sales!$C71),(SUMIFS(Investors!$M:$M,Investors!$E:$E,Sales!$C71,Investors!$O:$O,FALSE)+SUMIFS(Investors!$S:$S,Investors!$E:$E,Sales!$C71,Investors!$O:$O,FALSE))*$F71)</f>
        <v>0</v>
      </c>
      <c r="S71" s="9">
        <f t="shared" si="4"/>
        <v>1547990.05</v>
      </c>
      <c r="T71" s="3" t="b">
        <v>0</v>
      </c>
      <c r="U71" s="4">
        <v>45565</v>
      </c>
      <c r="V71" s="9">
        <v>158670.6552241091</v>
      </c>
      <c r="W71" s="10">
        <f>IF(SUMIFS('Cashflow Projection'!$E$117:$E$149,'Cashflow Projection'!$D$117:$D$149,Sales!C71)=1,SUMIFS('Cashflow Projection'!$C$117:$C$149,'Cashflow Projection'!$D$117:$D$149,Sales!C71),+Sales!H71)</f>
        <v>45518</v>
      </c>
      <c r="X71" s="10">
        <f t="shared" si="5"/>
        <v>45565</v>
      </c>
      <c r="Y71" s="10">
        <f t="shared" si="6"/>
        <v>45596</v>
      </c>
      <c r="Z71" t="b">
        <v>0</v>
      </c>
    </row>
    <row r="72" spans="1:26" x14ac:dyDescent="0.2">
      <c r="A72" s="3" t="s">
        <v>386</v>
      </c>
      <c r="B72" s="3" t="s">
        <v>569</v>
      </c>
      <c r="C72" s="3" t="s">
        <v>592</v>
      </c>
      <c r="D72" s="3" t="b">
        <v>0</v>
      </c>
      <c r="E72" s="3" t="b">
        <v>0</v>
      </c>
      <c r="F72" s="3">
        <f>IF(OR(Z72=TRUE,SUMIFS('Cashflow Projection'!$E$117:$E$149,'Cashflow Projection'!$D$117:$D$149,Sales!C72)=1),0,SUMIFS('Cashflow Projection'!$C$7:$C$23,'Cashflow Projection'!$B$7:$B$23,Sales!B72,'Cashflow Projection'!$A$7:$A$23,Sales!A72))</f>
        <v>0</v>
      </c>
      <c r="G72" s="4">
        <v>45685</v>
      </c>
      <c r="H72" s="4">
        <v>45685</v>
      </c>
      <c r="I72" s="3">
        <v>1499900</v>
      </c>
      <c r="J72" s="3">
        <v>195639.13043478259</v>
      </c>
      <c r="K72" s="3">
        <v>1304260.869565218</v>
      </c>
      <c r="L72" s="3">
        <v>18502.080000000002</v>
      </c>
      <c r="M72" s="3">
        <v>1789</v>
      </c>
      <c r="N72" s="3">
        <v>7499.5</v>
      </c>
      <c r="O72" s="3">
        <v>74995</v>
      </c>
      <c r="P72" s="3">
        <v>19224.37</v>
      </c>
      <c r="Q72" s="3">
        <v>1377890.05</v>
      </c>
      <c r="R72" s="9">
        <f>IF($F72=1,((SUMIFS(Investors!$M:$M,Investors!$E:$E,Sales!$C72,Investors!$O:$O,FALSE)+SUMIFS(Investors!$S:$S,Investors!$E:$E,Sales!$C72,Investors!$O:$O,FALSE))*$F72)-SUMIFS('Investor Exit List'!$Q:$Q,'Investor Exit List'!$Y:$Y,1,'Investor Exit List'!$Z:$Z,"Release",'Investor Exit List'!$C:$C,Sales!$C72),(SUMIFS(Investors!$M:$M,Investors!$E:$E,Sales!$C72,Investors!$O:$O,FALSE)+SUMIFS(Investors!$S:$S,Investors!$E:$E,Sales!$C72,Investors!$O:$O,FALSE))*$F72)</f>
        <v>0</v>
      </c>
      <c r="S72" s="9">
        <f t="shared" si="4"/>
        <v>1377890.05</v>
      </c>
      <c r="T72" s="3" t="b">
        <v>0</v>
      </c>
      <c r="U72" s="4">
        <v>45747</v>
      </c>
      <c r="V72" s="9">
        <v>511532.78972602717</v>
      </c>
      <c r="W72" s="10">
        <f>IF(SUMIFS('Cashflow Projection'!$E$117:$E$149,'Cashflow Projection'!$D$117:$D$149,Sales!C72)=1,SUMIFS('Cashflow Projection'!$C$117:$C$149,'Cashflow Projection'!$D$117:$D$149,Sales!C72),+Sales!H72)</f>
        <v>45685</v>
      </c>
      <c r="X72" s="10">
        <f t="shared" si="5"/>
        <v>45747</v>
      </c>
      <c r="Y72" s="10">
        <f t="shared" si="6"/>
        <v>45777</v>
      </c>
      <c r="Z72" t="b">
        <v>0</v>
      </c>
    </row>
    <row r="73" spans="1:26" x14ac:dyDescent="0.2">
      <c r="A73" s="3" t="s">
        <v>992</v>
      </c>
      <c r="B73" s="3" t="s">
        <v>26</v>
      </c>
      <c r="C73" s="3" t="s">
        <v>1015</v>
      </c>
      <c r="D73" s="3" t="b">
        <v>1</v>
      </c>
      <c r="E73" s="3" t="b">
        <v>1</v>
      </c>
      <c r="F73" s="3">
        <f>IF(OR(Z73=TRUE,SUMIFS('Cashflow Projection'!$E$117:$E$149,'Cashflow Projection'!$D$117:$D$149,Sales!C73)=1),0,SUMIFS('Cashflow Projection'!$C$7:$C$23,'Cashflow Projection'!$B$7:$B$23,Sales!B73,'Cashflow Projection'!$A$7:$A$23,Sales!A73))</f>
        <v>1</v>
      </c>
      <c r="G73" s="4">
        <v>45279</v>
      </c>
      <c r="H73" s="4">
        <v>45688</v>
      </c>
      <c r="I73" s="3">
        <v>1599900</v>
      </c>
      <c r="J73" s="3">
        <v>208682.60869565219</v>
      </c>
      <c r="K73" s="3">
        <v>1391217.3913043479</v>
      </c>
      <c r="L73" s="3">
        <v>18502.080000000002</v>
      </c>
      <c r="M73" s="3">
        <v>1789</v>
      </c>
      <c r="N73" s="3">
        <v>7999.5</v>
      </c>
      <c r="O73" s="3">
        <v>79995</v>
      </c>
      <c r="P73" s="3">
        <v>19224.37</v>
      </c>
      <c r="Q73" s="3">
        <v>1472390.05</v>
      </c>
      <c r="R73" s="9">
        <f>IF($F73=1,((SUMIFS(Investors!$M:$M,Investors!$E:$E,Sales!$C73,Investors!$O:$O,FALSE)+SUMIFS(Investors!$S:$S,Investors!$E:$E,Sales!$C73,Investors!$O:$O,FALSE))*$F73)-SUMIFS('Investor Exit List'!$Q:$Q,'Investor Exit List'!$Y:$Y,1,'Investor Exit List'!$Z:$Z,"Release",'Investor Exit List'!$C:$C,Sales!$C73),(SUMIFS(Investors!$M:$M,Investors!$E:$E,Sales!$C73,Investors!$O:$O,FALSE)+SUMIFS(Investors!$S:$S,Investors!$E:$E,Sales!$C73,Investors!$O:$O,FALSE))*$F73)</f>
        <v>0</v>
      </c>
      <c r="S73" s="9">
        <f t="shared" si="4"/>
        <v>1472390.05</v>
      </c>
      <c r="T73" s="3" t="b">
        <v>0</v>
      </c>
      <c r="U73" s="4">
        <v>45747</v>
      </c>
      <c r="V73" s="9">
        <v>161890.04999999981</v>
      </c>
      <c r="W73" s="10">
        <f>IF(SUMIFS('Cashflow Projection'!$E$117:$E$149,'Cashflow Projection'!$D$117:$D$149,Sales!C73)=1,SUMIFS('Cashflow Projection'!$C$117:$C$149,'Cashflow Projection'!$D$117:$D$149,Sales!C73),+Sales!H73)</f>
        <v>45688</v>
      </c>
      <c r="X73" s="10">
        <f t="shared" si="5"/>
        <v>45747</v>
      </c>
      <c r="Y73" s="10">
        <f t="shared" si="6"/>
        <v>45777</v>
      </c>
      <c r="Z73" t="b">
        <v>0</v>
      </c>
    </row>
    <row r="74" spans="1:26" x14ac:dyDescent="0.2">
      <c r="A74" s="3" t="s">
        <v>992</v>
      </c>
      <c r="B74" s="3" t="s">
        <v>569</v>
      </c>
      <c r="C74" s="3" t="s">
        <v>1016</v>
      </c>
      <c r="D74" s="3" t="b">
        <v>1</v>
      </c>
      <c r="E74" s="3" t="b">
        <v>1</v>
      </c>
      <c r="F74" s="3">
        <f>IF(OR(Z74=TRUE,SUMIFS('Cashflow Projection'!$E$117:$E$149,'Cashflow Projection'!$D$117:$D$149,Sales!C74)=1),0,SUMIFS('Cashflow Projection'!$C$7:$C$23,'Cashflow Projection'!$B$7:$B$23,Sales!B74,'Cashflow Projection'!$A$7:$A$23,Sales!A74))</f>
        <v>0</v>
      </c>
      <c r="G74" s="4">
        <v>44687</v>
      </c>
      <c r="H74" s="4">
        <v>45688</v>
      </c>
      <c r="I74" s="3">
        <v>1414900</v>
      </c>
      <c r="J74" s="3">
        <v>184552.17391304349</v>
      </c>
      <c r="K74" s="3">
        <v>1230347.826086957</v>
      </c>
      <c r="L74" s="3">
        <v>18502.080000000002</v>
      </c>
      <c r="M74" s="3">
        <v>1789</v>
      </c>
      <c r="N74" s="3">
        <v>7074.5</v>
      </c>
      <c r="O74" s="3">
        <v>70745</v>
      </c>
      <c r="P74" s="3">
        <v>19224.37</v>
      </c>
      <c r="Q74" s="3">
        <v>1297565.05</v>
      </c>
      <c r="R74" s="9">
        <f>IF($F74=1,((SUMIFS(Investors!$M:$M,Investors!$E:$E,Sales!$C74,Investors!$O:$O,FALSE)+SUMIFS(Investors!$S:$S,Investors!$E:$E,Sales!$C74,Investors!$O:$O,FALSE))*$F74)-SUMIFS('Investor Exit List'!$Q:$Q,'Investor Exit List'!$Y:$Y,1,'Investor Exit List'!$Z:$Z,"Release",'Investor Exit List'!$C:$C,Sales!$C74),(SUMIFS(Investors!$M:$M,Investors!$E:$E,Sales!$C74,Investors!$O:$O,FALSE)+SUMIFS(Investors!$S:$S,Investors!$E:$E,Sales!$C74,Investors!$O:$O,FALSE))*$F74)</f>
        <v>0</v>
      </c>
      <c r="S74" s="9">
        <f t="shared" si="4"/>
        <v>1297565.05</v>
      </c>
      <c r="T74" s="3" t="b">
        <v>0</v>
      </c>
      <c r="U74" s="4">
        <v>45747</v>
      </c>
      <c r="V74" s="9">
        <v>86580.591735821683</v>
      </c>
      <c r="W74" s="10">
        <f>IF(SUMIFS('Cashflow Projection'!$E$117:$E$149,'Cashflow Projection'!$D$117:$D$149,Sales!C74)=1,SUMIFS('Cashflow Projection'!$C$117:$C$149,'Cashflow Projection'!$D$117:$D$149,Sales!C74),+Sales!H74)</f>
        <v>45688</v>
      </c>
      <c r="X74" s="10">
        <f t="shared" si="5"/>
        <v>45747</v>
      </c>
      <c r="Y74" s="10">
        <f t="shared" si="6"/>
        <v>45777</v>
      </c>
      <c r="Z74" t="b">
        <v>0</v>
      </c>
    </row>
    <row r="75" spans="1:26" x14ac:dyDescent="0.2">
      <c r="A75" s="3" t="s">
        <v>992</v>
      </c>
      <c r="B75" s="3" t="s">
        <v>388</v>
      </c>
      <c r="C75" s="3" t="s">
        <v>1017</v>
      </c>
      <c r="D75" s="3" t="b">
        <v>1</v>
      </c>
      <c r="E75" s="3" t="b">
        <v>1</v>
      </c>
      <c r="F75" s="3">
        <f>IF(OR(Z75=TRUE,SUMIFS('Cashflow Projection'!$E$117:$E$149,'Cashflow Projection'!$D$117:$D$149,Sales!C75)=1),0,SUMIFS('Cashflow Projection'!$C$7:$C$23,'Cashflow Projection'!$B$7:$B$23,Sales!B75,'Cashflow Projection'!$A$7:$A$23,Sales!A75))</f>
        <v>0</v>
      </c>
      <c r="G75" s="4">
        <v>45259</v>
      </c>
      <c r="H75" s="4">
        <v>45688</v>
      </c>
      <c r="I75" s="3">
        <v>1499900</v>
      </c>
      <c r="J75" s="3">
        <v>195639.13043478259</v>
      </c>
      <c r="K75" s="3">
        <v>1304260.869565218</v>
      </c>
      <c r="L75" s="3">
        <v>18502.080000000002</v>
      </c>
      <c r="M75" s="3">
        <v>1789</v>
      </c>
      <c r="N75" s="3">
        <v>7499.5</v>
      </c>
      <c r="O75" s="3">
        <v>74995</v>
      </c>
      <c r="P75" s="3">
        <v>19224.37</v>
      </c>
      <c r="Q75" s="3">
        <v>1377890.05</v>
      </c>
      <c r="R75" s="9">
        <f>IF($F75=1,((SUMIFS(Investors!$M:$M,Investors!$E:$E,Sales!$C75,Investors!$O:$O,FALSE)+SUMIFS(Investors!$S:$S,Investors!$E:$E,Sales!$C75,Investors!$O:$O,FALSE))*$F75)-SUMIFS('Investor Exit List'!$Q:$Q,'Investor Exit List'!$Y:$Y,1,'Investor Exit List'!$Z:$Z,"Release",'Investor Exit List'!$C:$C,Sales!$C75),(SUMIFS(Investors!$M:$M,Investors!$E:$E,Sales!$C75,Investors!$O:$O,FALSE)+SUMIFS(Investors!$S:$S,Investors!$E:$E,Sales!$C75,Investors!$O:$O,FALSE))*$F75)</f>
        <v>0</v>
      </c>
      <c r="S75" s="9">
        <f t="shared" si="4"/>
        <v>1377890.05</v>
      </c>
      <c r="T75" s="3" t="b">
        <v>0</v>
      </c>
      <c r="U75" s="4">
        <v>45747</v>
      </c>
      <c r="V75" s="9">
        <v>67850.74232328753</v>
      </c>
      <c r="W75" s="10">
        <f>IF(SUMIFS('Cashflow Projection'!$E$117:$E$149,'Cashflow Projection'!$D$117:$D$149,Sales!C75)=1,SUMIFS('Cashflow Projection'!$C$117:$C$149,'Cashflow Projection'!$D$117:$D$149,Sales!C75),+Sales!H75)</f>
        <v>45688</v>
      </c>
      <c r="X75" s="10">
        <f t="shared" si="5"/>
        <v>45747</v>
      </c>
      <c r="Y75" s="10">
        <f t="shared" si="6"/>
        <v>45777</v>
      </c>
      <c r="Z75" t="b">
        <v>0</v>
      </c>
    </row>
    <row r="76" spans="1:26" x14ac:dyDescent="0.2">
      <c r="A76" s="3" t="s">
        <v>24</v>
      </c>
      <c r="B76" s="3" t="s">
        <v>26</v>
      </c>
      <c r="C76" s="3" t="s">
        <v>37</v>
      </c>
      <c r="D76" s="3" t="b">
        <v>1</v>
      </c>
      <c r="E76" s="3" t="b">
        <v>1</v>
      </c>
      <c r="F76" s="3">
        <f>IF(OR(Z76=TRUE,SUMIFS('Cashflow Projection'!$E$117:$E$149,'Cashflow Projection'!$D$117:$D$149,Sales!C76)=1),0,SUMIFS('Cashflow Projection'!$C$7:$C$23,'Cashflow Projection'!$B$7:$B$23,Sales!B76,'Cashflow Projection'!$A$7:$A$23,Sales!A76))</f>
        <v>0</v>
      </c>
      <c r="G76" s="4">
        <v>44887</v>
      </c>
      <c r="H76" s="4">
        <v>45688</v>
      </c>
      <c r="I76" s="3">
        <v>1549900</v>
      </c>
      <c r="J76" s="3">
        <v>202160.86956521741</v>
      </c>
      <c r="K76" s="3">
        <v>1347739.1304347829</v>
      </c>
      <c r="L76" s="3">
        <v>18502.080000000002</v>
      </c>
      <c r="M76" s="3">
        <v>1789</v>
      </c>
      <c r="N76" s="3">
        <v>7749.5</v>
      </c>
      <c r="O76" s="3">
        <v>77495</v>
      </c>
      <c r="P76" s="3">
        <v>19224.37</v>
      </c>
      <c r="Q76" s="3">
        <v>1425140.05</v>
      </c>
      <c r="R76" s="9">
        <f>IF($F76=1,((SUMIFS(Investors!$M:$M,Investors!$E:$E,Sales!$C76,Investors!$O:$O,FALSE)+SUMIFS(Investors!$S:$S,Investors!$E:$E,Sales!$C76,Investors!$O:$O,FALSE))*$F76)-SUMIFS('Investor Exit List'!$Q:$Q,'Investor Exit List'!$Y:$Y,1,'Investor Exit List'!$Z:$Z,"Release",'Investor Exit List'!$C:$C,Sales!$C76),(SUMIFS(Investors!$M:$M,Investors!$E:$E,Sales!$C76,Investors!$O:$O,FALSE)+SUMIFS(Investors!$S:$S,Investors!$E:$E,Sales!$C76,Investors!$O:$O,FALSE))*$F76)</f>
        <v>0</v>
      </c>
      <c r="S76" s="9">
        <f t="shared" si="4"/>
        <v>1425140.05</v>
      </c>
      <c r="T76" s="3" t="b">
        <v>0</v>
      </c>
      <c r="U76" s="4">
        <v>45747</v>
      </c>
      <c r="V76" s="9">
        <v>275537.31027397228</v>
      </c>
      <c r="W76" s="10">
        <f>IF(SUMIFS('Cashflow Projection'!$E$117:$E$149,'Cashflow Projection'!$D$117:$D$149,Sales!C76)=1,SUMIFS('Cashflow Projection'!$C$117:$C$149,'Cashflow Projection'!$D$117:$D$149,Sales!C76),+Sales!H76)</f>
        <v>45688</v>
      </c>
      <c r="X76" s="10">
        <f t="shared" si="5"/>
        <v>45747</v>
      </c>
      <c r="Y76" s="10">
        <f t="shared" si="6"/>
        <v>45777</v>
      </c>
      <c r="Z76" t="b">
        <v>0</v>
      </c>
    </row>
    <row r="77" spans="1:26" x14ac:dyDescent="0.2">
      <c r="A77" s="3" t="s">
        <v>992</v>
      </c>
      <c r="B77" s="3" t="s">
        <v>209</v>
      </c>
      <c r="C77" s="3" t="s">
        <v>1018</v>
      </c>
      <c r="D77" s="3" t="b">
        <v>1</v>
      </c>
      <c r="E77" s="3" t="b">
        <v>1</v>
      </c>
      <c r="F77" s="3">
        <f>IF(OR(Z77=TRUE,SUMIFS('Cashflow Projection'!$E$117:$E$149,'Cashflow Projection'!$D$117:$D$149,Sales!C77)=1),0,SUMIFS('Cashflow Projection'!$C$7:$C$23,'Cashflow Projection'!$B$7:$B$23,Sales!B77,'Cashflow Projection'!$A$7:$A$23,Sales!A77))</f>
        <v>1</v>
      </c>
      <c r="G77" s="4">
        <v>44832</v>
      </c>
      <c r="H77" s="4">
        <v>45688</v>
      </c>
      <c r="I77" s="3">
        <v>1519900</v>
      </c>
      <c r="J77" s="3">
        <v>198247.82608695651</v>
      </c>
      <c r="K77" s="3">
        <v>1321652.1739130439</v>
      </c>
      <c r="L77" s="3">
        <v>18502.080000000002</v>
      </c>
      <c r="M77" s="3">
        <v>1789</v>
      </c>
      <c r="N77" s="3">
        <v>7599.5</v>
      </c>
      <c r="O77" s="3">
        <v>75995</v>
      </c>
      <c r="P77" s="3">
        <v>19224.37</v>
      </c>
      <c r="Q77" s="3">
        <v>1396790.05</v>
      </c>
      <c r="R77" s="9">
        <f>IF($F77=1,((SUMIFS(Investors!$M:$M,Investors!$E:$E,Sales!$C77,Investors!$O:$O,FALSE)+SUMIFS(Investors!$S:$S,Investors!$E:$E,Sales!$C77,Investors!$O:$O,FALSE))*$F77)-SUMIFS('Investor Exit List'!$Q:$Q,'Investor Exit List'!$Y:$Y,1,'Investor Exit List'!$Z:$Z,"Release",'Investor Exit List'!$C:$C,Sales!$C77),(SUMIFS(Investors!$M:$M,Investors!$E:$E,Sales!$C77,Investors!$O:$O,FALSE)+SUMIFS(Investors!$S:$S,Investors!$E:$E,Sales!$C77,Investors!$O:$O,FALSE))*$F77)</f>
        <v>0</v>
      </c>
      <c r="S77" s="9">
        <f t="shared" si="4"/>
        <v>1396790.05</v>
      </c>
      <c r="T77" s="3" t="b">
        <v>0</v>
      </c>
      <c r="U77" s="4">
        <v>45747</v>
      </c>
      <c r="V77" s="9">
        <v>210442.11583835591</v>
      </c>
      <c r="W77" s="10">
        <f>IF(SUMIFS('Cashflow Projection'!$E$117:$E$149,'Cashflow Projection'!$D$117:$D$149,Sales!C77)=1,SUMIFS('Cashflow Projection'!$C$117:$C$149,'Cashflow Projection'!$D$117:$D$149,Sales!C77),+Sales!H77)</f>
        <v>45688</v>
      </c>
      <c r="X77" s="10">
        <f t="shared" si="5"/>
        <v>45747</v>
      </c>
      <c r="Y77" s="10">
        <f t="shared" si="6"/>
        <v>45777</v>
      </c>
      <c r="Z77" t="b">
        <v>0</v>
      </c>
    </row>
    <row r="78" spans="1:26" x14ac:dyDescent="0.2">
      <c r="A78" s="3" t="s">
        <v>24</v>
      </c>
      <c r="B78" s="3" t="s">
        <v>26</v>
      </c>
      <c r="C78" s="3" t="s">
        <v>114</v>
      </c>
      <c r="D78" s="3" t="b">
        <v>1</v>
      </c>
      <c r="E78" s="3" t="b">
        <v>1</v>
      </c>
      <c r="F78" s="3">
        <f>IF(OR(Z78=TRUE,SUMIFS('Cashflow Projection'!$E$117:$E$149,'Cashflow Projection'!$D$117:$D$149,Sales!C78)=1),0,SUMIFS('Cashflow Projection'!$C$7:$C$23,'Cashflow Projection'!$B$7:$B$23,Sales!B78,'Cashflow Projection'!$A$7:$A$23,Sales!A78))</f>
        <v>0</v>
      </c>
      <c r="G78" s="4">
        <v>44887</v>
      </c>
      <c r="H78" s="4">
        <v>45688</v>
      </c>
      <c r="I78" s="3">
        <v>1299900</v>
      </c>
      <c r="J78" s="3">
        <v>169552.17391304349</v>
      </c>
      <c r="K78" s="3">
        <v>1130347.826086957</v>
      </c>
      <c r="L78" s="3">
        <v>18502.080000000002</v>
      </c>
      <c r="M78" s="3">
        <v>1789</v>
      </c>
      <c r="N78" s="3">
        <v>6499.5</v>
      </c>
      <c r="O78" s="3">
        <v>64995</v>
      </c>
      <c r="P78" s="3">
        <v>19224.37</v>
      </c>
      <c r="Q78" s="3">
        <v>1188890.05</v>
      </c>
      <c r="R78" s="9">
        <f>IF($F78=1,((SUMIFS(Investors!$M:$M,Investors!$E:$E,Sales!$C78,Investors!$O:$O,FALSE)+SUMIFS(Investors!$S:$S,Investors!$E:$E,Sales!$C78,Investors!$O:$O,FALSE))*$F78)-SUMIFS('Investor Exit List'!$Q:$Q,'Investor Exit List'!$Y:$Y,1,'Investor Exit List'!$Z:$Z,"Release",'Investor Exit List'!$C:$C,Sales!$C78),(SUMIFS(Investors!$M:$M,Investors!$E:$E,Sales!$C78,Investors!$O:$O,FALSE)+SUMIFS(Investors!$S:$S,Investors!$E:$E,Sales!$C78,Investors!$O:$O,FALSE))*$F78)</f>
        <v>0</v>
      </c>
      <c r="S78" s="9">
        <f t="shared" si="4"/>
        <v>1188890.05</v>
      </c>
      <c r="T78" s="3" t="b">
        <v>0</v>
      </c>
      <c r="U78" s="4">
        <v>45747</v>
      </c>
      <c r="V78" s="9">
        <v>43564.70753424638</v>
      </c>
      <c r="W78" s="10">
        <f>IF(SUMIFS('Cashflow Projection'!$E$117:$E$149,'Cashflow Projection'!$D$117:$D$149,Sales!C78)=1,SUMIFS('Cashflow Projection'!$C$117:$C$149,'Cashflow Projection'!$D$117:$D$149,Sales!C78),+Sales!H78)</f>
        <v>45688</v>
      </c>
      <c r="X78" s="10">
        <f t="shared" si="5"/>
        <v>45747</v>
      </c>
      <c r="Y78" s="10">
        <f t="shared" si="6"/>
        <v>45777</v>
      </c>
      <c r="Z78" t="b">
        <v>0</v>
      </c>
    </row>
    <row r="79" spans="1:26" x14ac:dyDescent="0.2">
      <c r="A79" s="3" t="s">
        <v>992</v>
      </c>
      <c r="B79" s="3" t="s">
        <v>497</v>
      </c>
      <c r="C79" s="3" t="s">
        <v>1019</v>
      </c>
      <c r="D79" s="3" t="b">
        <v>1</v>
      </c>
      <c r="E79" s="3" t="b">
        <v>1</v>
      </c>
      <c r="F79" s="3">
        <f>IF(OR(Z79=TRUE,SUMIFS('Cashflow Projection'!$E$117:$E$149,'Cashflow Projection'!$D$117:$D$149,Sales!C79)=1),0,SUMIFS('Cashflow Projection'!$C$7:$C$23,'Cashflow Projection'!$B$7:$B$23,Sales!B79,'Cashflow Projection'!$A$7:$A$23,Sales!A79))</f>
        <v>0</v>
      </c>
      <c r="G79" s="4">
        <v>44657</v>
      </c>
      <c r="H79" s="4">
        <v>45688</v>
      </c>
      <c r="I79" s="3">
        <v>1349900</v>
      </c>
      <c r="J79" s="3">
        <v>176073.91304347821</v>
      </c>
      <c r="K79" s="3">
        <v>1173826.086956522</v>
      </c>
      <c r="L79" s="3">
        <v>18502.080000000002</v>
      </c>
      <c r="M79" s="3">
        <v>1789</v>
      </c>
      <c r="N79" s="3">
        <v>6749.5</v>
      </c>
      <c r="O79" s="3">
        <v>67495</v>
      </c>
      <c r="P79" s="3">
        <v>19224.37</v>
      </c>
      <c r="Q79" s="3">
        <v>1236140.05</v>
      </c>
      <c r="R79" s="9">
        <f>IF($F79=1,((SUMIFS(Investors!$M:$M,Investors!$E:$E,Sales!$C79,Investors!$O:$O,FALSE)+SUMIFS(Investors!$S:$S,Investors!$E:$E,Sales!$C79,Investors!$O:$O,FALSE))*$F79)-SUMIFS('Investor Exit List'!$Q:$Q,'Investor Exit List'!$Y:$Y,1,'Investor Exit List'!$Z:$Z,"Release",'Investor Exit List'!$C:$C,Sales!$C79),(SUMIFS(Investors!$M:$M,Investors!$E:$E,Sales!$C79,Investors!$O:$O,FALSE)+SUMIFS(Investors!$S:$S,Investors!$E:$E,Sales!$C79,Investors!$O:$O,FALSE))*$F79)</f>
        <v>0</v>
      </c>
      <c r="S79" s="9">
        <f t="shared" si="4"/>
        <v>1236140.05</v>
      </c>
      <c r="T79" s="3" t="b">
        <v>0</v>
      </c>
      <c r="U79" s="4">
        <v>45747</v>
      </c>
      <c r="V79" s="9">
        <v>52561.700523150394</v>
      </c>
      <c r="W79" s="10">
        <f>IF(SUMIFS('Cashflow Projection'!$E$117:$E$149,'Cashflow Projection'!$D$117:$D$149,Sales!C79)=1,SUMIFS('Cashflow Projection'!$C$117:$C$149,'Cashflow Projection'!$D$117:$D$149,Sales!C79),+Sales!H79)</f>
        <v>45688</v>
      </c>
      <c r="X79" s="10">
        <f t="shared" si="5"/>
        <v>45747</v>
      </c>
      <c r="Y79" s="10">
        <f t="shared" si="6"/>
        <v>45777</v>
      </c>
      <c r="Z79" t="b">
        <v>0</v>
      </c>
    </row>
    <row r="80" spans="1:26" x14ac:dyDescent="0.2">
      <c r="A80" s="3" t="s">
        <v>24</v>
      </c>
      <c r="B80" s="3" t="s">
        <v>26</v>
      </c>
      <c r="C80" s="3" t="s">
        <v>136</v>
      </c>
      <c r="D80" s="3" t="b">
        <v>1</v>
      </c>
      <c r="E80" s="3" t="b">
        <v>1</v>
      </c>
      <c r="F80" s="3">
        <f>IF(OR(Z80=TRUE,SUMIFS('Cashflow Projection'!$E$117:$E$149,'Cashflow Projection'!$D$117:$D$149,Sales!C80)=1),0,SUMIFS('Cashflow Projection'!$C$7:$C$23,'Cashflow Projection'!$B$7:$B$23,Sales!B80,'Cashflow Projection'!$A$7:$A$23,Sales!A80))</f>
        <v>0</v>
      </c>
      <c r="G80" s="4">
        <v>44887</v>
      </c>
      <c r="H80" s="4">
        <v>45688</v>
      </c>
      <c r="I80" s="3">
        <v>1329900</v>
      </c>
      <c r="J80" s="3">
        <v>173465.21739130441</v>
      </c>
      <c r="K80" s="3">
        <v>1156434.782608696</v>
      </c>
      <c r="L80" s="3">
        <v>18502.080000000002</v>
      </c>
      <c r="M80" s="3">
        <v>1789</v>
      </c>
      <c r="N80" s="3">
        <v>6649.5</v>
      </c>
      <c r="O80" s="3">
        <v>66495</v>
      </c>
      <c r="P80" s="3">
        <v>19224.37</v>
      </c>
      <c r="Q80" s="3">
        <v>1217240.05</v>
      </c>
      <c r="R80" s="9">
        <f>IF($F80=1,((SUMIFS(Investors!$M:$M,Investors!$E:$E,Sales!$C80,Investors!$O:$O,FALSE)+SUMIFS(Investors!$S:$S,Investors!$E:$E,Sales!$C80,Investors!$O:$O,FALSE))*$F80)-SUMIFS('Investor Exit List'!$Q:$Q,'Investor Exit List'!$Y:$Y,1,'Investor Exit List'!$Z:$Z,"Release",'Investor Exit List'!$C:$C,Sales!$C80),(SUMIFS(Investors!$M:$M,Investors!$E:$E,Sales!$C80,Investors!$O:$O,FALSE)+SUMIFS(Investors!$S:$S,Investors!$E:$E,Sales!$C80,Investors!$O:$O,FALSE))*$F80)</f>
        <v>0</v>
      </c>
      <c r="S80" s="9">
        <f t="shared" si="4"/>
        <v>1217240.05</v>
      </c>
      <c r="T80" s="3" t="b">
        <v>0</v>
      </c>
      <c r="U80" s="4">
        <v>45747</v>
      </c>
      <c r="V80" s="9">
        <v>236666.87823424631</v>
      </c>
      <c r="W80" s="10">
        <f>IF(SUMIFS('Cashflow Projection'!$E$117:$E$149,'Cashflow Projection'!$D$117:$D$149,Sales!C80)=1,SUMIFS('Cashflow Projection'!$C$117:$C$149,'Cashflow Projection'!$D$117:$D$149,Sales!C80),+Sales!H80)</f>
        <v>45688</v>
      </c>
      <c r="X80" s="10">
        <f t="shared" si="5"/>
        <v>45747</v>
      </c>
      <c r="Y80" s="10">
        <f t="shared" si="6"/>
        <v>45777</v>
      </c>
      <c r="Z80" t="b">
        <v>0</v>
      </c>
    </row>
    <row r="81" spans="1:26" x14ac:dyDescent="0.2">
      <c r="A81" s="3" t="s">
        <v>992</v>
      </c>
      <c r="B81" s="3" t="s">
        <v>598</v>
      </c>
      <c r="C81" s="3" t="s">
        <v>1020</v>
      </c>
      <c r="D81" s="3" t="b">
        <v>1</v>
      </c>
      <c r="E81" s="3" t="b">
        <v>1</v>
      </c>
      <c r="F81" s="3">
        <f>IF(OR(Z81=TRUE,SUMIFS('Cashflow Projection'!$E$117:$E$149,'Cashflow Projection'!$D$117:$D$149,Sales!C81)=1),0,SUMIFS('Cashflow Projection'!$C$7:$C$23,'Cashflow Projection'!$B$7:$B$23,Sales!B81,'Cashflow Projection'!$A$7:$A$23,Sales!A81))</f>
        <v>0</v>
      </c>
      <c r="G81" s="4">
        <v>44657</v>
      </c>
      <c r="H81" s="4">
        <v>45688</v>
      </c>
      <c r="I81" s="3">
        <v>1424900</v>
      </c>
      <c r="J81" s="3">
        <v>185856.5217391304</v>
      </c>
      <c r="K81" s="3">
        <v>1239043.4782608701</v>
      </c>
      <c r="L81" s="3">
        <v>18502.080000000002</v>
      </c>
      <c r="M81" s="3">
        <v>1789</v>
      </c>
      <c r="N81" s="3">
        <v>7124.5</v>
      </c>
      <c r="O81" s="3">
        <v>71245</v>
      </c>
      <c r="P81" s="3">
        <v>19224.37</v>
      </c>
      <c r="Q81" s="3">
        <v>1307015.05</v>
      </c>
      <c r="R81" s="9">
        <f>IF($F81=1,((SUMIFS(Investors!$M:$M,Investors!$E:$E,Sales!$C81,Investors!$O:$O,FALSE)+SUMIFS(Investors!$S:$S,Investors!$E:$E,Sales!$C81,Investors!$O:$O,FALSE))*$F81)-SUMIFS('Investor Exit List'!$Q:$Q,'Investor Exit List'!$Y:$Y,1,'Investor Exit List'!$Z:$Z,"Release",'Investor Exit List'!$C:$C,Sales!$C81),(SUMIFS(Investors!$M:$M,Investors!$E:$E,Sales!$C81,Investors!$O:$O,FALSE)+SUMIFS(Investors!$S:$S,Investors!$E:$E,Sales!$C81,Investors!$O:$O,FALSE))*$F81)</f>
        <v>0</v>
      </c>
      <c r="S81" s="9">
        <f t="shared" si="4"/>
        <v>1307015.05</v>
      </c>
      <c r="T81" s="3" t="b">
        <v>0</v>
      </c>
      <c r="U81" s="4">
        <v>45747</v>
      </c>
      <c r="V81" s="9">
        <v>87788.918976301327</v>
      </c>
      <c r="W81" s="10">
        <f>IF(SUMIFS('Cashflow Projection'!$E$117:$E$149,'Cashflow Projection'!$D$117:$D$149,Sales!C81)=1,SUMIFS('Cashflow Projection'!$C$117:$C$149,'Cashflow Projection'!$D$117:$D$149,Sales!C81),+Sales!H81)</f>
        <v>45688</v>
      </c>
      <c r="X81" s="10">
        <f t="shared" si="5"/>
        <v>45747</v>
      </c>
      <c r="Y81" s="10">
        <f t="shared" si="6"/>
        <v>45777</v>
      </c>
      <c r="Z81" t="b">
        <v>0</v>
      </c>
    </row>
    <row r="82" spans="1:26" x14ac:dyDescent="0.2">
      <c r="A82" s="3" t="s">
        <v>24</v>
      </c>
      <c r="B82" s="3" t="s">
        <v>26</v>
      </c>
      <c r="C82" s="3" t="s">
        <v>88</v>
      </c>
      <c r="D82" s="3" t="b">
        <v>1</v>
      </c>
      <c r="E82" s="3" t="b">
        <v>1</v>
      </c>
      <c r="F82" s="3">
        <f>IF(OR(Z82=TRUE,SUMIFS('Cashflow Projection'!$E$117:$E$149,'Cashflow Projection'!$D$117:$D$149,Sales!C82)=1),0,SUMIFS('Cashflow Projection'!$C$7:$C$23,'Cashflow Projection'!$B$7:$B$23,Sales!B82,'Cashflow Projection'!$A$7:$A$23,Sales!A82))</f>
        <v>0</v>
      </c>
      <c r="G82" s="4">
        <v>44943</v>
      </c>
      <c r="H82" s="4">
        <v>45688</v>
      </c>
      <c r="I82" s="3">
        <v>1279900</v>
      </c>
      <c r="J82" s="3">
        <v>166943.4782608696</v>
      </c>
      <c r="K82" s="3">
        <v>1112956.5217391311</v>
      </c>
      <c r="L82" s="3">
        <v>18502.080000000002</v>
      </c>
      <c r="M82" s="3">
        <v>1789</v>
      </c>
      <c r="N82" s="3">
        <v>6399.5</v>
      </c>
      <c r="O82" s="3">
        <v>63995</v>
      </c>
      <c r="P82" s="3">
        <v>19224.37</v>
      </c>
      <c r="Q82" s="3">
        <v>1169990.05</v>
      </c>
      <c r="R82" s="9">
        <f>IF($F82=1,((SUMIFS(Investors!$M:$M,Investors!$E:$E,Sales!$C82,Investors!$O:$O,FALSE)+SUMIFS(Investors!$S:$S,Investors!$E:$E,Sales!$C82,Investors!$O:$O,FALSE))*$F82)-SUMIFS('Investor Exit List'!$Q:$Q,'Investor Exit List'!$Y:$Y,1,'Investor Exit List'!$Z:$Z,"Release",'Investor Exit List'!$C:$C,Sales!$C82),(SUMIFS(Investors!$M:$M,Investors!$E:$E,Sales!$C82,Investors!$O:$O,FALSE)+SUMIFS(Investors!$S:$S,Investors!$E:$E,Sales!$C82,Investors!$O:$O,FALSE))*$F82)</f>
        <v>0</v>
      </c>
      <c r="S82" s="9">
        <f t="shared" si="4"/>
        <v>1169990.05</v>
      </c>
      <c r="T82" s="3" t="b">
        <v>0</v>
      </c>
      <c r="U82" s="4">
        <v>45747</v>
      </c>
      <c r="V82" s="9">
        <v>-40329.658985342598</v>
      </c>
      <c r="W82" s="10">
        <f>IF(SUMIFS('Cashflow Projection'!$E$117:$E$149,'Cashflow Projection'!$D$117:$D$149,Sales!C82)=1,SUMIFS('Cashflow Projection'!$C$117:$C$149,'Cashflow Projection'!$D$117:$D$149,Sales!C82),+Sales!H82)</f>
        <v>45688</v>
      </c>
      <c r="X82" s="10">
        <f t="shared" si="5"/>
        <v>45747</v>
      </c>
      <c r="Y82" s="10">
        <f t="shared" si="6"/>
        <v>45777</v>
      </c>
      <c r="Z82" t="b">
        <v>0</v>
      </c>
    </row>
    <row r="83" spans="1:26" x14ac:dyDescent="0.2">
      <c r="A83" s="3" t="s">
        <v>24</v>
      </c>
      <c r="B83" s="3" t="s">
        <v>209</v>
      </c>
      <c r="C83" s="3" t="s">
        <v>335</v>
      </c>
      <c r="D83" s="3" t="b">
        <v>1</v>
      </c>
      <c r="E83" s="3" t="b">
        <v>1</v>
      </c>
      <c r="F83" s="3">
        <f>IF(OR(Z83=TRUE,SUMIFS('Cashflow Projection'!$E$117:$E$149,'Cashflow Projection'!$D$117:$D$149,Sales!C83)=1),0,SUMIFS('Cashflow Projection'!$C$7:$C$23,'Cashflow Projection'!$B$7:$B$23,Sales!B83,'Cashflow Projection'!$A$7:$A$23,Sales!A83))</f>
        <v>1</v>
      </c>
      <c r="G83" s="4">
        <v>45128</v>
      </c>
      <c r="H83" s="4">
        <v>45688</v>
      </c>
      <c r="I83" s="3">
        <v>1439900</v>
      </c>
      <c r="J83" s="3">
        <v>187813.04347826089</v>
      </c>
      <c r="K83" s="3">
        <v>1252086.956521739</v>
      </c>
      <c r="L83" s="3">
        <v>18502.080000000002</v>
      </c>
      <c r="M83" s="3">
        <v>1789</v>
      </c>
      <c r="N83" s="3">
        <v>7199.5</v>
      </c>
      <c r="O83" s="3">
        <v>71995</v>
      </c>
      <c r="P83" s="3">
        <v>19224.37</v>
      </c>
      <c r="Q83" s="3">
        <v>1321190.05</v>
      </c>
      <c r="R83" s="9">
        <f>IF($F83=1,((SUMIFS(Investors!$M:$M,Investors!$E:$E,Sales!$C83,Investors!$O:$O,FALSE)+SUMIFS(Investors!$S:$S,Investors!$E:$E,Sales!$C83,Investors!$O:$O,FALSE))*$F83)-SUMIFS('Investor Exit List'!$Q:$Q,'Investor Exit List'!$Y:$Y,1,'Investor Exit List'!$Z:$Z,"Release",'Investor Exit List'!$C:$C,Sales!$C83),(SUMIFS(Investors!$M:$M,Investors!$E:$E,Sales!$C83,Investors!$O:$O,FALSE)+SUMIFS(Investors!$S:$S,Investors!$E:$E,Sales!$C83,Investors!$O:$O,FALSE))*$F83)</f>
        <v>1277116.4383561644</v>
      </c>
      <c r="S83" s="9">
        <f t="shared" si="4"/>
        <v>44073.611643835669</v>
      </c>
      <c r="T83" s="3" t="b">
        <v>0</v>
      </c>
      <c r="U83" s="4">
        <v>45747</v>
      </c>
      <c r="V83" s="9">
        <v>44073.611643835437</v>
      </c>
      <c r="W83" s="10">
        <f>IF(SUMIFS('Cashflow Projection'!$E$117:$E$149,'Cashflow Projection'!$D$117:$D$149,Sales!C83)=1,SUMIFS('Cashflow Projection'!$C$117:$C$149,'Cashflow Projection'!$D$117:$D$149,Sales!C83),+Sales!H83)</f>
        <v>45688</v>
      </c>
      <c r="X83" s="10">
        <f t="shared" si="5"/>
        <v>45747</v>
      </c>
      <c r="Y83" s="10">
        <f t="shared" si="6"/>
        <v>45777</v>
      </c>
      <c r="Z83" t="b">
        <v>0</v>
      </c>
    </row>
    <row r="84" spans="1:26" x14ac:dyDescent="0.2">
      <c r="A84" s="3" t="s">
        <v>24</v>
      </c>
      <c r="B84" s="3" t="s">
        <v>209</v>
      </c>
      <c r="C84" s="3" t="s">
        <v>385</v>
      </c>
      <c r="D84" s="3" t="b">
        <v>1</v>
      </c>
      <c r="E84" s="3" t="b">
        <v>1</v>
      </c>
      <c r="F84" s="3">
        <f>IF(OR(Z84=TRUE,SUMIFS('Cashflow Projection'!$E$117:$E$149,'Cashflow Projection'!$D$117:$D$149,Sales!C84)=1),0,SUMIFS('Cashflow Projection'!$C$7:$C$23,'Cashflow Projection'!$B$7:$B$23,Sales!B84,'Cashflow Projection'!$A$7:$A$23,Sales!A84))</f>
        <v>1</v>
      </c>
      <c r="G84" s="4">
        <v>45051</v>
      </c>
      <c r="H84" s="4">
        <v>45688</v>
      </c>
      <c r="I84" s="3">
        <v>1399900</v>
      </c>
      <c r="J84" s="3">
        <v>182595.65217391311</v>
      </c>
      <c r="K84" s="3">
        <v>1217304.3478260869</v>
      </c>
      <c r="L84" s="3">
        <v>18502.080000000002</v>
      </c>
      <c r="M84" s="3">
        <v>1789</v>
      </c>
      <c r="N84" s="3">
        <v>6999.5</v>
      </c>
      <c r="O84" s="3">
        <v>69995</v>
      </c>
      <c r="P84" s="3">
        <v>19224.37</v>
      </c>
      <c r="Q84" s="3">
        <v>1283390.05</v>
      </c>
      <c r="R84" s="9">
        <f>IF($F84=1,((SUMIFS(Investors!$M:$M,Investors!$E:$E,Sales!$C84,Investors!$O:$O,FALSE)+SUMIFS(Investors!$S:$S,Investors!$E:$E,Sales!$C84,Investors!$O:$O,FALSE))*$F84)-SUMIFS('Investor Exit List'!$Q:$Q,'Investor Exit List'!$Y:$Y,1,'Investor Exit List'!$Z:$Z,"Release",'Investor Exit List'!$C:$C,Sales!$C84),(SUMIFS(Investors!$M:$M,Investors!$E:$E,Sales!$C84,Investors!$O:$O,FALSE)+SUMIFS(Investors!$S:$S,Investors!$E:$E,Sales!$C84,Investors!$O:$O,FALSE))*$F84)</f>
        <v>1232792.1608219177</v>
      </c>
      <c r="S84" s="9">
        <f t="shared" si="4"/>
        <v>50597.889178082347</v>
      </c>
      <c r="T84" s="3" t="b">
        <v>0</v>
      </c>
      <c r="U84" s="4">
        <v>45747</v>
      </c>
      <c r="V84" s="9">
        <v>50597.889178081881</v>
      </c>
      <c r="W84" s="10">
        <f>IF(SUMIFS('Cashflow Projection'!$E$117:$E$149,'Cashflow Projection'!$D$117:$D$149,Sales!C84)=1,SUMIFS('Cashflow Projection'!$C$117:$C$149,'Cashflow Projection'!$D$117:$D$149,Sales!C84),+Sales!H84)</f>
        <v>45688</v>
      </c>
      <c r="X84" s="10">
        <f t="shared" si="5"/>
        <v>45747</v>
      </c>
      <c r="Y84" s="10">
        <f t="shared" si="6"/>
        <v>45777</v>
      </c>
      <c r="Z84" t="b">
        <v>0</v>
      </c>
    </row>
    <row r="85" spans="1:26" x14ac:dyDescent="0.2">
      <c r="A85" s="3" t="s">
        <v>24</v>
      </c>
      <c r="B85" s="3" t="s">
        <v>209</v>
      </c>
      <c r="C85" s="3" t="s">
        <v>380</v>
      </c>
      <c r="D85" s="3" t="b">
        <v>1</v>
      </c>
      <c r="E85" s="3" t="b">
        <v>1</v>
      </c>
      <c r="F85" s="3">
        <f>IF(OR(Z85=TRUE,SUMIFS('Cashflow Projection'!$E$117:$E$149,'Cashflow Projection'!$D$117:$D$149,Sales!C85)=1),0,SUMIFS('Cashflow Projection'!$C$7:$C$23,'Cashflow Projection'!$B$7:$B$23,Sales!B85,'Cashflow Projection'!$A$7:$A$23,Sales!A85))</f>
        <v>1</v>
      </c>
      <c r="G85" s="4">
        <v>45035</v>
      </c>
      <c r="H85" s="4">
        <v>45688</v>
      </c>
      <c r="I85" s="3">
        <v>1459900</v>
      </c>
      <c r="J85" s="3">
        <v>190421.73913043481</v>
      </c>
      <c r="K85" s="3">
        <v>1269478.260869565</v>
      </c>
      <c r="L85" s="3">
        <v>18502.080000000002</v>
      </c>
      <c r="M85" s="3">
        <v>1789</v>
      </c>
      <c r="N85" s="3">
        <v>7299.5</v>
      </c>
      <c r="O85" s="3">
        <v>72995</v>
      </c>
      <c r="P85" s="3">
        <v>19224.37</v>
      </c>
      <c r="Q85" s="3">
        <v>1340090.05</v>
      </c>
      <c r="R85" s="9">
        <f>IF($F85=1,((SUMIFS(Investors!$M:$M,Investors!$E:$E,Sales!$C85,Investors!$O:$O,FALSE)+SUMIFS(Investors!$S:$S,Investors!$E:$E,Sales!$C85,Investors!$O:$O,FALSE))*$F85)-SUMIFS('Investor Exit List'!$Q:$Q,'Investor Exit List'!$Y:$Y,1,'Investor Exit List'!$Z:$Z,"Release",'Investor Exit List'!$C:$C,Sales!$C85),(SUMIFS(Investors!$M:$M,Investors!$E:$E,Sales!$C85,Investors!$O:$O,FALSE)+SUMIFS(Investors!$S:$S,Investors!$E:$E,Sales!$C85,Investors!$O:$O,FALSE))*$F85)</f>
        <v>738484.24657534249</v>
      </c>
      <c r="S85" s="9">
        <f t="shared" si="4"/>
        <v>601605.80342465756</v>
      </c>
      <c r="T85" s="3" t="b">
        <v>0</v>
      </c>
      <c r="U85" s="4">
        <v>45747</v>
      </c>
      <c r="V85" s="9">
        <v>601605.80342465732</v>
      </c>
      <c r="W85" s="10">
        <f>IF(SUMIFS('Cashflow Projection'!$E$117:$E$149,'Cashflow Projection'!$D$117:$D$149,Sales!C85)=1,SUMIFS('Cashflow Projection'!$C$117:$C$149,'Cashflow Projection'!$D$117:$D$149,Sales!C85),+Sales!H85)</f>
        <v>45688</v>
      </c>
      <c r="X85" s="10">
        <f t="shared" si="5"/>
        <v>45747</v>
      </c>
      <c r="Y85" s="10">
        <f t="shared" si="6"/>
        <v>45777</v>
      </c>
      <c r="Z85" t="b">
        <v>0</v>
      </c>
    </row>
    <row r="86" spans="1:26" x14ac:dyDescent="0.2">
      <c r="A86" s="3" t="s">
        <v>386</v>
      </c>
      <c r="B86" s="3" t="s">
        <v>497</v>
      </c>
      <c r="C86" s="3" t="s">
        <v>496</v>
      </c>
      <c r="D86" s="3" t="b">
        <v>1</v>
      </c>
      <c r="E86" s="3" t="b">
        <v>1</v>
      </c>
      <c r="F86" s="3">
        <f>IF(OR(Z86=TRUE,SUMIFS('Cashflow Projection'!$E$117:$E$149,'Cashflow Projection'!$D$117:$D$149,Sales!C86)=1),0,SUMIFS('Cashflow Projection'!$C$7:$C$23,'Cashflow Projection'!$B$7:$B$23,Sales!B86,'Cashflow Projection'!$A$7:$A$23,Sales!A86))</f>
        <v>1</v>
      </c>
      <c r="G86" s="4">
        <v>45308</v>
      </c>
      <c r="H86" s="4">
        <v>45688</v>
      </c>
      <c r="I86" s="3">
        <v>1699900</v>
      </c>
      <c r="J86" s="3">
        <v>221726.0869565217</v>
      </c>
      <c r="K86" s="3">
        <v>1478173.913043478</v>
      </c>
      <c r="L86" s="3">
        <v>18502.080000000002</v>
      </c>
      <c r="M86" s="3">
        <v>1789</v>
      </c>
      <c r="N86" s="3">
        <v>8499.5</v>
      </c>
      <c r="O86" s="3">
        <v>84995</v>
      </c>
      <c r="P86" s="3">
        <v>19224.37</v>
      </c>
      <c r="Q86" s="3">
        <v>1566890.05</v>
      </c>
      <c r="R86" s="9">
        <f>IF($F86=1,((SUMIFS(Investors!$M:$M,Investors!$E:$E,Sales!$C86,Investors!$O:$O,FALSE)+SUMIFS(Investors!$S:$S,Investors!$E:$E,Sales!$C86,Investors!$O:$O,FALSE))*$F86)-SUMIFS('Investor Exit List'!$Q:$Q,'Investor Exit List'!$Y:$Y,1,'Investor Exit List'!$Z:$Z,"Release",'Investor Exit List'!$C:$C,Sales!$C86),(SUMIFS(Investors!$M:$M,Investors!$E:$E,Sales!$C86,Investors!$O:$O,FALSE)+SUMIFS(Investors!$S:$S,Investors!$E:$E,Sales!$C86,Investors!$O:$O,FALSE))*$F86)</f>
        <v>253123.28767123289</v>
      </c>
      <c r="S86" s="9">
        <f t="shared" si="4"/>
        <v>1313766.7623287672</v>
      </c>
      <c r="T86" s="3" t="b">
        <v>0</v>
      </c>
      <c r="U86" s="4">
        <v>45747</v>
      </c>
      <c r="V86" s="9">
        <v>264034.97227794508</v>
      </c>
      <c r="W86" s="10">
        <f>IF(SUMIFS('Cashflow Projection'!$E$117:$E$149,'Cashflow Projection'!$D$117:$D$149,Sales!C86)=1,SUMIFS('Cashflow Projection'!$C$117:$C$149,'Cashflow Projection'!$D$117:$D$149,Sales!C86),+Sales!H86)</f>
        <v>45688</v>
      </c>
      <c r="X86" s="10">
        <f t="shared" si="5"/>
        <v>45747</v>
      </c>
      <c r="Y86" s="10">
        <f t="shared" si="6"/>
        <v>45777</v>
      </c>
      <c r="Z86" t="b">
        <v>0</v>
      </c>
    </row>
    <row r="87" spans="1:26" x14ac:dyDescent="0.2">
      <c r="A87" s="3" t="s">
        <v>386</v>
      </c>
      <c r="B87" s="3" t="s">
        <v>497</v>
      </c>
      <c r="C87" s="3" t="s">
        <v>558</v>
      </c>
      <c r="D87" s="3" t="b">
        <v>0</v>
      </c>
      <c r="E87" s="3" t="b">
        <v>0</v>
      </c>
      <c r="F87" s="3">
        <f>IF(OR(Z87=TRUE,SUMIFS('Cashflow Projection'!$E$117:$E$149,'Cashflow Projection'!$D$117:$D$149,Sales!C87)=1),0,SUMIFS('Cashflow Projection'!$C$7:$C$23,'Cashflow Projection'!$B$7:$B$23,Sales!B87,'Cashflow Projection'!$A$7:$A$23,Sales!A87))</f>
        <v>1</v>
      </c>
      <c r="G87" s="4">
        <v>45407</v>
      </c>
      <c r="H87" s="4">
        <v>45646</v>
      </c>
      <c r="I87" s="3">
        <v>1539900</v>
      </c>
      <c r="J87" s="3">
        <v>200856.5217391304</v>
      </c>
      <c r="K87" s="3">
        <v>1339043.4782608701</v>
      </c>
      <c r="L87" s="3">
        <v>18502.080000000002</v>
      </c>
      <c r="M87" s="3">
        <v>1789</v>
      </c>
      <c r="N87" s="3">
        <v>7699.5</v>
      </c>
      <c r="O87" s="3">
        <v>76995</v>
      </c>
      <c r="P87" s="3">
        <v>19224.37</v>
      </c>
      <c r="Q87" s="3">
        <v>1415690.05</v>
      </c>
      <c r="R87" s="9">
        <f>IF($F87=1,((SUMIFS(Investors!$M:$M,Investors!$E:$E,Sales!$C87,Investors!$O:$O,FALSE)+SUMIFS(Investors!$S:$S,Investors!$E:$E,Sales!$C87,Investors!$O:$O,FALSE))*$F87)-SUMIFS('Investor Exit List'!$Q:$Q,'Investor Exit List'!$Y:$Y,1,'Investor Exit List'!$Z:$Z,"Release",'Investor Exit List'!$C:$C,Sales!$C87),(SUMIFS(Investors!$M:$M,Investors!$E:$E,Sales!$C87,Investors!$O:$O,FALSE)+SUMIFS(Investors!$S:$S,Investors!$E:$E,Sales!$C87,Investors!$O:$O,FALSE))*$F87)</f>
        <v>797019.7517890411</v>
      </c>
      <c r="S87" s="9">
        <f t="shared" si="4"/>
        <v>618670.29821095895</v>
      </c>
      <c r="T87" s="3" t="b">
        <v>0</v>
      </c>
      <c r="U87" s="4">
        <v>45688</v>
      </c>
      <c r="V87" s="9">
        <v>73386.093003287446</v>
      </c>
      <c r="W87" s="10">
        <f>IF(SUMIFS('Cashflow Projection'!$E$117:$E$149,'Cashflow Projection'!$D$117:$D$149,Sales!C87)=1,SUMIFS('Cashflow Projection'!$C$117:$C$149,'Cashflow Projection'!$D$117:$D$149,Sales!C87),+Sales!H87)</f>
        <v>45646</v>
      </c>
      <c r="X87" s="10">
        <f t="shared" si="5"/>
        <v>45688</v>
      </c>
      <c r="Y87" s="10">
        <f t="shared" si="6"/>
        <v>45716</v>
      </c>
      <c r="Z87" t="b">
        <v>0</v>
      </c>
    </row>
    <row r="88" spans="1:26" x14ac:dyDescent="0.2">
      <c r="A88" s="3" t="s">
        <v>386</v>
      </c>
      <c r="B88" s="3" t="s">
        <v>497</v>
      </c>
      <c r="C88" s="3" t="s">
        <v>532</v>
      </c>
      <c r="D88" s="3" t="b">
        <v>1</v>
      </c>
      <c r="E88" s="3" t="b">
        <v>0</v>
      </c>
      <c r="F88" s="3">
        <f>IF(OR(Z88=TRUE,SUMIFS('Cashflow Projection'!$E$117:$E$149,'Cashflow Projection'!$D$117:$D$149,Sales!C88)=1),0,SUMIFS('Cashflow Projection'!$C$7:$C$23,'Cashflow Projection'!$B$7:$B$23,Sales!B88,'Cashflow Projection'!$A$7:$A$23,Sales!A88))</f>
        <v>1</v>
      </c>
      <c r="G88" s="4">
        <v>45415</v>
      </c>
      <c r="H88" s="4">
        <v>45471</v>
      </c>
      <c r="I88" s="3">
        <v>1519900</v>
      </c>
      <c r="J88" s="3">
        <v>198247.82608695651</v>
      </c>
      <c r="K88" s="3">
        <v>1321652.1739130439</v>
      </c>
      <c r="L88" s="3">
        <v>18502.080000000002</v>
      </c>
      <c r="M88" s="3">
        <v>1789</v>
      </c>
      <c r="N88" s="3">
        <v>7599.5</v>
      </c>
      <c r="O88" s="3">
        <v>75995</v>
      </c>
      <c r="P88" s="3">
        <v>19224.37</v>
      </c>
      <c r="Q88" s="3">
        <v>1396790.05</v>
      </c>
      <c r="R88" s="9">
        <f>IF($F88=1,((SUMIFS(Investors!$M:$M,Investors!$E:$E,Sales!$C88,Investors!$O:$O,FALSE)+SUMIFS(Investors!$S:$S,Investors!$E:$E,Sales!$C88,Investors!$O:$O,FALSE))*$F88)-SUMIFS('Investor Exit List'!$Q:$Q,'Investor Exit List'!$Y:$Y,1,'Investor Exit List'!$Z:$Z,"Release",'Investor Exit List'!$C:$C,Sales!$C88),(SUMIFS(Investors!$M:$M,Investors!$E:$E,Sales!$C88,Investors!$O:$O,FALSE)+SUMIFS(Investors!$S:$S,Investors!$E:$E,Sales!$C88,Investors!$O:$O,FALSE))*$F88)</f>
        <v>1152772.248628767</v>
      </c>
      <c r="S88" s="9">
        <f t="shared" si="4"/>
        <v>244017.80137123307</v>
      </c>
      <c r="T88" s="3" t="b">
        <v>0</v>
      </c>
      <c r="U88" s="4">
        <v>45504</v>
      </c>
      <c r="V88" s="9">
        <v>101802.850768219</v>
      </c>
      <c r="W88" s="10">
        <f>IF(SUMIFS('Cashflow Projection'!$E$117:$E$149,'Cashflow Projection'!$D$117:$D$149,Sales!C88)=1,SUMIFS('Cashflow Projection'!$C$117:$C$149,'Cashflow Projection'!$D$117:$D$149,Sales!C88),+Sales!H88)</f>
        <v>45471</v>
      </c>
      <c r="X88" s="10">
        <f t="shared" si="5"/>
        <v>45504</v>
      </c>
      <c r="Y88" s="10">
        <f t="shared" si="6"/>
        <v>45535</v>
      </c>
      <c r="Z88" t="b">
        <v>0</v>
      </c>
    </row>
    <row r="89" spans="1:26" x14ac:dyDescent="0.2">
      <c r="A89" s="3" t="s">
        <v>386</v>
      </c>
      <c r="B89" s="3" t="s">
        <v>822</v>
      </c>
      <c r="C89" s="3" t="s">
        <v>843</v>
      </c>
      <c r="D89" s="3" t="b">
        <v>1</v>
      </c>
      <c r="E89" s="3" t="b">
        <v>1</v>
      </c>
      <c r="F89" s="3">
        <f>IF(OR(Z89=TRUE,SUMIFS('Cashflow Projection'!$E$117:$E$149,'Cashflow Projection'!$D$117:$D$149,Sales!C89)=1),0,SUMIFS('Cashflow Projection'!$C$7:$C$23,'Cashflow Projection'!$B$7:$B$23,Sales!B89,'Cashflow Projection'!$A$7:$A$23,Sales!A89))</f>
        <v>1</v>
      </c>
      <c r="G89" s="4">
        <v>45314</v>
      </c>
      <c r="H89" s="4">
        <v>45688</v>
      </c>
      <c r="I89" s="3">
        <v>1479900</v>
      </c>
      <c r="J89" s="3">
        <v>193030.4347826087</v>
      </c>
      <c r="K89" s="3">
        <v>1286869.5652173909</v>
      </c>
      <c r="L89" s="3">
        <v>18502.080000000002</v>
      </c>
      <c r="M89" s="3">
        <v>1789</v>
      </c>
      <c r="N89" s="3">
        <v>7399.5</v>
      </c>
      <c r="O89" s="3">
        <v>73995</v>
      </c>
      <c r="P89" s="3">
        <v>19224.37</v>
      </c>
      <c r="Q89" s="3">
        <v>1358990.05</v>
      </c>
      <c r="R89" s="9">
        <f>IF($F89=1,((SUMIFS(Investors!$M:$M,Investors!$E:$E,Sales!$C89,Investors!$O:$O,FALSE)+SUMIFS(Investors!$S:$S,Investors!$E:$E,Sales!$C89,Investors!$O:$O,FALSE))*$F89)-SUMIFS('Investor Exit List'!$Q:$Q,'Investor Exit List'!$Y:$Y,1,'Investor Exit List'!$Z:$Z,"Release",'Investor Exit List'!$C:$C,Sales!$C89),(SUMIFS(Investors!$M:$M,Investors!$E:$E,Sales!$C89,Investors!$O:$O,FALSE)+SUMIFS(Investors!$S:$S,Investors!$E:$E,Sales!$C89,Investors!$O:$O,FALSE))*$F89)</f>
        <v>1280767.1232876712</v>
      </c>
      <c r="S89" s="9">
        <f t="shared" si="4"/>
        <v>78222.926712328801</v>
      </c>
      <c r="T89" s="3" t="b">
        <v>0</v>
      </c>
      <c r="U89" s="4">
        <v>45747</v>
      </c>
      <c r="V89" s="9">
        <v>78222.926712328568</v>
      </c>
      <c r="W89" s="10">
        <f>IF(SUMIFS('Cashflow Projection'!$E$117:$E$149,'Cashflow Projection'!$D$117:$D$149,Sales!C89)=1,SUMIFS('Cashflow Projection'!$C$117:$C$149,'Cashflow Projection'!$D$117:$D$149,Sales!C89),+Sales!H89)</f>
        <v>45688</v>
      </c>
      <c r="X89" s="10">
        <f t="shared" si="5"/>
        <v>45747</v>
      </c>
      <c r="Y89" s="10">
        <f t="shared" si="6"/>
        <v>45777</v>
      </c>
      <c r="Z89" t="b">
        <v>0</v>
      </c>
    </row>
    <row r="90" spans="1:26" x14ac:dyDescent="0.2">
      <c r="A90" s="3" t="s">
        <v>386</v>
      </c>
      <c r="B90" s="3" t="s">
        <v>684</v>
      </c>
      <c r="C90" s="3" t="s">
        <v>703</v>
      </c>
      <c r="D90" s="3" t="b">
        <v>0</v>
      </c>
      <c r="E90" s="3" t="b">
        <v>0</v>
      </c>
      <c r="F90" s="3">
        <f>IF(OR(Z90=TRUE,SUMIFS('Cashflow Projection'!$E$117:$E$149,'Cashflow Projection'!$D$117:$D$149,Sales!C90)=1),0,SUMIFS('Cashflow Projection'!$C$7:$C$23,'Cashflow Projection'!$B$7:$B$23,Sales!B90,'Cashflow Projection'!$A$7:$A$23,Sales!A90))</f>
        <v>0</v>
      </c>
      <c r="G90" s="4">
        <v>45491</v>
      </c>
      <c r="H90" s="4">
        <v>45596</v>
      </c>
      <c r="I90" s="3">
        <v>1549900</v>
      </c>
      <c r="J90" s="3">
        <v>202160.86956521741</v>
      </c>
      <c r="K90" s="3">
        <v>1347739.1304347829</v>
      </c>
      <c r="L90" s="3">
        <v>18502.080000000002</v>
      </c>
      <c r="M90" s="3">
        <v>1789</v>
      </c>
      <c r="N90" s="3">
        <v>7749.5</v>
      </c>
      <c r="O90" s="3">
        <v>77495</v>
      </c>
      <c r="P90" s="3">
        <v>19224.37</v>
      </c>
      <c r="Q90" s="3">
        <v>1425140.05</v>
      </c>
      <c r="R90" s="9">
        <f>IF($F90=1,((SUMIFS(Investors!$M:$M,Investors!$E:$E,Sales!$C90,Investors!$O:$O,FALSE)+SUMIFS(Investors!$S:$S,Investors!$E:$E,Sales!$C90,Investors!$O:$O,FALSE))*$F90)-SUMIFS('Investor Exit List'!$Q:$Q,'Investor Exit List'!$Y:$Y,1,'Investor Exit List'!$Z:$Z,"Release",'Investor Exit List'!$C:$C,Sales!$C90),(SUMIFS(Investors!$M:$M,Investors!$E:$E,Sales!$C90,Investors!$O:$O,FALSE)+SUMIFS(Investors!$S:$S,Investors!$E:$E,Sales!$C90,Investors!$O:$O,FALSE))*$F90)</f>
        <v>0</v>
      </c>
      <c r="S90" s="9">
        <f t="shared" si="4"/>
        <v>1425140.05</v>
      </c>
      <c r="T90" s="3" t="b">
        <v>0</v>
      </c>
      <c r="U90" s="4">
        <v>45626</v>
      </c>
      <c r="V90" s="9">
        <v>157600.3239726024</v>
      </c>
      <c r="W90" s="10">
        <f>IF(SUMIFS('Cashflow Projection'!$E$117:$E$149,'Cashflow Projection'!$D$117:$D$149,Sales!C90)=1,SUMIFS('Cashflow Projection'!$C$117:$C$149,'Cashflow Projection'!$D$117:$D$149,Sales!C90),+Sales!H90)</f>
        <v>45596</v>
      </c>
      <c r="X90" s="10">
        <f t="shared" si="5"/>
        <v>45626</v>
      </c>
      <c r="Y90" s="10">
        <f t="shared" si="6"/>
        <v>45657</v>
      </c>
      <c r="Z90" t="b">
        <v>0</v>
      </c>
    </row>
    <row r="91" spans="1:26" x14ac:dyDescent="0.2">
      <c r="A91" s="3" t="s">
        <v>386</v>
      </c>
      <c r="B91" s="3" t="s">
        <v>891</v>
      </c>
      <c r="C91" s="3" t="s">
        <v>892</v>
      </c>
      <c r="D91" s="3" t="b">
        <v>1</v>
      </c>
      <c r="E91" s="3" t="b">
        <v>1</v>
      </c>
      <c r="F91" s="3">
        <f>IF(OR(Z91=TRUE,SUMIFS('Cashflow Projection'!$E$117:$E$149,'Cashflow Projection'!$D$117:$D$149,Sales!C91)=1),0,SUMIFS('Cashflow Projection'!$C$7:$C$23,'Cashflow Projection'!$B$7:$B$23,Sales!B91,'Cashflow Projection'!$A$7:$A$23,Sales!A91))</f>
        <v>1</v>
      </c>
      <c r="G91" s="4">
        <v>45177</v>
      </c>
      <c r="H91" s="4">
        <v>45688</v>
      </c>
      <c r="I91" s="3">
        <v>1799900</v>
      </c>
      <c r="J91" s="3">
        <v>234769.5652173913</v>
      </c>
      <c r="K91" s="3">
        <v>1565130.4347826091</v>
      </c>
      <c r="L91" s="3">
        <v>18502.080000000002</v>
      </c>
      <c r="M91" s="3">
        <v>1789</v>
      </c>
      <c r="N91" s="3">
        <v>8999.5</v>
      </c>
      <c r="O91" s="3">
        <v>89995</v>
      </c>
      <c r="P91" s="3">
        <v>19224.37</v>
      </c>
      <c r="Q91" s="3">
        <v>1661390.05</v>
      </c>
      <c r="R91" s="9">
        <f>IF($F91=1,((SUMIFS(Investors!$M:$M,Investors!$E:$E,Sales!$C91,Investors!$O:$O,FALSE)+SUMIFS(Investors!$S:$S,Investors!$E:$E,Sales!$C91,Investors!$O:$O,FALSE))*$F91)-SUMIFS('Investor Exit List'!$Q:$Q,'Investor Exit List'!$Y:$Y,1,'Investor Exit List'!$Z:$Z,"Release",'Investor Exit List'!$C:$C,Sales!$C91),(SUMIFS(Investors!$M:$M,Investors!$E:$E,Sales!$C91,Investors!$O:$O,FALSE)+SUMIFS(Investors!$S:$S,Investors!$E:$E,Sales!$C91,Investors!$O:$O,FALSE))*$F91)</f>
        <v>1294539.0410958903</v>
      </c>
      <c r="S91" s="9">
        <f t="shared" si="4"/>
        <v>366851.00890410971</v>
      </c>
      <c r="T91" s="3" t="b">
        <v>0</v>
      </c>
      <c r="U91" s="4">
        <v>45747</v>
      </c>
      <c r="V91" s="9">
        <v>366851.00890410919</v>
      </c>
      <c r="W91" s="10">
        <f>IF(SUMIFS('Cashflow Projection'!$E$117:$E$149,'Cashflow Projection'!$D$117:$D$149,Sales!C91)=1,SUMIFS('Cashflow Projection'!$C$117:$C$149,'Cashflow Projection'!$D$117:$D$149,Sales!C91),+Sales!H91)</f>
        <v>45688</v>
      </c>
      <c r="X91" s="10">
        <f t="shared" si="5"/>
        <v>45747</v>
      </c>
      <c r="Y91" s="10">
        <f t="shared" si="6"/>
        <v>45777</v>
      </c>
      <c r="Z91" t="b">
        <v>0</v>
      </c>
    </row>
    <row r="92" spans="1:26" x14ac:dyDescent="0.2">
      <c r="A92" s="3" t="s">
        <v>386</v>
      </c>
      <c r="B92" s="3" t="s">
        <v>750</v>
      </c>
      <c r="C92" s="3" t="s">
        <v>749</v>
      </c>
      <c r="D92" s="3" t="b">
        <v>0</v>
      </c>
      <c r="E92" s="3" t="b">
        <v>0</v>
      </c>
      <c r="F92" s="3">
        <f>IF(OR(Z92=TRUE,SUMIFS('Cashflow Projection'!$E$117:$E$149,'Cashflow Projection'!$D$117:$D$149,Sales!C92)=1),0,SUMIFS('Cashflow Projection'!$C$7:$C$23,'Cashflow Projection'!$B$7:$B$23,Sales!B92,'Cashflow Projection'!$A$7:$A$23,Sales!A92))</f>
        <v>0</v>
      </c>
      <c r="G92" s="4">
        <v>45510</v>
      </c>
      <c r="H92" s="4">
        <v>45625</v>
      </c>
      <c r="I92" s="3">
        <v>1739900</v>
      </c>
      <c r="J92" s="3">
        <v>226943.4782608696</v>
      </c>
      <c r="K92" s="3">
        <v>1512956.5217391311</v>
      </c>
      <c r="L92" s="3">
        <v>18502.080000000002</v>
      </c>
      <c r="M92" s="3">
        <v>1789</v>
      </c>
      <c r="N92" s="3">
        <v>8699.5</v>
      </c>
      <c r="O92" s="3">
        <v>86995</v>
      </c>
      <c r="P92" s="3">
        <v>19224.37</v>
      </c>
      <c r="Q92" s="3">
        <v>1604690.05</v>
      </c>
      <c r="R92" s="9">
        <f>IF($F92=1,((SUMIFS(Investors!$M:$M,Investors!$E:$E,Sales!$C92,Investors!$O:$O,FALSE)+SUMIFS(Investors!$S:$S,Investors!$E:$E,Sales!$C92,Investors!$O:$O,FALSE))*$F92)-SUMIFS('Investor Exit List'!$Q:$Q,'Investor Exit List'!$Y:$Y,1,'Investor Exit List'!$Z:$Z,"Release",'Investor Exit List'!$C:$C,Sales!$C92),(SUMIFS(Investors!$M:$M,Investors!$E:$E,Sales!$C92,Investors!$O:$O,FALSE)+SUMIFS(Investors!$S:$S,Investors!$E:$E,Sales!$C92,Investors!$O:$O,FALSE))*$F92)</f>
        <v>0</v>
      </c>
      <c r="S92" s="9">
        <f t="shared" si="4"/>
        <v>1604690.05</v>
      </c>
      <c r="T92" s="3" t="b">
        <v>0</v>
      </c>
      <c r="U92" s="4">
        <v>45688</v>
      </c>
      <c r="V92" s="9">
        <v>302096.35136986268</v>
      </c>
      <c r="W92" s="10">
        <f>IF(SUMIFS('Cashflow Projection'!$E$117:$E$149,'Cashflow Projection'!$D$117:$D$149,Sales!C92)=1,SUMIFS('Cashflow Projection'!$C$117:$C$149,'Cashflow Projection'!$D$117:$D$149,Sales!C92),+Sales!H92)</f>
        <v>45625</v>
      </c>
      <c r="X92" s="10">
        <f t="shared" si="5"/>
        <v>45688</v>
      </c>
      <c r="Y92" s="10">
        <f t="shared" si="6"/>
        <v>45716</v>
      </c>
      <c r="Z92" t="b">
        <v>0</v>
      </c>
    </row>
    <row r="93" spans="1:26" x14ac:dyDescent="0.2">
      <c r="A93" s="3" t="s">
        <v>386</v>
      </c>
      <c r="B93" s="3" t="s">
        <v>891</v>
      </c>
      <c r="C93" s="3" t="s">
        <v>898</v>
      </c>
      <c r="D93" s="3" t="b">
        <v>1</v>
      </c>
      <c r="E93" s="3" t="b">
        <v>1</v>
      </c>
      <c r="F93" s="3">
        <f>IF(OR(Z93=TRUE,SUMIFS('Cashflow Projection'!$E$117:$E$149,'Cashflow Projection'!$D$117:$D$149,Sales!C93)=1),0,SUMIFS('Cashflow Projection'!$C$7:$C$23,'Cashflow Projection'!$B$7:$B$23,Sales!B93,'Cashflow Projection'!$A$7:$A$23,Sales!A93))</f>
        <v>1</v>
      </c>
      <c r="G93" s="4">
        <v>45177</v>
      </c>
      <c r="H93" s="4">
        <v>45688</v>
      </c>
      <c r="I93" s="3">
        <v>1769900</v>
      </c>
      <c r="J93" s="3">
        <v>230856.5217391304</v>
      </c>
      <c r="K93" s="3">
        <v>1539043.4782608701</v>
      </c>
      <c r="L93" s="3">
        <v>18502.080000000002</v>
      </c>
      <c r="M93" s="3">
        <v>1789</v>
      </c>
      <c r="N93" s="3">
        <v>8849.5</v>
      </c>
      <c r="O93" s="3">
        <v>88495</v>
      </c>
      <c r="P93" s="3">
        <v>19224.37</v>
      </c>
      <c r="Q93" s="3">
        <v>1633040.05</v>
      </c>
      <c r="R93" s="9">
        <f>IF($F93=1,((SUMIFS(Investors!$M:$M,Investors!$E:$E,Sales!$C93,Investors!$O:$O,FALSE)+SUMIFS(Investors!$S:$S,Investors!$E:$E,Sales!$C93,Investors!$O:$O,FALSE))*$F93)-SUMIFS('Investor Exit List'!$Q:$Q,'Investor Exit List'!$Y:$Y,1,'Investor Exit List'!$Z:$Z,"Release",'Investor Exit List'!$C:$C,Sales!$C93),(SUMIFS(Investors!$M:$M,Investors!$E:$E,Sales!$C93,Investors!$O:$O,FALSE)+SUMIFS(Investors!$S:$S,Investors!$E:$E,Sales!$C93,Investors!$O:$O,FALSE))*$F93)</f>
        <v>1295807.5342465753</v>
      </c>
      <c r="S93" s="9">
        <f t="shared" si="4"/>
        <v>337232.51575342473</v>
      </c>
      <c r="T93" s="3" t="b">
        <v>0</v>
      </c>
      <c r="U93" s="4">
        <v>45747</v>
      </c>
      <c r="V93" s="9">
        <v>337232.51575342449</v>
      </c>
      <c r="W93" s="10">
        <f>IF(SUMIFS('Cashflow Projection'!$E$117:$E$149,'Cashflow Projection'!$D$117:$D$149,Sales!C93)=1,SUMIFS('Cashflow Projection'!$C$117:$C$149,'Cashflow Projection'!$D$117:$D$149,Sales!C93),+Sales!H93)</f>
        <v>45688</v>
      </c>
      <c r="X93" s="10">
        <f t="shared" si="5"/>
        <v>45747</v>
      </c>
      <c r="Y93" s="10">
        <f t="shared" si="6"/>
        <v>45777</v>
      </c>
      <c r="Z93" t="b">
        <v>0</v>
      </c>
    </row>
    <row r="94" spans="1:26" x14ac:dyDescent="0.2">
      <c r="A94" s="3" t="s">
        <v>386</v>
      </c>
      <c r="B94" s="3" t="s">
        <v>569</v>
      </c>
      <c r="C94" s="3" t="s">
        <v>589</v>
      </c>
      <c r="D94" s="3" t="b">
        <v>0</v>
      </c>
      <c r="E94" s="3" t="b">
        <v>0</v>
      </c>
      <c r="F94" s="3">
        <f>IF(OR(Z94=TRUE,SUMIFS('Cashflow Projection'!$E$117:$E$149,'Cashflow Projection'!$D$117:$D$149,Sales!C94)=1),0,SUMIFS('Cashflow Projection'!$C$7:$C$23,'Cashflow Projection'!$B$7:$B$23,Sales!B94,'Cashflow Projection'!$A$7:$A$23,Sales!A94))</f>
        <v>0</v>
      </c>
      <c r="G94" s="4">
        <v>45685</v>
      </c>
      <c r="H94" s="4">
        <v>45685</v>
      </c>
      <c r="I94" s="3">
        <v>1499900</v>
      </c>
      <c r="J94" s="3">
        <v>195639.13043478259</v>
      </c>
      <c r="K94" s="3">
        <v>1304260.869565218</v>
      </c>
      <c r="L94" s="3">
        <v>18502.080000000002</v>
      </c>
      <c r="M94" s="3">
        <v>1789</v>
      </c>
      <c r="N94" s="3">
        <v>7499.5</v>
      </c>
      <c r="O94" s="3">
        <v>74995</v>
      </c>
      <c r="P94" s="3">
        <v>19224.37</v>
      </c>
      <c r="Q94" s="3">
        <v>1377890.05</v>
      </c>
      <c r="R94" s="9">
        <f>IF($F94=1,((SUMIFS(Investors!$M:$M,Investors!$E:$E,Sales!$C94,Investors!$O:$O,FALSE)+SUMIFS(Investors!$S:$S,Investors!$E:$E,Sales!$C94,Investors!$O:$O,FALSE))*$F94)-SUMIFS('Investor Exit List'!$Q:$Q,'Investor Exit List'!$Y:$Y,1,'Investor Exit List'!$Z:$Z,"Release",'Investor Exit List'!$C:$C,Sales!$C94),(SUMIFS(Investors!$M:$M,Investors!$E:$E,Sales!$C94,Investors!$O:$O,FALSE)+SUMIFS(Investors!$S:$S,Investors!$E:$E,Sales!$C94,Investors!$O:$O,FALSE))*$F94)</f>
        <v>0</v>
      </c>
      <c r="S94" s="9">
        <f t="shared" si="4"/>
        <v>1377890.05</v>
      </c>
      <c r="T94" s="3" t="b">
        <v>0</v>
      </c>
      <c r="U94" s="4">
        <v>45747</v>
      </c>
      <c r="V94" s="9">
        <v>-74109.950000000186</v>
      </c>
      <c r="W94" s="10">
        <f>IF(SUMIFS('Cashflow Projection'!$E$117:$E$149,'Cashflow Projection'!$D$117:$D$149,Sales!C94)=1,SUMIFS('Cashflow Projection'!$C$117:$C$149,'Cashflow Projection'!$D$117:$D$149,Sales!C94),+Sales!H94)</f>
        <v>45685</v>
      </c>
      <c r="X94" s="10">
        <f t="shared" si="5"/>
        <v>45747</v>
      </c>
      <c r="Y94" s="10">
        <f t="shared" si="6"/>
        <v>45777</v>
      </c>
      <c r="Z94" t="b">
        <v>0</v>
      </c>
    </row>
    <row r="95" spans="1:26" x14ac:dyDescent="0.2">
      <c r="A95" s="3" t="s">
        <v>386</v>
      </c>
      <c r="B95" s="3" t="s">
        <v>569</v>
      </c>
      <c r="C95" s="3" t="s">
        <v>580</v>
      </c>
      <c r="D95" s="3" t="b">
        <v>0</v>
      </c>
      <c r="E95" s="3" t="b">
        <v>0</v>
      </c>
      <c r="F95" s="3">
        <f>IF(OR(Z95=TRUE,SUMIFS('Cashflow Projection'!$E$117:$E$149,'Cashflow Projection'!$D$117:$D$149,Sales!C95)=1),0,SUMIFS('Cashflow Projection'!$C$7:$C$23,'Cashflow Projection'!$B$7:$B$23,Sales!B95,'Cashflow Projection'!$A$7:$A$23,Sales!A95))</f>
        <v>0</v>
      </c>
      <c r="G95" s="4">
        <v>45685</v>
      </c>
      <c r="H95" s="4">
        <v>45685</v>
      </c>
      <c r="I95" s="3">
        <v>1529900</v>
      </c>
      <c r="J95" s="3">
        <v>199552.17391304349</v>
      </c>
      <c r="K95" s="3">
        <v>1330347.826086957</v>
      </c>
      <c r="L95" s="3">
        <v>18502.080000000002</v>
      </c>
      <c r="M95" s="3">
        <v>1789</v>
      </c>
      <c r="N95" s="3">
        <v>7649.5</v>
      </c>
      <c r="O95" s="3">
        <v>76495</v>
      </c>
      <c r="P95" s="3">
        <v>19224.37</v>
      </c>
      <c r="Q95" s="3">
        <v>1406240.05</v>
      </c>
      <c r="R95" s="9">
        <f>IF($F95=1,((SUMIFS(Investors!$M:$M,Investors!$E:$E,Sales!$C95,Investors!$O:$O,FALSE)+SUMIFS(Investors!$S:$S,Investors!$E:$E,Sales!$C95,Investors!$O:$O,FALSE))*$F95)-SUMIFS('Investor Exit List'!$Q:$Q,'Investor Exit List'!$Y:$Y,1,'Investor Exit List'!$Z:$Z,"Release",'Investor Exit List'!$C:$C,Sales!$C95),(SUMIFS(Investors!$M:$M,Investors!$E:$E,Sales!$C95,Investors!$O:$O,FALSE)+SUMIFS(Investors!$S:$S,Investors!$E:$E,Sales!$C95,Investors!$O:$O,FALSE))*$F95)</f>
        <v>0</v>
      </c>
      <c r="S95" s="9">
        <f t="shared" si="4"/>
        <v>1406240.05</v>
      </c>
      <c r="T95" s="3" t="b">
        <v>0</v>
      </c>
      <c r="U95" s="4">
        <v>45747</v>
      </c>
      <c r="V95" s="9">
        <v>-40155.891241644043</v>
      </c>
      <c r="W95" s="10">
        <f>IF(SUMIFS('Cashflow Projection'!$E$117:$E$149,'Cashflow Projection'!$D$117:$D$149,Sales!C95)=1,SUMIFS('Cashflow Projection'!$C$117:$C$149,'Cashflow Projection'!$D$117:$D$149,Sales!C95),+Sales!H95)</f>
        <v>45685</v>
      </c>
      <c r="X95" s="10">
        <f t="shared" si="5"/>
        <v>45747</v>
      </c>
      <c r="Y95" s="10">
        <f t="shared" si="6"/>
        <v>45777</v>
      </c>
      <c r="Z95" t="b">
        <v>0</v>
      </c>
    </row>
    <row r="96" spans="1:26" x14ac:dyDescent="0.2">
      <c r="A96" s="3" t="s">
        <v>386</v>
      </c>
      <c r="B96" s="3" t="s">
        <v>854</v>
      </c>
      <c r="C96" s="3" t="s">
        <v>865</v>
      </c>
      <c r="D96" s="3" t="b">
        <v>1</v>
      </c>
      <c r="E96" s="3" t="b">
        <v>0</v>
      </c>
      <c r="F96" s="3">
        <f>IF(OR(Z96=TRUE,SUMIFS('Cashflow Projection'!$E$117:$E$149,'Cashflow Projection'!$D$117:$D$149,Sales!C96)=1),0,SUMIFS('Cashflow Projection'!$C$7:$C$23,'Cashflow Projection'!$B$7:$B$23,Sales!B96,'Cashflow Projection'!$A$7:$A$23,Sales!A96))</f>
        <v>0</v>
      </c>
      <c r="G96" s="4">
        <v>45518</v>
      </c>
      <c r="H96" s="4">
        <v>45518</v>
      </c>
      <c r="I96" s="3">
        <v>1679900</v>
      </c>
      <c r="J96" s="3">
        <v>219117.39130434781</v>
      </c>
      <c r="K96" s="3">
        <v>1460782.6086956521</v>
      </c>
      <c r="L96" s="3">
        <v>18502.080000000002</v>
      </c>
      <c r="M96" s="3">
        <v>1789</v>
      </c>
      <c r="N96" s="3">
        <v>8399.5</v>
      </c>
      <c r="O96" s="3">
        <v>83995</v>
      </c>
      <c r="P96" s="3">
        <v>19224.37</v>
      </c>
      <c r="Q96" s="3">
        <v>1547990.05</v>
      </c>
      <c r="R96" s="9">
        <f>IF($F96=1,((SUMIFS(Investors!$M:$M,Investors!$E:$E,Sales!$C96,Investors!$O:$O,FALSE)+SUMIFS(Investors!$S:$S,Investors!$E:$E,Sales!$C96,Investors!$O:$O,FALSE))*$F96)-SUMIFS('Investor Exit List'!$Q:$Q,'Investor Exit List'!$Y:$Y,1,'Investor Exit List'!$Z:$Z,"Release",'Investor Exit List'!$C:$C,Sales!$C96),(SUMIFS(Investors!$M:$M,Investors!$E:$E,Sales!$C96,Investors!$O:$O,FALSE)+SUMIFS(Investors!$S:$S,Investors!$E:$E,Sales!$C96,Investors!$O:$O,FALSE))*$F96)</f>
        <v>0</v>
      </c>
      <c r="S96" s="9">
        <f t="shared" si="4"/>
        <v>1547990.05</v>
      </c>
      <c r="T96" s="3" t="b">
        <v>0</v>
      </c>
      <c r="U96" s="4">
        <v>45565</v>
      </c>
      <c r="V96" s="9">
        <v>196291.82130849289</v>
      </c>
      <c r="W96" s="10">
        <f>IF(SUMIFS('Cashflow Projection'!$E$117:$E$149,'Cashflow Projection'!$D$117:$D$149,Sales!C96)=1,SUMIFS('Cashflow Projection'!$C$117:$C$149,'Cashflow Projection'!$D$117:$D$149,Sales!C96),+Sales!H96)</f>
        <v>45518</v>
      </c>
      <c r="X96" s="10">
        <f t="shared" si="5"/>
        <v>45565</v>
      </c>
      <c r="Y96" s="10">
        <f t="shared" si="6"/>
        <v>45596</v>
      </c>
      <c r="Z96" t="b">
        <v>0</v>
      </c>
    </row>
    <row r="97" spans="1:26" x14ac:dyDescent="0.2">
      <c r="A97" s="3" t="s">
        <v>386</v>
      </c>
      <c r="B97" s="3" t="s">
        <v>750</v>
      </c>
      <c r="C97" s="3" t="s">
        <v>754</v>
      </c>
      <c r="D97" s="3" t="b">
        <v>0</v>
      </c>
      <c r="E97" s="3" t="b">
        <v>0</v>
      </c>
      <c r="F97" s="3">
        <f>IF(OR(Z97=TRUE,SUMIFS('Cashflow Projection'!$E$117:$E$149,'Cashflow Projection'!$D$117:$D$149,Sales!C97)=1),0,SUMIFS('Cashflow Projection'!$C$7:$C$23,'Cashflow Projection'!$B$7:$B$23,Sales!B97,'Cashflow Projection'!$A$7:$A$23,Sales!A97))</f>
        <v>0</v>
      </c>
      <c r="G97" s="4">
        <v>45510</v>
      </c>
      <c r="H97" s="4">
        <v>45625</v>
      </c>
      <c r="I97" s="3">
        <v>1739900</v>
      </c>
      <c r="J97" s="3">
        <v>226943.4782608696</v>
      </c>
      <c r="K97" s="3">
        <v>1512956.5217391311</v>
      </c>
      <c r="L97" s="3">
        <v>18502.080000000002</v>
      </c>
      <c r="M97" s="3">
        <v>1789</v>
      </c>
      <c r="N97" s="3">
        <v>8699.5</v>
      </c>
      <c r="O97" s="3">
        <v>86995</v>
      </c>
      <c r="P97" s="3">
        <v>19224.37</v>
      </c>
      <c r="Q97" s="3">
        <v>1604690.05</v>
      </c>
      <c r="R97" s="9">
        <f>IF($F97=1,((SUMIFS(Investors!$M:$M,Investors!$E:$E,Sales!$C97,Investors!$O:$O,FALSE)+SUMIFS(Investors!$S:$S,Investors!$E:$E,Sales!$C97,Investors!$O:$O,FALSE))*$F97)-SUMIFS('Investor Exit List'!$Q:$Q,'Investor Exit List'!$Y:$Y,1,'Investor Exit List'!$Z:$Z,"Release",'Investor Exit List'!$C:$C,Sales!$C97),(SUMIFS(Investors!$M:$M,Investors!$E:$E,Sales!$C97,Investors!$O:$O,FALSE)+SUMIFS(Investors!$S:$S,Investors!$E:$E,Sales!$C97,Investors!$O:$O,FALSE))*$F97)</f>
        <v>0</v>
      </c>
      <c r="S97" s="9">
        <f t="shared" si="4"/>
        <v>1604690.05</v>
      </c>
      <c r="T97" s="3" t="b">
        <v>0</v>
      </c>
      <c r="U97" s="4">
        <v>45688</v>
      </c>
      <c r="V97" s="9">
        <v>162011.69383561629</v>
      </c>
      <c r="W97" s="10">
        <f>IF(SUMIFS('Cashflow Projection'!$E$117:$E$149,'Cashflow Projection'!$D$117:$D$149,Sales!C97)=1,SUMIFS('Cashflow Projection'!$C$117:$C$149,'Cashflow Projection'!$D$117:$D$149,Sales!C97),+Sales!H97)</f>
        <v>45625</v>
      </c>
      <c r="X97" s="10">
        <f t="shared" si="5"/>
        <v>45688</v>
      </c>
      <c r="Y97" s="10">
        <f t="shared" si="6"/>
        <v>45716</v>
      </c>
      <c r="Z97" t="b">
        <v>0</v>
      </c>
    </row>
    <row r="98" spans="1:26" x14ac:dyDescent="0.2">
      <c r="A98" s="3" t="s">
        <v>386</v>
      </c>
      <c r="B98" s="3" t="s">
        <v>750</v>
      </c>
      <c r="C98" s="3" t="s">
        <v>775</v>
      </c>
      <c r="D98" s="3" t="b">
        <v>0</v>
      </c>
      <c r="E98" s="3" t="b">
        <v>0</v>
      </c>
      <c r="F98" s="3">
        <f>IF(OR(Z98=TRUE,SUMIFS('Cashflow Projection'!$E$117:$E$149,'Cashflow Projection'!$D$117:$D$149,Sales!C98)=1),0,SUMIFS('Cashflow Projection'!$C$7:$C$23,'Cashflow Projection'!$B$7:$B$23,Sales!B98,'Cashflow Projection'!$A$7:$A$23,Sales!A98))</f>
        <v>0</v>
      </c>
      <c r="G98" s="4">
        <v>45510</v>
      </c>
      <c r="H98" s="4">
        <v>45625</v>
      </c>
      <c r="I98" s="3">
        <v>1499900</v>
      </c>
      <c r="J98" s="3">
        <v>195639.13043478259</v>
      </c>
      <c r="K98" s="3">
        <v>1304260.869565218</v>
      </c>
      <c r="L98" s="3">
        <v>18502.080000000002</v>
      </c>
      <c r="M98" s="3">
        <v>1789</v>
      </c>
      <c r="N98" s="3">
        <v>7499.5</v>
      </c>
      <c r="O98" s="3">
        <v>74995</v>
      </c>
      <c r="P98" s="3">
        <v>19224.37</v>
      </c>
      <c r="Q98" s="3">
        <v>1377890.05</v>
      </c>
      <c r="R98" s="9">
        <f>IF($F98=1,((SUMIFS(Investors!$M:$M,Investors!$E:$E,Sales!$C98,Investors!$O:$O,FALSE)+SUMIFS(Investors!$S:$S,Investors!$E:$E,Sales!$C98,Investors!$O:$O,FALSE))*$F98)-SUMIFS('Investor Exit List'!$Q:$Q,'Investor Exit List'!$Y:$Y,1,'Investor Exit List'!$Z:$Z,"Release",'Investor Exit List'!$C:$C,Sales!$C98),(SUMIFS(Investors!$M:$M,Investors!$E:$E,Sales!$C98,Investors!$O:$O,FALSE)+SUMIFS(Investors!$S:$S,Investors!$E:$E,Sales!$C98,Investors!$O:$O,FALSE))*$F98)</f>
        <v>0</v>
      </c>
      <c r="S98" s="9">
        <f t="shared" si="4"/>
        <v>1377890.05</v>
      </c>
      <c r="T98" s="3" t="b">
        <v>0</v>
      </c>
      <c r="U98" s="4">
        <v>45688</v>
      </c>
      <c r="V98" s="9">
        <v>-36370.520158356521</v>
      </c>
      <c r="W98" s="10">
        <f>IF(SUMIFS('Cashflow Projection'!$E$117:$E$149,'Cashflow Projection'!$D$117:$D$149,Sales!C98)=1,SUMIFS('Cashflow Projection'!$C$117:$C$149,'Cashflow Projection'!$D$117:$D$149,Sales!C98),+Sales!H98)</f>
        <v>45625</v>
      </c>
      <c r="X98" s="10">
        <f t="shared" si="5"/>
        <v>45688</v>
      </c>
      <c r="Y98" s="10">
        <f t="shared" si="6"/>
        <v>45716</v>
      </c>
      <c r="Z98" t="b">
        <v>0</v>
      </c>
    </row>
    <row r="99" spans="1:26" x14ac:dyDescent="0.2">
      <c r="A99" s="3" t="s">
        <v>386</v>
      </c>
      <c r="B99" s="3" t="s">
        <v>750</v>
      </c>
      <c r="C99" s="3" t="s">
        <v>787</v>
      </c>
      <c r="D99" s="3" t="b">
        <v>0</v>
      </c>
      <c r="E99" s="3" t="b">
        <v>0</v>
      </c>
      <c r="F99" s="3">
        <f>IF(OR(Z99=TRUE,SUMIFS('Cashflow Projection'!$E$117:$E$149,'Cashflow Projection'!$D$117:$D$149,Sales!C99)=1),0,SUMIFS('Cashflow Projection'!$C$7:$C$23,'Cashflow Projection'!$B$7:$B$23,Sales!B99,'Cashflow Projection'!$A$7:$A$23,Sales!A99))</f>
        <v>0</v>
      </c>
      <c r="G99" s="4">
        <v>45510</v>
      </c>
      <c r="H99" s="4">
        <v>45625</v>
      </c>
      <c r="I99" s="3">
        <v>1499900</v>
      </c>
      <c r="J99" s="3">
        <v>195639.13043478259</v>
      </c>
      <c r="K99" s="3">
        <v>1304260.869565218</v>
      </c>
      <c r="L99" s="3">
        <v>18502.080000000002</v>
      </c>
      <c r="M99" s="3">
        <v>1789</v>
      </c>
      <c r="N99" s="3">
        <v>7499.5</v>
      </c>
      <c r="O99" s="3">
        <v>74995</v>
      </c>
      <c r="P99" s="3">
        <v>19224.37</v>
      </c>
      <c r="Q99" s="3">
        <v>1377890.05</v>
      </c>
      <c r="R99" s="9">
        <f>IF($F99=1,((SUMIFS(Investors!$M:$M,Investors!$E:$E,Sales!$C99,Investors!$O:$O,FALSE)+SUMIFS(Investors!$S:$S,Investors!$E:$E,Sales!$C99,Investors!$O:$O,FALSE))*$F99)-SUMIFS('Investor Exit List'!$Q:$Q,'Investor Exit List'!$Y:$Y,1,'Investor Exit List'!$Z:$Z,"Release",'Investor Exit List'!$C:$C,Sales!$C99),(SUMIFS(Investors!$M:$M,Investors!$E:$E,Sales!$C99,Investors!$O:$O,FALSE)+SUMIFS(Investors!$S:$S,Investors!$E:$E,Sales!$C99,Investors!$O:$O,FALSE))*$F99)</f>
        <v>0</v>
      </c>
      <c r="S99" s="9">
        <f t="shared" si="4"/>
        <v>1377890.05</v>
      </c>
      <c r="T99" s="3" t="b">
        <v>0</v>
      </c>
      <c r="U99" s="4">
        <v>45688</v>
      </c>
      <c r="V99" s="9">
        <v>-8950.0893315069843</v>
      </c>
      <c r="W99" s="10">
        <f>IF(SUMIFS('Cashflow Projection'!$E$117:$E$149,'Cashflow Projection'!$D$117:$D$149,Sales!C99)=1,SUMIFS('Cashflow Projection'!$C$117:$C$149,'Cashflow Projection'!$D$117:$D$149,Sales!C99),+Sales!H99)</f>
        <v>45625</v>
      </c>
      <c r="X99" s="10">
        <f t="shared" si="5"/>
        <v>45688</v>
      </c>
      <c r="Y99" s="10">
        <f t="shared" si="6"/>
        <v>45716</v>
      </c>
      <c r="Z99" t="b">
        <v>0</v>
      </c>
    </row>
    <row r="100" spans="1:26" x14ac:dyDescent="0.2">
      <c r="A100" s="3" t="s">
        <v>386</v>
      </c>
      <c r="B100" s="3" t="s">
        <v>854</v>
      </c>
      <c r="C100" s="3" t="s">
        <v>884</v>
      </c>
      <c r="D100" s="3" t="b">
        <v>1</v>
      </c>
      <c r="E100" s="3" t="b">
        <v>0</v>
      </c>
      <c r="F100" s="3">
        <f>IF(OR(Z100=TRUE,SUMIFS('Cashflow Projection'!$E$117:$E$149,'Cashflow Projection'!$D$117:$D$149,Sales!C100)=1),0,SUMIFS('Cashflow Projection'!$C$7:$C$23,'Cashflow Projection'!$B$7:$B$23,Sales!B100,'Cashflow Projection'!$A$7:$A$23,Sales!A100))</f>
        <v>0</v>
      </c>
      <c r="G100" s="4">
        <v>45518</v>
      </c>
      <c r="H100" s="4">
        <v>45518</v>
      </c>
      <c r="I100" s="3">
        <v>1689900</v>
      </c>
      <c r="J100" s="3">
        <v>220421.73913043481</v>
      </c>
      <c r="K100" s="3">
        <v>1469478.260869565</v>
      </c>
      <c r="L100" s="3">
        <v>18502.080000000002</v>
      </c>
      <c r="M100" s="3">
        <v>1789</v>
      </c>
      <c r="N100" s="3">
        <v>8449.5</v>
      </c>
      <c r="O100" s="3">
        <v>84495</v>
      </c>
      <c r="P100" s="3">
        <v>19224.37</v>
      </c>
      <c r="Q100" s="3">
        <v>1557440.05</v>
      </c>
      <c r="R100" s="9">
        <f>IF($F100=1,((SUMIFS(Investors!$M:$M,Investors!$E:$E,Sales!$C100,Investors!$O:$O,FALSE)+SUMIFS(Investors!$S:$S,Investors!$E:$E,Sales!$C100,Investors!$O:$O,FALSE))*$F100)-SUMIFS('Investor Exit List'!$Q:$Q,'Investor Exit List'!$Y:$Y,1,'Investor Exit List'!$Z:$Z,"Release",'Investor Exit List'!$C:$C,Sales!$C100),(SUMIFS(Investors!$M:$M,Investors!$E:$E,Sales!$C100,Investors!$O:$O,FALSE)+SUMIFS(Investors!$S:$S,Investors!$E:$E,Sales!$C100,Investors!$O:$O,FALSE))*$F100)</f>
        <v>0</v>
      </c>
      <c r="S100" s="9">
        <f t="shared" si="4"/>
        <v>1557440.05</v>
      </c>
      <c r="T100" s="3" t="b">
        <v>0</v>
      </c>
      <c r="U100" s="4">
        <v>45565</v>
      </c>
      <c r="V100" s="9">
        <v>194087.99520547921</v>
      </c>
      <c r="W100" s="10">
        <f>IF(SUMIFS('Cashflow Projection'!$E$117:$E$149,'Cashflow Projection'!$D$117:$D$149,Sales!C100)=1,SUMIFS('Cashflow Projection'!$C$117:$C$149,'Cashflow Projection'!$D$117:$D$149,Sales!C100),+Sales!H100)</f>
        <v>45518</v>
      </c>
      <c r="X100" s="10">
        <f t="shared" si="5"/>
        <v>45565</v>
      </c>
      <c r="Y100" s="10">
        <f t="shared" si="6"/>
        <v>45596</v>
      </c>
      <c r="Z100" t="b">
        <v>0</v>
      </c>
    </row>
    <row r="101" spans="1:26" x14ac:dyDescent="0.2">
      <c r="A101" s="3" t="s">
        <v>386</v>
      </c>
      <c r="B101" s="3" t="s">
        <v>569</v>
      </c>
      <c r="C101" s="3" t="s">
        <v>591</v>
      </c>
      <c r="D101" s="3" t="b">
        <v>0</v>
      </c>
      <c r="E101" s="3" t="b">
        <v>0</v>
      </c>
      <c r="F101" s="3">
        <f>IF(OR(Z101=TRUE,SUMIFS('Cashflow Projection'!$E$117:$E$149,'Cashflow Projection'!$D$117:$D$149,Sales!C101)=1),0,SUMIFS('Cashflow Projection'!$C$7:$C$23,'Cashflow Projection'!$B$7:$B$23,Sales!B101,'Cashflow Projection'!$A$7:$A$23,Sales!A101))</f>
        <v>0</v>
      </c>
      <c r="G101" s="4">
        <v>45685</v>
      </c>
      <c r="H101" s="4">
        <v>45685</v>
      </c>
      <c r="I101" s="3">
        <v>1499900</v>
      </c>
      <c r="J101" s="3">
        <v>195639.13043478259</v>
      </c>
      <c r="K101" s="3">
        <v>1304260.869565218</v>
      </c>
      <c r="L101" s="3">
        <v>18502.080000000002</v>
      </c>
      <c r="M101" s="3">
        <v>1789</v>
      </c>
      <c r="N101" s="3">
        <v>7499.5</v>
      </c>
      <c r="O101" s="3">
        <v>74995</v>
      </c>
      <c r="P101" s="3">
        <v>19224.37</v>
      </c>
      <c r="Q101" s="3">
        <v>1377890.05</v>
      </c>
      <c r="R101" s="9">
        <f>IF($F101=1,((SUMIFS(Investors!$M:$M,Investors!$E:$E,Sales!$C101,Investors!$O:$O,FALSE)+SUMIFS(Investors!$S:$S,Investors!$E:$E,Sales!$C101,Investors!$O:$O,FALSE))*$F101)-SUMIFS('Investor Exit List'!$Q:$Q,'Investor Exit List'!$Y:$Y,1,'Investor Exit List'!$Z:$Z,"Release",'Investor Exit List'!$C:$C,Sales!$C101),(SUMIFS(Investors!$M:$M,Investors!$E:$E,Sales!$C101,Investors!$O:$O,FALSE)+SUMIFS(Investors!$S:$S,Investors!$E:$E,Sales!$C101,Investors!$O:$O,FALSE))*$F101)</f>
        <v>0</v>
      </c>
      <c r="S101" s="9">
        <f t="shared" si="4"/>
        <v>1377890.05</v>
      </c>
      <c r="T101" s="3" t="b">
        <v>0</v>
      </c>
      <c r="U101" s="4">
        <v>45747</v>
      </c>
      <c r="V101" s="9">
        <v>-83085.29246575362</v>
      </c>
      <c r="W101" s="10">
        <f>IF(SUMIFS('Cashflow Projection'!$E$117:$E$149,'Cashflow Projection'!$D$117:$D$149,Sales!C101)=1,SUMIFS('Cashflow Projection'!$C$117:$C$149,'Cashflow Projection'!$D$117:$D$149,Sales!C101),+Sales!H101)</f>
        <v>45685</v>
      </c>
      <c r="X101" s="10">
        <f t="shared" si="5"/>
        <v>45747</v>
      </c>
      <c r="Y101" s="10">
        <f t="shared" si="6"/>
        <v>45777</v>
      </c>
      <c r="Z101" t="b">
        <v>0</v>
      </c>
    </row>
    <row r="102" spans="1:26" x14ac:dyDescent="0.2">
      <c r="A102" s="3" t="s">
        <v>386</v>
      </c>
      <c r="B102" s="3" t="s">
        <v>598</v>
      </c>
      <c r="C102" s="3" t="s">
        <v>603</v>
      </c>
      <c r="D102" s="3" t="b">
        <v>0</v>
      </c>
      <c r="E102" s="3" t="b">
        <v>0</v>
      </c>
      <c r="F102" s="3">
        <f>IF(OR(Z102=TRUE,SUMIFS('Cashflow Projection'!$E$117:$E$149,'Cashflow Projection'!$D$117:$D$149,Sales!C102)=1),0,SUMIFS('Cashflow Projection'!$C$7:$C$23,'Cashflow Projection'!$B$7:$B$23,Sales!B102,'Cashflow Projection'!$A$7:$A$23,Sales!A102))</f>
        <v>0</v>
      </c>
      <c r="G102" s="4">
        <v>45517</v>
      </c>
      <c r="H102" s="4">
        <v>45722</v>
      </c>
      <c r="I102" s="3">
        <v>1619900</v>
      </c>
      <c r="J102" s="3">
        <v>211291.30434782611</v>
      </c>
      <c r="K102" s="3">
        <v>1408608.6956521741</v>
      </c>
      <c r="L102" s="3">
        <v>18502.080000000002</v>
      </c>
      <c r="M102" s="3">
        <v>1789</v>
      </c>
      <c r="N102" s="3">
        <v>8099.5</v>
      </c>
      <c r="O102" s="3">
        <v>80995</v>
      </c>
      <c r="P102" s="3">
        <v>19224.37</v>
      </c>
      <c r="Q102" s="3">
        <v>1491290.05</v>
      </c>
      <c r="R102" s="9">
        <f>IF($F102=1,((SUMIFS(Investors!$M:$M,Investors!$E:$E,Sales!$C102,Investors!$O:$O,FALSE)+SUMIFS(Investors!$S:$S,Investors!$E:$E,Sales!$C102,Investors!$O:$O,FALSE))*$F102)-SUMIFS('Investor Exit List'!$Q:$Q,'Investor Exit List'!$Y:$Y,1,'Investor Exit List'!$Z:$Z,"Release",'Investor Exit List'!$C:$C,Sales!$C102),(SUMIFS(Investors!$M:$M,Investors!$E:$E,Sales!$C102,Investors!$O:$O,FALSE)+SUMIFS(Investors!$S:$S,Investors!$E:$E,Sales!$C102,Investors!$O:$O,FALSE))*$F102)</f>
        <v>0</v>
      </c>
      <c r="S102" s="9">
        <f t="shared" si="4"/>
        <v>1491290.05</v>
      </c>
      <c r="T102" s="3" t="b">
        <v>0</v>
      </c>
      <c r="U102" s="4">
        <v>45808</v>
      </c>
      <c r="V102" s="9">
        <v>413041.40879671212</v>
      </c>
      <c r="W102" s="10">
        <f>IF(SUMIFS('Cashflow Projection'!$E$117:$E$149,'Cashflow Projection'!$D$117:$D$149,Sales!C102)=1,SUMIFS('Cashflow Projection'!$C$117:$C$149,'Cashflow Projection'!$D$117:$D$149,Sales!C102),+Sales!H102)</f>
        <v>45722</v>
      </c>
      <c r="X102" s="10">
        <f t="shared" si="5"/>
        <v>45808</v>
      </c>
      <c r="Y102" s="10">
        <f t="shared" si="6"/>
        <v>45838</v>
      </c>
      <c r="Z102" t="b">
        <v>0</v>
      </c>
    </row>
    <row r="103" spans="1:26" x14ac:dyDescent="0.2">
      <c r="A103" s="3" t="s">
        <v>386</v>
      </c>
      <c r="B103" s="3" t="s">
        <v>750</v>
      </c>
      <c r="C103" s="3" t="s">
        <v>764</v>
      </c>
      <c r="D103" s="3" t="b">
        <v>0</v>
      </c>
      <c r="E103" s="3" t="b">
        <v>0</v>
      </c>
      <c r="F103" s="3">
        <f>IF(OR(Z103=TRUE,SUMIFS('Cashflow Projection'!$E$117:$E$149,'Cashflow Projection'!$D$117:$D$149,Sales!C103)=1),0,SUMIFS('Cashflow Projection'!$C$7:$C$23,'Cashflow Projection'!$B$7:$B$23,Sales!B103,'Cashflow Projection'!$A$7:$A$23,Sales!A103))</f>
        <v>0</v>
      </c>
      <c r="G103" s="4">
        <v>45510</v>
      </c>
      <c r="H103" s="4">
        <v>45625</v>
      </c>
      <c r="I103" s="3">
        <v>1729900</v>
      </c>
      <c r="J103" s="3">
        <v>225639.13043478259</v>
      </c>
      <c r="K103" s="3">
        <v>1504260.869565218</v>
      </c>
      <c r="L103" s="3">
        <v>18502.080000000002</v>
      </c>
      <c r="M103" s="3">
        <v>1789</v>
      </c>
      <c r="N103" s="3">
        <v>8649.5</v>
      </c>
      <c r="O103" s="3">
        <v>86495</v>
      </c>
      <c r="P103" s="3">
        <v>19224.37</v>
      </c>
      <c r="Q103" s="3">
        <v>1595240.05</v>
      </c>
      <c r="R103" s="9">
        <f>IF($F103=1,((SUMIFS(Investors!$M:$M,Investors!$E:$E,Sales!$C103,Investors!$O:$O,FALSE)+SUMIFS(Investors!$S:$S,Investors!$E:$E,Sales!$C103,Investors!$O:$O,FALSE))*$F103)-SUMIFS('Investor Exit List'!$Q:$Q,'Investor Exit List'!$Y:$Y,1,'Investor Exit List'!$Z:$Z,"Release",'Investor Exit List'!$C:$C,Sales!$C103),(SUMIFS(Investors!$M:$M,Investors!$E:$E,Sales!$C103,Investors!$O:$O,FALSE)+SUMIFS(Investors!$S:$S,Investors!$E:$E,Sales!$C103,Investors!$O:$O,FALSE))*$F103)</f>
        <v>0</v>
      </c>
      <c r="S103" s="9">
        <f t="shared" si="4"/>
        <v>1595240.05</v>
      </c>
      <c r="T103" s="3" t="b">
        <v>0</v>
      </c>
      <c r="U103" s="4">
        <v>45688</v>
      </c>
      <c r="V103" s="9">
        <v>186082.25517191761</v>
      </c>
      <c r="W103" s="10">
        <f>IF(SUMIFS('Cashflow Projection'!$E$117:$E$149,'Cashflow Projection'!$D$117:$D$149,Sales!C103)=1,SUMIFS('Cashflow Projection'!$C$117:$C$149,'Cashflow Projection'!$D$117:$D$149,Sales!C103),+Sales!H103)</f>
        <v>45625</v>
      </c>
      <c r="X103" s="10">
        <f t="shared" si="5"/>
        <v>45688</v>
      </c>
      <c r="Y103" s="10">
        <f t="shared" si="6"/>
        <v>45716</v>
      </c>
      <c r="Z103" t="b">
        <v>0</v>
      </c>
    </row>
    <row r="104" spans="1:26" x14ac:dyDescent="0.2">
      <c r="A104" s="3" t="s">
        <v>386</v>
      </c>
      <c r="B104" s="3" t="s">
        <v>388</v>
      </c>
      <c r="C104" s="3" t="s">
        <v>427</v>
      </c>
      <c r="D104" s="3" t="b">
        <v>0</v>
      </c>
      <c r="E104" s="3" t="b">
        <v>0</v>
      </c>
      <c r="F104" s="3">
        <f>IF(OR(Z104=TRUE,SUMIFS('Cashflow Projection'!$E$117:$E$149,'Cashflow Projection'!$D$117:$D$149,Sales!C104)=1),0,SUMIFS('Cashflow Projection'!$C$7:$C$23,'Cashflow Projection'!$B$7:$B$23,Sales!B104,'Cashflow Projection'!$A$7:$A$23,Sales!A104))</f>
        <v>1</v>
      </c>
      <c r="G104" s="4">
        <v>45485</v>
      </c>
      <c r="H104" s="4">
        <v>45646</v>
      </c>
      <c r="I104" s="3">
        <v>1499900</v>
      </c>
      <c r="J104" s="3">
        <v>195639.13043478259</v>
      </c>
      <c r="K104" s="3">
        <v>1304260.869565218</v>
      </c>
      <c r="L104" s="3">
        <v>18502.080000000002</v>
      </c>
      <c r="M104" s="3">
        <v>1789</v>
      </c>
      <c r="N104" s="3">
        <v>7499.5</v>
      </c>
      <c r="O104" s="3">
        <v>74995</v>
      </c>
      <c r="P104" s="3">
        <v>19224.37</v>
      </c>
      <c r="Q104" s="3">
        <v>1377890.05</v>
      </c>
      <c r="R104" s="9">
        <f>IF($F104=1,((SUMIFS(Investors!$M:$M,Investors!$E:$E,Sales!$C104,Investors!$O:$O,FALSE)+SUMIFS(Investors!$S:$S,Investors!$E:$E,Sales!$C104,Investors!$O:$O,FALSE))*$F104)-SUMIFS('Investor Exit List'!$Q:$Q,'Investor Exit List'!$Y:$Y,1,'Investor Exit List'!$Z:$Z,"Release",'Investor Exit List'!$C:$C,Sales!$C104),(SUMIFS(Investors!$M:$M,Investors!$E:$E,Sales!$C104,Investors!$O:$O,FALSE)+SUMIFS(Investors!$S:$S,Investors!$E:$E,Sales!$C104,Investors!$O:$O,FALSE))*$F104)</f>
        <v>863893.83561643818</v>
      </c>
      <c r="S104" s="9">
        <f t="shared" si="4"/>
        <v>513996.21438356186</v>
      </c>
      <c r="T104" s="3" t="b">
        <v>0</v>
      </c>
      <c r="U104" s="4">
        <v>45688</v>
      </c>
      <c r="V104" s="9">
        <v>-1138.0321917810941</v>
      </c>
      <c r="W104" s="10">
        <f>IF(SUMIFS('Cashflow Projection'!$E$117:$E$149,'Cashflow Projection'!$D$117:$D$149,Sales!C104)=1,SUMIFS('Cashflow Projection'!$C$117:$C$149,'Cashflow Projection'!$D$117:$D$149,Sales!C104),+Sales!H104)</f>
        <v>45646</v>
      </c>
      <c r="X104" s="10">
        <f t="shared" si="5"/>
        <v>45688</v>
      </c>
      <c r="Y104" s="10">
        <f t="shared" si="6"/>
        <v>45716</v>
      </c>
      <c r="Z104" t="b">
        <v>0</v>
      </c>
    </row>
    <row r="105" spans="1:26" x14ac:dyDescent="0.2">
      <c r="A105" s="3" t="s">
        <v>386</v>
      </c>
      <c r="B105" s="3" t="s">
        <v>790</v>
      </c>
      <c r="C105" s="3" t="s">
        <v>791</v>
      </c>
      <c r="D105" s="3" t="b">
        <v>0</v>
      </c>
      <c r="E105" s="3" t="b">
        <v>0</v>
      </c>
      <c r="F105" s="3">
        <f>IF(OR(Z105=TRUE,SUMIFS('Cashflow Projection'!$E$117:$E$149,'Cashflow Projection'!$D$117:$D$149,Sales!C105)=1),0,SUMIFS('Cashflow Projection'!$C$7:$C$23,'Cashflow Projection'!$B$7:$B$23,Sales!B105,'Cashflow Projection'!$A$7:$A$23,Sales!A105))</f>
        <v>0</v>
      </c>
      <c r="G105" s="4">
        <v>45499</v>
      </c>
      <c r="H105" s="4">
        <v>45716</v>
      </c>
      <c r="I105" s="3">
        <v>1499900</v>
      </c>
      <c r="J105" s="3">
        <v>195639.13043478259</v>
      </c>
      <c r="K105" s="3">
        <v>1304260.869565218</v>
      </c>
      <c r="L105" s="3">
        <v>18502.080000000002</v>
      </c>
      <c r="M105" s="3">
        <v>1789</v>
      </c>
      <c r="N105" s="3">
        <v>7499.5</v>
      </c>
      <c r="O105" s="3">
        <v>74995</v>
      </c>
      <c r="P105" s="3">
        <v>19224.37</v>
      </c>
      <c r="Q105" s="3">
        <v>1377890.05</v>
      </c>
      <c r="R105" s="9">
        <f>IF($F105=1,((SUMIFS(Investors!$M:$M,Investors!$E:$E,Sales!$C105,Investors!$O:$O,FALSE)+SUMIFS(Investors!$S:$S,Investors!$E:$E,Sales!$C105,Investors!$O:$O,FALSE))*$F105)-SUMIFS('Investor Exit List'!$Q:$Q,'Investor Exit List'!$Y:$Y,1,'Investor Exit List'!$Z:$Z,"Release",'Investor Exit List'!$C:$C,Sales!$C105),(SUMIFS(Investors!$M:$M,Investors!$E:$E,Sales!$C105,Investors!$O:$O,FALSE)+SUMIFS(Investors!$S:$S,Investors!$E:$E,Sales!$C105,Investors!$O:$O,FALSE))*$F105)</f>
        <v>0</v>
      </c>
      <c r="S105" s="9">
        <f t="shared" si="4"/>
        <v>1377890.05</v>
      </c>
      <c r="T105" s="3" t="b">
        <v>0</v>
      </c>
      <c r="U105" s="4">
        <v>45747</v>
      </c>
      <c r="V105" s="9">
        <v>155102.37876712301</v>
      </c>
      <c r="W105" s="10">
        <f>IF(SUMIFS('Cashflow Projection'!$E$117:$E$149,'Cashflow Projection'!$D$117:$D$149,Sales!C105)=1,SUMIFS('Cashflow Projection'!$C$117:$C$149,'Cashflow Projection'!$D$117:$D$149,Sales!C105),+Sales!H105)</f>
        <v>45716</v>
      </c>
      <c r="X105" s="10">
        <f t="shared" si="5"/>
        <v>45747</v>
      </c>
      <c r="Y105" s="10">
        <f t="shared" si="6"/>
        <v>45777</v>
      </c>
      <c r="Z105" t="b">
        <v>0</v>
      </c>
    </row>
    <row r="106" spans="1:26" x14ac:dyDescent="0.2">
      <c r="A106" s="3" t="s">
        <v>386</v>
      </c>
      <c r="B106" s="3" t="s">
        <v>854</v>
      </c>
      <c r="C106" s="3" t="s">
        <v>853</v>
      </c>
      <c r="D106" s="3" t="b">
        <v>1</v>
      </c>
      <c r="E106" s="3" t="b">
        <v>0</v>
      </c>
      <c r="F106" s="3">
        <f>IF(OR(Z106=TRUE,SUMIFS('Cashflow Projection'!$E$117:$E$149,'Cashflow Projection'!$D$117:$D$149,Sales!C106)=1),0,SUMIFS('Cashflow Projection'!$C$7:$C$23,'Cashflow Projection'!$B$7:$B$23,Sales!B106,'Cashflow Projection'!$A$7:$A$23,Sales!A106))</f>
        <v>0</v>
      </c>
      <c r="G106" s="4">
        <v>45518</v>
      </c>
      <c r="H106" s="4">
        <v>45518</v>
      </c>
      <c r="I106" s="3">
        <v>1679900</v>
      </c>
      <c r="J106" s="3">
        <v>219117.39130434781</v>
      </c>
      <c r="K106" s="3">
        <v>1460782.6086956521</v>
      </c>
      <c r="L106" s="3">
        <v>18502.080000000002</v>
      </c>
      <c r="M106" s="3">
        <v>1789</v>
      </c>
      <c r="N106" s="3">
        <v>8399.5</v>
      </c>
      <c r="O106" s="3">
        <v>83995</v>
      </c>
      <c r="P106" s="3">
        <v>19224.37</v>
      </c>
      <c r="Q106" s="3">
        <v>1547990.05</v>
      </c>
      <c r="R106" s="9">
        <f>IF($F106=1,((SUMIFS(Investors!$M:$M,Investors!$E:$E,Sales!$C106,Investors!$O:$O,FALSE)+SUMIFS(Investors!$S:$S,Investors!$E:$E,Sales!$C106,Investors!$O:$O,FALSE))*$F106)-SUMIFS('Investor Exit List'!$Q:$Q,'Investor Exit List'!$Y:$Y,1,'Investor Exit List'!$Z:$Z,"Release",'Investor Exit List'!$C:$C,Sales!$C106),(SUMIFS(Investors!$M:$M,Investors!$E:$E,Sales!$C106,Investors!$O:$O,FALSE)+SUMIFS(Investors!$S:$S,Investors!$E:$E,Sales!$C106,Investors!$O:$O,FALSE))*$F106)</f>
        <v>0</v>
      </c>
      <c r="S106" s="9">
        <f t="shared" si="4"/>
        <v>1547990.05</v>
      </c>
      <c r="T106" s="3" t="b">
        <v>0</v>
      </c>
      <c r="U106" s="4">
        <v>45565</v>
      </c>
      <c r="V106" s="9">
        <v>177320.04853328739</v>
      </c>
      <c r="W106" s="10">
        <f>IF(SUMIFS('Cashflow Projection'!$E$117:$E$149,'Cashflow Projection'!$D$117:$D$149,Sales!C106)=1,SUMIFS('Cashflow Projection'!$C$117:$C$149,'Cashflow Projection'!$D$117:$D$149,Sales!C106),+Sales!H106)</f>
        <v>45518</v>
      </c>
      <c r="X106" s="10">
        <f t="shared" si="5"/>
        <v>45565</v>
      </c>
      <c r="Y106" s="10">
        <f t="shared" si="6"/>
        <v>45596</v>
      </c>
      <c r="Z106" t="b">
        <v>0</v>
      </c>
    </row>
    <row r="107" spans="1:26" x14ac:dyDescent="0.2">
      <c r="A107" s="3" t="s">
        <v>386</v>
      </c>
      <c r="B107" s="3" t="s">
        <v>891</v>
      </c>
      <c r="C107" s="3" t="s">
        <v>909</v>
      </c>
      <c r="D107" s="3" t="b">
        <v>1</v>
      </c>
      <c r="E107" s="3" t="b">
        <v>1</v>
      </c>
      <c r="F107" s="3">
        <f>IF(OR(Z107=TRUE,SUMIFS('Cashflow Projection'!$E$117:$E$149,'Cashflow Projection'!$D$117:$D$149,Sales!C107)=1),0,SUMIFS('Cashflow Projection'!$C$7:$C$23,'Cashflow Projection'!$B$7:$B$23,Sales!B107,'Cashflow Projection'!$A$7:$A$23,Sales!A107))</f>
        <v>1</v>
      </c>
      <c r="G107" s="4">
        <v>45191</v>
      </c>
      <c r="H107" s="4">
        <v>45688</v>
      </c>
      <c r="I107" s="3">
        <v>1769900</v>
      </c>
      <c r="J107" s="3">
        <v>230856.5217391304</v>
      </c>
      <c r="K107" s="3">
        <v>1539043.4782608701</v>
      </c>
      <c r="L107" s="3">
        <v>18502.080000000002</v>
      </c>
      <c r="M107" s="3">
        <v>1789</v>
      </c>
      <c r="N107" s="3">
        <v>8849.5</v>
      </c>
      <c r="O107" s="3">
        <v>88495</v>
      </c>
      <c r="P107" s="3">
        <v>19224.37</v>
      </c>
      <c r="Q107" s="3">
        <v>1633040.05</v>
      </c>
      <c r="R107" s="9">
        <f>IF($F107=1,((SUMIFS(Investors!$M:$M,Investors!$E:$E,Sales!$C107,Investors!$O:$O,FALSE)+SUMIFS(Investors!$S:$S,Investors!$E:$E,Sales!$C107,Investors!$O:$O,FALSE))*$F107)-SUMIFS('Investor Exit List'!$Q:$Q,'Investor Exit List'!$Y:$Y,1,'Investor Exit List'!$Z:$Z,"Release",'Investor Exit List'!$C:$C,Sales!$C107),(SUMIFS(Investors!$M:$M,Investors!$E:$E,Sales!$C107,Investors!$O:$O,FALSE)+SUMIFS(Investors!$S:$S,Investors!$E:$E,Sales!$C107,Investors!$O:$O,FALSE))*$F107)</f>
        <v>1194323.9726027397</v>
      </c>
      <c r="S107" s="9">
        <f t="shared" si="4"/>
        <v>438716.07739726035</v>
      </c>
      <c r="T107" s="3" t="b">
        <v>0</v>
      </c>
      <c r="U107" s="4">
        <v>45747</v>
      </c>
      <c r="V107" s="9">
        <v>438716.07739725988</v>
      </c>
      <c r="W107" s="10">
        <f>IF(SUMIFS('Cashflow Projection'!$E$117:$E$149,'Cashflow Projection'!$D$117:$D$149,Sales!C107)=1,SUMIFS('Cashflow Projection'!$C$117:$C$149,'Cashflow Projection'!$D$117:$D$149,Sales!C107),+Sales!H107)</f>
        <v>45688</v>
      </c>
      <c r="X107" s="10">
        <f t="shared" si="5"/>
        <v>45747</v>
      </c>
      <c r="Y107" s="10">
        <f t="shared" si="6"/>
        <v>45777</v>
      </c>
      <c r="Z107" t="b">
        <v>0</v>
      </c>
    </row>
    <row r="108" spans="1:26" x14ac:dyDescent="0.2">
      <c r="A108" s="3" t="s">
        <v>386</v>
      </c>
      <c r="B108" s="3" t="s">
        <v>628</v>
      </c>
      <c r="C108" s="3" t="s">
        <v>665</v>
      </c>
      <c r="D108" s="3" t="b">
        <v>0</v>
      </c>
      <c r="E108" s="3" t="b">
        <v>0</v>
      </c>
      <c r="F108" s="3">
        <f>IF(OR(Z108=TRUE,SUMIFS('Cashflow Projection'!$E$117:$E$149,'Cashflow Projection'!$D$117:$D$149,Sales!C108)=1),0,SUMIFS('Cashflow Projection'!$C$7:$C$23,'Cashflow Projection'!$B$7:$B$23,Sales!B108,'Cashflow Projection'!$A$7:$A$23,Sales!A108))</f>
        <v>0</v>
      </c>
      <c r="G108" s="4">
        <v>45523</v>
      </c>
      <c r="H108" s="4">
        <v>45532</v>
      </c>
      <c r="I108" s="3">
        <v>1499900</v>
      </c>
      <c r="J108" s="3">
        <v>195639.13043478259</v>
      </c>
      <c r="K108" s="3">
        <v>1304260.869565218</v>
      </c>
      <c r="L108" s="3">
        <v>18502.080000000002</v>
      </c>
      <c r="M108" s="3">
        <v>1789</v>
      </c>
      <c r="N108" s="3">
        <v>7499.5</v>
      </c>
      <c r="O108" s="3">
        <v>74995</v>
      </c>
      <c r="P108" s="3">
        <v>19224.37</v>
      </c>
      <c r="Q108" s="3">
        <v>1377890.05</v>
      </c>
      <c r="R108" s="9">
        <f>IF($F108=1,((SUMIFS(Investors!$M:$M,Investors!$E:$E,Sales!$C108,Investors!$O:$O,FALSE)+SUMIFS(Investors!$S:$S,Investors!$E:$E,Sales!$C108,Investors!$O:$O,FALSE))*$F108)-SUMIFS('Investor Exit List'!$Q:$Q,'Investor Exit List'!$Y:$Y,1,'Investor Exit List'!$Z:$Z,"Release",'Investor Exit List'!$C:$C,Sales!$C108),(SUMIFS(Investors!$M:$M,Investors!$E:$E,Sales!$C108,Investors!$O:$O,FALSE)+SUMIFS(Investors!$S:$S,Investors!$E:$E,Sales!$C108,Investors!$O:$O,FALSE))*$F108)</f>
        <v>0</v>
      </c>
      <c r="S108" s="9">
        <f t="shared" si="4"/>
        <v>1377890.05</v>
      </c>
      <c r="T108" s="3" t="b">
        <v>0</v>
      </c>
      <c r="U108" s="4">
        <v>45565</v>
      </c>
      <c r="V108" s="9">
        <v>94628.867603972554</v>
      </c>
      <c r="W108" s="10">
        <f>IF(SUMIFS('Cashflow Projection'!$E$117:$E$149,'Cashflow Projection'!$D$117:$D$149,Sales!C108)=1,SUMIFS('Cashflow Projection'!$C$117:$C$149,'Cashflow Projection'!$D$117:$D$149,Sales!C108),+Sales!H108)</f>
        <v>45532</v>
      </c>
      <c r="X108" s="10">
        <f t="shared" si="5"/>
        <v>45565</v>
      </c>
      <c r="Y108" s="10">
        <f t="shared" si="6"/>
        <v>45596</v>
      </c>
      <c r="Z108" t="b">
        <v>0</v>
      </c>
    </row>
    <row r="109" spans="1:26" x14ac:dyDescent="0.2">
      <c r="A109" s="3" t="s">
        <v>386</v>
      </c>
      <c r="B109" s="3" t="s">
        <v>750</v>
      </c>
      <c r="C109" s="3" t="s">
        <v>753</v>
      </c>
      <c r="D109" s="3" t="b">
        <v>0</v>
      </c>
      <c r="E109" s="3" t="b">
        <v>0</v>
      </c>
      <c r="F109" s="3">
        <f>IF(OR(Z109=TRUE,SUMIFS('Cashflow Projection'!$E$117:$E$149,'Cashflow Projection'!$D$117:$D$149,Sales!C109)=1),0,SUMIFS('Cashflow Projection'!$C$7:$C$23,'Cashflow Projection'!$B$7:$B$23,Sales!B109,'Cashflow Projection'!$A$7:$A$23,Sales!A109))</f>
        <v>0</v>
      </c>
      <c r="G109" s="4">
        <v>45510</v>
      </c>
      <c r="H109" s="4">
        <v>45625</v>
      </c>
      <c r="I109" s="3">
        <v>1739900</v>
      </c>
      <c r="J109" s="3">
        <v>226943.4782608696</v>
      </c>
      <c r="K109" s="3">
        <v>1512956.5217391311</v>
      </c>
      <c r="L109" s="3">
        <v>18502.080000000002</v>
      </c>
      <c r="M109" s="3">
        <v>1789</v>
      </c>
      <c r="N109" s="3">
        <v>8699.5</v>
      </c>
      <c r="O109" s="3">
        <v>86995</v>
      </c>
      <c r="P109" s="3">
        <v>19224.37</v>
      </c>
      <c r="Q109" s="3">
        <v>1604690.05</v>
      </c>
      <c r="R109" s="9">
        <f>IF($F109=1,((SUMIFS(Investors!$M:$M,Investors!$E:$E,Sales!$C109,Investors!$O:$O,FALSE)+SUMIFS(Investors!$S:$S,Investors!$E:$E,Sales!$C109,Investors!$O:$O,FALSE))*$F109)-SUMIFS('Investor Exit List'!$Q:$Q,'Investor Exit List'!$Y:$Y,1,'Investor Exit List'!$Z:$Z,"Release",'Investor Exit List'!$C:$C,Sales!$C109),(SUMIFS(Investors!$M:$M,Investors!$E:$E,Sales!$C109,Investors!$O:$O,FALSE)+SUMIFS(Investors!$S:$S,Investors!$E:$E,Sales!$C109,Investors!$O:$O,FALSE))*$F109)</f>
        <v>0</v>
      </c>
      <c r="S109" s="9">
        <f t="shared" si="4"/>
        <v>1604690.05</v>
      </c>
      <c r="T109" s="3" t="b">
        <v>0</v>
      </c>
      <c r="U109" s="4">
        <v>45688</v>
      </c>
      <c r="V109" s="9">
        <v>223134.5705479449</v>
      </c>
      <c r="W109" s="10">
        <f>IF(SUMIFS('Cashflow Projection'!$E$117:$E$149,'Cashflow Projection'!$D$117:$D$149,Sales!C109)=1,SUMIFS('Cashflow Projection'!$C$117:$C$149,'Cashflow Projection'!$D$117:$D$149,Sales!C109),+Sales!H109)</f>
        <v>45625</v>
      </c>
      <c r="X109" s="10">
        <f t="shared" si="5"/>
        <v>45688</v>
      </c>
      <c r="Y109" s="10">
        <f t="shared" si="6"/>
        <v>45716</v>
      </c>
      <c r="Z109" t="b">
        <v>0</v>
      </c>
    </row>
    <row r="110" spans="1:26" x14ac:dyDescent="0.2">
      <c r="A110" s="3" t="s">
        <v>992</v>
      </c>
      <c r="B110" s="3" t="s">
        <v>388</v>
      </c>
      <c r="C110" s="3" t="s">
        <v>1021</v>
      </c>
      <c r="D110" s="3" t="b">
        <v>1</v>
      </c>
      <c r="E110" s="3" t="b">
        <v>1</v>
      </c>
      <c r="F110" s="3">
        <f>IF(OR(Z110=TRUE,SUMIFS('Cashflow Projection'!$E$117:$E$149,'Cashflow Projection'!$D$117:$D$149,Sales!C110)=1),0,SUMIFS('Cashflow Projection'!$C$7:$C$23,'Cashflow Projection'!$B$7:$B$23,Sales!B110,'Cashflow Projection'!$A$7:$A$23,Sales!A110))</f>
        <v>0</v>
      </c>
      <c r="G110" s="4">
        <v>45232</v>
      </c>
      <c r="H110" s="4">
        <v>45688</v>
      </c>
      <c r="I110" s="3">
        <v>1479900</v>
      </c>
      <c r="J110" s="3">
        <v>193030.4347826087</v>
      </c>
      <c r="K110" s="3">
        <v>1286869.5652173909</v>
      </c>
      <c r="L110" s="3">
        <v>18502.080000000002</v>
      </c>
      <c r="M110" s="3">
        <v>1789</v>
      </c>
      <c r="N110" s="3">
        <v>7399.5</v>
      </c>
      <c r="O110" s="3">
        <v>73995</v>
      </c>
      <c r="P110" s="3">
        <v>19224.37</v>
      </c>
      <c r="Q110" s="3">
        <v>1358990.05</v>
      </c>
      <c r="R110" s="9">
        <f>IF($F110=1,((SUMIFS(Investors!$M:$M,Investors!$E:$E,Sales!$C110,Investors!$O:$O,FALSE)+SUMIFS(Investors!$S:$S,Investors!$E:$E,Sales!$C110,Investors!$O:$O,FALSE))*$F110)-SUMIFS('Investor Exit List'!$Q:$Q,'Investor Exit List'!$Y:$Y,1,'Investor Exit List'!$Z:$Z,"Release",'Investor Exit List'!$C:$C,Sales!$C110),(SUMIFS(Investors!$M:$M,Investors!$E:$E,Sales!$C110,Investors!$O:$O,FALSE)+SUMIFS(Investors!$S:$S,Investors!$E:$E,Sales!$C110,Investors!$O:$O,FALSE))*$F110)</f>
        <v>0</v>
      </c>
      <c r="S110" s="9">
        <f t="shared" si="4"/>
        <v>1358990.05</v>
      </c>
      <c r="T110" s="3" t="b">
        <v>0</v>
      </c>
      <c r="U110" s="4">
        <v>45747</v>
      </c>
      <c r="V110" s="9">
        <v>43323.269178082002</v>
      </c>
      <c r="W110" s="10">
        <f>IF(SUMIFS('Cashflow Projection'!$E$117:$E$149,'Cashflow Projection'!$D$117:$D$149,Sales!C110)=1,SUMIFS('Cashflow Projection'!$C$117:$C$149,'Cashflow Projection'!$D$117:$D$149,Sales!C110),+Sales!H110)</f>
        <v>45688</v>
      </c>
      <c r="X110" s="10">
        <f t="shared" si="5"/>
        <v>45747</v>
      </c>
      <c r="Y110" s="10">
        <f t="shared" si="6"/>
        <v>45777</v>
      </c>
      <c r="Z110" t="b">
        <v>0</v>
      </c>
    </row>
    <row r="111" spans="1:26" x14ac:dyDescent="0.2">
      <c r="A111" s="3" t="s">
        <v>992</v>
      </c>
      <c r="B111" s="3" t="s">
        <v>497</v>
      </c>
      <c r="C111" s="3" t="s">
        <v>1022</v>
      </c>
      <c r="D111" s="3" t="b">
        <v>1</v>
      </c>
      <c r="E111" s="3" t="b">
        <v>1</v>
      </c>
      <c r="F111" s="3">
        <f>IF(OR(Z111=TRUE,SUMIFS('Cashflow Projection'!$E$117:$E$149,'Cashflow Projection'!$D$117:$D$149,Sales!C111)=1),0,SUMIFS('Cashflow Projection'!$C$7:$C$23,'Cashflow Projection'!$B$7:$B$23,Sales!B111,'Cashflow Projection'!$A$7:$A$23,Sales!A111))</f>
        <v>0</v>
      </c>
      <c r="G111" s="4">
        <v>44701</v>
      </c>
      <c r="H111" s="4">
        <v>45688</v>
      </c>
      <c r="I111" s="3">
        <v>1249900</v>
      </c>
      <c r="J111" s="3">
        <v>163030.4347826087</v>
      </c>
      <c r="K111" s="3">
        <v>1086869.5652173909</v>
      </c>
      <c r="L111" s="3">
        <v>18502.080000000002</v>
      </c>
      <c r="M111" s="3">
        <v>1789</v>
      </c>
      <c r="N111" s="3">
        <v>6249.5</v>
      </c>
      <c r="O111" s="3">
        <v>62495</v>
      </c>
      <c r="P111" s="3">
        <v>19224.37</v>
      </c>
      <c r="Q111" s="3">
        <v>1141640.05</v>
      </c>
      <c r="R111" s="9">
        <f>IF($F111=1,((SUMIFS(Investors!$M:$M,Investors!$E:$E,Sales!$C111,Investors!$O:$O,FALSE)+SUMIFS(Investors!$S:$S,Investors!$E:$E,Sales!$C111,Investors!$O:$O,FALSE))*$F111)-SUMIFS('Investor Exit List'!$Q:$Q,'Investor Exit List'!$Y:$Y,1,'Investor Exit List'!$Z:$Z,"Release",'Investor Exit List'!$C:$C,Sales!$C111),(SUMIFS(Investors!$M:$M,Investors!$E:$E,Sales!$C111,Investors!$O:$O,FALSE)+SUMIFS(Investors!$S:$S,Investors!$E:$E,Sales!$C111,Investors!$O:$O,FALSE))*$F111)</f>
        <v>0</v>
      </c>
      <c r="S111" s="9">
        <f t="shared" si="4"/>
        <v>1141640.05</v>
      </c>
      <c r="T111" s="3" t="b">
        <v>0</v>
      </c>
      <c r="U111" s="4">
        <v>45747</v>
      </c>
      <c r="V111" s="9">
        <v>-139975.14329356159</v>
      </c>
      <c r="W111" s="10">
        <f>IF(SUMIFS('Cashflow Projection'!$E$117:$E$149,'Cashflow Projection'!$D$117:$D$149,Sales!C111)=1,SUMIFS('Cashflow Projection'!$C$117:$C$149,'Cashflow Projection'!$D$117:$D$149,Sales!C111),+Sales!H111)</f>
        <v>45688</v>
      </c>
      <c r="X111" s="10">
        <f t="shared" si="5"/>
        <v>45747</v>
      </c>
      <c r="Y111" s="10">
        <f t="shared" si="6"/>
        <v>45777</v>
      </c>
      <c r="Z111" t="b">
        <v>0</v>
      </c>
    </row>
    <row r="112" spans="1:26" x14ac:dyDescent="0.2">
      <c r="A112" s="3" t="s">
        <v>992</v>
      </c>
      <c r="B112" s="3" t="s">
        <v>497</v>
      </c>
      <c r="C112" s="3" t="s">
        <v>1023</v>
      </c>
      <c r="D112" s="3" t="b">
        <v>1</v>
      </c>
      <c r="E112" s="3" t="b">
        <v>1</v>
      </c>
      <c r="F112" s="3">
        <f>IF(OR(Z112=TRUE,SUMIFS('Cashflow Projection'!$E$117:$E$149,'Cashflow Projection'!$D$117:$D$149,Sales!C112)=1),0,SUMIFS('Cashflow Projection'!$C$7:$C$23,'Cashflow Projection'!$B$7:$B$23,Sales!B112,'Cashflow Projection'!$A$7:$A$23,Sales!A112))</f>
        <v>0</v>
      </c>
      <c r="G112" s="4">
        <v>44657</v>
      </c>
      <c r="H112" s="4">
        <v>45688</v>
      </c>
      <c r="I112" s="3">
        <v>1309900</v>
      </c>
      <c r="J112" s="3">
        <v>170856.5217391304</v>
      </c>
      <c r="K112" s="3">
        <v>1139043.4782608701</v>
      </c>
      <c r="L112" s="3">
        <v>18502.080000000002</v>
      </c>
      <c r="M112" s="3">
        <v>1789</v>
      </c>
      <c r="N112" s="3">
        <v>6549.5</v>
      </c>
      <c r="O112" s="3">
        <v>65495</v>
      </c>
      <c r="P112" s="3">
        <v>19224.37</v>
      </c>
      <c r="Q112" s="3">
        <v>1198340.05</v>
      </c>
      <c r="R112" s="9">
        <f>IF($F112=1,((SUMIFS(Investors!$M:$M,Investors!$E:$E,Sales!$C112,Investors!$O:$O,FALSE)+SUMIFS(Investors!$S:$S,Investors!$E:$E,Sales!$C112,Investors!$O:$O,FALSE))*$F112)-SUMIFS('Investor Exit List'!$Q:$Q,'Investor Exit List'!$Y:$Y,1,'Investor Exit List'!$Z:$Z,"Release",'Investor Exit List'!$C:$C,Sales!$C112),(SUMIFS(Investors!$M:$M,Investors!$E:$E,Sales!$C112,Investors!$O:$O,FALSE)+SUMIFS(Investors!$S:$S,Investors!$E:$E,Sales!$C112,Investors!$O:$O,FALSE))*$F112)</f>
        <v>0</v>
      </c>
      <c r="S112" s="9">
        <f t="shared" si="4"/>
        <v>1198340.05</v>
      </c>
      <c r="T112" s="3" t="b">
        <v>0</v>
      </c>
      <c r="U112" s="4">
        <v>45747</v>
      </c>
      <c r="V112" s="9">
        <v>121559.04335602721</v>
      </c>
      <c r="W112" s="10">
        <f>IF(SUMIFS('Cashflow Projection'!$E$117:$E$149,'Cashflow Projection'!$D$117:$D$149,Sales!C112)=1,SUMIFS('Cashflow Projection'!$C$117:$C$149,'Cashflow Projection'!$D$117:$D$149,Sales!C112),+Sales!H112)</f>
        <v>45688</v>
      </c>
      <c r="X112" s="10">
        <f t="shared" si="5"/>
        <v>45747</v>
      </c>
      <c r="Y112" s="10">
        <f t="shared" si="6"/>
        <v>45777</v>
      </c>
      <c r="Z112" t="b">
        <v>0</v>
      </c>
    </row>
    <row r="113" spans="1:26" x14ac:dyDescent="0.2">
      <c r="A113" s="3" t="s">
        <v>24</v>
      </c>
      <c r="B113" s="3" t="s">
        <v>209</v>
      </c>
      <c r="C113" s="3" t="s">
        <v>246</v>
      </c>
      <c r="D113" s="3" t="b">
        <v>1</v>
      </c>
      <c r="E113" s="3" t="b">
        <v>1</v>
      </c>
      <c r="F113" s="3">
        <f>IF(OR(Z113=TRUE,SUMIFS('Cashflow Projection'!$E$117:$E$149,'Cashflow Projection'!$D$117:$D$149,Sales!C113)=1),0,SUMIFS('Cashflow Projection'!$C$7:$C$23,'Cashflow Projection'!$B$7:$B$23,Sales!B113,'Cashflow Projection'!$A$7:$A$23,Sales!A113))</f>
        <v>1</v>
      </c>
      <c r="G113" s="4">
        <v>44956</v>
      </c>
      <c r="H113" s="4">
        <v>45688</v>
      </c>
      <c r="I113" s="3">
        <v>1529900</v>
      </c>
      <c r="J113" s="3">
        <v>199552.17391304349</v>
      </c>
      <c r="K113" s="3">
        <v>1330347.826086957</v>
      </c>
      <c r="L113" s="3">
        <v>18502.080000000002</v>
      </c>
      <c r="M113" s="3">
        <v>1789</v>
      </c>
      <c r="N113" s="3">
        <v>7649.5</v>
      </c>
      <c r="O113" s="3">
        <v>76495</v>
      </c>
      <c r="P113" s="3">
        <v>19224.37</v>
      </c>
      <c r="Q113" s="3">
        <v>1406240.05</v>
      </c>
      <c r="R113" s="9">
        <f>IF($F113=1,((SUMIFS(Investors!$M:$M,Investors!$E:$E,Sales!$C113,Investors!$O:$O,FALSE)+SUMIFS(Investors!$S:$S,Investors!$E:$E,Sales!$C113,Investors!$O:$O,FALSE))*$F113)-SUMIFS('Investor Exit List'!$Q:$Q,'Investor Exit List'!$Y:$Y,1,'Investor Exit List'!$Z:$Z,"Release",'Investor Exit List'!$C:$C,Sales!$C113),(SUMIFS(Investors!$M:$M,Investors!$E:$E,Sales!$C113,Investors!$O:$O,FALSE)+SUMIFS(Investors!$S:$S,Investors!$E:$E,Sales!$C113,Investors!$O:$O,FALSE))*$F113)</f>
        <v>1143047.9452054794</v>
      </c>
      <c r="S113" s="9">
        <f t="shared" si="4"/>
        <v>263192.10479452065</v>
      </c>
      <c r="T113" s="3" t="b">
        <v>0</v>
      </c>
      <c r="U113" s="4">
        <v>45747</v>
      </c>
      <c r="V113" s="9">
        <v>263192.10479452042</v>
      </c>
      <c r="W113" s="10">
        <f>IF(SUMIFS('Cashflow Projection'!$E$117:$E$149,'Cashflow Projection'!$D$117:$D$149,Sales!C113)=1,SUMIFS('Cashflow Projection'!$C$117:$C$149,'Cashflow Projection'!$D$117:$D$149,Sales!C113),+Sales!H113)</f>
        <v>45688</v>
      </c>
      <c r="X113" s="10">
        <f t="shared" si="5"/>
        <v>45747</v>
      </c>
      <c r="Y113" s="10">
        <f t="shared" si="6"/>
        <v>45777</v>
      </c>
      <c r="Z113" t="b">
        <v>0</v>
      </c>
    </row>
    <row r="114" spans="1:26" x14ac:dyDescent="0.2">
      <c r="A114" s="3" t="s">
        <v>24</v>
      </c>
      <c r="B114" s="3" t="s">
        <v>209</v>
      </c>
      <c r="C114" s="3" t="s">
        <v>334</v>
      </c>
      <c r="D114" s="3" t="b">
        <v>0</v>
      </c>
      <c r="E114" s="3" t="b">
        <v>0</v>
      </c>
      <c r="F114" s="3">
        <f>IF(OR(Z114=TRUE,SUMIFS('Cashflow Projection'!$E$117:$E$149,'Cashflow Projection'!$D$117:$D$149,Sales!C114)=1),0,SUMIFS('Cashflow Projection'!$C$7:$C$23,'Cashflow Projection'!$B$7:$B$23,Sales!B114,'Cashflow Projection'!$A$7:$A$23,Sales!A114))</f>
        <v>1</v>
      </c>
      <c r="G114" s="4">
        <v>45471</v>
      </c>
      <c r="H114" s="4">
        <v>45458</v>
      </c>
      <c r="I114" s="3">
        <v>1449900</v>
      </c>
      <c r="J114" s="3">
        <v>0</v>
      </c>
      <c r="K114" s="3">
        <v>1260782.6086956521</v>
      </c>
      <c r="L114" s="3">
        <v>18502.080000000002</v>
      </c>
      <c r="M114" s="3">
        <v>1789</v>
      </c>
      <c r="N114" s="3">
        <v>7249.5</v>
      </c>
      <c r="O114" s="3">
        <v>72495</v>
      </c>
      <c r="P114" s="3">
        <v>19224.37</v>
      </c>
      <c r="Q114" s="3">
        <v>1330640.05</v>
      </c>
      <c r="R114" s="9">
        <f>IF($F114=1,((SUMIFS(Investors!$M:$M,Investors!$E:$E,Sales!$C114,Investors!$O:$O,FALSE)+SUMIFS(Investors!$S:$S,Investors!$E:$E,Sales!$C114,Investors!$O:$O,FALSE))*$F114)-SUMIFS('Investor Exit List'!$Q:$Q,'Investor Exit List'!$Y:$Y,1,'Investor Exit List'!$Z:$Z,"Release",'Investor Exit List'!$C:$C,Sales!$C114),(SUMIFS(Investors!$M:$M,Investors!$E:$E,Sales!$C114,Investors!$O:$O,FALSE)+SUMIFS(Investors!$S:$S,Investors!$E:$E,Sales!$C114,Investors!$O:$O,FALSE))*$F114)</f>
        <v>0</v>
      </c>
      <c r="S114" s="9">
        <f t="shared" si="4"/>
        <v>892400</v>
      </c>
      <c r="T114" s="3" t="b">
        <v>1</v>
      </c>
      <c r="U114" s="4">
        <v>45504</v>
      </c>
      <c r="V114" s="9">
        <v>892400</v>
      </c>
      <c r="W114" s="10">
        <f>IF(SUMIFS('Cashflow Projection'!$E$117:$E$149,'Cashflow Projection'!$D$117:$D$149,Sales!C114)=1,SUMIFS('Cashflow Projection'!$C$117:$C$149,'Cashflow Projection'!$D$117:$D$149,Sales!C114),+Sales!H114)</f>
        <v>45458</v>
      </c>
      <c r="X114" s="10">
        <f t="shared" si="5"/>
        <v>45504</v>
      </c>
      <c r="Y114" s="10">
        <f t="shared" si="6"/>
        <v>45535</v>
      </c>
      <c r="Z114" t="b">
        <v>0</v>
      </c>
    </row>
    <row r="115" spans="1:26" x14ac:dyDescent="0.2">
      <c r="A115" s="3" t="s">
        <v>24</v>
      </c>
      <c r="B115" s="3" t="s">
        <v>209</v>
      </c>
      <c r="C115" s="3" t="s">
        <v>379</v>
      </c>
      <c r="D115" s="3" t="b">
        <v>1</v>
      </c>
      <c r="E115" s="3" t="b">
        <v>1</v>
      </c>
      <c r="F115" s="3">
        <f>IF(OR(Z115=TRUE,SUMIFS('Cashflow Projection'!$E$117:$E$149,'Cashflow Projection'!$D$117:$D$149,Sales!C115)=1),0,SUMIFS('Cashflow Projection'!$C$7:$C$23,'Cashflow Projection'!$B$7:$B$23,Sales!B115,'Cashflow Projection'!$A$7:$A$23,Sales!A115))</f>
        <v>1</v>
      </c>
      <c r="G115" s="4">
        <v>45014</v>
      </c>
      <c r="H115" s="4">
        <v>45688</v>
      </c>
      <c r="I115" s="3">
        <v>1449900</v>
      </c>
      <c r="J115" s="3">
        <v>189117.39130434781</v>
      </c>
      <c r="K115" s="3">
        <v>1260782.6086956521</v>
      </c>
      <c r="L115" s="3">
        <v>18502.080000000002</v>
      </c>
      <c r="M115" s="3">
        <v>1789</v>
      </c>
      <c r="N115" s="3">
        <v>7249.5</v>
      </c>
      <c r="O115" s="3">
        <v>72495</v>
      </c>
      <c r="P115" s="3">
        <v>19224.37</v>
      </c>
      <c r="Q115" s="3">
        <v>1330640.05</v>
      </c>
      <c r="R115" s="9">
        <f>IF($F115=1,((SUMIFS(Investors!$M:$M,Investors!$E:$E,Sales!$C115,Investors!$O:$O,FALSE)+SUMIFS(Investors!$S:$S,Investors!$E:$E,Sales!$C115,Investors!$O:$O,FALSE))*$F115)-SUMIFS('Investor Exit List'!$Q:$Q,'Investor Exit List'!$Y:$Y,1,'Investor Exit List'!$Z:$Z,"Release",'Investor Exit List'!$C:$C,Sales!$C115),(SUMIFS(Investors!$M:$M,Investors!$E:$E,Sales!$C115,Investors!$O:$O,FALSE)+SUMIFS(Investors!$S:$S,Investors!$E:$E,Sales!$C115,Investors!$O:$O,FALSE))*$F115)</f>
        <v>1239575.3424657534</v>
      </c>
      <c r="S115" s="9">
        <f t="shared" si="4"/>
        <v>91064.707534246612</v>
      </c>
      <c r="T115" s="3" t="b">
        <v>0</v>
      </c>
      <c r="U115" s="4">
        <v>45747</v>
      </c>
      <c r="V115" s="9">
        <v>91064.70753424638</v>
      </c>
      <c r="W115" s="10">
        <f>IF(SUMIFS('Cashflow Projection'!$E$117:$E$149,'Cashflow Projection'!$D$117:$D$149,Sales!C115)=1,SUMIFS('Cashflow Projection'!$C$117:$C$149,'Cashflow Projection'!$D$117:$D$149,Sales!C115),+Sales!H115)</f>
        <v>45688</v>
      </c>
      <c r="X115" s="10">
        <f t="shared" si="5"/>
        <v>45747</v>
      </c>
      <c r="Y115" s="10">
        <f t="shared" si="6"/>
        <v>45777</v>
      </c>
      <c r="Z115" t="b">
        <v>0</v>
      </c>
    </row>
    <row r="116" spans="1:26" x14ac:dyDescent="0.2">
      <c r="A116" s="3" t="s">
        <v>386</v>
      </c>
      <c r="B116" s="3" t="s">
        <v>711</v>
      </c>
      <c r="C116" s="3" t="s">
        <v>727</v>
      </c>
      <c r="D116" s="3" t="b">
        <v>0</v>
      </c>
      <c r="E116" s="3" t="b">
        <v>0</v>
      </c>
      <c r="F116" s="3">
        <f>IF(OR(Z116=TRUE,SUMIFS('Cashflow Projection'!$E$117:$E$149,'Cashflow Projection'!$D$117:$D$149,Sales!C116)=1),0,SUMIFS('Cashflow Projection'!$C$7:$C$23,'Cashflow Projection'!$B$7:$B$23,Sales!B116,'Cashflow Projection'!$A$7:$A$23,Sales!A116))</f>
        <v>0</v>
      </c>
      <c r="G116" s="4">
        <v>45552</v>
      </c>
      <c r="H116" s="4">
        <v>45552</v>
      </c>
      <c r="I116" s="3">
        <v>1599900</v>
      </c>
      <c r="J116" s="3">
        <v>208682.60869565219</v>
      </c>
      <c r="K116" s="3">
        <v>1391217.3913043479</v>
      </c>
      <c r="L116" s="3">
        <v>18502.080000000002</v>
      </c>
      <c r="M116" s="3">
        <v>1789</v>
      </c>
      <c r="N116" s="3">
        <v>7999.5</v>
      </c>
      <c r="O116" s="3">
        <v>79995</v>
      </c>
      <c r="P116" s="3">
        <v>19224.37</v>
      </c>
      <c r="Q116" s="3">
        <v>1472390.05</v>
      </c>
      <c r="R116" s="9">
        <f>IF($F116=1,((SUMIFS(Investors!$M:$M,Investors!$E:$E,Sales!$C116,Investors!$O:$O,FALSE)+SUMIFS(Investors!$S:$S,Investors!$E:$E,Sales!$C116,Investors!$O:$O,FALSE))*$F116)-SUMIFS('Investor Exit List'!$Q:$Q,'Investor Exit List'!$Y:$Y,1,'Investor Exit List'!$Z:$Z,"Release",'Investor Exit List'!$C:$C,Sales!$C116),(SUMIFS(Investors!$M:$M,Investors!$E:$E,Sales!$C116,Investors!$O:$O,FALSE)+SUMIFS(Investors!$S:$S,Investors!$E:$E,Sales!$C116,Investors!$O:$O,FALSE))*$F116)</f>
        <v>0</v>
      </c>
      <c r="S116" s="9">
        <f t="shared" si="4"/>
        <v>1472390.05</v>
      </c>
      <c r="T116" s="3" t="b">
        <v>0</v>
      </c>
      <c r="U116" s="4">
        <v>45626</v>
      </c>
      <c r="V116" s="9">
        <v>86458.543150684796</v>
      </c>
      <c r="W116" s="10">
        <f>IF(SUMIFS('Cashflow Projection'!$E$117:$E$149,'Cashflow Projection'!$D$117:$D$149,Sales!C116)=1,SUMIFS('Cashflow Projection'!$C$117:$C$149,'Cashflow Projection'!$D$117:$D$149,Sales!C116),+Sales!H116)</f>
        <v>45552</v>
      </c>
      <c r="X116" s="10">
        <f t="shared" si="5"/>
        <v>45626</v>
      </c>
      <c r="Y116" s="10">
        <f t="shared" si="6"/>
        <v>45657</v>
      </c>
      <c r="Z116" t="b">
        <v>0</v>
      </c>
    </row>
    <row r="117" spans="1:26" x14ac:dyDescent="0.2">
      <c r="A117" s="3" t="s">
        <v>386</v>
      </c>
      <c r="B117" s="3" t="s">
        <v>628</v>
      </c>
      <c r="C117" s="3" t="s">
        <v>644</v>
      </c>
      <c r="D117" s="3" t="b">
        <v>0</v>
      </c>
      <c r="E117" s="3" t="b">
        <v>0</v>
      </c>
      <c r="F117" s="3">
        <f>IF(OR(Z117=TRUE,SUMIFS('Cashflow Projection'!$E$117:$E$149,'Cashflow Projection'!$D$117:$D$149,Sales!C117)=1),0,SUMIFS('Cashflow Projection'!$C$7:$C$23,'Cashflow Projection'!$B$7:$B$23,Sales!B117,'Cashflow Projection'!$A$7:$A$23,Sales!A117))</f>
        <v>0</v>
      </c>
      <c r="G117" s="4">
        <v>45523</v>
      </c>
      <c r="H117" s="4">
        <v>45532</v>
      </c>
      <c r="I117" s="3">
        <v>1449900</v>
      </c>
      <c r="J117" s="3">
        <v>189117.39130434781</v>
      </c>
      <c r="K117" s="3">
        <v>1260782.6086956521</v>
      </c>
      <c r="L117" s="3">
        <v>18502.080000000002</v>
      </c>
      <c r="M117" s="3">
        <v>1789</v>
      </c>
      <c r="N117" s="3">
        <v>7249.5</v>
      </c>
      <c r="O117" s="3">
        <v>72495</v>
      </c>
      <c r="P117" s="3">
        <v>19224.37</v>
      </c>
      <c r="Q117" s="3">
        <v>1330640.05</v>
      </c>
      <c r="R117" s="9">
        <f>IF($F117=1,((SUMIFS(Investors!$M:$M,Investors!$E:$E,Sales!$C117,Investors!$O:$O,FALSE)+SUMIFS(Investors!$S:$S,Investors!$E:$E,Sales!$C117,Investors!$O:$O,FALSE))*$F117)-SUMIFS('Investor Exit List'!$Q:$Q,'Investor Exit List'!$Y:$Y,1,'Investor Exit List'!$Z:$Z,"Release",'Investor Exit List'!$C:$C,Sales!$C117),(SUMIFS(Investors!$M:$M,Investors!$E:$E,Sales!$C117,Investors!$O:$O,FALSE)+SUMIFS(Investors!$S:$S,Investors!$E:$E,Sales!$C117,Investors!$O:$O,FALSE))*$F117)</f>
        <v>0</v>
      </c>
      <c r="S117" s="9">
        <f t="shared" si="4"/>
        <v>1330640.05</v>
      </c>
      <c r="T117" s="3" t="b">
        <v>0</v>
      </c>
      <c r="U117" s="4">
        <v>45565</v>
      </c>
      <c r="V117" s="9">
        <v>-35901.045890411129</v>
      </c>
      <c r="W117" s="10">
        <f>IF(SUMIFS('Cashflow Projection'!$E$117:$E$149,'Cashflow Projection'!$D$117:$D$149,Sales!C117)=1,SUMIFS('Cashflow Projection'!$C$117:$C$149,'Cashflow Projection'!$D$117:$D$149,Sales!C117),+Sales!H117)</f>
        <v>45532</v>
      </c>
      <c r="X117" s="10">
        <f t="shared" si="5"/>
        <v>45565</v>
      </c>
      <c r="Y117" s="10">
        <f t="shared" si="6"/>
        <v>45596</v>
      </c>
      <c r="Z117" t="b">
        <v>0</v>
      </c>
    </row>
    <row r="118" spans="1:26" x14ac:dyDescent="0.2">
      <c r="A118" s="3" t="s">
        <v>386</v>
      </c>
      <c r="B118" s="3" t="s">
        <v>811</v>
      </c>
      <c r="C118" s="3" t="s">
        <v>812</v>
      </c>
      <c r="D118" s="3" t="b">
        <v>0</v>
      </c>
      <c r="E118" s="3" t="b">
        <v>0</v>
      </c>
      <c r="F118" s="3">
        <f>IF(OR(Z118=TRUE,SUMIFS('Cashflow Projection'!$E$117:$E$149,'Cashflow Projection'!$D$117:$D$149,Sales!C118)=1),0,SUMIFS('Cashflow Projection'!$C$7:$C$23,'Cashflow Projection'!$B$7:$B$23,Sales!B118,'Cashflow Projection'!$A$7:$A$23,Sales!A118))</f>
        <v>0</v>
      </c>
      <c r="G118" s="4">
        <v>45450</v>
      </c>
      <c r="H118" s="4">
        <v>45583</v>
      </c>
      <c r="I118" s="3">
        <v>1649900</v>
      </c>
      <c r="J118" s="3">
        <v>215204.34782608689</v>
      </c>
      <c r="K118" s="3">
        <v>1434695.6521739131</v>
      </c>
      <c r="L118" s="3">
        <v>18502.080000000002</v>
      </c>
      <c r="M118" s="3">
        <v>1789</v>
      </c>
      <c r="N118" s="3">
        <v>8249.5</v>
      </c>
      <c r="O118" s="3">
        <v>82495</v>
      </c>
      <c r="P118" s="3">
        <v>19224.37</v>
      </c>
      <c r="Q118" s="3">
        <v>1519640.05</v>
      </c>
      <c r="R118" s="9">
        <f>IF($F118=1,((SUMIFS(Investors!$M:$M,Investors!$E:$E,Sales!$C118,Investors!$O:$O,FALSE)+SUMIFS(Investors!$S:$S,Investors!$E:$E,Sales!$C118,Investors!$O:$O,FALSE))*$F118)-SUMIFS('Investor Exit List'!$Q:$Q,'Investor Exit List'!$Y:$Y,1,'Investor Exit List'!$Z:$Z,"Release",'Investor Exit List'!$C:$C,Sales!$C118),(SUMIFS(Investors!$M:$M,Investors!$E:$E,Sales!$C118,Investors!$O:$O,FALSE)+SUMIFS(Investors!$S:$S,Investors!$E:$E,Sales!$C118,Investors!$O:$O,FALSE))*$F118)</f>
        <v>0</v>
      </c>
      <c r="S118" s="9">
        <f t="shared" si="4"/>
        <v>1519640.05</v>
      </c>
      <c r="T118" s="3" t="b">
        <v>0</v>
      </c>
      <c r="U118" s="4">
        <v>45626</v>
      </c>
      <c r="V118" s="9">
        <v>208598.76802356169</v>
      </c>
      <c r="W118" s="10">
        <f>IF(SUMIFS('Cashflow Projection'!$E$117:$E$149,'Cashflow Projection'!$D$117:$D$149,Sales!C118)=1,SUMIFS('Cashflow Projection'!$C$117:$C$149,'Cashflow Projection'!$D$117:$D$149,Sales!C118),+Sales!H118)</f>
        <v>45583</v>
      </c>
      <c r="X118" s="10">
        <f t="shared" si="5"/>
        <v>45626</v>
      </c>
      <c r="Y118" s="10">
        <f t="shared" si="6"/>
        <v>45657</v>
      </c>
      <c r="Z118" t="b">
        <v>0</v>
      </c>
    </row>
    <row r="119" spans="1:26" x14ac:dyDescent="0.2">
      <c r="A119" s="3" t="s">
        <v>386</v>
      </c>
      <c r="B119" s="3" t="s">
        <v>684</v>
      </c>
      <c r="C119" s="3" t="s">
        <v>702</v>
      </c>
      <c r="D119" s="3" t="b">
        <v>0</v>
      </c>
      <c r="E119" s="3" t="b">
        <v>0</v>
      </c>
      <c r="F119" s="3">
        <f>IF(OR(Z119=TRUE,SUMIFS('Cashflow Projection'!$E$117:$E$149,'Cashflow Projection'!$D$117:$D$149,Sales!C119)=1),0,SUMIFS('Cashflow Projection'!$C$7:$C$23,'Cashflow Projection'!$B$7:$B$23,Sales!B119,'Cashflow Projection'!$A$7:$A$23,Sales!A119))</f>
        <v>0</v>
      </c>
      <c r="G119" s="4">
        <v>45491</v>
      </c>
      <c r="H119" s="4">
        <v>45596</v>
      </c>
      <c r="I119" s="3">
        <v>1649900</v>
      </c>
      <c r="J119" s="3">
        <v>215204.34782608689</v>
      </c>
      <c r="K119" s="3">
        <v>1434695.6521739131</v>
      </c>
      <c r="L119" s="3">
        <v>18502.080000000002</v>
      </c>
      <c r="M119" s="3">
        <v>1789</v>
      </c>
      <c r="N119" s="3">
        <v>8249.5</v>
      </c>
      <c r="O119" s="3">
        <v>82495</v>
      </c>
      <c r="P119" s="3">
        <v>19224.37</v>
      </c>
      <c r="Q119" s="3">
        <v>1519640.05</v>
      </c>
      <c r="R119" s="9">
        <f>IF($F119=1,((SUMIFS(Investors!$M:$M,Investors!$E:$E,Sales!$C119,Investors!$O:$O,FALSE)+SUMIFS(Investors!$S:$S,Investors!$E:$E,Sales!$C119,Investors!$O:$O,FALSE))*$F119)-SUMIFS('Investor Exit List'!$Q:$Q,'Investor Exit List'!$Y:$Y,1,'Investor Exit List'!$Z:$Z,"Release",'Investor Exit List'!$C:$C,Sales!$C119),(SUMIFS(Investors!$M:$M,Investors!$E:$E,Sales!$C119,Investors!$O:$O,FALSE)+SUMIFS(Investors!$S:$S,Investors!$E:$E,Sales!$C119,Investors!$O:$O,FALSE))*$F119)</f>
        <v>0</v>
      </c>
      <c r="S119" s="9">
        <f t="shared" si="4"/>
        <v>1519640.05</v>
      </c>
      <c r="T119" s="3" t="b">
        <v>0</v>
      </c>
      <c r="U119" s="4">
        <v>45626</v>
      </c>
      <c r="V119" s="9">
        <v>239311.2828767123</v>
      </c>
      <c r="W119" s="10">
        <f>IF(SUMIFS('Cashflow Projection'!$E$117:$E$149,'Cashflow Projection'!$D$117:$D$149,Sales!C119)=1,SUMIFS('Cashflow Projection'!$C$117:$C$149,'Cashflow Projection'!$D$117:$D$149,Sales!C119),+Sales!H119)</f>
        <v>45596</v>
      </c>
      <c r="X119" s="10">
        <f t="shared" si="5"/>
        <v>45626</v>
      </c>
      <c r="Y119" s="10">
        <f t="shared" si="6"/>
        <v>45657</v>
      </c>
      <c r="Z119" t="b">
        <v>0</v>
      </c>
    </row>
    <row r="120" spans="1:26" x14ac:dyDescent="0.2">
      <c r="A120" s="3" t="s">
        <v>386</v>
      </c>
      <c r="B120" s="3" t="s">
        <v>569</v>
      </c>
      <c r="C120" s="3" t="s">
        <v>590</v>
      </c>
      <c r="D120" s="3" t="b">
        <v>0</v>
      </c>
      <c r="E120" s="3" t="b">
        <v>0</v>
      </c>
      <c r="F120" s="3">
        <f>IF(OR(Z120=TRUE,SUMIFS('Cashflow Projection'!$E$117:$E$149,'Cashflow Projection'!$D$117:$D$149,Sales!C120)=1),0,SUMIFS('Cashflow Projection'!$C$7:$C$23,'Cashflow Projection'!$B$7:$B$23,Sales!B120,'Cashflow Projection'!$A$7:$A$23,Sales!A120))</f>
        <v>0</v>
      </c>
      <c r="G120" s="4">
        <v>45685</v>
      </c>
      <c r="H120" s="4">
        <v>45685</v>
      </c>
      <c r="I120" s="3">
        <v>1549900</v>
      </c>
      <c r="J120" s="3">
        <v>202160.86956521741</v>
      </c>
      <c r="K120" s="3">
        <v>1347739.1304347829</v>
      </c>
      <c r="L120" s="3">
        <v>18502.080000000002</v>
      </c>
      <c r="M120" s="3">
        <v>1789</v>
      </c>
      <c r="N120" s="3">
        <v>7749.5</v>
      </c>
      <c r="O120" s="3">
        <v>77495</v>
      </c>
      <c r="P120" s="3">
        <v>19224.37</v>
      </c>
      <c r="Q120" s="3">
        <v>1425140.05</v>
      </c>
      <c r="R120" s="9">
        <f>IF($F120=1,((SUMIFS(Investors!$M:$M,Investors!$E:$E,Sales!$C120,Investors!$O:$O,FALSE)+SUMIFS(Investors!$S:$S,Investors!$E:$E,Sales!$C120,Investors!$O:$O,FALSE))*$F120)-SUMIFS('Investor Exit List'!$Q:$Q,'Investor Exit List'!$Y:$Y,1,'Investor Exit List'!$Z:$Z,"Release",'Investor Exit List'!$C:$C,Sales!$C120),(SUMIFS(Investors!$M:$M,Investors!$E:$E,Sales!$C120,Investors!$O:$O,FALSE)+SUMIFS(Investors!$S:$S,Investors!$E:$E,Sales!$C120,Investors!$O:$O,FALSE))*$F120)</f>
        <v>0</v>
      </c>
      <c r="S120" s="9">
        <f t="shared" si="4"/>
        <v>1425140.05</v>
      </c>
      <c r="T120" s="3" t="b">
        <v>0</v>
      </c>
      <c r="U120" s="4">
        <v>45747</v>
      </c>
      <c r="V120" s="9">
        <v>-31692.826712328941</v>
      </c>
      <c r="W120" s="10">
        <f>IF(SUMIFS('Cashflow Projection'!$E$117:$E$149,'Cashflow Projection'!$D$117:$D$149,Sales!C120)=1,SUMIFS('Cashflow Projection'!$C$117:$C$149,'Cashflow Projection'!$D$117:$D$149,Sales!C120),+Sales!H120)</f>
        <v>45685</v>
      </c>
      <c r="X120" s="10">
        <f t="shared" si="5"/>
        <v>45747</v>
      </c>
      <c r="Y120" s="10">
        <f t="shared" si="6"/>
        <v>45777</v>
      </c>
      <c r="Z120" t="b">
        <v>0</v>
      </c>
    </row>
    <row r="121" spans="1:26" x14ac:dyDescent="0.2">
      <c r="A121" s="3" t="s">
        <v>386</v>
      </c>
      <c r="B121" s="3" t="s">
        <v>569</v>
      </c>
      <c r="C121" s="3" t="s">
        <v>568</v>
      </c>
      <c r="D121" s="3" t="b">
        <v>0</v>
      </c>
      <c r="E121" s="3" t="b">
        <v>0</v>
      </c>
      <c r="F121" s="3">
        <f>IF(OR(Z121=TRUE,SUMIFS('Cashflow Projection'!$E$117:$E$149,'Cashflow Projection'!$D$117:$D$149,Sales!C121)=1),0,SUMIFS('Cashflow Projection'!$C$7:$C$23,'Cashflow Projection'!$B$7:$B$23,Sales!B121,'Cashflow Projection'!$A$7:$A$23,Sales!A121))</f>
        <v>0</v>
      </c>
      <c r="G121" s="4">
        <v>45685</v>
      </c>
      <c r="H121" s="4">
        <v>45685</v>
      </c>
      <c r="I121" s="3">
        <v>1619900</v>
      </c>
      <c r="J121" s="3">
        <v>211291.30434782611</v>
      </c>
      <c r="K121" s="3">
        <v>1408608.6956521741</v>
      </c>
      <c r="L121" s="3">
        <v>18502.080000000002</v>
      </c>
      <c r="M121" s="3">
        <v>1789</v>
      </c>
      <c r="N121" s="3">
        <v>8099.5</v>
      </c>
      <c r="O121" s="3">
        <v>80995</v>
      </c>
      <c r="P121" s="3">
        <v>19224.37</v>
      </c>
      <c r="Q121" s="3">
        <v>1491290.05</v>
      </c>
      <c r="R121" s="9">
        <f>IF($F121=1,((SUMIFS(Investors!$M:$M,Investors!$E:$E,Sales!$C121,Investors!$O:$O,FALSE)+SUMIFS(Investors!$S:$S,Investors!$E:$E,Sales!$C121,Investors!$O:$O,FALSE))*$F121)-SUMIFS('Investor Exit List'!$Q:$Q,'Investor Exit List'!$Y:$Y,1,'Investor Exit List'!$Z:$Z,"Release",'Investor Exit List'!$C:$C,Sales!$C121),(SUMIFS(Investors!$M:$M,Investors!$E:$E,Sales!$C121,Investors!$O:$O,FALSE)+SUMIFS(Investors!$S:$S,Investors!$E:$E,Sales!$C121,Investors!$O:$O,FALSE))*$F121)</f>
        <v>0</v>
      </c>
      <c r="S121" s="9">
        <f t="shared" si="4"/>
        <v>1491290.05</v>
      </c>
      <c r="T121" s="3" t="b">
        <v>0</v>
      </c>
      <c r="U121" s="4">
        <v>45747</v>
      </c>
      <c r="V121" s="9">
        <v>782203.59339452046</v>
      </c>
      <c r="W121" s="10">
        <f>IF(SUMIFS('Cashflow Projection'!$E$117:$E$149,'Cashflow Projection'!$D$117:$D$149,Sales!C121)=1,SUMIFS('Cashflow Projection'!$C$117:$C$149,'Cashflow Projection'!$D$117:$D$149,Sales!C121),+Sales!H121)</f>
        <v>45685</v>
      </c>
      <c r="X121" s="10">
        <f t="shared" si="5"/>
        <v>45747</v>
      </c>
      <c r="Y121" s="10">
        <f t="shared" si="6"/>
        <v>45777</v>
      </c>
      <c r="Z121" t="b">
        <v>0</v>
      </c>
    </row>
    <row r="122" spans="1:26" x14ac:dyDescent="0.2">
      <c r="A122" s="3" t="s">
        <v>386</v>
      </c>
      <c r="B122" s="3" t="s">
        <v>569</v>
      </c>
      <c r="C122" s="3" t="s">
        <v>584</v>
      </c>
      <c r="D122" s="3" t="b">
        <v>0</v>
      </c>
      <c r="E122" s="3" t="b">
        <v>0</v>
      </c>
      <c r="F122" s="3">
        <f>IF(OR(Z122=TRUE,SUMIFS('Cashflow Projection'!$E$117:$E$149,'Cashflow Projection'!$D$117:$D$149,Sales!C122)=1),0,SUMIFS('Cashflow Projection'!$C$7:$C$23,'Cashflow Projection'!$B$7:$B$23,Sales!B122,'Cashflow Projection'!$A$7:$A$23,Sales!A122))</f>
        <v>0</v>
      </c>
      <c r="G122" s="4">
        <v>45685</v>
      </c>
      <c r="H122" s="4">
        <v>45685</v>
      </c>
      <c r="I122" s="3">
        <v>1529900</v>
      </c>
      <c r="J122" s="3">
        <v>199552.17391304349</v>
      </c>
      <c r="K122" s="3">
        <v>1330347.826086957</v>
      </c>
      <c r="L122" s="3">
        <v>18502.080000000002</v>
      </c>
      <c r="M122" s="3">
        <v>1789</v>
      </c>
      <c r="N122" s="3">
        <v>7649.5</v>
      </c>
      <c r="O122" s="3">
        <v>76495</v>
      </c>
      <c r="P122" s="3">
        <v>19224.37</v>
      </c>
      <c r="Q122" s="3">
        <v>1406240.05</v>
      </c>
      <c r="R122" s="9">
        <f>IF($F122=1,((SUMIFS(Investors!$M:$M,Investors!$E:$E,Sales!$C122,Investors!$O:$O,FALSE)+SUMIFS(Investors!$S:$S,Investors!$E:$E,Sales!$C122,Investors!$O:$O,FALSE))*$F122)-SUMIFS('Investor Exit List'!$Q:$Q,'Investor Exit List'!$Y:$Y,1,'Investor Exit List'!$Z:$Z,"Release",'Investor Exit List'!$C:$C,Sales!$C122),(SUMIFS(Investors!$M:$M,Investors!$E:$E,Sales!$C122,Investors!$O:$O,FALSE)+SUMIFS(Investors!$S:$S,Investors!$E:$E,Sales!$C122,Investors!$O:$O,FALSE))*$F122)</f>
        <v>0</v>
      </c>
      <c r="S122" s="9">
        <f t="shared" si="4"/>
        <v>1406240.05</v>
      </c>
      <c r="T122" s="3" t="b">
        <v>0</v>
      </c>
      <c r="U122" s="4">
        <v>45747</v>
      </c>
      <c r="V122" s="9">
        <v>-45759.950000000194</v>
      </c>
      <c r="W122" s="10">
        <f>IF(SUMIFS('Cashflow Projection'!$E$117:$E$149,'Cashflow Projection'!$D$117:$D$149,Sales!C122)=1,SUMIFS('Cashflow Projection'!$C$117:$C$149,'Cashflow Projection'!$D$117:$D$149,Sales!C122),+Sales!H122)</f>
        <v>45685</v>
      </c>
      <c r="X122" s="10">
        <f t="shared" si="5"/>
        <v>45747</v>
      </c>
      <c r="Y122" s="10">
        <f t="shared" si="6"/>
        <v>45777</v>
      </c>
      <c r="Z122" t="b">
        <v>0</v>
      </c>
    </row>
    <row r="123" spans="1:26" x14ac:dyDescent="0.2">
      <c r="A123" s="3" t="s">
        <v>386</v>
      </c>
      <c r="B123" s="3" t="s">
        <v>750</v>
      </c>
      <c r="C123" s="3" t="s">
        <v>771</v>
      </c>
      <c r="D123" s="3" t="b">
        <v>0</v>
      </c>
      <c r="E123" s="3" t="b">
        <v>0</v>
      </c>
      <c r="F123" s="3">
        <f>IF(OR(Z123=TRUE,SUMIFS('Cashflow Projection'!$E$117:$E$149,'Cashflow Projection'!$D$117:$D$149,Sales!C123)=1),0,SUMIFS('Cashflow Projection'!$C$7:$C$23,'Cashflow Projection'!$B$7:$B$23,Sales!B123,'Cashflow Projection'!$A$7:$A$23,Sales!A123))</f>
        <v>0</v>
      </c>
      <c r="G123" s="4">
        <v>45510</v>
      </c>
      <c r="H123" s="4">
        <v>45625</v>
      </c>
      <c r="I123" s="3">
        <v>1499900</v>
      </c>
      <c r="J123" s="3">
        <v>195639.13043478259</v>
      </c>
      <c r="K123" s="3">
        <v>1304260.869565218</v>
      </c>
      <c r="L123" s="3">
        <v>18502.080000000002</v>
      </c>
      <c r="M123" s="3">
        <v>1789</v>
      </c>
      <c r="N123" s="3">
        <v>7499.5</v>
      </c>
      <c r="O123" s="3">
        <v>74995</v>
      </c>
      <c r="P123" s="3">
        <v>19224.37</v>
      </c>
      <c r="Q123" s="3">
        <v>1377890.05</v>
      </c>
      <c r="R123" s="9">
        <f>IF($F123=1,((SUMIFS(Investors!$M:$M,Investors!$E:$E,Sales!$C123,Investors!$O:$O,FALSE)+SUMIFS(Investors!$S:$S,Investors!$E:$E,Sales!$C123,Investors!$O:$O,FALSE))*$F123)-SUMIFS('Investor Exit List'!$Q:$Q,'Investor Exit List'!$Y:$Y,1,'Investor Exit List'!$Z:$Z,"Release",'Investor Exit List'!$C:$C,Sales!$C123),(SUMIFS(Investors!$M:$M,Investors!$E:$E,Sales!$C123,Investors!$O:$O,FALSE)+SUMIFS(Investors!$S:$S,Investors!$E:$E,Sales!$C123,Investors!$O:$O,FALSE))*$F123)</f>
        <v>0</v>
      </c>
      <c r="S123" s="9">
        <f t="shared" si="4"/>
        <v>1377890.05</v>
      </c>
      <c r="T123" s="3" t="b">
        <v>0</v>
      </c>
      <c r="U123" s="4">
        <v>45688</v>
      </c>
      <c r="V123" s="9">
        <v>-39469.91410109587</v>
      </c>
      <c r="W123" s="10">
        <f>IF(SUMIFS('Cashflow Projection'!$E$117:$E$149,'Cashflow Projection'!$D$117:$D$149,Sales!C123)=1,SUMIFS('Cashflow Projection'!$C$117:$C$149,'Cashflow Projection'!$D$117:$D$149,Sales!C123),+Sales!H123)</f>
        <v>45625</v>
      </c>
      <c r="X123" s="10">
        <f t="shared" si="5"/>
        <v>45688</v>
      </c>
      <c r="Y123" s="10">
        <f t="shared" si="6"/>
        <v>45716</v>
      </c>
      <c r="Z123" t="b">
        <v>0</v>
      </c>
    </row>
    <row r="124" spans="1:26" x14ac:dyDescent="0.2">
      <c r="A124" s="3" t="s">
        <v>386</v>
      </c>
      <c r="B124" s="3" t="s">
        <v>854</v>
      </c>
      <c r="C124" s="3" t="s">
        <v>866</v>
      </c>
      <c r="D124" s="3" t="b">
        <v>0</v>
      </c>
      <c r="E124" s="3" t="b">
        <v>0</v>
      </c>
      <c r="F124" s="3">
        <f>IF(OR(Z124=TRUE,SUMIFS('Cashflow Projection'!$E$117:$E$149,'Cashflow Projection'!$D$117:$D$149,Sales!C124)=1),0,SUMIFS('Cashflow Projection'!$C$7:$C$23,'Cashflow Projection'!$B$7:$B$23,Sales!B124,'Cashflow Projection'!$A$7:$A$23,Sales!A124))</f>
        <v>0</v>
      </c>
      <c r="G124" s="4">
        <v>45518</v>
      </c>
      <c r="H124" s="4">
        <v>45518</v>
      </c>
      <c r="I124" s="3">
        <v>1749900</v>
      </c>
      <c r="J124" s="3">
        <v>228247.82608695651</v>
      </c>
      <c r="K124" s="3">
        <v>1521652.1739130439</v>
      </c>
      <c r="L124" s="3">
        <v>18502.080000000002</v>
      </c>
      <c r="M124" s="3">
        <v>1789</v>
      </c>
      <c r="N124" s="3">
        <v>8749.5</v>
      </c>
      <c r="O124" s="3">
        <v>87495</v>
      </c>
      <c r="P124" s="3">
        <v>19224.37</v>
      </c>
      <c r="Q124" s="3">
        <v>1614140.05</v>
      </c>
      <c r="R124" s="9">
        <f>IF($F124=1,((SUMIFS(Investors!$M:$M,Investors!$E:$E,Sales!$C124,Investors!$O:$O,FALSE)+SUMIFS(Investors!$S:$S,Investors!$E:$E,Sales!$C124,Investors!$O:$O,FALSE))*$F124)-SUMIFS('Investor Exit List'!$Q:$Q,'Investor Exit List'!$Y:$Y,1,'Investor Exit List'!$Z:$Z,"Release",'Investor Exit List'!$C:$C,Sales!$C124),(SUMIFS(Investors!$M:$M,Investors!$E:$E,Sales!$C124,Investors!$O:$O,FALSE)+SUMIFS(Investors!$S:$S,Investors!$E:$E,Sales!$C124,Investors!$O:$O,FALSE))*$F124)</f>
        <v>0</v>
      </c>
      <c r="S124" s="9">
        <f t="shared" si="4"/>
        <v>1614140.05</v>
      </c>
      <c r="T124" s="3" t="b">
        <v>0</v>
      </c>
      <c r="U124" s="4">
        <v>45565</v>
      </c>
      <c r="V124" s="9">
        <v>237959.2280821914</v>
      </c>
      <c r="W124" s="10">
        <f>IF(SUMIFS('Cashflow Projection'!$E$117:$E$149,'Cashflow Projection'!$D$117:$D$149,Sales!C124)=1,SUMIFS('Cashflow Projection'!$C$117:$C$149,'Cashflow Projection'!$D$117:$D$149,Sales!C124),+Sales!H124)</f>
        <v>45518</v>
      </c>
      <c r="X124" s="10">
        <f t="shared" si="5"/>
        <v>45565</v>
      </c>
      <c r="Y124" s="10">
        <f t="shared" si="6"/>
        <v>45596</v>
      </c>
      <c r="Z124" t="b">
        <v>0</v>
      </c>
    </row>
    <row r="125" spans="1:26" x14ac:dyDescent="0.2">
      <c r="A125" s="3" t="s">
        <v>992</v>
      </c>
      <c r="B125" s="3" t="s">
        <v>26</v>
      </c>
      <c r="C125" s="3" t="s">
        <v>1024</v>
      </c>
      <c r="D125" s="3" t="b">
        <v>1</v>
      </c>
      <c r="E125" s="3" t="b">
        <v>1</v>
      </c>
      <c r="F125" s="3">
        <f>IF(OR(Z125=TRUE,SUMIFS('Cashflow Projection'!$E$117:$E$149,'Cashflow Projection'!$D$117:$D$149,Sales!C125)=1),0,SUMIFS('Cashflow Projection'!$C$7:$C$23,'Cashflow Projection'!$B$7:$B$23,Sales!B125,'Cashflow Projection'!$A$7:$A$23,Sales!A125))</f>
        <v>1</v>
      </c>
      <c r="G125" s="4">
        <v>44830</v>
      </c>
      <c r="H125" s="4">
        <v>45688</v>
      </c>
      <c r="I125" s="3">
        <v>1599900</v>
      </c>
      <c r="J125" s="3">
        <v>208682.60869565219</v>
      </c>
      <c r="K125" s="3">
        <v>1391217.3913043479</v>
      </c>
      <c r="L125" s="3">
        <v>18502.080000000002</v>
      </c>
      <c r="M125" s="3">
        <v>1789</v>
      </c>
      <c r="N125" s="3">
        <v>7999.5</v>
      </c>
      <c r="O125" s="3">
        <v>79995</v>
      </c>
      <c r="P125" s="3">
        <v>19224.37</v>
      </c>
      <c r="Q125" s="3">
        <v>1472390.05</v>
      </c>
      <c r="R125" s="9">
        <f>IF($F125=1,((SUMIFS(Investors!$M:$M,Investors!$E:$E,Sales!$C125,Investors!$O:$O,FALSE)+SUMIFS(Investors!$S:$S,Investors!$E:$E,Sales!$C125,Investors!$O:$O,FALSE))*$F125)-SUMIFS('Investor Exit List'!$Q:$Q,'Investor Exit List'!$Y:$Y,1,'Investor Exit List'!$Z:$Z,"Release",'Investor Exit List'!$C:$C,Sales!$C125),(SUMIFS(Investors!$M:$M,Investors!$E:$E,Sales!$C125,Investors!$O:$O,FALSE)+SUMIFS(Investors!$S:$S,Investors!$E:$E,Sales!$C125,Investors!$O:$O,FALSE))*$F125)</f>
        <v>0</v>
      </c>
      <c r="S125" s="9">
        <f t="shared" si="4"/>
        <v>1472390.05</v>
      </c>
      <c r="T125" s="3" t="b">
        <v>0</v>
      </c>
      <c r="U125" s="4">
        <v>45747</v>
      </c>
      <c r="V125" s="9">
        <v>277876.35136986291</v>
      </c>
      <c r="W125" s="10">
        <f>IF(SUMIFS('Cashflow Projection'!$E$117:$E$149,'Cashflow Projection'!$D$117:$D$149,Sales!C125)=1,SUMIFS('Cashflow Projection'!$C$117:$C$149,'Cashflow Projection'!$D$117:$D$149,Sales!C125),+Sales!H125)</f>
        <v>45688</v>
      </c>
      <c r="X125" s="10">
        <f t="shared" si="5"/>
        <v>45747</v>
      </c>
      <c r="Y125" s="10">
        <f t="shared" si="6"/>
        <v>45777</v>
      </c>
      <c r="Z125" t="b">
        <v>0</v>
      </c>
    </row>
    <row r="126" spans="1:26" x14ac:dyDescent="0.2">
      <c r="A126" s="3" t="s">
        <v>992</v>
      </c>
      <c r="B126" s="3" t="s">
        <v>598</v>
      </c>
      <c r="C126" s="3" t="s">
        <v>1025</v>
      </c>
      <c r="D126" s="3" t="b">
        <v>1</v>
      </c>
      <c r="E126" s="3" t="b">
        <v>1</v>
      </c>
      <c r="F126" s="3">
        <f>IF(OR(Z126=TRUE,SUMIFS('Cashflow Projection'!$E$117:$E$149,'Cashflow Projection'!$D$117:$D$149,Sales!C126)=1),0,SUMIFS('Cashflow Projection'!$C$7:$C$23,'Cashflow Projection'!$B$7:$B$23,Sales!B126,'Cashflow Projection'!$A$7:$A$23,Sales!A126))</f>
        <v>0</v>
      </c>
      <c r="G126" s="4">
        <v>44690</v>
      </c>
      <c r="H126" s="4">
        <v>45688</v>
      </c>
      <c r="I126" s="3">
        <v>1499900</v>
      </c>
      <c r="J126" s="3">
        <v>195639.13043478259</v>
      </c>
      <c r="K126" s="3">
        <v>1304260.869565218</v>
      </c>
      <c r="L126" s="3">
        <v>18502.080000000002</v>
      </c>
      <c r="M126" s="3">
        <v>1789</v>
      </c>
      <c r="N126" s="3">
        <v>7499.5</v>
      </c>
      <c r="O126" s="3">
        <v>74995</v>
      </c>
      <c r="P126" s="3">
        <v>19224.37</v>
      </c>
      <c r="Q126" s="3">
        <v>1377890.05</v>
      </c>
      <c r="R126" s="9">
        <f>IF($F126=1,((SUMIFS(Investors!$M:$M,Investors!$E:$E,Sales!$C126,Investors!$O:$O,FALSE)+SUMIFS(Investors!$S:$S,Investors!$E:$E,Sales!$C126,Investors!$O:$O,FALSE))*$F126)-SUMIFS('Investor Exit List'!$Q:$Q,'Investor Exit List'!$Y:$Y,1,'Investor Exit List'!$Z:$Z,"Release",'Investor Exit List'!$C:$C,Sales!$C126),(SUMIFS(Investors!$M:$M,Investors!$E:$E,Sales!$C126,Investors!$O:$O,FALSE)+SUMIFS(Investors!$S:$S,Investors!$E:$E,Sales!$C126,Investors!$O:$O,FALSE))*$F126)</f>
        <v>0</v>
      </c>
      <c r="S126" s="9">
        <f t="shared" si="4"/>
        <v>1377890.05</v>
      </c>
      <c r="T126" s="3" t="b">
        <v>0</v>
      </c>
      <c r="U126" s="4">
        <v>45747</v>
      </c>
      <c r="V126" s="9">
        <v>228154.26232876701</v>
      </c>
      <c r="W126" s="10">
        <f>IF(SUMIFS('Cashflow Projection'!$E$117:$E$149,'Cashflow Projection'!$D$117:$D$149,Sales!C126)=1,SUMIFS('Cashflow Projection'!$C$117:$C$149,'Cashflow Projection'!$D$117:$D$149,Sales!C126),+Sales!H126)</f>
        <v>45688</v>
      </c>
      <c r="X126" s="10">
        <f t="shared" si="5"/>
        <v>45747</v>
      </c>
      <c r="Y126" s="10">
        <f t="shared" si="6"/>
        <v>45777</v>
      </c>
      <c r="Z126" t="b">
        <v>0</v>
      </c>
    </row>
    <row r="127" spans="1:26" x14ac:dyDescent="0.2">
      <c r="A127" s="3" t="s">
        <v>24</v>
      </c>
      <c r="B127" s="3" t="s">
        <v>209</v>
      </c>
      <c r="C127" s="3" t="s">
        <v>316</v>
      </c>
      <c r="D127" s="3" t="b">
        <v>1</v>
      </c>
      <c r="E127" s="3" t="b">
        <v>1</v>
      </c>
      <c r="F127" s="3">
        <f>IF(OR(Z127=TRUE,SUMIFS('Cashflow Projection'!$E$117:$E$149,'Cashflow Projection'!$D$117:$D$149,Sales!C127)=1),0,SUMIFS('Cashflow Projection'!$C$7:$C$23,'Cashflow Projection'!$B$7:$B$23,Sales!B127,'Cashflow Projection'!$A$7:$A$23,Sales!A127))</f>
        <v>1</v>
      </c>
      <c r="G127" s="4">
        <v>45415</v>
      </c>
      <c r="H127" s="4">
        <v>45458</v>
      </c>
      <c r="I127" s="3">
        <v>1499900</v>
      </c>
      <c r="J127" s="3">
        <v>0</v>
      </c>
      <c r="K127" s="3">
        <v>1304260.869565218</v>
      </c>
      <c r="L127" s="3">
        <v>18502.080000000002</v>
      </c>
      <c r="M127" s="3">
        <v>1789</v>
      </c>
      <c r="N127" s="3">
        <v>7499.5</v>
      </c>
      <c r="O127" s="3">
        <v>74995</v>
      </c>
      <c r="P127" s="3">
        <v>19224.37</v>
      </c>
      <c r="Q127" s="3">
        <v>1377890.05</v>
      </c>
      <c r="R127" s="9">
        <f>IF($F127=1,((SUMIFS(Investors!$M:$M,Investors!$E:$E,Sales!$C127,Investors!$O:$O,FALSE)+SUMIFS(Investors!$S:$S,Investors!$E:$E,Sales!$C127,Investors!$O:$O,FALSE))*$F127)-SUMIFS('Investor Exit List'!$Q:$Q,'Investor Exit List'!$Y:$Y,1,'Investor Exit List'!$Z:$Z,"Release",'Investor Exit List'!$C:$C,Sales!$C127),(SUMIFS(Investors!$M:$M,Investors!$E:$E,Sales!$C127,Investors!$O:$O,FALSE)+SUMIFS(Investors!$S:$S,Investors!$E:$E,Sales!$C127,Investors!$O:$O,FALSE))*$F127)</f>
        <v>0</v>
      </c>
      <c r="S127" s="9">
        <f t="shared" si="4"/>
        <v>873000</v>
      </c>
      <c r="T127" s="3" t="b">
        <v>1</v>
      </c>
      <c r="U127" s="4">
        <v>45504</v>
      </c>
      <c r="V127" s="9">
        <v>873000</v>
      </c>
      <c r="W127" s="10">
        <f>IF(SUMIFS('Cashflow Projection'!$E$117:$E$149,'Cashflow Projection'!$D$117:$D$149,Sales!C127)=1,SUMIFS('Cashflow Projection'!$C$117:$C$149,'Cashflow Projection'!$D$117:$D$149,Sales!C127),+Sales!H127)</f>
        <v>45458</v>
      </c>
      <c r="X127" s="10">
        <f t="shared" si="5"/>
        <v>45504</v>
      </c>
      <c r="Y127" s="10">
        <f t="shared" si="6"/>
        <v>45535</v>
      </c>
      <c r="Z127" t="b">
        <v>0</v>
      </c>
    </row>
    <row r="128" spans="1:26" x14ac:dyDescent="0.2">
      <c r="A128" s="3" t="s">
        <v>24</v>
      </c>
      <c r="B128" s="3" t="s">
        <v>209</v>
      </c>
      <c r="C128" s="3" t="s">
        <v>312</v>
      </c>
      <c r="D128" s="3" t="b">
        <v>1</v>
      </c>
      <c r="E128" s="3" t="b">
        <v>1</v>
      </c>
      <c r="F128" s="3">
        <f>IF(OR(Z128=TRUE,SUMIFS('Cashflow Projection'!$E$117:$E$149,'Cashflow Projection'!$D$117:$D$149,Sales!C128)=1),0,SUMIFS('Cashflow Projection'!$C$7:$C$23,'Cashflow Projection'!$B$7:$B$23,Sales!B128,'Cashflow Projection'!$A$7:$A$23,Sales!A128))</f>
        <v>1</v>
      </c>
      <c r="G128" s="4">
        <v>45002</v>
      </c>
      <c r="H128" s="4">
        <v>45688</v>
      </c>
      <c r="I128" s="3">
        <v>1419900</v>
      </c>
      <c r="J128" s="3">
        <v>185204.34782608689</v>
      </c>
      <c r="K128" s="3">
        <v>1234695.6521739131</v>
      </c>
      <c r="L128" s="3">
        <v>18502.080000000002</v>
      </c>
      <c r="M128" s="3">
        <v>1789</v>
      </c>
      <c r="N128" s="3">
        <v>7099.5</v>
      </c>
      <c r="O128" s="3">
        <v>70995</v>
      </c>
      <c r="P128" s="3">
        <v>19224.37</v>
      </c>
      <c r="Q128" s="3">
        <v>1302290.05</v>
      </c>
      <c r="R128" s="9">
        <f>IF($F128=1,((SUMIFS(Investors!$M:$M,Investors!$E:$E,Sales!$C128,Investors!$O:$O,FALSE)+SUMIFS(Investors!$S:$S,Investors!$E:$E,Sales!$C128,Investors!$O:$O,FALSE))*$F128)-SUMIFS('Investor Exit List'!$Q:$Q,'Investor Exit List'!$Y:$Y,1,'Investor Exit List'!$Z:$Z,"Release",'Investor Exit List'!$C:$C,Sales!$C128),(SUMIFS(Investors!$M:$M,Investors!$E:$E,Sales!$C128,Investors!$O:$O,FALSE)+SUMIFS(Investors!$S:$S,Investors!$E:$E,Sales!$C128,Investors!$O:$O,FALSE))*$F128)</f>
        <v>1099483.5616438356</v>
      </c>
      <c r="S128" s="9">
        <f t="shared" si="4"/>
        <v>202806.48835616442</v>
      </c>
      <c r="T128" s="3" t="b">
        <v>0</v>
      </c>
      <c r="U128" s="4">
        <v>45747</v>
      </c>
      <c r="V128" s="9">
        <v>202806.48835616419</v>
      </c>
      <c r="W128" s="10">
        <f>IF(SUMIFS('Cashflow Projection'!$E$117:$E$149,'Cashflow Projection'!$D$117:$D$149,Sales!C128)=1,SUMIFS('Cashflow Projection'!$C$117:$C$149,'Cashflow Projection'!$D$117:$D$149,Sales!C128),+Sales!H128)</f>
        <v>45688</v>
      </c>
      <c r="X128" s="10">
        <f t="shared" si="5"/>
        <v>45747</v>
      </c>
      <c r="Y128" s="10">
        <f t="shared" si="6"/>
        <v>45777</v>
      </c>
      <c r="Z128" t="b">
        <v>0</v>
      </c>
    </row>
    <row r="129" spans="1:26" x14ac:dyDescent="0.2">
      <c r="A129" s="3" t="s">
        <v>24</v>
      </c>
      <c r="B129" s="3" t="s">
        <v>209</v>
      </c>
      <c r="C129" s="3" t="s">
        <v>929</v>
      </c>
      <c r="D129" s="3" t="b">
        <v>1</v>
      </c>
      <c r="E129" s="3" t="b">
        <v>1</v>
      </c>
      <c r="F129" s="3">
        <f>IF(OR(Z129=TRUE,SUMIFS('Cashflow Projection'!$E$117:$E$149,'Cashflow Projection'!$D$117:$D$149,Sales!C129)=1),0,SUMIFS('Cashflow Projection'!$C$7:$C$23,'Cashflow Projection'!$B$7:$B$23,Sales!B129,'Cashflow Projection'!$A$7:$A$23,Sales!A129))</f>
        <v>1</v>
      </c>
      <c r="G129" s="4">
        <v>45027</v>
      </c>
      <c r="H129" s="4">
        <v>45688</v>
      </c>
      <c r="I129" s="3">
        <v>1429900</v>
      </c>
      <c r="J129" s="3">
        <v>186508.69565217389</v>
      </c>
      <c r="K129" s="3">
        <v>1243391.3043478259</v>
      </c>
      <c r="L129" s="3">
        <v>18502.080000000002</v>
      </c>
      <c r="M129" s="3">
        <v>1789</v>
      </c>
      <c r="N129" s="3">
        <v>7149.5</v>
      </c>
      <c r="O129" s="3">
        <v>71495</v>
      </c>
      <c r="P129" s="3">
        <v>19224.37</v>
      </c>
      <c r="Q129" s="3">
        <v>1311740.05</v>
      </c>
      <c r="R129" s="9">
        <f>IF($F129=1,((SUMIFS(Investors!$M:$M,Investors!$E:$E,Sales!$C129,Investors!$O:$O,FALSE)+SUMIFS(Investors!$S:$S,Investors!$E:$E,Sales!$C129,Investors!$O:$O,FALSE))*$F129)-SUMIFS('Investor Exit List'!$Q:$Q,'Investor Exit List'!$Y:$Y,1,'Investor Exit List'!$Z:$Z,"Release",'Investor Exit List'!$C:$C,Sales!$C129),(SUMIFS(Investors!$M:$M,Investors!$E:$E,Sales!$C129,Investors!$O:$O,FALSE)+SUMIFS(Investors!$S:$S,Investors!$E:$E,Sales!$C129,Investors!$O:$O,FALSE))*$F129)</f>
        <v>0</v>
      </c>
      <c r="S129" s="9">
        <f t="shared" si="4"/>
        <v>1311740.05</v>
      </c>
      <c r="T129" s="3" t="b">
        <v>0</v>
      </c>
      <c r="U129" s="4">
        <v>45747</v>
      </c>
      <c r="V129" s="9">
        <v>0</v>
      </c>
      <c r="W129" s="10">
        <f>IF(SUMIFS('Cashflow Projection'!$E$117:$E$149,'Cashflow Projection'!$D$117:$D$149,Sales!C129)=1,SUMIFS('Cashflow Projection'!$C$117:$C$149,'Cashflow Projection'!$D$117:$D$149,Sales!C129),+Sales!H129)</f>
        <v>45688</v>
      </c>
      <c r="X129" s="10">
        <f t="shared" si="5"/>
        <v>45747</v>
      </c>
      <c r="Y129" s="10">
        <f t="shared" si="6"/>
        <v>45777</v>
      </c>
      <c r="Z129" t="b">
        <v>0</v>
      </c>
    </row>
    <row r="130" spans="1:26" x14ac:dyDescent="0.2">
      <c r="A130" s="3" t="s">
        <v>24</v>
      </c>
      <c r="B130" s="3" t="s">
        <v>209</v>
      </c>
      <c r="C130" s="3" t="s">
        <v>320</v>
      </c>
      <c r="D130" s="3" t="b">
        <v>0</v>
      </c>
      <c r="E130" s="3" t="b">
        <v>0</v>
      </c>
      <c r="F130" s="3">
        <f>IF(OR(Z130=TRUE,SUMIFS('Cashflow Projection'!$E$117:$E$149,'Cashflow Projection'!$D$117:$D$149,Sales!C130)=1),0,SUMIFS('Cashflow Projection'!$C$7:$C$23,'Cashflow Projection'!$B$7:$B$23,Sales!B130,'Cashflow Projection'!$A$7:$A$23,Sales!A130))</f>
        <v>1</v>
      </c>
      <c r="G130" s="4">
        <v>45439</v>
      </c>
      <c r="H130" s="4">
        <v>45458</v>
      </c>
      <c r="I130" s="3">
        <v>1499900</v>
      </c>
      <c r="J130" s="3">
        <v>0</v>
      </c>
      <c r="K130" s="3">
        <v>1304260.869565218</v>
      </c>
      <c r="L130" s="3">
        <v>18502.080000000002</v>
      </c>
      <c r="M130" s="3">
        <v>1789</v>
      </c>
      <c r="N130" s="3">
        <v>7499.5</v>
      </c>
      <c r="O130" s="3">
        <v>74995</v>
      </c>
      <c r="P130" s="3">
        <v>19224.37</v>
      </c>
      <c r="Q130" s="3">
        <v>1377890.05</v>
      </c>
      <c r="R130" s="9">
        <f>IF($F130=1,((SUMIFS(Investors!$M:$M,Investors!$E:$E,Sales!$C130,Investors!$O:$O,FALSE)+SUMIFS(Investors!$S:$S,Investors!$E:$E,Sales!$C130,Investors!$O:$O,FALSE))*$F130)-SUMIFS('Investor Exit List'!$Q:$Q,'Investor Exit List'!$Y:$Y,1,'Investor Exit List'!$Z:$Z,"Release",'Investor Exit List'!$C:$C,Sales!$C130),(SUMIFS(Investors!$M:$M,Investors!$E:$E,Sales!$C130,Investors!$O:$O,FALSE)+SUMIFS(Investors!$S:$S,Investors!$E:$E,Sales!$C130,Investors!$O:$O,FALSE))*$F130)</f>
        <v>0</v>
      </c>
      <c r="S130" s="9">
        <f t="shared" si="4"/>
        <v>902100</v>
      </c>
      <c r="T130" s="3" t="b">
        <v>1</v>
      </c>
      <c r="U130" s="4">
        <v>45504</v>
      </c>
      <c r="V130" s="9">
        <v>902100</v>
      </c>
      <c r="W130" s="10">
        <f>IF(SUMIFS('Cashflow Projection'!$E$117:$E$149,'Cashflow Projection'!$D$117:$D$149,Sales!C130)=1,SUMIFS('Cashflow Projection'!$C$117:$C$149,'Cashflow Projection'!$D$117:$D$149,Sales!C130),+Sales!H130)</f>
        <v>45458</v>
      </c>
      <c r="X130" s="10">
        <f t="shared" si="5"/>
        <v>45504</v>
      </c>
      <c r="Y130" s="10">
        <f t="shared" si="6"/>
        <v>45535</v>
      </c>
      <c r="Z130" t="b">
        <v>0</v>
      </c>
    </row>
    <row r="131" spans="1:26" x14ac:dyDescent="0.2">
      <c r="A131" s="3" t="s">
        <v>24</v>
      </c>
      <c r="B131" s="3" t="s">
        <v>209</v>
      </c>
      <c r="C131" s="3" t="s">
        <v>930</v>
      </c>
      <c r="D131" s="3" t="b">
        <v>1</v>
      </c>
      <c r="E131" s="3" t="b">
        <v>1</v>
      </c>
      <c r="F131" s="3">
        <f>IF(OR(Z131=TRUE,SUMIFS('Cashflow Projection'!$E$117:$E$149,'Cashflow Projection'!$D$117:$D$149,Sales!C131)=1),0,SUMIFS('Cashflow Projection'!$C$7:$C$23,'Cashflow Projection'!$B$7:$B$23,Sales!B131,'Cashflow Projection'!$A$7:$A$23,Sales!A131))</f>
        <v>1</v>
      </c>
      <c r="G131" s="4">
        <v>45204</v>
      </c>
      <c r="H131" s="4">
        <v>45688</v>
      </c>
      <c r="I131" s="3">
        <v>1429900</v>
      </c>
      <c r="J131" s="3">
        <v>186508.69565217389</v>
      </c>
      <c r="K131" s="3">
        <v>1243391.3043478259</v>
      </c>
      <c r="L131" s="3">
        <v>18502.080000000002</v>
      </c>
      <c r="M131" s="3">
        <v>1789</v>
      </c>
      <c r="N131" s="3">
        <v>7149.5</v>
      </c>
      <c r="O131" s="3">
        <v>71495</v>
      </c>
      <c r="P131" s="3">
        <v>19224.37</v>
      </c>
      <c r="Q131" s="3">
        <v>1311740.05</v>
      </c>
      <c r="R131" s="9">
        <f>IF($F131=1,((SUMIFS(Investors!$M:$M,Investors!$E:$E,Sales!$C131,Investors!$O:$O,FALSE)+SUMIFS(Investors!$S:$S,Investors!$E:$E,Sales!$C131,Investors!$O:$O,FALSE))*$F131)-SUMIFS('Investor Exit List'!$Q:$Q,'Investor Exit List'!$Y:$Y,1,'Investor Exit List'!$Z:$Z,"Release",'Investor Exit List'!$C:$C,Sales!$C131),(SUMIFS(Investors!$M:$M,Investors!$E:$E,Sales!$C131,Investors!$O:$O,FALSE)+SUMIFS(Investors!$S:$S,Investors!$E:$E,Sales!$C131,Investors!$O:$O,FALSE))*$F131)</f>
        <v>0</v>
      </c>
      <c r="S131" s="9">
        <f t="shared" si="4"/>
        <v>1311740.05</v>
      </c>
      <c r="T131" s="3" t="b">
        <v>0</v>
      </c>
      <c r="U131" s="4">
        <v>45747</v>
      </c>
      <c r="V131" s="9">
        <v>0</v>
      </c>
      <c r="W131" s="10">
        <f>IF(SUMIFS('Cashflow Projection'!$E$117:$E$149,'Cashflow Projection'!$D$117:$D$149,Sales!C131)=1,SUMIFS('Cashflow Projection'!$C$117:$C$149,'Cashflow Projection'!$D$117:$D$149,Sales!C131),+Sales!H131)</f>
        <v>45688</v>
      </c>
      <c r="X131" s="10">
        <f t="shared" si="5"/>
        <v>45747</v>
      </c>
      <c r="Y131" s="10">
        <f t="shared" si="6"/>
        <v>45777</v>
      </c>
      <c r="Z131" t="b">
        <v>0</v>
      </c>
    </row>
    <row r="132" spans="1:26" x14ac:dyDescent="0.2">
      <c r="A132" s="3" t="s">
        <v>24</v>
      </c>
      <c r="B132" s="3" t="s">
        <v>209</v>
      </c>
      <c r="C132" s="3" t="s">
        <v>339</v>
      </c>
      <c r="D132" s="3" t="b">
        <v>1</v>
      </c>
      <c r="E132" s="3" t="b">
        <v>1</v>
      </c>
      <c r="F132" s="3">
        <f>IF(OR(Z132=TRUE,SUMIFS('Cashflow Projection'!$E$117:$E$149,'Cashflow Projection'!$D$117:$D$149,Sales!C132)=1),0,SUMIFS('Cashflow Projection'!$C$7:$C$23,'Cashflow Projection'!$B$7:$B$23,Sales!B132,'Cashflow Projection'!$A$7:$A$23,Sales!A132))</f>
        <v>1</v>
      </c>
      <c r="G132" s="4">
        <v>44956</v>
      </c>
      <c r="H132" s="4">
        <v>45688</v>
      </c>
      <c r="I132" s="3">
        <v>1499900</v>
      </c>
      <c r="J132" s="3">
        <v>195639.13043478259</v>
      </c>
      <c r="K132" s="3">
        <v>1304260.869565218</v>
      </c>
      <c r="L132" s="3">
        <v>18502.080000000002</v>
      </c>
      <c r="M132" s="3">
        <v>1789</v>
      </c>
      <c r="N132" s="3">
        <v>7499.5</v>
      </c>
      <c r="O132" s="3">
        <v>74995</v>
      </c>
      <c r="P132" s="3">
        <v>19224.37</v>
      </c>
      <c r="Q132" s="3">
        <v>1377890.05</v>
      </c>
      <c r="R132" s="9">
        <f>IF($F132=1,((SUMIFS(Investors!$M:$M,Investors!$E:$E,Sales!$C132,Investors!$O:$O,FALSE)+SUMIFS(Investors!$S:$S,Investors!$E:$E,Sales!$C132,Investors!$O:$O,FALSE))*$F132)-SUMIFS('Investor Exit List'!$Q:$Q,'Investor Exit List'!$Y:$Y,1,'Investor Exit List'!$Z:$Z,"Release",'Investor Exit List'!$C:$C,Sales!$C132),(SUMIFS(Investors!$M:$M,Investors!$E:$E,Sales!$C132,Investors!$O:$O,FALSE)+SUMIFS(Investors!$S:$S,Investors!$E:$E,Sales!$C132,Investors!$O:$O,FALSE))*$F132)</f>
        <v>1166448.6301369863</v>
      </c>
      <c r="S132" s="9">
        <f t="shared" si="4"/>
        <v>211441.41986301378</v>
      </c>
      <c r="T132" s="3" t="b">
        <v>0</v>
      </c>
      <c r="U132" s="4">
        <v>45747</v>
      </c>
      <c r="V132" s="9">
        <v>211441.41986301361</v>
      </c>
      <c r="W132" s="10">
        <f>IF(SUMIFS('Cashflow Projection'!$E$117:$E$149,'Cashflow Projection'!$D$117:$D$149,Sales!C132)=1,SUMIFS('Cashflow Projection'!$C$117:$C$149,'Cashflow Projection'!$D$117:$D$149,Sales!C132),+Sales!H132)</f>
        <v>45688</v>
      </c>
      <c r="X132" s="10">
        <f t="shared" si="5"/>
        <v>45747</v>
      </c>
      <c r="Y132" s="10">
        <f t="shared" si="6"/>
        <v>45777</v>
      </c>
      <c r="Z132" t="b">
        <v>0</v>
      </c>
    </row>
    <row r="133" spans="1:26" x14ac:dyDescent="0.2">
      <c r="A133" s="3" t="s">
        <v>386</v>
      </c>
      <c r="B133" s="3" t="s">
        <v>497</v>
      </c>
      <c r="C133" s="3" t="s">
        <v>523</v>
      </c>
      <c r="D133" s="3" t="b">
        <v>1</v>
      </c>
      <c r="E133" s="3" t="b">
        <v>1</v>
      </c>
      <c r="F133" s="3">
        <f>IF(OR(Z133=TRUE,SUMIFS('Cashflow Projection'!$E$117:$E$149,'Cashflow Projection'!$D$117:$D$149,Sales!C133)=1),0,SUMIFS('Cashflow Projection'!$C$7:$C$23,'Cashflow Projection'!$B$7:$B$23,Sales!B133,'Cashflow Projection'!$A$7:$A$23,Sales!A133))</f>
        <v>1</v>
      </c>
      <c r="G133" s="4">
        <v>45336</v>
      </c>
      <c r="H133" s="4">
        <v>45688</v>
      </c>
      <c r="I133" s="3">
        <v>1699900</v>
      </c>
      <c r="J133" s="3">
        <v>221726.0869565217</v>
      </c>
      <c r="K133" s="3">
        <v>1478173.913043478</v>
      </c>
      <c r="L133" s="3">
        <v>18502.080000000002</v>
      </c>
      <c r="M133" s="3">
        <v>1789</v>
      </c>
      <c r="N133" s="3">
        <v>8499.5</v>
      </c>
      <c r="O133" s="3">
        <v>84995</v>
      </c>
      <c r="P133" s="3">
        <v>19224.37</v>
      </c>
      <c r="Q133" s="3">
        <v>1566890.05</v>
      </c>
      <c r="R133" s="9">
        <f>IF($F133=1,((SUMIFS(Investors!$M:$M,Investors!$E:$E,Sales!$C133,Investors!$O:$O,FALSE)+SUMIFS(Investors!$S:$S,Investors!$E:$E,Sales!$C133,Investors!$O:$O,FALSE))*$F133)-SUMIFS('Investor Exit List'!$Q:$Q,'Investor Exit List'!$Y:$Y,1,'Investor Exit List'!$Z:$Z,"Release",'Investor Exit List'!$C:$C,Sales!$C133),(SUMIFS(Investors!$M:$M,Investors!$E:$E,Sales!$C133,Investors!$O:$O,FALSE)+SUMIFS(Investors!$S:$S,Investors!$E:$E,Sales!$C133,Investors!$O:$O,FALSE))*$F133)</f>
        <v>0</v>
      </c>
      <c r="S133" s="9">
        <f t="shared" ref="S133:S196" si="7">IF(T133=FALSE,Q133-R133,+V133)</f>
        <v>1566890.05</v>
      </c>
      <c r="T133" s="3" t="b">
        <v>0</v>
      </c>
      <c r="U133" s="4">
        <v>45747</v>
      </c>
      <c r="V133" s="9">
        <v>290152.72378191748</v>
      </c>
      <c r="W133" s="10">
        <f>IF(SUMIFS('Cashflow Projection'!$E$117:$E$149,'Cashflow Projection'!$D$117:$D$149,Sales!C133)=1,SUMIFS('Cashflow Projection'!$C$117:$C$149,'Cashflow Projection'!$D$117:$D$149,Sales!C133),+Sales!H133)</f>
        <v>45688</v>
      </c>
      <c r="X133" s="10">
        <f t="shared" ref="X133:X196" si="8">IF(MOD(MONTH(W133), 2) &lt;&gt; 0, EOMONTH(W133, 2), EOMONTH(W133, 1))</f>
        <v>45747</v>
      </c>
      <c r="Y133" s="10">
        <f t="shared" ref="Y133:Y196" si="9">EOMONTH(X133,1)</f>
        <v>45777</v>
      </c>
      <c r="Z133" t="b">
        <v>0</v>
      </c>
    </row>
    <row r="134" spans="1:26" x14ac:dyDescent="0.2">
      <c r="A134" s="3" t="s">
        <v>386</v>
      </c>
      <c r="B134" s="3" t="s">
        <v>388</v>
      </c>
      <c r="C134" s="3" t="s">
        <v>387</v>
      </c>
      <c r="D134" s="3" t="b">
        <v>1</v>
      </c>
      <c r="E134" s="3" t="b">
        <v>1</v>
      </c>
      <c r="F134" s="3">
        <f>IF(OR(Z134=TRUE,SUMIFS('Cashflow Projection'!$E$117:$E$149,'Cashflow Projection'!$D$117:$D$149,Sales!C134)=1),0,SUMIFS('Cashflow Projection'!$C$7:$C$23,'Cashflow Projection'!$B$7:$B$23,Sales!B134,'Cashflow Projection'!$A$7:$A$23,Sales!A134))</f>
        <v>1</v>
      </c>
      <c r="G134" s="4">
        <v>45154</v>
      </c>
      <c r="H134" s="4">
        <v>45688</v>
      </c>
      <c r="I134" s="3">
        <v>1649900</v>
      </c>
      <c r="J134" s="3">
        <v>215204.34782608689</v>
      </c>
      <c r="K134" s="3">
        <v>1434695.6521739131</v>
      </c>
      <c r="L134" s="3">
        <v>18502.080000000002</v>
      </c>
      <c r="M134" s="3">
        <v>1789</v>
      </c>
      <c r="N134" s="3">
        <v>8249.5</v>
      </c>
      <c r="O134" s="3">
        <v>82495</v>
      </c>
      <c r="P134" s="3">
        <v>19224.37</v>
      </c>
      <c r="Q134" s="3">
        <v>1519640.05</v>
      </c>
      <c r="R134" s="9">
        <f>IF($F134=1,((SUMIFS(Investors!$M:$M,Investors!$E:$E,Sales!$C134,Investors!$O:$O,FALSE)+SUMIFS(Investors!$S:$S,Investors!$E:$E,Sales!$C134,Investors!$O:$O,FALSE))*$F134)-SUMIFS('Investor Exit List'!$Q:$Q,'Investor Exit List'!$Y:$Y,1,'Investor Exit List'!$Z:$Z,"Release",'Investor Exit List'!$C:$C,Sales!$C134),(SUMIFS(Investors!$M:$M,Investors!$E:$E,Sales!$C134,Investors!$O:$O,FALSE)+SUMIFS(Investors!$S:$S,Investors!$E:$E,Sales!$C134,Investors!$O:$O,FALSE))*$F134)</f>
        <v>1271620.0127027398</v>
      </c>
      <c r="S134" s="9">
        <f t="shared" si="7"/>
        <v>248020.03729726025</v>
      </c>
      <c r="T134" s="3" t="b">
        <v>0</v>
      </c>
      <c r="U134" s="4">
        <v>45747</v>
      </c>
      <c r="V134" s="9">
        <v>248020.03729725999</v>
      </c>
      <c r="W134" s="10">
        <f>IF(SUMIFS('Cashflow Projection'!$E$117:$E$149,'Cashflow Projection'!$D$117:$D$149,Sales!C134)=1,SUMIFS('Cashflow Projection'!$C$117:$C$149,'Cashflow Projection'!$D$117:$D$149,Sales!C134),+Sales!H134)</f>
        <v>45688</v>
      </c>
      <c r="X134" s="10">
        <f t="shared" si="8"/>
        <v>45747</v>
      </c>
      <c r="Y134" s="10">
        <f t="shared" si="9"/>
        <v>45777</v>
      </c>
      <c r="Z134" t="b">
        <v>0</v>
      </c>
    </row>
    <row r="135" spans="1:26" x14ac:dyDescent="0.2">
      <c r="A135" s="3" t="s">
        <v>386</v>
      </c>
      <c r="B135" s="3" t="s">
        <v>388</v>
      </c>
      <c r="C135" s="3" t="s">
        <v>495</v>
      </c>
      <c r="D135" s="3" t="b">
        <v>1</v>
      </c>
      <c r="E135" s="3" t="b">
        <v>1</v>
      </c>
      <c r="F135" s="3">
        <f>IF(OR(Z135=TRUE,SUMIFS('Cashflow Projection'!$E$117:$E$149,'Cashflow Projection'!$D$117:$D$149,Sales!C135)=1),0,SUMIFS('Cashflow Projection'!$C$7:$C$23,'Cashflow Projection'!$B$7:$B$23,Sales!B135,'Cashflow Projection'!$A$7:$A$23,Sales!A135))</f>
        <v>1</v>
      </c>
      <c r="G135" s="4">
        <v>45429</v>
      </c>
      <c r="H135" s="4">
        <v>45394</v>
      </c>
      <c r="I135" s="3">
        <v>1519900</v>
      </c>
      <c r="J135" s="3">
        <v>198247.82608695651</v>
      </c>
      <c r="K135" s="3">
        <v>1321652.1739130439</v>
      </c>
      <c r="L135" s="3">
        <v>18502.080000000002</v>
      </c>
      <c r="M135" s="3">
        <v>1789</v>
      </c>
      <c r="N135" s="3">
        <v>7599.5</v>
      </c>
      <c r="O135" s="3">
        <v>75995</v>
      </c>
      <c r="P135" s="3">
        <v>19224.37</v>
      </c>
      <c r="Q135" s="3">
        <v>1396790.05</v>
      </c>
      <c r="R135" s="9">
        <f>IF($F135=1,((SUMIFS(Investors!$M:$M,Investors!$E:$E,Sales!$C135,Investors!$O:$O,FALSE)+SUMIFS(Investors!$S:$S,Investors!$E:$E,Sales!$C135,Investors!$O:$O,FALSE))*$F135)-SUMIFS('Investor Exit List'!$Q:$Q,'Investor Exit List'!$Y:$Y,1,'Investor Exit List'!$Z:$Z,"Release",'Investor Exit List'!$C:$C,Sales!$C135),(SUMIFS(Investors!$M:$M,Investors!$E:$E,Sales!$C135,Investors!$O:$O,FALSE)+SUMIFS(Investors!$S:$S,Investors!$E:$E,Sales!$C135,Investors!$O:$O,FALSE))*$F135)</f>
        <v>1376567.1232876712</v>
      </c>
      <c r="S135" s="9">
        <f t="shared" si="7"/>
        <v>20222.926712328801</v>
      </c>
      <c r="T135" s="3" t="b">
        <v>0</v>
      </c>
      <c r="U135" s="4">
        <v>45443</v>
      </c>
      <c r="V135" s="9">
        <v>16425.666438356038</v>
      </c>
      <c r="W135" s="10">
        <f>IF(SUMIFS('Cashflow Projection'!$E$117:$E$149,'Cashflow Projection'!$D$117:$D$149,Sales!C135)=1,SUMIFS('Cashflow Projection'!$C$117:$C$149,'Cashflow Projection'!$D$117:$D$149,Sales!C135),+Sales!H135)</f>
        <v>45394</v>
      </c>
      <c r="X135" s="10">
        <f t="shared" si="8"/>
        <v>45443</v>
      </c>
      <c r="Y135" s="10">
        <f t="shared" si="9"/>
        <v>45473</v>
      </c>
      <c r="Z135" t="b">
        <v>0</v>
      </c>
    </row>
    <row r="136" spans="1:26" x14ac:dyDescent="0.2">
      <c r="A136" s="3" t="s">
        <v>386</v>
      </c>
      <c r="B136" s="3" t="s">
        <v>675</v>
      </c>
      <c r="C136" s="3" t="s">
        <v>681</v>
      </c>
      <c r="D136" s="3" t="b">
        <v>1</v>
      </c>
      <c r="E136" s="3" t="b">
        <v>0</v>
      </c>
      <c r="F136" s="3">
        <f>IF(OR(Z136=TRUE,SUMIFS('Cashflow Projection'!$E$117:$E$149,'Cashflow Projection'!$D$117:$D$149,Sales!C136)=1),0,SUMIFS('Cashflow Projection'!$C$7:$C$23,'Cashflow Projection'!$B$7:$B$23,Sales!B136,'Cashflow Projection'!$A$7:$A$23,Sales!A136))</f>
        <v>1</v>
      </c>
      <c r="G136" s="4">
        <v>45490</v>
      </c>
      <c r="H136" s="4">
        <v>45490</v>
      </c>
      <c r="I136" s="3">
        <v>1690999</v>
      </c>
      <c r="J136" s="3">
        <v>220565.0869565217</v>
      </c>
      <c r="K136" s="3">
        <v>1470433.913043478</v>
      </c>
      <c r="L136" s="3">
        <v>18502.080000000002</v>
      </c>
      <c r="M136" s="3">
        <v>1789</v>
      </c>
      <c r="N136" s="3">
        <v>8454.9950000000008</v>
      </c>
      <c r="O136" s="3">
        <v>84549.950000000012</v>
      </c>
      <c r="P136" s="3">
        <v>19224.37</v>
      </c>
      <c r="Q136" s="3">
        <v>1558478.605</v>
      </c>
      <c r="R136" s="9">
        <f>IF($F136=1,((SUMIFS(Investors!$M:$M,Investors!$E:$E,Sales!$C136,Investors!$O:$O,FALSE)+SUMIFS(Investors!$S:$S,Investors!$E:$E,Sales!$C136,Investors!$O:$O,FALSE))*$F136)-SUMIFS('Investor Exit List'!$Q:$Q,'Investor Exit List'!$Y:$Y,1,'Investor Exit List'!$Z:$Z,"Release",'Investor Exit List'!$C:$C,Sales!$C136),(SUMIFS(Investors!$M:$M,Investors!$E:$E,Sales!$C136,Investors!$O:$O,FALSE)+SUMIFS(Investors!$S:$S,Investors!$E:$E,Sales!$C136,Investors!$O:$O,FALSE))*$F136)</f>
        <v>1224013.6986301369</v>
      </c>
      <c r="S136" s="9">
        <f t="shared" si="7"/>
        <v>334464.90636986308</v>
      </c>
      <c r="T136" s="3" t="b">
        <v>0</v>
      </c>
      <c r="U136" s="4">
        <v>45565</v>
      </c>
      <c r="V136" s="9">
        <v>334464.90636986279</v>
      </c>
      <c r="W136" s="10">
        <f>IF(SUMIFS('Cashflow Projection'!$E$117:$E$149,'Cashflow Projection'!$D$117:$D$149,Sales!C136)=1,SUMIFS('Cashflow Projection'!$C$117:$C$149,'Cashflow Projection'!$D$117:$D$149,Sales!C136),+Sales!H136)</f>
        <v>45490</v>
      </c>
      <c r="X136" s="10">
        <f t="shared" si="8"/>
        <v>45565</v>
      </c>
      <c r="Y136" s="10">
        <f t="shared" si="9"/>
        <v>45596</v>
      </c>
      <c r="Z136" t="b">
        <v>0</v>
      </c>
    </row>
    <row r="137" spans="1:26" x14ac:dyDescent="0.2">
      <c r="A137" s="3" t="s">
        <v>386</v>
      </c>
      <c r="B137" s="3" t="s">
        <v>811</v>
      </c>
      <c r="C137" s="3" t="s">
        <v>810</v>
      </c>
      <c r="D137" s="3" t="b">
        <v>0</v>
      </c>
      <c r="E137" s="3" t="b">
        <v>0</v>
      </c>
      <c r="F137" s="3">
        <f>IF(OR(Z137=TRUE,SUMIFS('Cashflow Projection'!$E$117:$E$149,'Cashflow Projection'!$D$117:$D$149,Sales!C137)=1),0,SUMIFS('Cashflow Projection'!$C$7:$C$23,'Cashflow Projection'!$B$7:$B$23,Sales!B137,'Cashflow Projection'!$A$7:$A$23,Sales!A137))</f>
        <v>0</v>
      </c>
      <c r="G137" s="4">
        <v>45450</v>
      </c>
      <c r="H137" s="4">
        <v>45583</v>
      </c>
      <c r="I137" s="3">
        <v>1679900</v>
      </c>
      <c r="J137" s="3">
        <v>219117.39130434781</v>
      </c>
      <c r="K137" s="3">
        <v>1460782.6086956521</v>
      </c>
      <c r="L137" s="3">
        <v>18502.080000000002</v>
      </c>
      <c r="M137" s="3">
        <v>1789</v>
      </c>
      <c r="N137" s="3">
        <v>8399.5</v>
      </c>
      <c r="O137" s="3">
        <v>83995</v>
      </c>
      <c r="P137" s="3">
        <v>19224.37</v>
      </c>
      <c r="Q137" s="3">
        <v>1547990.05</v>
      </c>
      <c r="R137" s="9">
        <f>IF($F137=1,((SUMIFS(Investors!$M:$M,Investors!$E:$E,Sales!$C137,Investors!$O:$O,FALSE)+SUMIFS(Investors!$S:$S,Investors!$E:$E,Sales!$C137,Investors!$O:$O,FALSE))*$F137)-SUMIFS('Investor Exit List'!$Q:$Q,'Investor Exit List'!$Y:$Y,1,'Investor Exit List'!$Z:$Z,"Release",'Investor Exit List'!$C:$C,Sales!$C137),(SUMIFS(Investors!$M:$M,Investors!$E:$E,Sales!$C137,Investors!$O:$O,FALSE)+SUMIFS(Investors!$S:$S,Investors!$E:$E,Sales!$C137,Investors!$O:$O,FALSE))*$F137)</f>
        <v>0</v>
      </c>
      <c r="S137" s="9">
        <f t="shared" si="7"/>
        <v>1547990.05</v>
      </c>
      <c r="T137" s="3" t="b">
        <v>0</v>
      </c>
      <c r="U137" s="4">
        <v>45626</v>
      </c>
      <c r="V137" s="9">
        <v>249566.14007575321</v>
      </c>
      <c r="W137" s="10">
        <f>IF(SUMIFS('Cashflow Projection'!$E$117:$E$149,'Cashflow Projection'!$D$117:$D$149,Sales!C137)=1,SUMIFS('Cashflow Projection'!$C$117:$C$149,'Cashflow Projection'!$D$117:$D$149,Sales!C137),+Sales!H137)</f>
        <v>45583</v>
      </c>
      <c r="X137" s="10">
        <f t="shared" si="8"/>
        <v>45626</v>
      </c>
      <c r="Y137" s="10">
        <f t="shared" si="9"/>
        <v>45657</v>
      </c>
      <c r="Z137" t="b">
        <v>0</v>
      </c>
    </row>
    <row r="138" spans="1:26" x14ac:dyDescent="0.2">
      <c r="A138" s="3" t="s">
        <v>992</v>
      </c>
      <c r="B138" s="3" t="s">
        <v>497</v>
      </c>
      <c r="C138" s="3" t="s">
        <v>1026</v>
      </c>
      <c r="D138" s="3" t="b">
        <v>1</v>
      </c>
      <c r="E138" s="3" t="b">
        <v>1</v>
      </c>
      <c r="F138" s="3">
        <f>IF(OR(Z138=TRUE,SUMIFS('Cashflow Projection'!$E$117:$E$149,'Cashflow Projection'!$D$117:$D$149,Sales!C138)=1),0,SUMIFS('Cashflow Projection'!$C$7:$C$23,'Cashflow Projection'!$B$7:$B$23,Sales!B138,'Cashflow Projection'!$A$7:$A$23,Sales!A138))</f>
        <v>0</v>
      </c>
      <c r="G138" s="4">
        <v>44781</v>
      </c>
      <c r="H138" s="4">
        <v>45688</v>
      </c>
      <c r="I138" s="3">
        <v>1444999</v>
      </c>
      <c r="J138" s="3">
        <v>188478.13043478259</v>
      </c>
      <c r="K138" s="3">
        <v>1256520.869565218</v>
      </c>
      <c r="L138" s="3">
        <v>18502.080000000002</v>
      </c>
      <c r="M138" s="3">
        <v>1789</v>
      </c>
      <c r="N138" s="3">
        <v>7224.9949999999999</v>
      </c>
      <c r="O138" s="3">
        <v>72249.95</v>
      </c>
      <c r="P138" s="3">
        <v>19224.37</v>
      </c>
      <c r="Q138" s="3">
        <v>1326008.605</v>
      </c>
      <c r="R138" s="9">
        <f>IF($F138=1,((SUMIFS(Investors!$M:$M,Investors!$E:$E,Sales!$C138,Investors!$O:$O,FALSE)+SUMIFS(Investors!$S:$S,Investors!$E:$E,Sales!$C138,Investors!$O:$O,FALSE))*$F138)-SUMIFS('Investor Exit List'!$Q:$Q,'Investor Exit List'!$Y:$Y,1,'Investor Exit List'!$Z:$Z,"Release",'Investor Exit List'!$C:$C,Sales!$C138),(SUMIFS(Investors!$M:$M,Investors!$E:$E,Sales!$C138,Investors!$O:$O,FALSE)+SUMIFS(Investors!$S:$S,Investors!$E:$E,Sales!$C138,Investors!$O:$O,FALSE))*$F138)</f>
        <v>0</v>
      </c>
      <c r="S138" s="9">
        <f t="shared" si="7"/>
        <v>1326008.605</v>
      </c>
      <c r="T138" s="3" t="b">
        <v>0</v>
      </c>
      <c r="U138" s="4">
        <v>45747</v>
      </c>
      <c r="V138" s="9">
        <v>24912.714589040959</v>
      </c>
      <c r="W138" s="10">
        <f>IF(SUMIFS('Cashflow Projection'!$E$117:$E$149,'Cashflow Projection'!$D$117:$D$149,Sales!C138)=1,SUMIFS('Cashflow Projection'!$C$117:$C$149,'Cashflow Projection'!$D$117:$D$149,Sales!C138),+Sales!H138)</f>
        <v>45688</v>
      </c>
      <c r="X138" s="10">
        <f t="shared" si="8"/>
        <v>45747</v>
      </c>
      <c r="Y138" s="10">
        <f t="shared" si="9"/>
        <v>45777</v>
      </c>
      <c r="Z138" t="b">
        <v>0</v>
      </c>
    </row>
    <row r="139" spans="1:26" x14ac:dyDescent="0.2">
      <c r="A139" s="3" t="s">
        <v>992</v>
      </c>
      <c r="B139" s="3" t="s">
        <v>569</v>
      </c>
      <c r="C139" s="3" t="s">
        <v>1027</v>
      </c>
      <c r="D139" s="3" t="b">
        <v>1</v>
      </c>
      <c r="E139" s="3" t="b">
        <v>1</v>
      </c>
      <c r="F139" s="3">
        <f>IF(OR(Z139=TRUE,SUMIFS('Cashflow Projection'!$E$117:$E$149,'Cashflow Projection'!$D$117:$D$149,Sales!C139)=1),0,SUMIFS('Cashflow Projection'!$C$7:$C$23,'Cashflow Projection'!$B$7:$B$23,Sales!B139,'Cashflow Projection'!$A$7:$A$23,Sales!A139))</f>
        <v>0</v>
      </c>
      <c r="G139" s="4">
        <v>44700</v>
      </c>
      <c r="H139" s="4">
        <v>45688</v>
      </c>
      <c r="I139" s="3">
        <v>1444900</v>
      </c>
      <c r="J139" s="3">
        <v>188465.21739130441</v>
      </c>
      <c r="K139" s="3">
        <v>1256434.782608696</v>
      </c>
      <c r="L139" s="3">
        <v>18502.080000000002</v>
      </c>
      <c r="M139" s="3">
        <v>1789</v>
      </c>
      <c r="N139" s="3">
        <v>7224.5</v>
      </c>
      <c r="O139" s="3">
        <v>72245</v>
      </c>
      <c r="P139" s="3">
        <v>19224.37</v>
      </c>
      <c r="Q139" s="3">
        <v>1325915.05</v>
      </c>
      <c r="R139" s="9">
        <f>IF($F139=1,((SUMIFS(Investors!$M:$M,Investors!$E:$E,Sales!$C139,Investors!$O:$O,FALSE)+SUMIFS(Investors!$S:$S,Investors!$E:$E,Sales!$C139,Investors!$O:$O,FALSE))*$F139)-SUMIFS('Investor Exit List'!$Q:$Q,'Investor Exit List'!$Y:$Y,1,'Investor Exit List'!$Z:$Z,"Release",'Investor Exit List'!$C:$C,Sales!$C139),(SUMIFS(Investors!$M:$M,Investors!$E:$E,Sales!$C139,Investors!$O:$O,FALSE)+SUMIFS(Investors!$S:$S,Investors!$E:$E,Sales!$C139,Investors!$O:$O,FALSE))*$F139)</f>
        <v>0</v>
      </c>
      <c r="S139" s="9">
        <f t="shared" si="7"/>
        <v>1325915.05</v>
      </c>
      <c r="T139" s="3" t="b">
        <v>0</v>
      </c>
      <c r="U139" s="4">
        <v>45747</v>
      </c>
      <c r="V139" s="9">
        <v>73946.19820499979</v>
      </c>
      <c r="W139" s="10">
        <f>IF(SUMIFS('Cashflow Projection'!$E$117:$E$149,'Cashflow Projection'!$D$117:$D$149,Sales!C139)=1,SUMIFS('Cashflow Projection'!$C$117:$C$149,'Cashflow Projection'!$D$117:$D$149,Sales!C139),+Sales!H139)</f>
        <v>45688</v>
      </c>
      <c r="X139" s="10">
        <f t="shared" si="8"/>
        <v>45747</v>
      </c>
      <c r="Y139" s="10">
        <f t="shared" si="9"/>
        <v>45777</v>
      </c>
      <c r="Z139" t="b">
        <v>0</v>
      </c>
    </row>
    <row r="140" spans="1:26" x14ac:dyDescent="0.2">
      <c r="A140" s="3" t="s">
        <v>992</v>
      </c>
      <c r="B140" s="3" t="s">
        <v>569</v>
      </c>
      <c r="C140" s="3" t="s">
        <v>1028</v>
      </c>
      <c r="D140" s="3" t="b">
        <v>1</v>
      </c>
      <c r="E140" s="3" t="b">
        <v>1</v>
      </c>
      <c r="F140" s="3">
        <f>IF(OR(Z140=TRUE,SUMIFS('Cashflow Projection'!$E$117:$E$149,'Cashflow Projection'!$D$117:$D$149,Sales!C140)=1),0,SUMIFS('Cashflow Projection'!$C$7:$C$23,'Cashflow Projection'!$B$7:$B$23,Sales!B140,'Cashflow Projection'!$A$7:$A$23,Sales!A140))</f>
        <v>0</v>
      </c>
      <c r="G140" s="4">
        <v>44701</v>
      </c>
      <c r="H140" s="4">
        <v>45688</v>
      </c>
      <c r="I140" s="3">
        <v>1389900</v>
      </c>
      <c r="J140" s="3">
        <v>181291.30434782611</v>
      </c>
      <c r="K140" s="3">
        <v>1208608.6956521741</v>
      </c>
      <c r="L140" s="3">
        <v>18502.080000000002</v>
      </c>
      <c r="M140" s="3">
        <v>1789</v>
      </c>
      <c r="N140" s="3">
        <v>6949.5</v>
      </c>
      <c r="O140" s="3">
        <v>69495</v>
      </c>
      <c r="P140" s="3">
        <v>19224.37</v>
      </c>
      <c r="Q140" s="3">
        <v>1273940.05</v>
      </c>
      <c r="R140" s="9">
        <f>IF($F140=1,((SUMIFS(Investors!$M:$M,Investors!$E:$E,Sales!$C140,Investors!$O:$O,FALSE)+SUMIFS(Investors!$S:$S,Investors!$E:$E,Sales!$C140,Investors!$O:$O,FALSE))*$F140)-SUMIFS('Investor Exit List'!$Q:$Q,'Investor Exit List'!$Y:$Y,1,'Investor Exit List'!$Z:$Z,"Release",'Investor Exit List'!$C:$C,Sales!$C140),(SUMIFS(Investors!$M:$M,Investors!$E:$E,Sales!$C140,Investors!$O:$O,FALSE)+SUMIFS(Investors!$S:$S,Investors!$E:$E,Sales!$C140,Investors!$O:$O,FALSE))*$F140)</f>
        <v>0</v>
      </c>
      <c r="S140" s="9">
        <f t="shared" si="7"/>
        <v>1273940.05</v>
      </c>
      <c r="T140" s="3" t="b">
        <v>0</v>
      </c>
      <c r="U140" s="4">
        <v>45747</v>
      </c>
      <c r="V140" s="9">
        <v>45446.899315068273</v>
      </c>
      <c r="W140" s="10">
        <f>IF(SUMIFS('Cashflow Projection'!$E$117:$E$149,'Cashflow Projection'!$D$117:$D$149,Sales!C140)=1,SUMIFS('Cashflow Projection'!$C$117:$C$149,'Cashflow Projection'!$D$117:$D$149,Sales!C140),+Sales!H140)</f>
        <v>45688</v>
      </c>
      <c r="X140" s="10">
        <f t="shared" si="8"/>
        <v>45747</v>
      </c>
      <c r="Y140" s="10">
        <f t="shared" si="9"/>
        <v>45777</v>
      </c>
      <c r="Z140" t="b">
        <v>0</v>
      </c>
    </row>
    <row r="141" spans="1:26" x14ac:dyDescent="0.2">
      <c r="A141" s="3" t="s">
        <v>24</v>
      </c>
      <c r="B141" s="3" t="s">
        <v>26</v>
      </c>
      <c r="C141" s="3" t="s">
        <v>51</v>
      </c>
      <c r="D141" s="3" t="b">
        <v>1</v>
      </c>
      <c r="E141" s="3" t="b">
        <v>1</v>
      </c>
      <c r="F141" s="3">
        <f>IF(OR(Z141=TRUE,SUMIFS('Cashflow Projection'!$E$117:$E$149,'Cashflow Projection'!$D$117:$D$149,Sales!C141)=1),0,SUMIFS('Cashflow Projection'!$C$7:$C$23,'Cashflow Projection'!$B$7:$B$23,Sales!B141,'Cashflow Projection'!$A$7:$A$23,Sales!A141))</f>
        <v>0</v>
      </c>
      <c r="G141" s="4">
        <v>44887</v>
      </c>
      <c r="H141" s="4">
        <v>45688</v>
      </c>
      <c r="I141" s="3">
        <v>1509900</v>
      </c>
      <c r="J141" s="3">
        <v>196943.4782608696</v>
      </c>
      <c r="K141" s="3">
        <v>1312956.5217391311</v>
      </c>
      <c r="L141" s="3">
        <v>18502.080000000002</v>
      </c>
      <c r="M141" s="3">
        <v>1789</v>
      </c>
      <c r="N141" s="3">
        <v>7549.5</v>
      </c>
      <c r="O141" s="3">
        <v>75495</v>
      </c>
      <c r="P141" s="3">
        <v>19224.37</v>
      </c>
      <c r="Q141" s="3">
        <v>1387340.05</v>
      </c>
      <c r="R141" s="9">
        <f>IF($F141=1,((SUMIFS(Investors!$M:$M,Investors!$E:$E,Sales!$C141,Investors!$O:$O,FALSE)+SUMIFS(Investors!$S:$S,Investors!$E:$E,Sales!$C141,Investors!$O:$O,FALSE))*$F141)-SUMIFS('Investor Exit List'!$Q:$Q,'Investor Exit List'!$Y:$Y,1,'Investor Exit List'!$Z:$Z,"Release",'Investor Exit List'!$C:$C,Sales!$C141),(SUMIFS(Investors!$M:$M,Investors!$E:$E,Sales!$C141,Investors!$O:$O,FALSE)+SUMIFS(Investors!$S:$S,Investors!$E:$E,Sales!$C141,Investors!$O:$O,FALSE))*$F141)</f>
        <v>0</v>
      </c>
      <c r="S141" s="9">
        <f t="shared" si="7"/>
        <v>1387340.05</v>
      </c>
      <c r="T141" s="3" t="b">
        <v>0</v>
      </c>
      <c r="U141" s="4">
        <v>45747</v>
      </c>
      <c r="V141" s="9">
        <v>447298.04584150668</v>
      </c>
      <c r="W141" s="10">
        <f>IF(SUMIFS('Cashflow Projection'!$E$117:$E$149,'Cashflow Projection'!$D$117:$D$149,Sales!C141)=1,SUMIFS('Cashflow Projection'!$C$117:$C$149,'Cashflow Projection'!$D$117:$D$149,Sales!C141),+Sales!H141)</f>
        <v>45688</v>
      </c>
      <c r="X141" s="10">
        <f t="shared" si="8"/>
        <v>45747</v>
      </c>
      <c r="Y141" s="10">
        <f t="shared" si="9"/>
        <v>45777</v>
      </c>
      <c r="Z141" t="b">
        <v>0</v>
      </c>
    </row>
    <row r="142" spans="1:26" x14ac:dyDescent="0.2">
      <c r="A142" s="3" t="s">
        <v>24</v>
      </c>
      <c r="B142" s="3" t="s">
        <v>209</v>
      </c>
      <c r="C142" s="3" t="s">
        <v>229</v>
      </c>
      <c r="D142" s="3" t="b">
        <v>1</v>
      </c>
      <c r="E142" s="3" t="b">
        <v>1</v>
      </c>
      <c r="F142" s="3">
        <f>IF(OR(Z142=TRUE,SUMIFS('Cashflow Projection'!$E$117:$E$149,'Cashflow Projection'!$D$117:$D$149,Sales!C142)=1),0,SUMIFS('Cashflow Projection'!$C$7:$C$23,'Cashflow Projection'!$B$7:$B$23,Sales!B142,'Cashflow Projection'!$A$7:$A$23,Sales!A142))</f>
        <v>1</v>
      </c>
      <c r="G142" s="4">
        <v>44908</v>
      </c>
      <c r="H142" s="4">
        <v>45688</v>
      </c>
      <c r="I142" s="3">
        <v>1579900</v>
      </c>
      <c r="J142" s="3">
        <v>206073.91304347821</v>
      </c>
      <c r="K142" s="3">
        <v>1373826.086956522</v>
      </c>
      <c r="L142" s="3">
        <v>18502.080000000002</v>
      </c>
      <c r="M142" s="3">
        <v>1789</v>
      </c>
      <c r="N142" s="3">
        <v>7899.5</v>
      </c>
      <c r="O142" s="3">
        <v>78995</v>
      </c>
      <c r="P142" s="3">
        <v>19224.37</v>
      </c>
      <c r="Q142" s="3">
        <v>1453490.05</v>
      </c>
      <c r="R142" s="9">
        <f>IF($F142=1,((SUMIFS(Investors!$M:$M,Investors!$E:$E,Sales!$C142,Investors!$O:$O,FALSE)+SUMIFS(Investors!$S:$S,Investors!$E:$E,Sales!$C142,Investors!$O:$O,FALSE))*$F142)-SUMIFS('Investor Exit List'!$Q:$Q,'Investor Exit List'!$Y:$Y,1,'Investor Exit List'!$Z:$Z,"Release",'Investor Exit List'!$C:$C,Sales!$C142),(SUMIFS(Investors!$M:$M,Investors!$E:$E,Sales!$C142,Investors!$O:$O,FALSE)+SUMIFS(Investors!$S:$S,Investors!$E:$E,Sales!$C142,Investors!$O:$O,FALSE))*$F142)</f>
        <v>186816.78082191781</v>
      </c>
      <c r="S142" s="9">
        <f t="shared" si="7"/>
        <v>1266673.2691780822</v>
      </c>
      <c r="T142" s="3" t="b">
        <v>0</v>
      </c>
      <c r="U142" s="4">
        <v>45747</v>
      </c>
      <c r="V142" s="9">
        <v>313362.84349609591</v>
      </c>
      <c r="W142" s="10">
        <f>IF(SUMIFS('Cashflow Projection'!$E$117:$E$149,'Cashflow Projection'!$D$117:$D$149,Sales!C142)=1,SUMIFS('Cashflow Projection'!$C$117:$C$149,'Cashflow Projection'!$D$117:$D$149,Sales!C142),+Sales!H142)</f>
        <v>45688</v>
      </c>
      <c r="X142" s="10">
        <f t="shared" si="8"/>
        <v>45747</v>
      </c>
      <c r="Y142" s="10">
        <f t="shared" si="9"/>
        <v>45777</v>
      </c>
      <c r="Z142" t="b">
        <v>0</v>
      </c>
    </row>
    <row r="143" spans="1:26" x14ac:dyDescent="0.2">
      <c r="A143" s="3" t="s">
        <v>24</v>
      </c>
      <c r="B143" s="3" t="s">
        <v>209</v>
      </c>
      <c r="C143" s="3" t="s">
        <v>267</v>
      </c>
      <c r="D143" s="3" t="b">
        <v>1</v>
      </c>
      <c r="E143" s="3" t="b">
        <v>1</v>
      </c>
      <c r="F143" s="3">
        <f>IF(OR(Z143=TRUE,SUMIFS('Cashflow Projection'!$E$117:$E$149,'Cashflow Projection'!$D$117:$D$149,Sales!C143)=1),0,SUMIFS('Cashflow Projection'!$C$7:$C$23,'Cashflow Projection'!$B$7:$B$23,Sales!B143,'Cashflow Projection'!$A$7:$A$23,Sales!A143))</f>
        <v>1</v>
      </c>
      <c r="G143" s="4">
        <v>44999</v>
      </c>
      <c r="H143" s="4">
        <v>45688</v>
      </c>
      <c r="I143" s="3">
        <v>1599900</v>
      </c>
      <c r="J143" s="3">
        <v>208682.60869565219</v>
      </c>
      <c r="K143" s="3">
        <v>1391217.3913043479</v>
      </c>
      <c r="L143" s="3">
        <v>18502.080000000002</v>
      </c>
      <c r="M143" s="3">
        <v>1789</v>
      </c>
      <c r="N143" s="3">
        <v>7999.5</v>
      </c>
      <c r="O143" s="3">
        <v>79995</v>
      </c>
      <c r="P143" s="3">
        <v>19224.37</v>
      </c>
      <c r="Q143" s="3">
        <v>1472390.05</v>
      </c>
      <c r="R143" s="9">
        <f>IF($F143=1,((SUMIFS(Investors!$M:$M,Investors!$E:$E,Sales!$C143,Investors!$O:$O,FALSE)+SUMIFS(Investors!$S:$S,Investors!$E:$E,Sales!$C143,Investors!$O:$O,FALSE))*$F143)-SUMIFS('Investor Exit List'!$Q:$Q,'Investor Exit List'!$Y:$Y,1,'Investor Exit List'!$Z:$Z,"Release",'Investor Exit List'!$C:$C,Sales!$C143),(SUMIFS(Investors!$M:$M,Investors!$E:$E,Sales!$C143,Investors!$O:$O,FALSE)+SUMIFS(Investors!$S:$S,Investors!$E:$E,Sales!$C143,Investors!$O:$O,FALSE))*$F143)</f>
        <v>1209251.6438356163</v>
      </c>
      <c r="S143" s="9">
        <f t="shared" si="7"/>
        <v>263138.40616438375</v>
      </c>
      <c r="T143" s="3" t="b">
        <v>0</v>
      </c>
      <c r="U143" s="4">
        <v>45747</v>
      </c>
      <c r="V143" s="9">
        <v>263138.40616438352</v>
      </c>
      <c r="W143" s="10">
        <f>IF(SUMIFS('Cashflow Projection'!$E$117:$E$149,'Cashflow Projection'!$D$117:$D$149,Sales!C143)=1,SUMIFS('Cashflow Projection'!$C$117:$C$149,'Cashflow Projection'!$D$117:$D$149,Sales!C143),+Sales!H143)</f>
        <v>45688</v>
      </c>
      <c r="X143" s="10">
        <f t="shared" si="8"/>
        <v>45747</v>
      </c>
      <c r="Y143" s="10">
        <f t="shared" si="9"/>
        <v>45777</v>
      </c>
      <c r="Z143" t="b">
        <v>0</v>
      </c>
    </row>
    <row r="144" spans="1:26" x14ac:dyDescent="0.2">
      <c r="A144" s="3" t="s">
        <v>24</v>
      </c>
      <c r="B144" s="3" t="s">
        <v>209</v>
      </c>
      <c r="C144" s="3" t="s">
        <v>927</v>
      </c>
      <c r="D144" s="3" t="b">
        <v>0</v>
      </c>
      <c r="E144" s="3" t="b">
        <v>0</v>
      </c>
      <c r="F144" s="3">
        <f>IF(OR(Z144=TRUE,SUMIFS('Cashflow Projection'!$E$117:$E$149,'Cashflow Projection'!$D$117:$D$149,Sales!C144)=1),0,SUMIFS('Cashflow Projection'!$C$7:$C$23,'Cashflow Projection'!$B$7:$B$23,Sales!B144,'Cashflow Projection'!$A$7:$A$23,Sales!A144))</f>
        <v>1</v>
      </c>
      <c r="G144" s="4">
        <v>45471</v>
      </c>
      <c r="H144" s="4">
        <v>45458</v>
      </c>
      <c r="I144" s="3">
        <v>1449900</v>
      </c>
      <c r="J144" s="3">
        <v>0</v>
      </c>
      <c r="K144" s="3">
        <v>1260782.6086956521</v>
      </c>
      <c r="L144" s="3">
        <v>18502.080000000002</v>
      </c>
      <c r="M144" s="3">
        <v>1789</v>
      </c>
      <c r="N144" s="3">
        <v>7249.5</v>
      </c>
      <c r="O144" s="3">
        <v>72495</v>
      </c>
      <c r="P144" s="3">
        <v>19224.37</v>
      </c>
      <c r="Q144" s="3">
        <v>1330640.05</v>
      </c>
      <c r="R144" s="9">
        <f>IF($F144=1,((SUMIFS(Investors!$M:$M,Investors!$E:$E,Sales!$C144,Investors!$O:$O,FALSE)+SUMIFS(Investors!$S:$S,Investors!$E:$E,Sales!$C144,Investors!$O:$O,FALSE))*$F144)-SUMIFS('Investor Exit List'!$Q:$Q,'Investor Exit List'!$Y:$Y,1,'Investor Exit List'!$Z:$Z,"Release",'Investor Exit List'!$C:$C,Sales!$C144),(SUMIFS(Investors!$M:$M,Investors!$E:$E,Sales!$C144,Investors!$O:$O,FALSE)+SUMIFS(Investors!$S:$S,Investors!$E:$E,Sales!$C144,Investors!$O:$O,FALSE))*$F144)</f>
        <v>0</v>
      </c>
      <c r="S144" s="9">
        <f t="shared" si="7"/>
        <v>921500</v>
      </c>
      <c r="T144" s="3" t="b">
        <v>1</v>
      </c>
      <c r="U144" s="4">
        <v>45504</v>
      </c>
      <c r="V144" s="9">
        <v>921500</v>
      </c>
      <c r="W144" s="10">
        <f>IF(SUMIFS('Cashflow Projection'!$E$117:$E$149,'Cashflow Projection'!$D$117:$D$149,Sales!C144)=1,SUMIFS('Cashflow Projection'!$C$117:$C$149,'Cashflow Projection'!$D$117:$D$149,Sales!C144),+Sales!H144)</f>
        <v>45458</v>
      </c>
      <c r="X144" s="10">
        <f t="shared" si="8"/>
        <v>45504</v>
      </c>
      <c r="Y144" s="10">
        <f t="shared" si="9"/>
        <v>45535</v>
      </c>
      <c r="Z144" t="b">
        <v>0</v>
      </c>
    </row>
    <row r="145" spans="1:26" x14ac:dyDescent="0.2">
      <c r="A145" s="3" t="s">
        <v>24</v>
      </c>
      <c r="B145" s="3" t="s">
        <v>209</v>
      </c>
      <c r="C145" s="3" t="s">
        <v>303</v>
      </c>
      <c r="D145" s="3" t="b">
        <v>1</v>
      </c>
      <c r="E145" s="3" t="b">
        <v>1</v>
      </c>
      <c r="F145" s="3">
        <f>IF(OR(Z145=TRUE,SUMIFS('Cashflow Projection'!$E$117:$E$149,'Cashflow Projection'!$D$117:$D$149,Sales!C145)=1),0,SUMIFS('Cashflow Projection'!$C$7:$C$23,'Cashflow Projection'!$B$7:$B$23,Sales!B145,'Cashflow Projection'!$A$7:$A$23,Sales!A145))</f>
        <v>1</v>
      </c>
      <c r="G145" s="4">
        <v>44974</v>
      </c>
      <c r="H145" s="4">
        <v>45688</v>
      </c>
      <c r="I145" s="3">
        <v>1579900</v>
      </c>
      <c r="J145" s="3">
        <v>206073.91304347821</v>
      </c>
      <c r="K145" s="3">
        <v>1373826.086956522</v>
      </c>
      <c r="L145" s="3">
        <v>18502.080000000002</v>
      </c>
      <c r="M145" s="3">
        <v>1789</v>
      </c>
      <c r="N145" s="3">
        <v>7899.5</v>
      </c>
      <c r="O145" s="3">
        <v>78995</v>
      </c>
      <c r="P145" s="3">
        <v>19224.37</v>
      </c>
      <c r="Q145" s="3">
        <v>1453490.05</v>
      </c>
      <c r="R145" s="9">
        <f>IF($F145=1,((SUMIFS(Investors!$M:$M,Investors!$E:$E,Sales!$C145,Investors!$O:$O,FALSE)+SUMIFS(Investors!$S:$S,Investors!$E:$E,Sales!$C145,Investors!$O:$O,FALSE))*$F145)-SUMIFS('Investor Exit List'!$Q:$Q,'Investor Exit List'!$Y:$Y,1,'Investor Exit List'!$Z:$Z,"Release",'Investor Exit List'!$C:$C,Sales!$C145),(SUMIFS(Investors!$M:$M,Investors!$E:$E,Sales!$C145,Investors!$O:$O,FALSE)+SUMIFS(Investors!$S:$S,Investors!$E:$E,Sales!$C145,Investors!$O:$O,FALSE))*$F145)</f>
        <v>1187469.8630136987</v>
      </c>
      <c r="S145" s="9">
        <f t="shared" si="7"/>
        <v>266020.18698630133</v>
      </c>
      <c r="T145" s="3" t="b">
        <v>0</v>
      </c>
      <c r="U145" s="4">
        <v>45747</v>
      </c>
      <c r="V145" s="9">
        <v>266020.18698630109</v>
      </c>
      <c r="W145" s="10">
        <f>IF(SUMIFS('Cashflow Projection'!$E$117:$E$149,'Cashflow Projection'!$D$117:$D$149,Sales!C145)=1,SUMIFS('Cashflow Projection'!$C$117:$C$149,'Cashflow Projection'!$D$117:$D$149,Sales!C145),+Sales!H145)</f>
        <v>45688</v>
      </c>
      <c r="X145" s="10">
        <f t="shared" si="8"/>
        <v>45747</v>
      </c>
      <c r="Y145" s="10">
        <f t="shared" si="9"/>
        <v>45777</v>
      </c>
      <c r="Z145" t="b">
        <v>0</v>
      </c>
    </row>
    <row r="146" spans="1:26" x14ac:dyDescent="0.2">
      <c r="A146" s="3" t="s">
        <v>386</v>
      </c>
      <c r="B146" s="3" t="s">
        <v>497</v>
      </c>
      <c r="C146" s="3" t="s">
        <v>557</v>
      </c>
      <c r="D146" s="3" t="b">
        <v>0</v>
      </c>
      <c r="E146" s="3" t="b">
        <v>0</v>
      </c>
      <c r="F146" s="3">
        <f>IF(OR(Z146=TRUE,SUMIFS('Cashflow Projection'!$E$117:$E$149,'Cashflow Projection'!$D$117:$D$149,Sales!C146)=1),0,SUMIFS('Cashflow Projection'!$C$7:$C$23,'Cashflow Projection'!$B$7:$B$23,Sales!B146,'Cashflow Projection'!$A$7:$A$23,Sales!A146))</f>
        <v>1</v>
      </c>
      <c r="G146" s="4">
        <v>45428</v>
      </c>
      <c r="H146" s="4">
        <v>45646</v>
      </c>
      <c r="I146" s="3">
        <v>1539900</v>
      </c>
      <c r="J146" s="3">
        <v>200856.5217391304</v>
      </c>
      <c r="K146" s="3">
        <v>1339043.4782608701</v>
      </c>
      <c r="L146" s="3">
        <v>18502.080000000002</v>
      </c>
      <c r="M146" s="3">
        <v>1789</v>
      </c>
      <c r="N146" s="3">
        <v>7699.5</v>
      </c>
      <c r="O146" s="3">
        <v>76995</v>
      </c>
      <c r="P146" s="3">
        <v>19224.37</v>
      </c>
      <c r="Q146" s="3">
        <v>1415690.05</v>
      </c>
      <c r="R146" s="9">
        <f>IF($F146=1,((SUMIFS(Investors!$M:$M,Investors!$E:$E,Sales!$C146,Investors!$O:$O,FALSE)+SUMIFS(Investors!$S:$S,Investors!$E:$E,Sales!$C146,Investors!$O:$O,FALSE))*$F146)-SUMIFS('Investor Exit List'!$Q:$Q,'Investor Exit List'!$Y:$Y,1,'Investor Exit List'!$Z:$Z,"Release",'Investor Exit List'!$C:$C,Sales!$C146),(SUMIFS(Investors!$M:$M,Investors!$E:$E,Sales!$C146,Investors!$O:$O,FALSE)+SUMIFS(Investors!$S:$S,Investors!$E:$E,Sales!$C146,Investors!$O:$O,FALSE))*$F146)</f>
        <v>1332171.413630137</v>
      </c>
      <c r="S146" s="9">
        <f t="shared" si="7"/>
        <v>83518.636369863059</v>
      </c>
      <c r="T146" s="3" t="b">
        <v>0</v>
      </c>
      <c r="U146" s="4">
        <v>45688</v>
      </c>
      <c r="V146" s="9">
        <v>98536.598621232668</v>
      </c>
      <c r="W146" s="10">
        <f>IF(SUMIFS('Cashflow Projection'!$E$117:$E$149,'Cashflow Projection'!$D$117:$D$149,Sales!C146)=1,SUMIFS('Cashflow Projection'!$C$117:$C$149,'Cashflow Projection'!$D$117:$D$149,Sales!C146),+Sales!H146)</f>
        <v>45646</v>
      </c>
      <c r="X146" s="10">
        <f t="shared" si="8"/>
        <v>45688</v>
      </c>
      <c r="Y146" s="10">
        <f t="shared" si="9"/>
        <v>45716</v>
      </c>
      <c r="Z146" t="b">
        <v>0</v>
      </c>
    </row>
    <row r="147" spans="1:26" x14ac:dyDescent="0.2">
      <c r="A147" s="3" t="s">
        <v>386</v>
      </c>
      <c r="B147" s="3" t="s">
        <v>388</v>
      </c>
      <c r="C147" s="3" t="s">
        <v>460</v>
      </c>
      <c r="D147" s="3" t="b">
        <v>1</v>
      </c>
      <c r="E147" s="3" t="b">
        <v>0</v>
      </c>
      <c r="F147" s="3">
        <f>IF(OR(Z147=TRUE,SUMIFS('Cashflow Projection'!$E$117:$E$149,'Cashflow Projection'!$D$117:$D$149,Sales!C147)=1),0,SUMIFS('Cashflow Projection'!$C$7:$C$23,'Cashflow Projection'!$B$7:$B$23,Sales!B147,'Cashflow Projection'!$A$7:$A$23,Sales!A147))</f>
        <v>1</v>
      </c>
      <c r="G147" s="4">
        <v>45394</v>
      </c>
      <c r="H147" s="4">
        <v>45473</v>
      </c>
      <c r="I147" s="3">
        <v>1489900</v>
      </c>
      <c r="J147" s="3">
        <v>194334.78260869559</v>
      </c>
      <c r="K147" s="3">
        <v>1295565.217391304</v>
      </c>
      <c r="L147" s="3">
        <v>18502.080000000002</v>
      </c>
      <c r="M147" s="3">
        <v>1789</v>
      </c>
      <c r="N147" s="3">
        <v>7449.5</v>
      </c>
      <c r="O147" s="3">
        <v>74495</v>
      </c>
      <c r="P147" s="3">
        <v>19224.37</v>
      </c>
      <c r="Q147" s="3">
        <v>1368440.05</v>
      </c>
      <c r="R147" s="9">
        <f>IF($F147=1,((SUMIFS(Investors!$M:$M,Investors!$E:$E,Sales!$C147,Investors!$O:$O,FALSE)+SUMIFS(Investors!$S:$S,Investors!$E:$E,Sales!$C147,Investors!$O:$O,FALSE))*$F147)-SUMIFS('Investor Exit List'!$Q:$Q,'Investor Exit List'!$Y:$Y,1,'Investor Exit List'!$Z:$Z,"Release",'Investor Exit List'!$C:$C,Sales!$C147),(SUMIFS(Investors!$M:$M,Investors!$E:$E,Sales!$C147,Investors!$O:$O,FALSE)+SUMIFS(Investors!$S:$S,Investors!$E:$E,Sales!$C147,Investors!$O:$O,FALSE))*$F147)</f>
        <v>1364234.6978882193</v>
      </c>
      <c r="S147" s="9">
        <f t="shared" si="7"/>
        <v>4205.3521117807832</v>
      </c>
      <c r="T147" s="3" t="b">
        <v>0</v>
      </c>
      <c r="U147" s="4">
        <v>45504</v>
      </c>
      <c r="V147" s="9">
        <v>25991.46491835592</v>
      </c>
      <c r="W147" s="10">
        <f>IF(SUMIFS('Cashflow Projection'!$E$117:$E$149,'Cashflow Projection'!$D$117:$D$149,Sales!C147)=1,SUMIFS('Cashflow Projection'!$C$117:$C$149,'Cashflow Projection'!$D$117:$D$149,Sales!C147),+Sales!H147)</f>
        <v>45473</v>
      </c>
      <c r="X147" s="10">
        <f t="shared" si="8"/>
        <v>45504</v>
      </c>
      <c r="Y147" s="10">
        <f t="shared" si="9"/>
        <v>45535</v>
      </c>
      <c r="Z147" t="b">
        <v>0</v>
      </c>
    </row>
    <row r="148" spans="1:26" x14ac:dyDescent="0.2">
      <c r="A148" s="3" t="s">
        <v>386</v>
      </c>
      <c r="B148" s="3" t="s">
        <v>569</v>
      </c>
      <c r="C148" s="3" t="s">
        <v>588</v>
      </c>
      <c r="D148" s="3" t="b">
        <v>0</v>
      </c>
      <c r="E148" s="3" t="b">
        <v>0</v>
      </c>
      <c r="F148" s="3">
        <f>IF(OR(Z148=TRUE,SUMIFS('Cashflow Projection'!$E$117:$E$149,'Cashflow Projection'!$D$117:$D$149,Sales!C148)=1),0,SUMIFS('Cashflow Projection'!$C$7:$C$23,'Cashflow Projection'!$B$7:$B$23,Sales!B148,'Cashflow Projection'!$A$7:$A$23,Sales!A148))</f>
        <v>0</v>
      </c>
      <c r="G148" s="4">
        <v>45685</v>
      </c>
      <c r="H148" s="4">
        <v>45685</v>
      </c>
      <c r="I148" s="3">
        <v>1499900</v>
      </c>
      <c r="J148" s="3">
        <v>195639.13043478259</v>
      </c>
      <c r="K148" s="3">
        <v>1304260.869565218</v>
      </c>
      <c r="L148" s="3">
        <v>18502.080000000002</v>
      </c>
      <c r="M148" s="3">
        <v>1789</v>
      </c>
      <c r="N148" s="3">
        <v>7499.5</v>
      </c>
      <c r="O148" s="3">
        <v>74995</v>
      </c>
      <c r="P148" s="3">
        <v>19224.37</v>
      </c>
      <c r="Q148" s="3">
        <v>1377890.05</v>
      </c>
      <c r="R148" s="9">
        <f>IF($F148=1,((SUMIFS(Investors!$M:$M,Investors!$E:$E,Sales!$C148,Investors!$O:$O,FALSE)+SUMIFS(Investors!$S:$S,Investors!$E:$E,Sales!$C148,Investors!$O:$O,FALSE))*$F148)-SUMIFS('Investor Exit List'!$Q:$Q,'Investor Exit List'!$Y:$Y,1,'Investor Exit List'!$Z:$Z,"Release",'Investor Exit List'!$C:$C,Sales!$C148),(SUMIFS(Investors!$M:$M,Investors!$E:$E,Sales!$C148,Investors!$O:$O,FALSE)+SUMIFS(Investors!$S:$S,Investors!$E:$E,Sales!$C148,Investors!$O:$O,FALSE))*$F148)</f>
        <v>0</v>
      </c>
      <c r="S148" s="9">
        <f t="shared" si="7"/>
        <v>1377890.05</v>
      </c>
      <c r="T148" s="3" t="b">
        <v>0</v>
      </c>
      <c r="U148" s="4">
        <v>45747</v>
      </c>
      <c r="V148" s="9">
        <v>-83085.29246575362</v>
      </c>
      <c r="W148" s="10">
        <f>IF(SUMIFS('Cashflow Projection'!$E$117:$E$149,'Cashflow Projection'!$D$117:$D$149,Sales!C148)=1,SUMIFS('Cashflow Projection'!$C$117:$C$149,'Cashflow Projection'!$D$117:$D$149,Sales!C148),+Sales!H148)</f>
        <v>45685</v>
      </c>
      <c r="X148" s="10">
        <f t="shared" si="8"/>
        <v>45747</v>
      </c>
      <c r="Y148" s="10">
        <f t="shared" si="9"/>
        <v>45777</v>
      </c>
      <c r="Z148" t="b">
        <v>0</v>
      </c>
    </row>
    <row r="149" spans="1:26" x14ac:dyDescent="0.2">
      <c r="A149" s="3" t="s">
        <v>386</v>
      </c>
      <c r="B149" s="3" t="s">
        <v>811</v>
      </c>
      <c r="C149" s="3" t="s">
        <v>816</v>
      </c>
      <c r="D149" s="3" t="b">
        <v>0</v>
      </c>
      <c r="E149" s="3" t="b">
        <v>0</v>
      </c>
      <c r="F149" s="3">
        <f>IF(OR(Z149=TRUE,SUMIFS('Cashflow Projection'!$E$117:$E$149,'Cashflow Projection'!$D$117:$D$149,Sales!C149)=1),0,SUMIFS('Cashflow Projection'!$C$7:$C$23,'Cashflow Projection'!$B$7:$B$23,Sales!B149,'Cashflow Projection'!$A$7:$A$23,Sales!A149))</f>
        <v>0</v>
      </c>
      <c r="G149" s="4">
        <v>45450</v>
      </c>
      <c r="H149" s="4">
        <v>45583</v>
      </c>
      <c r="I149" s="3">
        <v>1679900</v>
      </c>
      <c r="J149" s="3">
        <v>219117.39130434781</v>
      </c>
      <c r="K149" s="3">
        <v>1460782.6086956521</v>
      </c>
      <c r="L149" s="3">
        <v>18502.080000000002</v>
      </c>
      <c r="M149" s="3">
        <v>1789</v>
      </c>
      <c r="N149" s="3">
        <v>8399.5</v>
      </c>
      <c r="O149" s="3">
        <v>83995</v>
      </c>
      <c r="P149" s="3">
        <v>19224.37</v>
      </c>
      <c r="Q149" s="3">
        <v>1547990.05</v>
      </c>
      <c r="R149" s="9">
        <f>IF($F149=1,((SUMIFS(Investors!$M:$M,Investors!$E:$E,Sales!$C149,Investors!$O:$O,FALSE)+SUMIFS(Investors!$S:$S,Investors!$E:$E,Sales!$C149,Investors!$O:$O,FALSE))*$F149)-SUMIFS('Investor Exit List'!$Q:$Q,'Investor Exit List'!$Y:$Y,1,'Investor Exit List'!$Z:$Z,"Release",'Investor Exit List'!$C:$C,Sales!$C149),(SUMIFS(Investors!$M:$M,Investors!$E:$E,Sales!$C149,Investors!$O:$O,FALSE)+SUMIFS(Investors!$S:$S,Investors!$E:$E,Sales!$C149,Investors!$O:$O,FALSE))*$F149)</f>
        <v>0</v>
      </c>
      <c r="S149" s="9">
        <f t="shared" si="7"/>
        <v>1547990.05</v>
      </c>
      <c r="T149" s="3" t="b">
        <v>0</v>
      </c>
      <c r="U149" s="4">
        <v>45626</v>
      </c>
      <c r="V149" s="9">
        <v>238583.20068493139</v>
      </c>
      <c r="W149" s="10">
        <f>IF(SUMIFS('Cashflow Projection'!$E$117:$E$149,'Cashflow Projection'!$D$117:$D$149,Sales!C149)=1,SUMIFS('Cashflow Projection'!$C$117:$C$149,'Cashflow Projection'!$D$117:$D$149,Sales!C149),+Sales!H149)</f>
        <v>45583</v>
      </c>
      <c r="X149" s="10">
        <f t="shared" si="8"/>
        <v>45626</v>
      </c>
      <c r="Y149" s="10">
        <f t="shared" si="9"/>
        <v>45657</v>
      </c>
      <c r="Z149" t="b">
        <v>0</v>
      </c>
    </row>
    <row r="150" spans="1:26" x14ac:dyDescent="0.2">
      <c r="A150" s="3" t="s">
        <v>386</v>
      </c>
      <c r="B150" s="3" t="s">
        <v>790</v>
      </c>
      <c r="C150" s="3" t="s">
        <v>804</v>
      </c>
      <c r="D150" s="3" t="b">
        <v>0</v>
      </c>
      <c r="E150" s="3" t="b">
        <v>0</v>
      </c>
      <c r="F150" s="3">
        <f>IF(OR(Z150=TRUE,SUMIFS('Cashflow Projection'!$E$117:$E$149,'Cashflow Projection'!$D$117:$D$149,Sales!C150)=1),0,SUMIFS('Cashflow Projection'!$C$7:$C$23,'Cashflow Projection'!$B$7:$B$23,Sales!B150,'Cashflow Projection'!$A$7:$A$23,Sales!A150))</f>
        <v>0</v>
      </c>
      <c r="G150" s="4">
        <v>45499</v>
      </c>
      <c r="H150" s="4">
        <v>45716</v>
      </c>
      <c r="I150" s="3">
        <v>1499900</v>
      </c>
      <c r="J150" s="3">
        <v>195639.13043478259</v>
      </c>
      <c r="K150" s="3">
        <v>1304260.869565218</v>
      </c>
      <c r="L150" s="3">
        <v>18502.080000000002</v>
      </c>
      <c r="M150" s="3">
        <v>1789</v>
      </c>
      <c r="N150" s="3">
        <v>7499.5</v>
      </c>
      <c r="O150" s="3">
        <v>74995</v>
      </c>
      <c r="P150" s="3">
        <v>19224.37</v>
      </c>
      <c r="Q150" s="3">
        <v>1377890.05</v>
      </c>
      <c r="R150" s="9">
        <f>IF($F150=1,((SUMIFS(Investors!$M:$M,Investors!$E:$E,Sales!$C150,Investors!$O:$O,FALSE)+SUMIFS(Investors!$S:$S,Investors!$E:$E,Sales!$C150,Investors!$O:$O,FALSE))*$F150)-SUMIFS('Investor Exit List'!$Q:$Q,'Investor Exit List'!$Y:$Y,1,'Investor Exit List'!$Z:$Z,"Release",'Investor Exit List'!$C:$C,Sales!$C150),(SUMIFS(Investors!$M:$M,Investors!$E:$E,Sales!$C150,Investors!$O:$O,FALSE)+SUMIFS(Investors!$S:$S,Investors!$E:$E,Sales!$C150,Investors!$O:$O,FALSE))*$F150)</f>
        <v>0</v>
      </c>
      <c r="S150" s="9">
        <f t="shared" si="7"/>
        <v>1377890.05</v>
      </c>
      <c r="T150" s="3" t="b">
        <v>0</v>
      </c>
      <c r="U150" s="4">
        <v>45747</v>
      </c>
      <c r="V150" s="9">
        <v>-1156.525342465844</v>
      </c>
      <c r="W150" s="10">
        <f>IF(SUMIFS('Cashflow Projection'!$E$117:$E$149,'Cashflow Projection'!$D$117:$D$149,Sales!C150)=1,SUMIFS('Cashflow Projection'!$C$117:$C$149,'Cashflow Projection'!$D$117:$D$149,Sales!C150),+Sales!H150)</f>
        <v>45716</v>
      </c>
      <c r="X150" s="10">
        <f t="shared" si="8"/>
        <v>45747</v>
      </c>
      <c r="Y150" s="10">
        <f t="shared" si="9"/>
        <v>45777</v>
      </c>
      <c r="Z150" t="b">
        <v>0</v>
      </c>
    </row>
    <row r="151" spans="1:26" x14ac:dyDescent="0.2">
      <c r="A151" s="3" t="s">
        <v>386</v>
      </c>
      <c r="B151" s="3" t="s">
        <v>628</v>
      </c>
      <c r="C151" s="3" t="s">
        <v>666</v>
      </c>
      <c r="D151" s="3" t="b">
        <v>0</v>
      </c>
      <c r="E151" s="3" t="b">
        <v>0</v>
      </c>
      <c r="F151" s="3">
        <f>IF(OR(Z151=TRUE,SUMIFS('Cashflow Projection'!$E$117:$E$149,'Cashflow Projection'!$D$117:$D$149,Sales!C151)=1),0,SUMIFS('Cashflow Projection'!$C$7:$C$23,'Cashflow Projection'!$B$7:$B$23,Sales!B151,'Cashflow Projection'!$A$7:$A$23,Sales!A151))</f>
        <v>0</v>
      </c>
      <c r="G151" s="4">
        <v>45523</v>
      </c>
      <c r="H151" s="4">
        <v>45532</v>
      </c>
      <c r="I151" s="3">
        <v>1499900</v>
      </c>
      <c r="J151" s="3">
        <v>195639.13043478259</v>
      </c>
      <c r="K151" s="3">
        <v>1304260.869565218</v>
      </c>
      <c r="L151" s="3">
        <v>18502.080000000002</v>
      </c>
      <c r="M151" s="3">
        <v>1789</v>
      </c>
      <c r="N151" s="3">
        <v>7499.5</v>
      </c>
      <c r="O151" s="3">
        <v>74995</v>
      </c>
      <c r="P151" s="3">
        <v>19224.37</v>
      </c>
      <c r="Q151" s="3">
        <v>1377890.05</v>
      </c>
      <c r="R151" s="9">
        <f>IF($F151=1,((SUMIFS(Investors!$M:$M,Investors!$E:$E,Sales!$C151,Investors!$O:$O,FALSE)+SUMIFS(Investors!$S:$S,Investors!$E:$E,Sales!$C151,Investors!$O:$O,FALSE))*$F151)-SUMIFS('Investor Exit List'!$Q:$Q,'Investor Exit List'!$Y:$Y,1,'Investor Exit List'!$Z:$Z,"Release",'Investor Exit List'!$C:$C,Sales!$C151),(SUMIFS(Investors!$M:$M,Investors!$E:$E,Sales!$C151,Investors!$O:$O,FALSE)+SUMIFS(Investors!$S:$S,Investors!$E:$E,Sales!$C151,Investors!$O:$O,FALSE))*$F151)</f>
        <v>0</v>
      </c>
      <c r="S151" s="9">
        <f t="shared" si="7"/>
        <v>1377890.05</v>
      </c>
      <c r="T151" s="3" t="b">
        <v>0</v>
      </c>
      <c r="U151" s="4">
        <v>45565</v>
      </c>
      <c r="V151" s="9">
        <v>83683.944125479087</v>
      </c>
      <c r="W151" s="10">
        <f>IF(SUMIFS('Cashflow Projection'!$E$117:$E$149,'Cashflow Projection'!$D$117:$D$149,Sales!C151)=1,SUMIFS('Cashflow Projection'!$C$117:$C$149,'Cashflow Projection'!$D$117:$D$149,Sales!C151),+Sales!H151)</f>
        <v>45532</v>
      </c>
      <c r="X151" s="10">
        <f t="shared" si="8"/>
        <v>45565</v>
      </c>
      <c r="Y151" s="10">
        <f t="shared" si="9"/>
        <v>45596</v>
      </c>
      <c r="Z151" t="b">
        <v>0</v>
      </c>
    </row>
    <row r="152" spans="1:26" x14ac:dyDescent="0.2">
      <c r="A152" s="3" t="s">
        <v>386</v>
      </c>
      <c r="B152" s="3" t="s">
        <v>388</v>
      </c>
      <c r="C152" s="3" t="s">
        <v>469</v>
      </c>
      <c r="D152" s="3" t="b">
        <v>1</v>
      </c>
      <c r="E152" s="3" t="b">
        <v>0</v>
      </c>
      <c r="F152" s="3">
        <f>IF(OR(Z152=TRUE,SUMIFS('Cashflow Projection'!$E$117:$E$149,'Cashflow Projection'!$D$117:$D$149,Sales!C152)=1),0,SUMIFS('Cashflow Projection'!$C$7:$C$23,'Cashflow Projection'!$B$7:$B$23,Sales!B152,'Cashflow Projection'!$A$7:$A$23,Sales!A152))</f>
        <v>1</v>
      </c>
      <c r="G152" s="4">
        <v>45394</v>
      </c>
      <c r="H152" s="4">
        <v>45473</v>
      </c>
      <c r="I152" s="3">
        <v>1509900</v>
      </c>
      <c r="J152" s="3">
        <v>196943.4782608696</v>
      </c>
      <c r="K152" s="3">
        <v>1312956.5217391311</v>
      </c>
      <c r="L152" s="3">
        <v>18502.080000000002</v>
      </c>
      <c r="M152" s="3">
        <v>1789</v>
      </c>
      <c r="N152" s="3">
        <v>7549.5</v>
      </c>
      <c r="O152" s="3">
        <v>75495</v>
      </c>
      <c r="P152" s="3">
        <v>19224.37</v>
      </c>
      <c r="Q152" s="3">
        <v>1387340.05</v>
      </c>
      <c r="R152" s="9">
        <f>IF($F152=1,((SUMIFS(Investors!$M:$M,Investors!$E:$E,Sales!$C152,Investors!$O:$O,FALSE)+SUMIFS(Investors!$S:$S,Investors!$E:$E,Sales!$C152,Investors!$O:$O,FALSE))*$F152)-SUMIFS('Investor Exit List'!$Q:$Q,'Investor Exit List'!$Y:$Y,1,'Investor Exit List'!$Z:$Z,"Release",'Investor Exit List'!$C:$C,Sales!$C152),(SUMIFS(Investors!$M:$M,Investors!$E:$E,Sales!$C152,Investors!$O:$O,FALSE)+SUMIFS(Investors!$S:$S,Investors!$E:$E,Sales!$C152,Investors!$O:$O,FALSE))*$F152)</f>
        <v>1419241.0958904109</v>
      </c>
      <c r="S152" s="9">
        <f t="shared" si="7"/>
        <v>-31901.045890410896</v>
      </c>
      <c r="T152" s="3" t="b">
        <v>0</v>
      </c>
      <c r="U152" s="4">
        <v>45504</v>
      </c>
      <c r="V152" s="9">
        <v>-5862.6897260276601</v>
      </c>
      <c r="W152" s="10">
        <f>IF(SUMIFS('Cashflow Projection'!$E$117:$E$149,'Cashflow Projection'!$D$117:$D$149,Sales!C152)=1,SUMIFS('Cashflow Projection'!$C$117:$C$149,'Cashflow Projection'!$D$117:$D$149,Sales!C152),+Sales!H152)</f>
        <v>45473</v>
      </c>
      <c r="X152" s="10">
        <f t="shared" si="8"/>
        <v>45504</v>
      </c>
      <c r="Y152" s="10">
        <f t="shared" si="9"/>
        <v>45535</v>
      </c>
      <c r="Z152" t="b">
        <v>0</v>
      </c>
    </row>
    <row r="153" spans="1:26" x14ac:dyDescent="0.2">
      <c r="A153" s="3" t="s">
        <v>386</v>
      </c>
      <c r="B153" s="3" t="s">
        <v>388</v>
      </c>
      <c r="C153" s="3" t="s">
        <v>488</v>
      </c>
      <c r="D153" s="3" t="b">
        <v>0</v>
      </c>
      <c r="E153" s="3" t="b">
        <v>0</v>
      </c>
      <c r="F153" s="3">
        <f>IF(OR(Z153=TRUE,SUMIFS('Cashflow Projection'!$E$117:$E$149,'Cashflow Projection'!$D$117:$D$149,Sales!C153)=1),0,SUMIFS('Cashflow Projection'!$C$7:$C$23,'Cashflow Projection'!$B$7:$B$23,Sales!B153,'Cashflow Projection'!$A$7:$A$23,Sales!A153))</f>
        <v>1</v>
      </c>
      <c r="G153" s="4">
        <v>45449</v>
      </c>
      <c r="H153" s="4">
        <v>45646</v>
      </c>
      <c r="I153" s="3">
        <v>1469900</v>
      </c>
      <c r="J153" s="3">
        <v>191726.0869565217</v>
      </c>
      <c r="K153" s="3">
        <v>1278173.913043478</v>
      </c>
      <c r="L153" s="3">
        <v>18502.080000000002</v>
      </c>
      <c r="M153" s="3">
        <v>1789</v>
      </c>
      <c r="N153" s="3">
        <v>7349.5</v>
      </c>
      <c r="O153" s="3">
        <v>73495</v>
      </c>
      <c r="P153" s="3">
        <v>19224.37</v>
      </c>
      <c r="Q153" s="3">
        <v>1349540.05</v>
      </c>
      <c r="R153" s="9">
        <f>IF($F153=1,((SUMIFS(Investors!$M:$M,Investors!$E:$E,Sales!$C153,Investors!$O:$O,FALSE)+SUMIFS(Investors!$S:$S,Investors!$E:$E,Sales!$C153,Investors!$O:$O,FALSE))*$F153)-SUMIFS('Investor Exit List'!$Q:$Q,'Investor Exit List'!$Y:$Y,1,'Investor Exit List'!$Z:$Z,"Release",'Investor Exit List'!$C:$C,Sales!$C153),(SUMIFS(Investors!$M:$M,Investors!$E:$E,Sales!$C153,Investors!$O:$O,FALSE)+SUMIFS(Investors!$S:$S,Investors!$E:$E,Sales!$C153,Investors!$O:$O,FALSE))*$F153)</f>
        <v>1357954.8019931507</v>
      </c>
      <c r="S153" s="9">
        <f t="shared" si="7"/>
        <v>-8414.7519931506831</v>
      </c>
      <c r="T153" s="3" t="b">
        <v>0</v>
      </c>
      <c r="U153" s="4">
        <v>45688</v>
      </c>
      <c r="V153" s="9">
        <v>34170.079710958758</v>
      </c>
      <c r="W153" s="10">
        <f>IF(SUMIFS('Cashflow Projection'!$E$117:$E$149,'Cashflow Projection'!$D$117:$D$149,Sales!C153)=1,SUMIFS('Cashflow Projection'!$C$117:$C$149,'Cashflow Projection'!$D$117:$D$149,Sales!C153),+Sales!H153)</f>
        <v>45646</v>
      </c>
      <c r="X153" s="10">
        <f t="shared" si="8"/>
        <v>45688</v>
      </c>
      <c r="Y153" s="10">
        <f t="shared" si="9"/>
        <v>45716</v>
      </c>
      <c r="Z153" t="b">
        <v>0</v>
      </c>
    </row>
    <row r="154" spans="1:26" x14ac:dyDescent="0.2">
      <c r="A154" s="3" t="s">
        <v>386</v>
      </c>
      <c r="B154" s="3" t="s">
        <v>628</v>
      </c>
      <c r="C154" s="3" t="s">
        <v>645</v>
      </c>
      <c r="D154" s="3" t="b">
        <v>0</v>
      </c>
      <c r="E154" s="3" t="b">
        <v>0</v>
      </c>
      <c r="F154" s="3">
        <f>IF(OR(Z154=TRUE,SUMIFS('Cashflow Projection'!$E$117:$E$149,'Cashflow Projection'!$D$117:$D$149,Sales!C154)=1),0,SUMIFS('Cashflow Projection'!$C$7:$C$23,'Cashflow Projection'!$B$7:$B$23,Sales!B154,'Cashflow Projection'!$A$7:$A$23,Sales!A154))</f>
        <v>0</v>
      </c>
      <c r="G154" s="4">
        <v>45523</v>
      </c>
      <c r="H154" s="4">
        <v>45532</v>
      </c>
      <c r="I154" s="3">
        <v>1449900</v>
      </c>
      <c r="J154" s="3">
        <v>189117.39130434781</v>
      </c>
      <c r="K154" s="3">
        <v>1260782.6086956521</v>
      </c>
      <c r="L154" s="3">
        <v>18502.080000000002</v>
      </c>
      <c r="M154" s="3">
        <v>1789</v>
      </c>
      <c r="N154" s="3">
        <v>7249.5</v>
      </c>
      <c r="O154" s="3">
        <v>72495</v>
      </c>
      <c r="P154" s="3">
        <v>19224.37</v>
      </c>
      <c r="Q154" s="3">
        <v>1330640.05</v>
      </c>
      <c r="R154" s="9">
        <f>IF($F154=1,((SUMIFS(Investors!$M:$M,Investors!$E:$E,Sales!$C154,Investors!$O:$O,FALSE)+SUMIFS(Investors!$S:$S,Investors!$E:$E,Sales!$C154,Investors!$O:$O,FALSE))*$F154)-SUMIFS('Investor Exit List'!$Q:$Q,'Investor Exit List'!$Y:$Y,1,'Investor Exit List'!$Z:$Z,"Release",'Investor Exit List'!$C:$C,Sales!$C154),(SUMIFS(Investors!$M:$M,Investors!$E:$E,Sales!$C154,Investors!$O:$O,FALSE)+SUMIFS(Investors!$S:$S,Investors!$E:$E,Sales!$C154,Investors!$O:$O,FALSE))*$F154)</f>
        <v>0</v>
      </c>
      <c r="S154" s="9">
        <f t="shared" si="7"/>
        <v>1330640.05</v>
      </c>
      <c r="T154" s="3" t="b">
        <v>0</v>
      </c>
      <c r="U154" s="4">
        <v>45565</v>
      </c>
      <c r="V154" s="9">
        <v>-5890.4552454794757</v>
      </c>
      <c r="W154" s="10">
        <f>IF(SUMIFS('Cashflow Projection'!$E$117:$E$149,'Cashflow Projection'!$D$117:$D$149,Sales!C154)=1,SUMIFS('Cashflow Projection'!$C$117:$C$149,'Cashflow Projection'!$D$117:$D$149,Sales!C154),+Sales!H154)</f>
        <v>45532</v>
      </c>
      <c r="X154" s="10">
        <f t="shared" si="8"/>
        <v>45565</v>
      </c>
      <c r="Y154" s="10">
        <f t="shared" si="9"/>
        <v>45596</v>
      </c>
      <c r="Z154" t="b">
        <v>0</v>
      </c>
    </row>
    <row r="155" spans="1:26" x14ac:dyDescent="0.2">
      <c r="A155" s="3" t="s">
        <v>386</v>
      </c>
      <c r="B155" s="3" t="s">
        <v>750</v>
      </c>
      <c r="C155" s="3" t="s">
        <v>762</v>
      </c>
      <c r="D155" s="3" t="b">
        <v>0</v>
      </c>
      <c r="E155" s="3" t="b">
        <v>0</v>
      </c>
      <c r="F155" s="3">
        <f>IF(OR(Z155=TRUE,SUMIFS('Cashflow Projection'!$E$117:$E$149,'Cashflow Projection'!$D$117:$D$149,Sales!C155)=1),0,SUMIFS('Cashflow Projection'!$C$7:$C$23,'Cashflow Projection'!$B$7:$B$23,Sales!B155,'Cashflow Projection'!$A$7:$A$23,Sales!A155))</f>
        <v>0</v>
      </c>
      <c r="G155" s="4">
        <v>45510</v>
      </c>
      <c r="H155" s="4">
        <v>45625</v>
      </c>
      <c r="I155" s="3">
        <v>1529900</v>
      </c>
      <c r="J155" s="3">
        <v>199552.17391304349</v>
      </c>
      <c r="K155" s="3">
        <v>1330347.826086957</v>
      </c>
      <c r="L155" s="3">
        <v>18502.080000000002</v>
      </c>
      <c r="M155" s="3">
        <v>1789</v>
      </c>
      <c r="N155" s="3">
        <v>7649.5</v>
      </c>
      <c r="O155" s="3">
        <v>76495</v>
      </c>
      <c r="P155" s="3">
        <v>19224.37</v>
      </c>
      <c r="Q155" s="3">
        <v>1406240.05</v>
      </c>
      <c r="R155" s="9">
        <f>IF($F155=1,((SUMIFS(Investors!$M:$M,Investors!$E:$E,Sales!$C155,Investors!$O:$O,FALSE)+SUMIFS(Investors!$S:$S,Investors!$E:$E,Sales!$C155,Investors!$O:$O,FALSE))*$F155)-SUMIFS('Investor Exit List'!$Q:$Q,'Investor Exit List'!$Y:$Y,1,'Investor Exit List'!$Z:$Z,"Release",'Investor Exit List'!$C:$C,Sales!$C155),(SUMIFS(Investors!$M:$M,Investors!$E:$E,Sales!$C155,Investors!$O:$O,FALSE)+SUMIFS(Investors!$S:$S,Investors!$E:$E,Sales!$C155,Investors!$O:$O,FALSE))*$F155)</f>
        <v>0</v>
      </c>
      <c r="S155" s="9">
        <f t="shared" si="7"/>
        <v>1406240.05</v>
      </c>
      <c r="T155" s="3" t="b">
        <v>0</v>
      </c>
      <c r="U155" s="4">
        <v>45688</v>
      </c>
      <c r="V155" s="9">
        <v>21813.988819520451</v>
      </c>
      <c r="W155" s="10">
        <f>IF(SUMIFS('Cashflow Projection'!$E$117:$E$149,'Cashflow Projection'!$D$117:$D$149,Sales!C155)=1,SUMIFS('Cashflow Projection'!$C$117:$C$149,'Cashflow Projection'!$D$117:$D$149,Sales!C155),+Sales!H155)</f>
        <v>45625</v>
      </c>
      <c r="X155" s="10">
        <f t="shared" si="8"/>
        <v>45688</v>
      </c>
      <c r="Y155" s="10">
        <f t="shared" si="9"/>
        <v>45716</v>
      </c>
      <c r="Z155" t="b">
        <v>0</v>
      </c>
    </row>
    <row r="156" spans="1:26" x14ac:dyDescent="0.2">
      <c r="A156" s="3" t="s">
        <v>386</v>
      </c>
      <c r="B156" s="3" t="s">
        <v>750</v>
      </c>
      <c r="C156" s="3" t="s">
        <v>770</v>
      </c>
      <c r="D156" s="3" t="b">
        <v>0</v>
      </c>
      <c r="E156" s="3" t="b">
        <v>0</v>
      </c>
      <c r="F156" s="3">
        <f>IF(OR(Z156=TRUE,SUMIFS('Cashflow Projection'!$E$117:$E$149,'Cashflow Projection'!$D$117:$D$149,Sales!C156)=1),0,SUMIFS('Cashflow Projection'!$C$7:$C$23,'Cashflow Projection'!$B$7:$B$23,Sales!B156,'Cashflow Projection'!$A$7:$A$23,Sales!A156))</f>
        <v>0</v>
      </c>
      <c r="G156" s="4">
        <v>45510</v>
      </c>
      <c r="H156" s="4">
        <v>45625</v>
      </c>
      <c r="I156" s="3">
        <v>1529900</v>
      </c>
      <c r="J156" s="3">
        <v>199552.17391304349</v>
      </c>
      <c r="K156" s="3">
        <v>1330347.826086957</v>
      </c>
      <c r="L156" s="3">
        <v>18502.080000000002</v>
      </c>
      <c r="M156" s="3">
        <v>1789</v>
      </c>
      <c r="N156" s="3">
        <v>7649.5</v>
      </c>
      <c r="O156" s="3">
        <v>76495</v>
      </c>
      <c r="P156" s="3">
        <v>19224.37</v>
      </c>
      <c r="Q156" s="3">
        <v>1406240.05</v>
      </c>
      <c r="R156" s="9">
        <f>IF($F156=1,((SUMIFS(Investors!$M:$M,Investors!$E:$E,Sales!$C156,Investors!$O:$O,FALSE)+SUMIFS(Investors!$S:$S,Investors!$E:$E,Sales!$C156,Investors!$O:$O,FALSE))*$F156)-SUMIFS('Investor Exit List'!$Q:$Q,'Investor Exit List'!$Y:$Y,1,'Investor Exit List'!$Z:$Z,"Release",'Investor Exit List'!$C:$C,Sales!$C156),(SUMIFS(Investors!$M:$M,Investors!$E:$E,Sales!$C156,Investors!$O:$O,FALSE)+SUMIFS(Investors!$S:$S,Investors!$E:$E,Sales!$C156,Investors!$O:$O,FALSE))*$F156)</f>
        <v>0</v>
      </c>
      <c r="S156" s="9">
        <f t="shared" si="7"/>
        <v>1406240.05</v>
      </c>
      <c r="T156" s="3" t="b">
        <v>0</v>
      </c>
      <c r="U156" s="4">
        <v>45688</v>
      </c>
      <c r="V156" s="9">
        <v>-1053.100684931502</v>
      </c>
      <c r="W156" s="10">
        <f>IF(SUMIFS('Cashflow Projection'!$E$117:$E$149,'Cashflow Projection'!$D$117:$D$149,Sales!C156)=1,SUMIFS('Cashflow Projection'!$C$117:$C$149,'Cashflow Projection'!$D$117:$D$149,Sales!C156),+Sales!H156)</f>
        <v>45625</v>
      </c>
      <c r="X156" s="10">
        <f t="shared" si="8"/>
        <v>45688</v>
      </c>
      <c r="Y156" s="10">
        <f t="shared" si="9"/>
        <v>45716</v>
      </c>
      <c r="Z156" t="b">
        <v>0</v>
      </c>
    </row>
    <row r="157" spans="1:26" x14ac:dyDescent="0.2">
      <c r="A157" s="3" t="s">
        <v>386</v>
      </c>
      <c r="B157" s="3" t="s">
        <v>569</v>
      </c>
      <c r="C157" s="3" t="s">
        <v>573</v>
      </c>
      <c r="D157" s="3" t="b">
        <v>0</v>
      </c>
      <c r="E157" s="3" t="b">
        <v>0</v>
      </c>
      <c r="F157" s="3">
        <f>IF(OR(Z157=TRUE,SUMIFS('Cashflow Projection'!$E$117:$E$149,'Cashflow Projection'!$D$117:$D$149,Sales!C157)=1),0,SUMIFS('Cashflow Projection'!$C$7:$C$23,'Cashflow Projection'!$B$7:$B$23,Sales!B157,'Cashflow Projection'!$A$7:$A$23,Sales!A157))</f>
        <v>0</v>
      </c>
      <c r="G157" s="4">
        <v>45685</v>
      </c>
      <c r="H157" s="4">
        <v>45685</v>
      </c>
      <c r="I157" s="3">
        <v>1649900</v>
      </c>
      <c r="J157" s="3">
        <v>215204.34782608689</v>
      </c>
      <c r="K157" s="3">
        <v>1434695.6521739131</v>
      </c>
      <c r="L157" s="3">
        <v>18502.080000000002</v>
      </c>
      <c r="M157" s="3">
        <v>1789</v>
      </c>
      <c r="N157" s="3">
        <v>8249.5</v>
      </c>
      <c r="O157" s="3">
        <v>82495</v>
      </c>
      <c r="P157" s="3">
        <v>19224.37</v>
      </c>
      <c r="Q157" s="3">
        <v>1519640.05</v>
      </c>
      <c r="R157" s="9">
        <f>IF($F157=1,((SUMIFS(Investors!$M:$M,Investors!$E:$E,Sales!$C157,Investors!$O:$O,FALSE)+SUMIFS(Investors!$S:$S,Investors!$E:$E,Sales!$C157,Investors!$O:$O,FALSE))*$F157)-SUMIFS('Investor Exit List'!$Q:$Q,'Investor Exit List'!$Y:$Y,1,'Investor Exit List'!$Z:$Z,"Release",'Investor Exit List'!$C:$C,Sales!$C157),(SUMIFS(Investors!$M:$M,Investors!$E:$E,Sales!$C157,Investors!$O:$O,FALSE)+SUMIFS(Investors!$S:$S,Investors!$E:$E,Sales!$C157,Investors!$O:$O,FALSE))*$F157)</f>
        <v>0</v>
      </c>
      <c r="S157" s="9">
        <f t="shared" si="7"/>
        <v>1519640.05</v>
      </c>
      <c r="T157" s="3" t="b">
        <v>0</v>
      </c>
      <c r="U157" s="4">
        <v>45747</v>
      </c>
      <c r="V157" s="9">
        <v>1383822.8524</v>
      </c>
      <c r="W157" s="10">
        <f>IF(SUMIFS('Cashflow Projection'!$E$117:$E$149,'Cashflow Projection'!$D$117:$D$149,Sales!C157)=1,SUMIFS('Cashflow Projection'!$C$117:$C$149,'Cashflow Projection'!$D$117:$D$149,Sales!C157),+Sales!H157)</f>
        <v>45685</v>
      </c>
      <c r="X157" s="10">
        <f t="shared" si="8"/>
        <v>45747</v>
      </c>
      <c r="Y157" s="10">
        <f t="shared" si="9"/>
        <v>45777</v>
      </c>
      <c r="Z157" t="b">
        <v>0</v>
      </c>
    </row>
    <row r="158" spans="1:26" x14ac:dyDescent="0.2">
      <c r="A158" s="3" t="s">
        <v>386</v>
      </c>
      <c r="B158" s="3" t="s">
        <v>750</v>
      </c>
      <c r="C158" s="3" t="s">
        <v>760</v>
      </c>
      <c r="D158" s="3" t="b">
        <v>0</v>
      </c>
      <c r="E158" s="3" t="b">
        <v>0</v>
      </c>
      <c r="F158" s="3">
        <f>IF(OR(Z158=TRUE,SUMIFS('Cashflow Projection'!$E$117:$E$149,'Cashflow Projection'!$D$117:$D$149,Sales!C158)=1),0,SUMIFS('Cashflow Projection'!$C$7:$C$23,'Cashflow Projection'!$B$7:$B$23,Sales!B158,'Cashflow Projection'!$A$7:$A$23,Sales!A158))</f>
        <v>0</v>
      </c>
      <c r="G158" s="4">
        <v>45510</v>
      </c>
      <c r="H158" s="4">
        <v>45625</v>
      </c>
      <c r="I158" s="3">
        <v>1499900</v>
      </c>
      <c r="J158" s="3">
        <v>195639.13043478259</v>
      </c>
      <c r="K158" s="3">
        <v>1304260.869565218</v>
      </c>
      <c r="L158" s="3">
        <v>18502.080000000002</v>
      </c>
      <c r="M158" s="3">
        <v>1789</v>
      </c>
      <c r="N158" s="3">
        <v>7499.5</v>
      </c>
      <c r="O158" s="3">
        <v>74995</v>
      </c>
      <c r="P158" s="3">
        <v>19224.37</v>
      </c>
      <c r="Q158" s="3">
        <v>1377890.05</v>
      </c>
      <c r="R158" s="9">
        <f>IF($F158=1,((SUMIFS(Investors!$M:$M,Investors!$E:$E,Sales!$C158,Investors!$O:$O,FALSE)+SUMIFS(Investors!$S:$S,Investors!$E:$E,Sales!$C158,Investors!$O:$O,FALSE))*$F158)-SUMIFS('Investor Exit List'!$Q:$Q,'Investor Exit List'!$Y:$Y,1,'Investor Exit List'!$Z:$Z,"Release",'Investor Exit List'!$C:$C,Sales!$C158),(SUMIFS(Investors!$M:$M,Investors!$E:$E,Sales!$C158,Investors!$O:$O,FALSE)+SUMIFS(Investors!$S:$S,Investors!$E:$E,Sales!$C158,Investors!$O:$O,FALSE))*$F158)</f>
        <v>0</v>
      </c>
      <c r="S158" s="9">
        <f t="shared" si="7"/>
        <v>1377890.05</v>
      </c>
      <c r="T158" s="3" t="b">
        <v>0</v>
      </c>
      <c r="U158" s="4">
        <v>45688</v>
      </c>
      <c r="V158" s="9">
        <v>-40335.673834452173</v>
      </c>
      <c r="W158" s="10">
        <f>IF(SUMIFS('Cashflow Projection'!$E$117:$E$149,'Cashflow Projection'!$D$117:$D$149,Sales!C158)=1,SUMIFS('Cashflow Projection'!$C$117:$C$149,'Cashflow Projection'!$D$117:$D$149,Sales!C158),+Sales!H158)</f>
        <v>45625</v>
      </c>
      <c r="X158" s="10">
        <f t="shared" si="8"/>
        <v>45688</v>
      </c>
      <c r="Y158" s="10">
        <f t="shared" si="9"/>
        <v>45716</v>
      </c>
      <c r="Z158" t="b">
        <v>0</v>
      </c>
    </row>
    <row r="159" spans="1:26" x14ac:dyDescent="0.2">
      <c r="A159" s="3" t="s">
        <v>992</v>
      </c>
      <c r="B159" s="3" t="s">
        <v>209</v>
      </c>
      <c r="C159" s="3" t="s">
        <v>1029</v>
      </c>
      <c r="D159" s="3" t="b">
        <v>1</v>
      </c>
      <c r="E159" s="3" t="b">
        <v>1</v>
      </c>
      <c r="F159" s="3">
        <f>IF(OR(Z159=TRUE,SUMIFS('Cashflow Projection'!$E$117:$E$149,'Cashflow Projection'!$D$117:$D$149,Sales!C159)=1),0,SUMIFS('Cashflow Projection'!$C$7:$C$23,'Cashflow Projection'!$B$7:$B$23,Sales!B159,'Cashflow Projection'!$A$7:$A$23,Sales!A159))</f>
        <v>1</v>
      </c>
      <c r="G159" s="4">
        <v>45281</v>
      </c>
      <c r="H159" s="4">
        <v>45688</v>
      </c>
      <c r="I159" s="3">
        <v>1579900</v>
      </c>
      <c r="J159" s="3">
        <v>206073.91304347821</v>
      </c>
      <c r="K159" s="3">
        <v>1373826.086956522</v>
      </c>
      <c r="L159" s="3">
        <v>18502.080000000002</v>
      </c>
      <c r="M159" s="3">
        <v>1789</v>
      </c>
      <c r="N159" s="3">
        <v>7899.5</v>
      </c>
      <c r="O159" s="3">
        <v>78995</v>
      </c>
      <c r="P159" s="3">
        <v>19224.37</v>
      </c>
      <c r="Q159" s="3">
        <v>1453490.05</v>
      </c>
      <c r="R159" s="9">
        <f>IF($F159=1,((SUMIFS(Investors!$M:$M,Investors!$E:$E,Sales!$C159,Investors!$O:$O,FALSE)+SUMIFS(Investors!$S:$S,Investors!$E:$E,Sales!$C159,Investors!$O:$O,FALSE))*$F159)-SUMIFS('Investor Exit List'!$Q:$Q,'Investor Exit List'!$Y:$Y,1,'Investor Exit List'!$Z:$Z,"Release",'Investor Exit List'!$C:$C,Sales!$C159),(SUMIFS(Investors!$M:$M,Investors!$E:$E,Sales!$C159,Investors!$O:$O,FALSE)+SUMIFS(Investors!$S:$S,Investors!$E:$E,Sales!$C159,Investors!$O:$O,FALSE))*$F159)</f>
        <v>0</v>
      </c>
      <c r="S159" s="9">
        <f t="shared" si="7"/>
        <v>1453490.05</v>
      </c>
      <c r="T159" s="3" t="b">
        <v>0</v>
      </c>
      <c r="U159" s="4">
        <v>45747</v>
      </c>
      <c r="V159" s="9">
        <v>119092.7721843834</v>
      </c>
      <c r="W159" s="10">
        <f>IF(SUMIFS('Cashflow Projection'!$E$117:$E$149,'Cashflow Projection'!$D$117:$D$149,Sales!C159)=1,SUMIFS('Cashflow Projection'!$C$117:$C$149,'Cashflow Projection'!$D$117:$D$149,Sales!C159),+Sales!H159)</f>
        <v>45688</v>
      </c>
      <c r="X159" s="10">
        <f t="shared" si="8"/>
        <v>45747</v>
      </c>
      <c r="Y159" s="10">
        <f t="shared" si="9"/>
        <v>45777</v>
      </c>
      <c r="Z159" t="b">
        <v>0</v>
      </c>
    </row>
    <row r="160" spans="1:26" x14ac:dyDescent="0.2">
      <c r="A160" s="3" t="s">
        <v>24</v>
      </c>
      <c r="B160" s="3" t="s">
        <v>26</v>
      </c>
      <c r="C160" s="3" t="s">
        <v>47</v>
      </c>
      <c r="D160" s="3" t="b">
        <v>1</v>
      </c>
      <c r="E160" s="3" t="b">
        <v>1</v>
      </c>
      <c r="F160" s="3">
        <f>IF(OR(Z160=TRUE,SUMIFS('Cashflow Projection'!$E$117:$E$149,'Cashflow Projection'!$D$117:$D$149,Sales!C160)=1),0,SUMIFS('Cashflow Projection'!$C$7:$C$23,'Cashflow Projection'!$B$7:$B$23,Sales!B160,'Cashflow Projection'!$A$7:$A$23,Sales!A160))</f>
        <v>0</v>
      </c>
      <c r="G160" s="4">
        <v>44887</v>
      </c>
      <c r="H160" s="4">
        <v>45688</v>
      </c>
      <c r="I160" s="3">
        <v>1519900</v>
      </c>
      <c r="J160" s="3">
        <v>198247.82608695651</v>
      </c>
      <c r="K160" s="3">
        <v>1321652.1739130439</v>
      </c>
      <c r="L160" s="3">
        <v>18502.080000000002</v>
      </c>
      <c r="M160" s="3">
        <v>1789</v>
      </c>
      <c r="N160" s="3">
        <v>7599.5</v>
      </c>
      <c r="O160" s="3">
        <v>75995</v>
      </c>
      <c r="P160" s="3">
        <v>19224.37</v>
      </c>
      <c r="Q160" s="3">
        <v>1396790.05</v>
      </c>
      <c r="R160" s="9">
        <f>IF($F160=1,((SUMIFS(Investors!$M:$M,Investors!$E:$E,Sales!$C160,Investors!$O:$O,FALSE)+SUMIFS(Investors!$S:$S,Investors!$E:$E,Sales!$C160,Investors!$O:$O,FALSE))*$F160)-SUMIFS('Investor Exit List'!$Q:$Q,'Investor Exit List'!$Y:$Y,1,'Investor Exit List'!$Z:$Z,"Release",'Investor Exit List'!$C:$C,Sales!$C160),(SUMIFS(Investors!$M:$M,Investors!$E:$E,Sales!$C160,Investors!$O:$O,FALSE)+SUMIFS(Investors!$S:$S,Investors!$E:$E,Sales!$C160,Investors!$O:$O,FALSE))*$F160)</f>
        <v>0</v>
      </c>
      <c r="S160" s="9">
        <f t="shared" si="7"/>
        <v>1396790.05</v>
      </c>
      <c r="T160" s="3" t="b">
        <v>0</v>
      </c>
      <c r="U160" s="4">
        <v>45747</v>
      </c>
      <c r="V160" s="9">
        <v>249320.87191780799</v>
      </c>
      <c r="W160" s="10">
        <f>IF(SUMIFS('Cashflow Projection'!$E$117:$E$149,'Cashflow Projection'!$D$117:$D$149,Sales!C160)=1,SUMIFS('Cashflow Projection'!$C$117:$C$149,'Cashflow Projection'!$D$117:$D$149,Sales!C160),+Sales!H160)</f>
        <v>45688</v>
      </c>
      <c r="X160" s="10">
        <f t="shared" si="8"/>
        <v>45747</v>
      </c>
      <c r="Y160" s="10">
        <f t="shared" si="9"/>
        <v>45777</v>
      </c>
      <c r="Z160" t="b">
        <v>0</v>
      </c>
    </row>
    <row r="161" spans="1:26" x14ac:dyDescent="0.2">
      <c r="A161" s="3" t="s">
        <v>24</v>
      </c>
      <c r="B161" s="3" t="s">
        <v>209</v>
      </c>
      <c r="C161" s="3" t="s">
        <v>260</v>
      </c>
      <c r="D161" s="3" t="b">
        <v>1</v>
      </c>
      <c r="E161" s="3" t="b">
        <v>1</v>
      </c>
      <c r="F161" s="3">
        <f>IF(OR(Z161=TRUE,SUMIFS('Cashflow Projection'!$E$117:$E$149,'Cashflow Projection'!$D$117:$D$149,Sales!C161)=1),0,SUMIFS('Cashflow Projection'!$C$7:$C$23,'Cashflow Projection'!$B$7:$B$23,Sales!B161,'Cashflow Projection'!$A$7:$A$23,Sales!A161))</f>
        <v>1</v>
      </c>
      <c r="G161" s="4">
        <v>44984</v>
      </c>
      <c r="H161" s="4">
        <v>45688</v>
      </c>
      <c r="I161" s="3">
        <v>1599900</v>
      </c>
      <c r="J161" s="3">
        <v>208682.60869565219</v>
      </c>
      <c r="K161" s="3">
        <v>1391217.3913043479</v>
      </c>
      <c r="L161" s="3">
        <v>18502.080000000002</v>
      </c>
      <c r="M161" s="3">
        <v>1789</v>
      </c>
      <c r="N161" s="3">
        <v>7999.5</v>
      </c>
      <c r="O161" s="3">
        <v>79995</v>
      </c>
      <c r="P161" s="3">
        <v>19224.37</v>
      </c>
      <c r="Q161" s="3">
        <v>1472390.05</v>
      </c>
      <c r="R161" s="9">
        <f>IF($F161=1,((SUMIFS(Investors!$M:$M,Investors!$E:$E,Sales!$C161,Investors!$O:$O,FALSE)+SUMIFS(Investors!$S:$S,Investors!$E:$E,Sales!$C161,Investors!$O:$O,FALSE))*$F161)-SUMIFS('Investor Exit List'!$Q:$Q,'Investor Exit List'!$Y:$Y,1,'Investor Exit List'!$Z:$Z,"Release",'Investor Exit List'!$C:$C,Sales!$C161),(SUMIFS(Investors!$M:$M,Investors!$E:$E,Sales!$C161,Investors!$O:$O,FALSE)+SUMIFS(Investors!$S:$S,Investors!$E:$E,Sales!$C161,Investors!$O:$O,FALSE))*$F161)</f>
        <v>874380.1369863014</v>
      </c>
      <c r="S161" s="9">
        <f t="shared" si="7"/>
        <v>598009.91301369865</v>
      </c>
      <c r="T161" s="3" t="b">
        <v>0</v>
      </c>
      <c r="U161" s="4">
        <v>45747</v>
      </c>
      <c r="V161" s="9">
        <v>305409.15958904102</v>
      </c>
      <c r="W161" s="10">
        <f>IF(SUMIFS('Cashflow Projection'!$E$117:$E$149,'Cashflow Projection'!$D$117:$D$149,Sales!C161)=1,SUMIFS('Cashflow Projection'!$C$117:$C$149,'Cashflow Projection'!$D$117:$D$149,Sales!C161),+Sales!H161)</f>
        <v>45688</v>
      </c>
      <c r="X161" s="10">
        <f t="shared" si="8"/>
        <v>45747</v>
      </c>
      <c r="Y161" s="10">
        <f t="shared" si="9"/>
        <v>45777</v>
      </c>
      <c r="Z161" t="b">
        <v>0</v>
      </c>
    </row>
    <row r="162" spans="1:26" x14ac:dyDescent="0.2">
      <c r="A162" s="3" t="s">
        <v>24</v>
      </c>
      <c r="B162" s="3" t="s">
        <v>209</v>
      </c>
      <c r="C162" s="3" t="s">
        <v>217</v>
      </c>
      <c r="D162" s="3" t="b">
        <v>1</v>
      </c>
      <c r="E162" s="3" t="b">
        <v>1</v>
      </c>
      <c r="F162" s="3">
        <f>IF(OR(Z162=TRUE,SUMIFS('Cashflow Projection'!$E$117:$E$149,'Cashflow Projection'!$D$117:$D$149,Sales!C162)=1),0,SUMIFS('Cashflow Projection'!$C$7:$C$23,'Cashflow Projection'!$B$7:$B$23,Sales!B162,'Cashflow Projection'!$A$7:$A$23,Sales!A162))</f>
        <v>1</v>
      </c>
      <c r="G162" s="4">
        <v>44896</v>
      </c>
      <c r="H162" s="4">
        <v>45688</v>
      </c>
      <c r="I162" s="3">
        <v>1559900</v>
      </c>
      <c r="J162" s="3">
        <v>203465.21739130441</v>
      </c>
      <c r="K162" s="3">
        <v>1356434.782608696</v>
      </c>
      <c r="L162" s="3">
        <v>18502.080000000002</v>
      </c>
      <c r="M162" s="3">
        <v>1789</v>
      </c>
      <c r="N162" s="3">
        <v>7799.5</v>
      </c>
      <c r="O162" s="3">
        <v>77995</v>
      </c>
      <c r="P162" s="3">
        <v>19224.37</v>
      </c>
      <c r="Q162" s="3">
        <v>1434590.05</v>
      </c>
      <c r="R162" s="9">
        <f>IF($F162=1,((SUMIFS(Investors!$M:$M,Investors!$E:$E,Sales!$C162,Investors!$O:$O,FALSE)+SUMIFS(Investors!$S:$S,Investors!$E:$E,Sales!$C162,Investors!$O:$O,FALSE))*$F162)-SUMIFS('Investor Exit List'!$Q:$Q,'Investor Exit List'!$Y:$Y,1,'Investor Exit List'!$Z:$Z,"Release",'Investor Exit List'!$C:$C,Sales!$C162),(SUMIFS(Investors!$M:$M,Investors!$E:$E,Sales!$C162,Investors!$O:$O,FALSE)+SUMIFS(Investors!$S:$S,Investors!$E:$E,Sales!$C162,Investors!$O:$O,FALSE))*$F162)</f>
        <v>1186500.890410959</v>
      </c>
      <c r="S162" s="9">
        <f t="shared" si="7"/>
        <v>248089.15958904102</v>
      </c>
      <c r="T162" s="3" t="b">
        <v>0</v>
      </c>
      <c r="U162" s="4">
        <v>45747</v>
      </c>
      <c r="V162" s="9">
        <v>248089.159589041</v>
      </c>
      <c r="W162" s="10">
        <f>IF(SUMIFS('Cashflow Projection'!$E$117:$E$149,'Cashflow Projection'!$D$117:$D$149,Sales!C162)=1,SUMIFS('Cashflow Projection'!$C$117:$C$149,'Cashflow Projection'!$D$117:$D$149,Sales!C162),+Sales!H162)</f>
        <v>45688</v>
      </c>
      <c r="X162" s="10">
        <f t="shared" si="8"/>
        <v>45747</v>
      </c>
      <c r="Y162" s="10">
        <f t="shared" si="9"/>
        <v>45777</v>
      </c>
      <c r="Z162" t="b">
        <v>0</v>
      </c>
    </row>
    <row r="163" spans="1:26" x14ac:dyDescent="0.2">
      <c r="A163" s="3" t="s">
        <v>386</v>
      </c>
      <c r="B163" s="3" t="s">
        <v>822</v>
      </c>
      <c r="C163" s="3" t="s">
        <v>821</v>
      </c>
      <c r="D163" s="3" t="b">
        <v>1</v>
      </c>
      <c r="E163" s="3" t="b">
        <v>1</v>
      </c>
      <c r="F163" s="3">
        <f>IF(OR(Z163=TRUE,SUMIFS('Cashflow Projection'!$E$117:$E$149,'Cashflow Projection'!$D$117:$D$149,Sales!C163)=1),0,SUMIFS('Cashflow Projection'!$C$7:$C$23,'Cashflow Projection'!$B$7:$B$23,Sales!B163,'Cashflow Projection'!$A$7:$A$23,Sales!A163))</f>
        <v>1</v>
      </c>
      <c r="G163" s="4">
        <v>45310</v>
      </c>
      <c r="H163" s="4">
        <v>45688</v>
      </c>
      <c r="I163" s="3">
        <v>1699900</v>
      </c>
      <c r="J163" s="3">
        <v>221726.0869565217</v>
      </c>
      <c r="K163" s="3">
        <v>1478173.913043478</v>
      </c>
      <c r="L163" s="3">
        <v>18502.080000000002</v>
      </c>
      <c r="M163" s="3">
        <v>1789</v>
      </c>
      <c r="N163" s="3">
        <v>8499.5</v>
      </c>
      <c r="O163" s="3">
        <v>84995</v>
      </c>
      <c r="P163" s="3">
        <v>19224.37</v>
      </c>
      <c r="Q163" s="3">
        <v>1566890.05</v>
      </c>
      <c r="R163" s="9">
        <f>IF($F163=1,((SUMIFS(Investors!$M:$M,Investors!$E:$E,Sales!$C163,Investors!$O:$O,FALSE)+SUMIFS(Investors!$S:$S,Investors!$E:$E,Sales!$C163,Investors!$O:$O,FALSE))*$F163)-SUMIFS('Investor Exit List'!$Q:$Q,'Investor Exit List'!$Y:$Y,1,'Investor Exit List'!$Z:$Z,"Release",'Investor Exit List'!$C:$C,Sales!$C163),(SUMIFS(Investors!$M:$M,Investors!$E:$E,Sales!$C163,Investors!$O:$O,FALSE)+SUMIFS(Investors!$S:$S,Investors!$E:$E,Sales!$C163,Investors!$O:$O,FALSE))*$F163)</f>
        <v>1215814.8684461645</v>
      </c>
      <c r="S163" s="9">
        <f t="shared" si="7"/>
        <v>351075.18155383551</v>
      </c>
      <c r="T163" s="3" t="b">
        <v>0</v>
      </c>
      <c r="U163" s="4">
        <v>45747</v>
      </c>
      <c r="V163" s="9">
        <v>351075.18155383551</v>
      </c>
      <c r="W163" s="10">
        <f>IF(SUMIFS('Cashflow Projection'!$E$117:$E$149,'Cashflow Projection'!$D$117:$D$149,Sales!C163)=1,SUMIFS('Cashflow Projection'!$C$117:$C$149,'Cashflow Projection'!$D$117:$D$149,Sales!C163),+Sales!H163)</f>
        <v>45688</v>
      </c>
      <c r="X163" s="10">
        <f t="shared" si="8"/>
        <v>45747</v>
      </c>
      <c r="Y163" s="10">
        <f t="shared" si="9"/>
        <v>45777</v>
      </c>
      <c r="Z163" t="b">
        <v>0</v>
      </c>
    </row>
    <row r="164" spans="1:26" x14ac:dyDescent="0.2">
      <c r="A164" s="3" t="s">
        <v>386</v>
      </c>
      <c r="B164" s="3" t="s">
        <v>711</v>
      </c>
      <c r="C164" s="3" t="s">
        <v>712</v>
      </c>
      <c r="D164" s="3" t="b">
        <v>1</v>
      </c>
      <c r="E164" s="3" t="b">
        <v>0</v>
      </c>
      <c r="F164" s="3">
        <f>IF(OR(Z164=TRUE,SUMIFS('Cashflow Projection'!$E$117:$E$149,'Cashflow Projection'!$D$117:$D$149,Sales!C164)=1),0,SUMIFS('Cashflow Projection'!$C$7:$C$23,'Cashflow Projection'!$B$7:$B$23,Sales!B164,'Cashflow Projection'!$A$7:$A$23,Sales!A164))</f>
        <v>0</v>
      </c>
      <c r="G164" s="4">
        <v>45552</v>
      </c>
      <c r="H164" s="4">
        <v>45552</v>
      </c>
      <c r="I164" s="3">
        <v>1749900</v>
      </c>
      <c r="J164" s="3">
        <v>228247.82608695651</v>
      </c>
      <c r="K164" s="3">
        <v>1521652.1739130439</v>
      </c>
      <c r="L164" s="3">
        <v>18502.080000000002</v>
      </c>
      <c r="M164" s="3">
        <v>1789</v>
      </c>
      <c r="N164" s="3">
        <v>8749.5</v>
      </c>
      <c r="O164" s="3">
        <v>87495</v>
      </c>
      <c r="P164" s="3">
        <v>19224.37</v>
      </c>
      <c r="Q164" s="3">
        <v>1614140.05</v>
      </c>
      <c r="R164" s="9">
        <f>IF($F164=1,((SUMIFS(Investors!$M:$M,Investors!$E:$E,Sales!$C164,Investors!$O:$O,FALSE)+SUMIFS(Investors!$S:$S,Investors!$E:$E,Sales!$C164,Investors!$O:$O,FALSE))*$F164)-SUMIFS('Investor Exit List'!$Q:$Q,'Investor Exit List'!$Y:$Y,1,'Investor Exit List'!$Z:$Z,"Release",'Investor Exit List'!$C:$C,Sales!$C164),(SUMIFS(Investors!$M:$M,Investors!$E:$E,Sales!$C164,Investors!$O:$O,FALSE)+SUMIFS(Investors!$S:$S,Investors!$E:$E,Sales!$C164,Investors!$O:$O,FALSE))*$F164)</f>
        <v>0</v>
      </c>
      <c r="S164" s="9">
        <f t="shared" si="7"/>
        <v>1614140.05</v>
      </c>
      <c r="T164" s="3" t="b">
        <v>0</v>
      </c>
      <c r="U164" s="4">
        <v>45626</v>
      </c>
      <c r="V164" s="9">
        <v>240804.33851287651</v>
      </c>
      <c r="W164" s="10">
        <f>IF(SUMIFS('Cashflow Projection'!$E$117:$E$149,'Cashflow Projection'!$D$117:$D$149,Sales!C164)=1,SUMIFS('Cashflow Projection'!$C$117:$C$149,'Cashflow Projection'!$D$117:$D$149,Sales!C164),+Sales!H164)</f>
        <v>45552</v>
      </c>
      <c r="X164" s="10">
        <f t="shared" si="8"/>
        <v>45626</v>
      </c>
      <c r="Y164" s="10">
        <f t="shared" si="9"/>
        <v>45657</v>
      </c>
      <c r="Z164" t="b">
        <v>0</v>
      </c>
    </row>
    <row r="165" spans="1:26" x14ac:dyDescent="0.2">
      <c r="A165" s="3" t="s">
        <v>386</v>
      </c>
      <c r="B165" s="3" t="s">
        <v>388</v>
      </c>
      <c r="C165" s="3" t="s">
        <v>415</v>
      </c>
      <c r="D165" s="3" t="b">
        <v>1</v>
      </c>
      <c r="E165" s="3" t="b">
        <v>1</v>
      </c>
      <c r="F165" s="3">
        <f>IF(OR(Z165=TRUE,SUMIFS('Cashflow Projection'!$E$117:$E$149,'Cashflow Projection'!$D$117:$D$149,Sales!C165)=1),0,SUMIFS('Cashflow Projection'!$C$7:$C$23,'Cashflow Projection'!$B$7:$B$23,Sales!B165,'Cashflow Projection'!$A$7:$A$23,Sales!A165))</f>
        <v>1</v>
      </c>
      <c r="G165" s="4">
        <v>45170</v>
      </c>
      <c r="H165" s="4">
        <v>45688</v>
      </c>
      <c r="I165" s="3">
        <v>1619900</v>
      </c>
      <c r="J165" s="3">
        <v>211291.30434782611</v>
      </c>
      <c r="K165" s="3">
        <v>1408608.6956521741</v>
      </c>
      <c r="L165" s="3">
        <v>18502.080000000002</v>
      </c>
      <c r="M165" s="3">
        <v>1789</v>
      </c>
      <c r="N165" s="3">
        <v>8099.5</v>
      </c>
      <c r="O165" s="3">
        <v>80995</v>
      </c>
      <c r="P165" s="3">
        <v>19224.37</v>
      </c>
      <c r="Q165" s="3">
        <v>1491290.05</v>
      </c>
      <c r="R165" s="9">
        <f>IF($F165=1,((SUMIFS(Investors!$M:$M,Investors!$E:$E,Sales!$C165,Investors!$O:$O,FALSE)+SUMIFS(Investors!$S:$S,Investors!$E:$E,Sales!$C165,Investors!$O:$O,FALSE))*$F165)-SUMIFS('Investor Exit List'!$Q:$Q,'Investor Exit List'!$Y:$Y,1,'Investor Exit List'!$Z:$Z,"Release",'Investor Exit List'!$C:$C,Sales!$C165),(SUMIFS(Investors!$M:$M,Investors!$E:$E,Sales!$C165,Investors!$O:$O,FALSE)+SUMIFS(Investors!$S:$S,Investors!$E:$E,Sales!$C165,Investors!$O:$O,FALSE))*$F165)</f>
        <v>1273782.7397260275</v>
      </c>
      <c r="S165" s="9">
        <f t="shared" si="7"/>
        <v>217507.31027397257</v>
      </c>
      <c r="T165" s="3" t="b">
        <v>0</v>
      </c>
      <c r="U165" s="4">
        <v>45747</v>
      </c>
      <c r="V165" s="9">
        <v>217507.31027397231</v>
      </c>
      <c r="W165" s="10">
        <f>IF(SUMIFS('Cashflow Projection'!$E$117:$E$149,'Cashflow Projection'!$D$117:$D$149,Sales!C165)=1,SUMIFS('Cashflow Projection'!$C$117:$C$149,'Cashflow Projection'!$D$117:$D$149,Sales!C165),+Sales!H165)</f>
        <v>45688</v>
      </c>
      <c r="X165" s="10">
        <f t="shared" si="8"/>
        <v>45747</v>
      </c>
      <c r="Y165" s="10">
        <f t="shared" si="9"/>
        <v>45777</v>
      </c>
      <c r="Z165" t="b">
        <v>0</v>
      </c>
    </row>
    <row r="166" spans="1:26" x14ac:dyDescent="0.2">
      <c r="A166" s="3" t="s">
        <v>386</v>
      </c>
      <c r="B166" s="3" t="s">
        <v>811</v>
      </c>
      <c r="C166" s="3" t="s">
        <v>813</v>
      </c>
      <c r="D166" s="3" t="b">
        <v>0</v>
      </c>
      <c r="E166" s="3" t="b">
        <v>0</v>
      </c>
      <c r="F166" s="3">
        <f>IF(OR(Z166=TRUE,SUMIFS('Cashflow Projection'!$E$117:$E$149,'Cashflow Projection'!$D$117:$D$149,Sales!C166)=1),0,SUMIFS('Cashflow Projection'!$C$7:$C$23,'Cashflow Projection'!$B$7:$B$23,Sales!B166,'Cashflow Projection'!$A$7:$A$23,Sales!A166))</f>
        <v>0</v>
      </c>
      <c r="G166" s="4">
        <v>45450</v>
      </c>
      <c r="H166" s="4">
        <v>45583</v>
      </c>
      <c r="I166" s="3">
        <v>1699900</v>
      </c>
      <c r="J166" s="3">
        <v>221726.0869565217</v>
      </c>
      <c r="K166" s="3">
        <v>1478173.913043478</v>
      </c>
      <c r="L166" s="3">
        <v>18502.080000000002</v>
      </c>
      <c r="M166" s="3">
        <v>1789</v>
      </c>
      <c r="N166" s="3">
        <v>8499.5</v>
      </c>
      <c r="O166" s="3">
        <v>84995</v>
      </c>
      <c r="P166" s="3">
        <v>19224.37</v>
      </c>
      <c r="Q166" s="3">
        <v>1566890.05</v>
      </c>
      <c r="R166" s="9">
        <f>IF($F166=1,((SUMIFS(Investors!$M:$M,Investors!$E:$E,Sales!$C166,Investors!$O:$O,FALSE)+SUMIFS(Investors!$S:$S,Investors!$E:$E,Sales!$C166,Investors!$O:$O,FALSE))*$F166)-SUMIFS('Investor Exit List'!$Q:$Q,'Investor Exit List'!$Y:$Y,1,'Investor Exit List'!$Z:$Z,"Release",'Investor Exit List'!$C:$C,Sales!$C166),(SUMIFS(Investors!$M:$M,Investors!$E:$E,Sales!$C166,Investors!$O:$O,FALSE)+SUMIFS(Investors!$S:$S,Investors!$E:$E,Sales!$C166,Investors!$O:$O,FALSE))*$F166)</f>
        <v>0</v>
      </c>
      <c r="S166" s="9">
        <f t="shared" si="7"/>
        <v>1566890.05</v>
      </c>
      <c r="T166" s="3" t="b">
        <v>0</v>
      </c>
      <c r="U166" s="4">
        <v>45626</v>
      </c>
      <c r="V166" s="9">
        <v>350186.11524684908</v>
      </c>
      <c r="W166" s="10">
        <f>IF(SUMIFS('Cashflow Projection'!$E$117:$E$149,'Cashflow Projection'!$D$117:$D$149,Sales!C166)=1,SUMIFS('Cashflow Projection'!$C$117:$C$149,'Cashflow Projection'!$D$117:$D$149,Sales!C166),+Sales!H166)</f>
        <v>45583</v>
      </c>
      <c r="X166" s="10">
        <f t="shared" si="8"/>
        <v>45626</v>
      </c>
      <c r="Y166" s="10">
        <f t="shared" si="9"/>
        <v>45657</v>
      </c>
      <c r="Z166" t="b">
        <v>0</v>
      </c>
    </row>
    <row r="167" spans="1:26" x14ac:dyDescent="0.2">
      <c r="A167" s="3" t="s">
        <v>386</v>
      </c>
      <c r="B167" s="3" t="s">
        <v>790</v>
      </c>
      <c r="C167" s="3" t="s">
        <v>798</v>
      </c>
      <c r="D167" s="3" t="b">
        <v>0</v>
      </c>
      <c r="E167" s="3" t="b">
        <v>0</v>
      </c>
      <c r="F167" s="3">
        <f>IF(OR(Z167=TRUE,SUMIFS('Cashflow Projection'!$E$117:$E$149,'Cashflow Projection'!$D$117:$D$149,Sales!C167)=1),0,SUMIFS('Cashflow Projection'!$C$7:$C$23,'Cashflow Projection'!$B$7:$B$23,Sales!B167,'Cashflow Projection'!$A$7:$A$23,Sales!A167))</f>
        <v>0</v>
      </c>
      <c r="G167" s="4">
        <v>45499</v>
      </c>
      <c r="H167" s="4">
        <v>45716</v>
      </c>
      <c r="I167" s="3">
        <v>1499900</v>
      </c>
      <c r="J167" s="3">
        <v>195639.13043478259</v>
      </c>
      <c r="K167" s="3">
        <v>1304260.869565218</v>
      </c>
      <c r="L167" s="3">
        <v>18502.080000000002</v>
      </c>
      <c r="M167" s="3">
        <v>1789</v>
      </c>
      <c r="N167" s="3">
        <v>7499.5</v>
      </c>
      <c r="O167" s="3">
        <v>74995</v>
      </c>
      <c r="P167" s="3">
        <v>19224.37</v>
      </c>
      <c r="Q167" s="3">
        <v>1377890.05</v>
      </c>
      <c r="R167" s="9">
        <f>IF($F167=1,((SUMIFS(Investors!$M:$M,Investors!$E:$E,Sales!$C167,Investors!$O:$O,FALSE)+SUMIFS(Investors!$S:$S,Investors!$E:$E,Sales!$C167,Investors!$O:$O,FALSE))*$F167)-SUMIFS('Investor Exit List'!$Q:$Q,'Investor Exit List'!$Y:$Y,1,'Investor Exit List'!$Z:$Z,"Release",'Investor Exit List'!$C:$C,Sales!$C167),(SUMIFS(Investors!$M:$M,Investors!$E:$E,Sales!$C167,Investors!$O:$O,FALSE)+SUMIFS(Investors!$S:$S,Investors!$E:$E,Sales!$C167,Investors!$O:$O,FALSE))*$F167)</f>
        <v>0</v>
      </c>
      <c r="S167" s="9">
        <f t="shared" si="7"/>
        <v>1377890.05</v>
      </c>
      <c r="T167" s="3" t="b">
        <v>0</v>
      </c>
      <c r="U167" s="4">
        <v>45747</v>
      </c>
      <c r="V167" s="9">
        <v>91715.122762739658</v>
      </c>
      <c r="W167" s="10">
        <f>IF(SUMIFS('Cashflow Projection'!$E$117:$E$149,'Cashflow Projection'!$D$117:$D$149,Sales!C167)=1,SUMIFS('Cashflow Projection'!$C$117:$C$149,'Cashflow Projection'!$D$117:$D$149,Sales!C167),+Sales!H167)</f>
        <v>45716</v>
      </c>
      <c r="X167" s="10">
        <f t="shared" si="8"/>
        <v>45747</v>
      </c>
      <c r="Y167" s="10">
        <f t="shared" si="9"/>
        <v>45777</v>
      </c>
      <c r="Z167" t="b">
        <v>0</v>
      </c>
    </row>
    <row r="168" spans="1:26" x14ac:dyDescent="0.2">
      <c r="A168" s="3" t="s">
        <v>386</v>
      </c>
      <c r="B168" s="3" t="s">
        <v>854</v>
      </c>
      <c r="C168" s="3" t="s">
        <v>863</v>
      </c>
      <c r="D168" s="3" t="b">
        <v>1</v>
      </c>
      <c r="E168" s="3" t="b">
        <v>0</v>
      </c>
      <c r="F168" s="3">
        <f>IF(OR(Z168=TRUE,SUMIFS('Cashflow Projection'!$E$117:$E$149,'Cashflow Projection'!$D$117:$D$149,Sales!C168)=1),0,SUMIFS('Cashflow Projection'!$C$7:$C$23,'Cashflow Projection'!$B$7:$B$23,Sales!B168,'Cashflow Projection'!$A$7:$A$23,Sales!A168))</f>
        <v>0</v>
      </c>
      <c r="G168" s="4">
        <v>45518</v>
      </c>
      <c r="H168" s="4">
        <v>45518</v>
      </c>
      <c r="I168" s="3">
        <v>1679900</v>
      </c>
      <c r="J168" s="3">
        <v>219117.39130434781</v>
      </c>
      <c r="K168" s="3">
        <v>1460782.6086956521</v>
      </c>
      <c r="L168" s="3">
        <v>18502.080000000002</v>
      </c>
      <c r="M168" s="3">
        <v>1789</v>
      </c>
      <c r="N168" s="3">
        <v>8399.5</v>
      </c>
      <c r="O168" s="3">
        <v>83995</v>
      </c>
      <c r="P168" s="3">
        <v>19224.37</v>
      </c>
      <c r="Q168" s="3">
        <v>1547990.05</v>
      </c>
      <c r="R168" s="9">
        <f>IF($F168=1,((SUMIFS(Investors!$M:$M,Investors!$E:$E,Sales!$C168,Investors!$O:$O,FALSE)+SUMIFS(Investors!$S:$S,Investors!$E:$E,Sales!$C168,Investors!$O:$O,FALSE))*$F168)-SUMIFS('Investor Exit List'!$Q:$Q,'Investor Exit List'!$Y:$Y,1,'Investor Exit List'!$Z:$Z,"Release",'Investor Exit List'!$C:$C,Sales!$C168),(SUMIFS(Investors!$M:$M,Investors!$E:$E,Sales!$C168,Investors!$O:$O,FALSE)+SUMIFS(Investors!$S:$S,Investors!$E:$E,Sales!$C168,Investors!$O:$O,FALSE))*$F168)</f>
        <v>0</v>
      </c>
      <c r="S168" s="9">
        <f t="shared" si="7"/>
        <v>1547990.05</v>
      </c>
      <c r="T168" s="3" t="b">
        <v>0</v>
      </c>
      <c r="U168" s="4">
        <v>45565</v>
      </c>
      <c r="V168" s="9">
        <v>165703.5267766435</v>
      </c>
      <c r="W168" s="10">
        <f>IF(SUMIFS('Cashflow Projection'!$E$117:$E$149,'Cashflow Projection'!$D$117:$D$149,Sales!C168)=1,SUMIFS('Cashflow Projection'!$C$117:$C$149,'Cashflow Projection'!$D$117:$D$149,Sales!C168),+Sales!H168)</f>
        <v>45518</v>
      </c>
      <c r="X168" s="10">
        <f t="shared" si="8"/>
        <v>45565</v>
      </c>
      <c r="Y168" s="10">
        <f t="shared" si="9"/>
        <v>45596</v>
      </c>
      <c r="Z168" t="b">
        <v>0</v>
      </c>
    </row>
    <row r="169" spans="1:26" x14ac:dyDescent="0.2">
      <c r="A169" s="3" t="s">
        <v>386</v>
      </c>
      <c r="B169" s="3" t="s">
        <v>891</v>
      </c>
      <c r="C169" s="3" t="s">
        <v>921</v>
      </c>
      <c r="D169" s="3" t="b">
        <v>0</v>
      </c>
      <c r="E169" s="3" t="b">
        <v>0</v>
      </c>
      <c r="F169" s="3">
        <f>IF(OR(Z169=TRUE,SUMIFS('Cashflow Projection'!$E$117:$E$149,'Cashflow Projection'!$D$117:$D$149,Sales!C169)=1),0,SUMIFS('Cashflow Projection'!$C$7:$C$23,'Cashflow Projection'!$B$7:$B$23,Sales!B169,'Cashflow Projection'!$A$7:$A$23,Sales!A169))</f>
        <v>1</v>
      </c>
      <c r="G169" s="4">
        <v>45456</v>
      </c>
      <c r="H169" s="4">
        <v>45646</v>
      </c>
      <c r="I169" s="3">
        <v>1749900</v>
      </c>
      <c r="J169" s="3">
        <v>228247.82608695651</v>
      </c>
      <c r="K169" s="3">
        <v>1521652.1739130439</v>
      </c>
      <c r="L169" s="3">
        <v>18502.080000000002</v>
      </c>
      <c r="M169" s="3">
        <v>1789</v>
      </c>
      <c r="N169" s="3">
        <v>8749.5</v>
      </c>
      <c r="O169" s="3">
        <v>87495</v>
      </c>
      <c r="P169" s="3">
        <v>19224.37</v>
      </c>
      <c r="Q169" s="3">
        <v>1614140.05</v>
      </c>
      <c r="R169" s="9">
        <f>IF($F169=1,((SUMIFS(Investors!$M:$M,Investors!$E:$E,Sales!$C169,Investors!$O:$O,FALSE)+SUMIFS(Investors!$S:$S,Investors!$E:$E,Sales!$C169,Investors!$O:$O,FALSE))*$F169)-SUMIFS('Investor Exit List'!$Q:$Q,'Investor Exit List'!$Y:$Y,1,'Investor Exit List'!$Z:$Z,"Release",'Investor Exit List'!$C:$C,Sales!$C169),(SUMIFS(Investors!$M:$M,Investors!$E:$E,Sales!$C169,Investors!$O:$O,FALSE)+SUMIFS(Investors!$S:$S,Investors!$E:$E,Sales!$C169,Investors!$O:$O,FALSE))*$F169)</f>
        <v>0</v>
      </c>
      <c r="S169" s="9">
        <f t="shared" si="7"/>
        <v>1614140.05</v>
      </c>
      <c r="T169" s="3" t="b">
        <v>0</v>
      </c>
      <c r="U169" s="4">
        <v>45688</v>
      </c>
      <c r="V169" s="9">
        <v>187304.43356164359</v>
      </c>
      <c r="W169" s="10">
        <f>IF(SUMIFS('Cashflow Projection'!$E$117:$E$149,'Cashflow Projection'!$D$117:$D$149,Sales!C169)=1,SUMIFS('Cashflow Projection'!$C$117:$C$149,'Cashflow Projection'!$D$117:$D$149,Sales!C169),+Sales!H169)</f>
        <v>45646</v>
      </c>
      <c r="X169" s="10">
        <f t="shared" si="8"/>
        <v>45688</v>
      </c>
      <c r="Y169" s="10">
        <f t="shared" si="9"/>
        <v>45716</v>
      </c>
      <c r="Z169" t="b">
        <v>0</v>
      </c>
    </row>
    <row r="170" spans="1:26" x14ac:dyDescent="0.2">
      <c r="A170" s="3" t="s">
        <v>386</v>
      </c>
      <c r="B170" s="3" t="s">
        <v>675</v>
      </c>
      <c r="C170" s="3" t="s">
        <v>674</v>
      </c>
      <c r="D170" s="3" t="b">
        <v>1</v>
      </c>
      <c r="E170" s="3" t="b">
        <v>0</v>
      </c>
      <c r="F170" s="3">
        <f>IF(OR(Z170=TRUE,SUMIFS('Cashflow Projection'!$E$117:$E$149,'Cashflow Projection'!$D$117:$D$149,Sales!C170)=1),0,SUMIFS('Cashflow Projection'!$C$7:$C$23,'Cashflow Projection'!$B$7:$B$23,Sales!B170,'Cashflow Projection'!$A$7:$A$23,Sales!A170))</f>
        <v>1</v>
      </c>
      <c r="G170" s="4">
        <v>45490</v>
      </c>
      <c r="H170" s="4">
        <v>45490</v>
      </c>
      <c r="I170" s="3">
        <v>1690999</v>
      </c>
      <c r="J170" s="3">
        <v>220565.0869565217</v>
      </c>
      <c r="K170" s="3">
        <v>1470433.913043478</v>
      </c>
      <c r="L170" s="3">
        <v>18502.080000000002</v>
      </c>
      <c r="M170" s="3">
        <v>1789</v>
      </c>
      <c r="N170" s="3">
        <v>8454.9950000000008</v>
      </c>
      <c r="O170" s="3">
        <v>84549.950000000012</v>
      </c>
      <c r="P170" s="3">
        <v>19224.37</v>
      </c>
      <c r="Q170" s="3">
        <v>1558478.605</v>
      </c>
      <c r="R170" s="9">
        <f>IF($F170=1,((SUMIFS(Investors!$M:$M,Investors!$E:$E,Sales!$C170,Investors!$O:$O,FALSE)+SUMIFS(Investors!$S:$S,Investors!$E:$E,Sales!$C170,Investors!$O:$O,FALSE))*$F170)-SUMIFS('Investor Exit List'!$Q:$Q,'Investor Exit List'!$Y:$Y,1,'Investor Exit List'!$Z:$Z,"Release",'Investor Exit List'!$C:$C,Sales!$C170),(SUMIFS(Investors!$M:$M,Investors!$E:$E,Sales!$C170,Investors!$O:$O,FALSE)+SUMIFS(Investors!$S:$S,Investors!$E:$E,Sales!$C170,Investors!$O:$O,FALSE))*$F170)</f>
        <v>1248936.98630137</v>
      </c>
      <c r="S170" s="9">
        <f t="shared" si="7"/>
        <v>309541.61869863002</v>
      </c>
      <c r="T170" s="3" t="b">
        <v>0</v>
      </c>
      <c r="U170" s="4">
        <v>45565</v>
      </c>
      <c r="V170" s="9">
        <v>309541.61869862978</v>
      </c>
      <c r="W170" s="10">
        <f>IF(SUMIFS('Cashflow Projection'!$E$117:$E$149,'Cashflow Projection'!$D$117:$D$149,Sales!C170)=1,SUMIFS('Cashflow Projection'!$C$117:$C$149,'Cashflow Projection'!$D$117:$D$149,Sales!C170),+Sales!H170)</f>
        <v>45490</v>
      </c>
      <c r="X170" s="10">
        <f t="shared" si="8"/>
        <v>45565</v>
      </c>
      <c r="Y170" s="10">
        <f t="shared" si="9"/>
        <v>45596</v>
      </c>
      <c r="Z170" t="b">
        <v>0</v>
      </c>
    </row>
    <row r="171" spans="1:26" x14ac:dyDescent="0.2">
      <c r="A171" s="3" t="s">
        <v>386</v>
      </c>
      <c r="B171" s="3" t="s">
        <v>684</v>
      </c>
      <c r="C171" s="3" t="s">
        <v>709</v>
      </c>
      <c r="D171" s="3" t="b">
        <v>0</v>
      </c>
      <c r="E171" s="3" t="b">
        <v>0</v>
      </c>
      <c r="F171" s="3">
        <f>IF(OR(Z171=TRUE,SUMIFS('Cashflow Projection'!$E$117:$E$149,'Cashflow Projection'!$D$117:$D$149,Sales!C171)=1),0,SUMIFS('Cashflow Projection'!$C$7:$C$23,'Cashflow Projection'!$B$7:$B$23,Sales!B171,'Cashflow Projection'!$A$7:$A$23,Sales!A171))</f>
        <v>0</v>
      </c>
      <c r="G171" s="4">
        <v>45491</v>
      </c>
      <c r="H171" s="4">
        <v>45596</v>
      </c>
      <c r="I171" s="3">
        <v>1549900</v>
      </c>
      <c r="J171" s="3">
        <v>202160.86956521741</v>
      </c>
      <c r="K171" s="3">
        <v>1347739.1304347829</v>
      </c>
      <c r="L171" s="3">
        <v>18502.080000000002</v>
      </c>
      <c r="M171" s="3">
        <v>1789</v>
      </c>
      <c r="N171" s="3">
        <v>7749.5</v>
      </c>
      <c r="O171" s="3">
        <v>77495</v>
      </c>
      <c r="P171" s="3">
        <v>19224.37</v>
      </c>
      <c r="Q171" s="3">
        <v>1425140.05</v>
      </c>
      <c r="R171" s="9">
        <f>IF($F171=1,((SUMIFS(Investors!$M:$M,Investors!$E:$E,Sales!$C171,Investors!$O:$O,FALSE)+SUMIFS(Investors!$S:$S,Investors!$E:$E,Sales!$C171,Investors!$O:$O,FALSE))*$F171)-SUMIFS('Investor Exit List'!$Q:$Q,'Investor Exit List'!$Y:$Y,1,'Investor Exit List'!$Z:$Z,"Release",'Investor Exit List'!$C:$C,Sales!$C171),(SUMIFS(Investors!$M:$M,Investors!$E:$E,Sales!$C171,Investors!$O:$O,FALSE)+SUMIFS(Investors!$S:$S,Investors!$E:$E,Sales!$C171,Investors!$O:$O,FALSE))*$F171)</f>
        <v>0</v>
      </c>
      <c r="S171" s="9">
        <f t="shared" si="7"/>
        <v>1425140.05</v>
      </c>
      <c r="T171" s="3" t="b">
        <v>0</v>
      </c>
      <c r="U171" s="4">
        <v>45626</v>
      </c>
      <c r="V171" s="9">
        <v>150677.03630136981</v>
      </c>
      <c r="W171" s="10">
        <f>IF(SUMIFS('Cashflow Projection'!$E$117:$E$149,'Cashflow Projection'!$D$117:$D$149,Sales!C171)=1,SUMIFS('Cashflow Projection'!$C$117:$C$149,'Cashflow Projection'!$D$117:$D$149,Sales!C171),+Sales!H171)</f>
        <v>45596</v>
      </c>
      <c r="X171" s="10">
        <f t="shared" si="8"/>
        <v>45626</v>
      </c>
      <c r="Y171" s="10">
        <f t="shared" si="9"/>
        <v>45657</v>
      </c>
      <c r="Z171" t="b">
        <v>0</v>
      </c>
    </row>
    <row r="172" spans="1:26" x14ac:dyDescent="0.2">
      <c r="A172" s="3" t="s">
        <v>992</v>
      </c>
      <c r="B172" s="3" t="s">
        <v>26</v>
      </c>
      <c r="C172" s="3" t="s">
        <v>1030</v>
      </c>
      <c r="D172" s="3" t="b">
        <v>1</v>
      </c>
      <c r="E172" s="3" t="b">
        <v>1</v>
      </c>
      <c r="F172" s="3">
        <f>IF(OR(Z172=TRUE,SUMIFS('Cashflow Projection'!$E$117:$E$149,'Cashflow Projection'!$D$117:$D$149,Sales!C172)=1),0,SUMIFS('Cashflow Projection'!$C$7:$C$23,'Cashflow Projection'!$B$7:$B$23,Sales!B172,'Cashflow Projection'!$A$7:$A$23,Sales!A172))</f>
        <v>1</v>
      </c>
      <c r="G172" s="4">
        <v>45089</v>
      </c>
      <c r="H172" s="4">
        <v>45688</v>
      </c>
      <c r="I172" s="3">
        <v>1569900</v>
      </c>
      <c r="J172" s="3">
        <v>204769.5652173913</v>
      </c>
      <c r="K172" s="3">
        <v>1365130.4347826091</v>
      </c>
      <c r="L172" s="3">
        <v>18502.080000000002</v>
      </c>
      <c r="M172" s="3">
        <v>1789</v>
      </c>
      <c r="N172" s="3">
        <v>7849.5</v>
      </c>
      <c r="O172" s="3">
        <v>78495</v>
      </c>
      <c r="P172" s="3">
        <v>19224.37</v>
      </c>
      <c r="Q172" s="3">
        <v>1444040.05</v>
      </c>
      <c r="R172" s="9">
        <f>IF($F172=1,((SUMIFS(Investors!$M:$M,Investors!$E:$E,Sales!$C172,Investors!$O:$O,FALSE)+SUMIFS(Investors!$S:$S,Investors!$E:$E,Sales!$C172,Investors!$O:$O,FALSE))*$F172)-SUMIFS('Investor Exit List'!$Q:$Q,'Investor Exit List'!$Y:$Y,1,'Investor Exit List'!$Z:$Z,"Release",'Investor Exit List'!$C:$C,Sales!$C172),(SUMIFS(Investors!$M:$M,Investors!$E:$E,Sales!$C172,Investors!$O:$O,FALSE)+SUMIFS(Investors!$S:$S,Investors!$E:$E,Sales!$C172,Investors!$O:$O,FALSE))*$F172)</f>
        <v>0</v>
      </c>
      <c r="S172" s="9">
        <f t="shared" si="7"/>
        <v>1444040.05</v>
      </c>
      <c r="T172" s="3" t="b">
        <v>0</v>
      </c>
      <c r="U172" s="4">
        <v>45747</v>
      </c>
      <c r="V172" s="9">
        <v>262736.58569725999</v>
      </c>
      <c r="W172" s="10">
        <f>IF(SUMIFS('Cashflow Projection'!$E$117:$E$149,'Cashflow Projection'!$D$117:$D$149,Sales!C172)=1,SUMIFS('Cashflow Projection'!$C$117:$C$149,'Cashflow Projection'!$D$117:$D$149,Sales!C172),+Sales!H172)</f>
        <v>45688</v>
      </c>
      <c r="X172" s="10">
        <f t="shared" si="8"/>
        <v>45747</v>
      </c>
      <c r="Y172" s="10">
        <f t="shared" si="9"/>
        <v>45777</v>
      </c>
      <c r="Z172" t="b">
        <v>0</v>
      </c>
    </row>
    <row r="173" spans="1:26" x14ac:dyDescent="0.2">
      <c r="A173" s="3" t="s">
        <v>992</v>
      </c>
      <c r="B173" s="3" t="s">
        <v>209</v>
      </c>
      <c r="C173" s="3" t="s">
        <v>1031</v>
      </c>
      <c r="D173" s="3" t="b">
        <v>0</v>
      </c>
      <c r="E173" s="3" t="b">
        <v>0</v>
      </c>
      <c r="F173" s="3">
        <f>IF(OR(Z173=TRUE,SUMIFS('Cashflow Projection'!$E$117:$E$149,'Cashflow Projection'!$D$117:$D$149,Sales!C173)=1),0,SUMIFS('Cashflow Projection'!$C$7:$C$23,'Cashflow Projection'!$B$7:$B$23,Sales!B173,'Cashflow Projection'!$A$7:$A$23,Sales!A173))</f>
        <v>1</v>
      </c>
      <c r="G173" s="4">
        <v>45478</v>
      </c>
      <c r="H173" s="4">
        <v>45458</v>
      </c>
      <c r="I173" s="3">
        <v>1499900</v>
      </c>
      <c r="J173" s="3">
        <v>0</v>
      </c>
      <c r="K173" s="3">
        <v>1304260.869565218</v>
      </c>
      <c r="L173" s="3">
        <v>18502.080000000002</v>
      </c>
      <c r="M173" s="3">
        <v>1789</v>
      </c>
      <c r="N173" s="3">
        <v>7499.5</v>
      </c>
      <c r="O173" s="3">
        <v>74995</v>
      </c>
      <c r="P173" s="3">
        <v>19224.37</v>
      </c>
      <c r="Q173" s="3">
        <v>1377890.05</v>
      </c>
      <c r="R173" s="9">
        <f>IF($F173=1,((SUMIFS(Investors!$M:$M,Investors!$E:$E,Sales!$C173,Investors!$O:$O,FALSE)+SUMIFS(Investors!$S:$S,Investors!$E:$E,Sales!$C173,Investors!$O:$O,FALSE))*$F173)-SUMIFS('Investor Exit List'!$Q:$Q,'Investor Exit List'!$Y:$Y,1,'Investor Exit List'!$Z:$Z,"Release",'Investor Exit List'!$C:$C,Sales!$C173),(SUMIFS(Investors!$M:$M,Investors!$E:$E,Sales!$C173,Investors!$O:$O,FALSE)+SUMIFS(Investors!$S:$S,Investors!$E:$E,Sales!$C173,Investors!$O:$O,FALSE))*$F173)</f>
        <v>0</v>
      </c>
      <c r="S173" s="9">
        <f t="shared" si="7"/>
        <v>873000</v>
      </c>
      <c r="T173" s="3" t="b">
        <v>1</v>
      </c>
      <c r="U173" s="4">
        <v>45504</v>
      </c>
      <c r="V173" s="9">
        <v>873000</v>
      </c>
      <c r="W173" s="10">
        <f>IF(SUMIFS('Cashflow Projection'!$E$117:$E$149,'Cashflow Projection'!$D$117:$D$149,Sales!C173)=1,SUMIFS('Cashflow Projection'!$C$117:$C$149,'Cashflow Projection'!$D$117:$D$149,Sales!C173),+Sales!H173)</f>
        <v>45458</v>
      </c>
      <c r="X173" s="10">
        <f t="shared" si="8"/>
        <v>45504</v>
      </c>
      <c r="Y173" s="10">
        <f t="shared" si="9"/>
        <v>45535</v>
      </c>
      <c r="Z173" t="b">
        <v>0</v>
      </c>
    </row>
    <row r="174" spans="1:26" x14ac:dyDescent="0.2">
      <c r="A174" s="3" t="s">
        <v>992</v>
      </c>
      <c r="B174" s="3" t="s">
        <v>598</v>
      </c>
      <c r="C174" s="3" t="s">
        <v>1032</v>
      </c>
      <c r="D174" s="3" t="b">
        <v>1</v>
      </c>
      <c r="E174" s="3" t="b">
        <v>1</v>
      </c>
      <c r="F174" s="3">
        <f>IF(OR(Z174=TRUE,SUMIFS('Cashflow Projection'!$E$117:$E$149,'Cashflow Projection'!$D$117:$D$149,Sales!C174)=1),0,SUMIFS('Cashflow Projection'!$C$7:$C$23,'Cashflow Projection'!$B$7:$B$23,Sales!B174,'Cashflow Projection'!$A$7:$A$23,Sales!A174))</f>
        <v>0</v>
      </c>
      <c r="G174" s="4">
        <v>44686</v>
      </c>
      <c r="H174" s="4">
        <v>45688</v>
      </c>
      <c r="I174" s="3">
        <v>1479900</v>
      </c>
      <c r="J174" s="3">
        <v>193030.4347826087</v>
      </c>
      <c r="K174" s="3">
        <v>1286869.5652173909</v>
      </c>
      <c r="L174" s="3">
        <v>18502.080000000002</v>
      </c>
      <c r="M174" s="3">
        <v>1789</v>
      </c>
      <c r="N174" s="3">
        <v>7399.5</v>
      </c>
      <c r="O174" s="3">
        <v>73995</v>
      </c>
      <c r="P174" s="3">
        <v>19224.37</v>
      </c>
      <c r="Q174" s="3">
        <v>1358990.05</v>
      </c>
      <c r="R174" s="9">
        <f>IF($F174=1,((SUMIFS(Investors!$M:$M,Investors!$E:$E,Sales!$C174,Investors!$O:$O,FALSE)+SUMIFS(Investors!$S:$S,Investors!$E:$E,Sales!$C174,Investors!$O:$O,FALSE))*$F174)-SUMIFS('Investor Exit List'!$Q:$Q,'Investor Exit List'!$Y:$Y,1,'Investor Exit List'!$Z:$Z,"Release",'Investor Exit List'!$C:$C,Sales!$C174),(SUMIFS(Investors!$M:$M,Investors!$E:$E,Sales!$C174,Investors!$O:$O,FALSE)+SUMIFS(Investors!$S:$S,Investors!$E:$E,Sales!$C174,Investors!$O:$O,FALSE))*$F174)</f>
        <v>0</v>
      </c>
      <c r="S174" s="9">
        <f t="shared" si="7"/>
        <v>1358990.05</v>
      </c>
      <c r="T174" s="3" t="b">
        <v>0</v>
      </c>
      <c r="U174" s="4">
        <v>45747</v>
      </c>
      <c r="V174" s="9">
        <v>90057.002054794226</v>
      </c>
      <c r="W174" s="10">
        <f>IF(SUMIFS('Cashflow Projection'!$E$117:$E$149,'Cashflow Projection'!$D$117:$D$149,Sales!C174)=1,SUMIFS('Cashflow Projection'!$C$117:$C$149,'Cashflow Projection'!$D$117:$D$149,Sales!C174),+Sales!H174)</f>
        <v>45688</v>
      </c>
      <c r="X174" s="10">
        <f t="shared" si="8"/>
        <v>45747</v>
      </c>
      <c r="Y174" s="10">
        <f t="shared" si="9"/>
        <v>45777</v>
      </c>
      <c r="Z174" t="b">
        <v>0</v>
      </c>
    </row>
    <row r="175" spans="1:26" x14ac:dyDescent="0.2">
      <c r="A175" s="3" t="s">
        <v>24</v>
      </c>
      <c r="B175" s="3" t="s">
        <v>209</v>
      </c>
      <c r="C175" s="3" t="s">
        <v>291</v>
      </c>
      <c r="D175" s="3" t="b">
        <v>1</v>
      </c>
      <c r="E175" s="3" t="b">
        <v>1</v>
      </c>
      <c r="F175" s="3">
        <f>IF(OR(Z175=TRUE,SUMIFS('Cashflow Projection'!$E$117:$E$149,'Cashflow Projection'!$D$117:$D$149,Sales!C175)=1),0,SUMIFS('Cashflow Projection'!$C$7:$C$23,'Cashflow Projection'!$B$7:$B$23,Sales!B175,'Cashflow Projection'!$A$7:$A$23,Sales!A175))</f>
        <v>1</v>
      </c>
      <c r="G175" s="4">
        <v>45007</v>
      </c>
      <c r="H175" s="4">
        <v>45688</v>
      </c>
      <c r="I175" s="3">
        <v>1424900</v>
      </c>
      <c r="J175" s="3">
        <v>185856.5217391304</v>
      </c>
      <c r="K175" s="3">
        <v>1239043.4782608701</v>
      </c>
      <c r="L175" s="3">
        <v>18502.080000000002</v>
      </c>
      <c r="M175" s="3">
        <v>1789</v>
      </c>
      <c r="N175" s="3">
        <v>7124.5</v>
      </c>
      <c r="O175" s="3">
        <v>71245</v>
      </c>
      <c r="P175" s="3">
        <v>19224.37</v>
      </c>
      <c r="Q175" s="3">
        <v>1307015.05</v>
      </c>
      <c r="R175" s="9">
        <f>IF($F175=1,((SUMIFS(Investors!$M:$M,Investors!$E:$E,Sales!$C175,Investors!$O:$O,FALSE)+SUMIFS(Investors!$S:$S,Investors!$E:$E,Sales!$C175,Investors!$O:$O,FALSE))*$F175)-SUMIFS('Investor Exit List'!$Q:$Q,'Investor Exit List'!$Y:$Y,1,'Investor Exit List'!$Z:$Z,"Release",'Investor Exit List'!$C:$C,Sales!$C175),(SUMIFS(Investors!$M:$M,Investors!$E:$E,Sales!$C175,Investors!$O:$O,FALSE)+SUMIFS(Investors!$S:$S,Investors!$E:$E,Sales!$C175,Investors!$O:$O,FALSE))*$F175)</f>
        <v>512148.9726027397</v>
      </c>
      <c r="S175" s="9">
        <f t="shared" si="7"/>
        <v>794866.07739726035</v>
      </c>
      <c r="T175" s="3" t="b">
        <v>0</v>
      </c>
      <c r="U175" s="4">
        <v>45747</v>
      </c>
      <c r="V175" s="9">
        <v>158996.2143835616</v>
      </c>
      <c r="W175" s="10">
        <f>IF(SUMIFS('Cashflow Projection'!$E$117:$E$149,'Cashflow Projection'!$D$117:$D$149,Sales!C175)=1,SUMIFS('Cashflow Projection'!$C$117:$C$149,'Cashflow Projection'!$D$117:$D$149,Sales!C175),+Sales!H175)</f>
        <v>45688</v>
      </c>
      <c r="X175" s="10">
        <f t="shared" si="8"/>
        <v>45747</v>
      </c>
      <c r="Y175" s="10">
        <f t="shared" si="9"/>
        <v>45777</v>
      </c>
      <c r="Z175" t="b">
        <v>0</v>
      </c>
    </row>
    <row r="176" spans="1:26" x14ac:dyDescent="0.2">
      <c r="A176" s="3" t="s">
        <v>24</v>
      </c>
      <c r="B176" s="3" t="s">
        <v>26</v>
      </c>
      <c r="C176" s="3" t="s">
        <v>162</v>
      </c>
      <c r="D176" s="3" t="b">
        <v>1</v>
      </c>
      <c r="E176" s="3" t="b">
        <v>1</v>
      </c>
      <c r="F176" s="3">
        <f>IF(OR(Z176=TRUE,SUMIFS('Cashflow Projection'!$E$117:$E$149,'Cashflow Projection'!$D$117:$D$149,Sales!C176)=1),0,SUMIFS('Cashflow Projection'!$C$7:$C$23,'Cashflow Projection'!$B$7:$B$23,Sales!B176,'Cashflow Projection'!$A$7:$A$23,Sales!A176))</f>
        <v>0</v>
      </c>
      <c r="G176" s="4">
        <v>44896</v>
      </c>
      <c r="H176" s="4">
        <v>45688</v>
      </c>
      <c r="I176" s="3">
        <v>1349900</v>
      </c>
      <c r="J176" s="3">
        <v>176073.91304347821</v>
      </c>
      <c r="K176" s="3">
        <v>1173826.086956522</v>
      </c>
      <c r="L176" s="3">
        <v>18502.080000000002</v>
      </c>
      <c r="M176" s="3">
        <v>1789</v>
      </c>
      <c r="N176" s="3">
        <v>6749.5</v>
      </c>
      <c r="O176" s="3">
        <v>67495</v>
      </c>
      <c r="P176" s="3">
        <v>19224.37</v>
      </c>
      <c r="Q176" s="3">
        <v>1236140.05</v>
      </c>
      <c r="R176" s="9">
        <f>IF($F176=1,((SUMIFS(Investors!$M:$M,Investors!$E:$E,Sales!$C176,Investors!$O:$O,FALSE)+SUMIFS(Investors!$S:$S,Investors!$E:$E,Sales!$C176,Investors!$O:$O,FALSE))*$F176)-SUMIFS('Investor Exit List'!$Q:$Q,'Investor Exit List'!$Y:$Y,1,'Investor Exit List'!$Z:$Z,"Release",'Investor Exit List'!$C:$C,Sales!$C176),(SUMIFS(Investors!$M:$M,Investors!$E:$E,Sales!$C176,Investors!$O:$O,FALSE)+SUMIFS(Investors!$S:$S,Investors!$E:$E,Sales!$C176,Investors!$O:$O,FALSE))*$F176)</f>
        <v>0</v>
      </c>
      <c r="S176" s="9">
        <f t="shared" si="7"/>
        <v>1236140.05</v>
      </c>
      <c r="T176" s="3" t="b">
        <v>0</v>
      </c>
      <c r="U176" s="4">
        <v>45747</v>
      </c>
      <c r="V176" s="9">
        <v>92601.460958903888</v>
      </c>
      <c r="W176" s="10">
        <f>IF(SUMIFS('Cashflow Projection'!$E$117:$E$149,'Cashflow Projection'!$D$117:$D$149,Sales!C176)=1,SUMIFS('Cashflow Projection'!$C$117:$C$149,'Cashflow Projection'!$D$117:$D$149,Sales!C176),+Sales!H176)</f>
        <v>45688</v>
      </c>
      <c r="X176" s="10">
        <f t="shared" si="8"/>
        <v>45747</v>
      </c>
      <c r="Y176" s="10">
        <f t="shared" si="9"/>
        <v>45777</v>
      </c>
      <c r="Z176" t="b">
        <v>0</v>
      </c>
    </row>
    <row r="177" spans="1:26" x14ac:dyDescent="0.2">
      <c r="A177" s="3" t="s">
        <v>24</v>
      </c>
      <c r="B177" s="3" t="s">
        <v>209</v>
      </c>
      <c r="C177" s="3" t="s">
        <v>373</v>
      </c>
      <c r="D177" s="3" t="b">
        <v>1</v>
      </c>
      <c r="E177" s="3" t="b">
        <v>1</v>
      </c>
      <c r="F177" s="3">
        <f>IF(OR(Z177=TRUE,SUMIFS('Cashflow Projection'!$E$117:$E$149,'Cashflow Projection'!$D$117:$D$149,Sales!C177)=1),0,SUMIFS('Cashflow Projection'!$C$7:$C$23,'Cashflow Projection'!$B$7:$B$23,Sales!B177,'Cashflow Projection'!$A$7:$A$23,Sales!A177))</f>
        <v>1</v>
      </c>
      <c r="G177" s="4">
        <v>45086</v>
      </c>
      <c r="H177" s="4">
        <v>45688</v>
      </c>
      <c r="I177" s="3">
        <v>1429900</v>
      </c>
      <c r="J177" s="3">
        <v>186508.69565217389</v>
      </c>
      <c r="K177" s="3">
        <v>1243391.3043478259</v>
      </c>
      <c r="L177" s="3">
        <v>18502.080000000002</v>
      </c>
      <c r="M177" s="3">
        <v>1789</v>
      </c>
      <c r="N177" s="3">
        <v>7149.5</v>
      </c>
      <c r="O177" s="3">
        <v>71495</v>
      </c>
      <c r="P177" s="3">
        <v>19224.37</v>
      </c>
      <c r="Q177" s="3">
        <v>1311740.05</v>
      </c>
      <c r="R177" s="9">
        <f>IF($F177=1,((SUMIFS(Investors!$M:$M,Investors!$E:$E,Sales!$C177,Investors!$O:$O,FALSE)+SUMIFS(Investors!$S:$S,Investors!$E:$E,Sales!$C177,Investors!$O:$O,FALSE))*$F177)-SUMIFS('Investor Exit List'!$Q:$Q,'Investor Exit List'!$Y:$Y,1,'Investor Exit List'!$Z:$Z,"Release",'Investor Exit List'!$C:$C,Sales!$C177),(SUMIFS(Investors!$M:$M,Investors!$E:$E,Sales!$C177,Investors!$O:$O,FALSE)+SUMIFS(Investors!$S:$S,Investors!$E:$E,Sales!$C177,Investors!$O:$O,FALSE))*$F177)</f>
        <v>942932.34397287667</v>
      </c>
      <c r="S177" s="9">
        <f t="shared" si="7"/>
        <v>368807.70602712338</v>
      </c>
      <c r="T177" s="3" t="b">
        <v>0</v>
      </c>
      <c r="U177" s="4">
        <v>45747</v>
      </c>
      <c r="V177" s="9">
        <v>368807.70602712297</v>
      </c>
      <c r="W177" s="10">
        <f>IF(SUMIFS('Cashflow Projection'!$E$117:$E$149,'Cashflow Projection'!$D$117:$D$149,Sales!C177)=1,SUMIFS('Cashflow Projection'!$C$117:$C$149,'Cashflow Projection'!$D$117:$D$149,Sales!C177),+Sales!H177)</f>
        <v>45688</v>
      </c>
      <c r="X177" s="10">
        <f t="shared" si="8"/>
        <v>45747</v>
      </c>
      <c r="Y177" s="10">
        <f t="shared" si="9"/>
        <v>45777</v>
      </c>
      <c r="Z177" t="b">
        <v>0</v>
      </c>
    </row>
    <row r="178" spans="1:26" x14ac:dyDescent="0.2">
      <c r="A178" s="3" t="s">
        <v>386</v>
      </c>
      <c r="B178" s="3" t="s">
        <v>497</v>
      </c>
      <c r="C178" s="3" t="s">
        <v>545</v>
      </c>
      <c r="D178" s="3" t="b">
        <v>1</v>
      </c>
      <c r="E178" s="3" t="b">
        <v>1</v>
      </c>
      <c r="F178" s="3">
        <f>IF(OR(Z178=TRUE,SUMIFS('Cashflow Projection'!$E$117:$E$149,'Cashflow Projection'!$D$117:$D$149,Sales!C178)=1),0,SUMIFS('Cashflow Projection'!$C$7:$C$23,'Cashflow Projection'!$B$7:$B$23,Sales!B178,'Cashflow Projection'!$A$7:$A$23,Sales!A178))</f>
        <v>1</v>
      </c>
      <c r="G178" s="4">
        <v>45384</v>
      </c>
      <c r="H178" s="4">
        <v>45377</v>
      </c>
      <c r="I178" s="3">
        <v>1519900</v>
      </c>
      <c r="J178" s="3">
        <v>198247.82608695651</v>
      </c>
      <c r="K178" s="3">
        <v>1321652.1739130439</v>
      </c>
      <c r="L178" s="3">
        <v>18502.080000000002</v>
      </c>
      <c r="M178" s="3">
        <v>1789</v>
      </c>
      <c r="N178" s="3">
        <v>7599.5</v>
      </c>
      <c r="O178" s="3">
        <v>75995</v>
      </c>
      <c r="P178" s="3">
        <v>19224.37</v>
      </c>
      <c r="Q178" s="3">
        <v>1396790.05</v>
      </c>
      <c r="R178" s="9">
        <f>IF($F178=1,((SUMIFS(Investors!$M:$M,Investors!$E:$E,Sales!$C178,Investors!$O:$O,FALSE)+SUMIFS(Investors!$S:$S,Investors!$E:$E,Sales!$C178,Investors!$O:$O,FALSE))*$F178)-SUMIFS('Investor Exit List'!$Q:$Q,'Investor Exit List'!$Y:$Y,1,'Investor Exit List'!$Z:$Z,"Release",'Investor Exit List'!$C:$C,Sales!$C178),(SUMIFS(Investors!$M:$M,Investors!$E:$E,Sales!$C178,Investors!$O:$O,FALSE)+SUMIFS(Investors!$S:$S,Investors!$E:$E,Sales!$C178,Investors!$O:$O,FALSE))*$F178)</f>
        <v>1326506.8493150685</v>
      </c>
      <c r="S178" s="9">
        <f t="shared" si="7"/>
        <v>70283.200684931595</v>
      </c>
      <c r="T178" s="3" t="b">
        <v>0</v>
      </c>
      <c r="U178" s="4">
        <v>45443</v>
      </c>
      <c r="V178" s="9">
        <v>70283.200684931362</v>
      </c>
      <c r="W178" s="10">
        <f>IF(SUMIFS('Cashflow Projection'!$E$117:$E$149,'Cashflow Projection'!$D$117:$D$149,Sales!C178)=1,SUMIFS('Cashflow Projection'!$C$117:$C$149,'Cashflow Projection'!$D$117:$D$149,Sales!C178),+Sales!H178)</f>
        <v>45377</v>
      </c>
      <c r="X178" s="10">
        <f t="shared" si="8"/>
        <v>45443</v>
      </c>
      <c r="Y178" s="10">
        <f t="shared" si="9"/>
        <v>45473</v>
      </c>
      <c r="Z178" t="b">
        <v>0</v>
      </c>
    </row>
    <row r="179" spans="1:26" x14ac:dyDescent="0.2">
      <c r="A179" s="3" t="s">
        <v>386</v>
      </c>
      <c r="B179" s="3" t="s">
        <v>822</v>
      </c>
      <c r="C179" s="3" t="s">
        <v>844</v>
      </c>
      <c r="D179" s="3" t="b">
        <v>1</v>
      </c>
      <c r="E179" s="3" t="b">
        <v>0</v>
      </c>
      <c r="F179" s="3">
        <f>IF(OR(Z179=TRUE,SUMIFS('Cashflow Projection'!$E$117:$E$149,'Cashflow Projection'!$D$117:$D$149,Sales!C179)=1),0,SUMIFS('Cashflow Projection'!$C$7:$C$23,'Cashflow Projection'!$B$7:$B$23,Sales!B179,'Cashflow Projection'!$A$7:$A$23,Sales!A179))</f>
        <v>1</v>
      </c>
      <c r="G179" s="4">
        <v>45449</v>
      </c>
      <c r="H179" s="4">
        <v>45449</v>
      </c>
      <c r="I179" s="3">
        <v>1499900</v>
      </c>
      <c r="J179" s="3">
        <v>195639.13043478259</v>
      </c>
      <c r="K179" s="3">
        <v>1304260.869565218</v>
      </c>
      <c r="L179" s="3">
        <v>18502.080000000002</v>
      </c>
      <c r="M179" s="3">
        <v>1789</v>
      </c>
      <c r="N179" s="3">
        <v>7499.5</v>
      </c>
      <c r="O179" s="3">
        <v>74995</v>
      </c>
      <c r="P179" s="3">
        <v>19224.37</v>
      </c>
      <c r="Q179" s="3">
        <v>1377890.05</v>
      </c>
      <c r="R179" s="9">
        <f>IF($F179=1,((SUMIFS(Investors!$M:$M,Investors!$E:$E,Sales!$C179,Investors!$O:$O,FALSE)+SUMIFS(Investors!$S:$S,Investors!$E:$E,Sales!$C179,Investors!$O:$O,FALSE))*$F179)-SUMIFS('Investor Exit List'!$Q:$Q,'Investor Exit List'!$Y:$Y,1,'Investor Exit List'!$Z:$Z,"Release",'Investor Exit List'!$C:$C,Sales!$C179),(SUMIFS(Investors!$M:$M,Investors!$E:$E,Sales!$C179,Investors!$O:$O,FALSE)+SUMIFS(Investors!$S:$S,Investors!$E:$E,Sales!$C179,Investors!$O:$O,FALSE))*$F179)</f>
        <v>1354328.7671232878</v>
      </c>
      <c r="S179" s="9">
        <f t="shared" si="7"/>
        <v>23561.28287671227</v>
      </c>
      <c r="T179" s="3" t="b">
        <v>0</v>
      </c>
      <c r="U179" s="4">
        <v>45504</v>
      </c>
      <c r="V179" s="9">
        <v>16164.022602739509</v>
      </c>
      <c r="W179" s="10">
        <f>IF(SUMIFS('Cashflow Projection'!$E$117:$E$149,'Cashflow Projection'!$D$117:$D$149,Sales!C179)=1,SUMIFS('Cashflow Projection'!$C$117:$C$149,'Cashflow Projection'!$D$117:$D$149,Sales!C179),+Sales!H179)</f>
        <v>45449</v>
      </c>
      <c r="X179" s="10">
        <f t="shared" si="8"/>
        <v>45504</v>
      </c>
      <c r="Y179" s="10">
        <f t="shared" si="9"/>
        <v>45535</v>
      </c>
      <c r="Z179" t="b">
        <v>0</v>
      </c>
    </row>
    <row r="180" spans="1:26" x14ac:dyDescent="0.2">
      <c r="A180" s="3" t="s">
        <v>386</v>
      </c>
      <c r="B180" s="3" t="s">
        <v>388</v>
      </c>
      <c r="C180" s="3" t="s">
        <v>471</v>
      </c>
      <c r="D180" s="3" t="b">
        <v>0</v>
      </c>
      <c r="E180" s="3" t="b">
        <v>0</v>
      </c>
      <c r="F180" s="3">
        <f>IF(OR(Z180=TRUE,SUMIFS('Cashflow Projection'!$E$117:$E$149,'Cashflow Projection'!$D$117:$D$149,Sales!C180)=1),0,SUMIFS('Cashflow Projection'!$C$7:$C$23,'Cashflow Projection'!$B$7:$B$23,Sales!B180,'Cashflow Projection'!$A$7:$A$23,Sales!A180))</f>
        <v>1</v>
      </c>
      <c r="G180" s="4">
        <v>45429</v>
      </c>
      <c r="H180" s="4">
        <v>45646</v>
      </c>
      <c r="I180" s="3">
        <v>1509900</v>
      </c>
      <c r="J180" s="3">
        <v>196943.4782608696</v>
      </c>
      <c r="K180" s="3">
        <v>1312956.5217391311</v>
      </c>
      <c r="L180" s="3">
        <v>18502.080000000002</v>
      </c>
      <c r="M180" s="3">
        <v>1789</v>
      </c>
      <c r="N180" s="3">
        <v>7549.5</v>
      </c>
      <c r="O180" s="3">
        <v>75495</v>
      </c>
      <c r="P180" s="3">
        <v>19224.37</v>
      </c>
      <c r="Q180" s="3">
        <v>1387340.05</v>
      </c>
      <c r="R180" s="9">
        <f>IF($F180=1,((SUMIFS(Investors!$M:$M,Investors!$E:$E,Sales!$C180,Investors!$O:$O,FALSE)+SUMIFS(Investors!$S:$S,Investors!$E:$E,Sales!$C180,Investors!$O:$O,FALSE))*$F180)-SUMIFS('Investor Exit List'!$Q:$Q,'Investor Exit List'!$Y:$Y,1,'Investor Exit List'!$Z:$Z,"Release",'Investor Exit List'!$C:$C,Sales!$C180),(SUMIFS(Investors!$M:$M,Investors!$E:$E,Sales!$C180,Investors!$O:$O,FALSE)+SUMIFS(Investors!$S:$S,Investors!$E:$E,Sales!$C180,Investors!$O:$O,FALSE))*$F180)</f>
        <v>144124.20709150657</v>
      </c>
      <c r="S180" s="9">
        <f t="shared" si="7"/>
        <v>1243215.8429084935</v>
      </c>
      <c r="T180" s="3" t="b">
        <v>0</v>
      </c>
      <c r="U180" s="4">
        <v>45688</v>
      </c>
      <c r="V180" s="9">
        <v>-2950.5215976715549</v>
      </c>
      <c r="W180" s="10">
        <f>IF(SUMIFS('Cashflow Projection'!$E$117:$E$149,'Cashflow Projection'!$D$117:$D$149,Sales!C180)=1,SUMIFS('Cashflow Projection'!$C$117:$C$149,'Cashflow Projection'!$D$117:$D$149,Sales!C180),+Sales!H180)</f>
        <v>45646</v>
      </c>
      <c r="X180" s="10">
        <f t="shared" si="8"/>
        <v>45688</v>
      </c>
      <c r="Y180" s="10">
        <f t="shared" si="9"/>
        <v>45716</v>
      </c>
      <c r="Z180" t="b">
        <v>0</v>
      </c>
    </row>
    <row r="181" spans="1:26" x14ac:dyDescent="0.2">
      <c r="A181" s="3" t="s">
        <v>386</v>
      </c>
      <c r="B181" s="3" t="s">
        <v>388</v>
      </c>
      <c r="C181" s="3" t="s">
        <v>398</v>
      </c>
      <c r="D181" s="3" t="b">
        <v>1</v>
      </c>
      <c r="E181" s="3" t="b">
        <v>1</v>
      </c>
      <c r="F181" s="3">
        <f>IF(OR(Z181=TRUE,SUMIFS('Cashflow Projection'!$E$117:$E$149,'Cashflow Projection'!$D$117:$D$149,Sales!C181)=1),0,SUMIFS('Cashflow Projection'!$C$7:$C$23,'Cashflow Projection'!$B$7:$B$23,Sales!B181,'Cashflow Projection'!$A$7:$A$23,Sales!A181))</f>
        <v>1</v>
      </c>
      <c r="G181" s="4">
        <v>45154</v>
      </c>
      <c r="H181" s="4">
        <v>45688</v>
      </c>
      <c r="I181" s="3">
        <v>1619900</v>
      </c>
      <c r="J181" s="3">
        <v>211291.30434782611</v>
      </c>
      <c r="K181" s="3">
        <v>1408608.6956521741</v>
      </c>
      <c r="L181" s="3">
        <v>18502.080000000002</v>
      </c>
      <c r="M181" s="3">
        <v>1789</v>
      </c>
      <c r="N181" s="3">
        <v>8099.5</v>
      </c>
      <c r="O181" s="3">
        <v>80995</v>
      </c>
      <c r="P181" s="3">
        <v>19224.37</v>
      </c>
      <c r="Q181" s="3">
        <v>1491290.05</v>
      </c>
      <c r="R181" s="9">
        <f>IF($F181=1,((SUMIFS(Investors!$M:$M,Investors!$E:$E,Sales!$C181,Investors!$O:$O,FALSE)+SUMIFS(Investors!$S:$S,Investors!$E:$E,Sales!$C181,Investors!$O:$O,FALSE))*$F181)-SUMIFS('Investor Exit List'!$Q:$Q,'Investor Exit List'!$Y:$Y,1,'Investor Exit List'!$Z:$Z,"Release",'Investor Exit List'!$C:$C,Sales!$C181),(SUMIFS(Investors!$M:$M,Investors!$E:$E,Sales!$C181,Investors!$O:$O,FALSE)+SUMIFS(Investors!$S:$S,Investors!$E:$E,Sales!$C181,Investors!$O:$O,FALSE))*$F181)</f>
        <v>1263010.9589041097</v>
      </c>
      <c r="S181" s="9">
        <f t="shared" si="7"/>
        <v>228279.09109589038</v>
      </c>
      <c r="T181" s="3" t="b">
        <v>0</v>
      </c>
      <c r="U181" s="4">
        <v>45747</v>
      </c>
      <c r="V181" s="9">
        <v>228279.09109589021</v>
      </c>
      <c r="W181" s="10">
        <f>IF(SUMIFS('Cashflow Projection'!$E$117:$E$149,'Cashflow Projection'!$D$117:$D$149,Sales!C181)=1,SUMIFS('Cashflow Projection'!$C$117:$C$149,'Cashflow Projection'!$D$117:$D$149,Sales!C181),+Sales!H181)</f>
        <v>45688</v>
      </c>
      <c r="X181" s="10">
        <f t="shared" si="8"/>
        <v>45747</v>
      </c>
      <c r="Y181" s="10">
        <f t="shared" si="9"/>
        <v>45777</v>
      </c>
      <c r="Z181" t="b">
        <v>0</v>
      </c>
    </row>
    <row r="182" spans="1:26" x14ac:dyDescent="0.2">
      <c r="A182" s="3" t="s">
        <v>386</v>
      </c>
      <c r="B182" s="3" t="s">
        <v>811</v>
      </c>
      <c r="C182" s="3" t="s">
        <v>815</v>
      </c>
      <c r="D182" s="3" t="b">
        <v>0</v>
      </c>
      <c r="E182" s="3" t="b">
        <v>0</v>
      </c>
      <c r="F182" s="3">
        <f>IF(OR(Z182=TRUE,SUMIFS('Cashflow Projection'!$E$117:$E$149,'Cashflow Projection'!$D$117:$D$149,Sales!C182)=1),0,SUMIFS('Cashflow Projection'!$C$7:$C$23,'Cashflow Projection'!$B$7:$B$23,Sales!B182,'Cashflow Projection'!$A$7:$A$23,Sales!A182))</f>
        <v>0</v>
      </c>
      <c r="G182" s="4">
        <v>45450</v>
      </c>
      <c r="H182" s="4">
        <v>45583</v>
      </c>
      <c r="I182" s="3">
        <v>1709900</v>
      </c>
      <c r="J182" s="3">
        <v>223030.4347826087</v>
      </c>
      <c r="K182" s="3">
        <v>1486869.5652173909</v>
      </c>
      <c r="L182" s="3">
        <v>18502.080000000002</v>
      </c>
      <c r="M182" s="3">
        <v>1789</v>
      </c>
      <c r="N182" s="3">
        <v>8549.5</v>
      </c>
      <c r="O182" s="3">
        <v>85495</v>
      </c>
      <c r="P182" s="3">
        <v>19224.37</v>
      </c>
      <c r="Q182" s="3">
        <v>1576340.05</v>
      </c>
      <c r="R182" s="9">
        <f>IF($F182=1,((SUMIFS(Investors!$M:$M,Investors!$E:$E,Sales!$C182,Investors!$O:$O,FALSE)+SUMIFS(Investors!$S:$S,Investors!$E:$E,Sales!$C182,Investors!$O:$O,FALSE))*$F182)-SUMIFS('Investor Exit List'!$Q:$Q,'Investor Exit List'!$Y:$Y,1,'Investor Exit List'!$Z:$Z,"Release",'Investor Exit List'!$C:$C,Sales!$C182),(SUMIFS(Investors!$M:$M,Investors!$E:$E,Sales!$C182,Investors!$O:$O,FALSE)+SUMIFS(Investors!$S:$S,Investors!$E:$E,Sales!$C182,Investors!$O:$O,FALSE))*$F182)</f>
        <v>0</v>
      </c>
      <c r="S182" s="9">
        <f t="shared" si="7"/>
        <v>1576340.05</v>
      </c>
      <c r="T182" s="3" t="b">
        <v>0</v>
      </c>
      <c r="U182" s="4">
        <v>45626</v>
      </c>
      <c r="V182" s="9">
        <v>266616.76232876698</v>
      </c>
      <c r="W182" s="10">
        <f>IF(SUMIFS('Cashflow Projection'!$E$117:$E$149,'Cashflow Projection'!$D$117:$D$149,Sales!C182)=1,SUMIFS('Cashflow Projection'!$C$117:$C$149,'Cashflow Projection'!$D$117:$D$149,Sales!C182),+Sales!H182)</f>
        <v>45583</v>
      </c>
      <c r="X182" s="10">
        <f t="shared" si="8"/>
        <v>45626</v>
      </c>
      <c r="Y182" s="10">
        <f t="shared" si="9"/>
        <v>45657</v>
      </c>
      <c r="Z182" t="b">
        <v>0</v>
      </c>
    </row>
    <row r="183" spans="1:26" x14ac:dyDescent="0.2">
      <c r="A183" s="3" t="s">
        <v>386</v>
      </c>
      <c r="B183" s="3" t="s">
        <v>750</v>
      </c>
      <c r="C183" s="3" t="s">
        <v>763</v>
      </c>
      <c r="D183" s="3" t="b">
        <v>0</v>
      </c>
      <c r="E183" s="3" t="b">
        <v>0</v>
      </c>
      <c r="F183" s="3">
        <f>IF(OR(Z183=TRUE,SUMIFS('Cashflow Projection'!$E$117:$E$149,'Cashflow Projection'!$D$117:$D$149,Sales!C183)=1),0,SUMIFS('Cashflow Projection'!$C$7:$C$23,'Cashflow Projection'!$B$7:$B$23,Sales!B183,'Cashflow Projection'!$A$7:$A$23,Sales!A183))</f>
        <v>0</v>
      </c>
      <c r="G183" s="4">
        <v>45510</v>
      </c>
      <c r="H183" s="4">
        <v>45625</v>
      </c>
      <c r="I183" s="3">
        <v>1529900</v>
      </c>
      <c r="J183" s="3">
        <v>199552.17391304349</v>
      </c>
      <c r="K183" s="3">
        <v>1330347.826086957</v>
      </c>
      <c r="L183" s="3">
        <v>18502.080000000002</v>
      </c>
      <c r="M183" s="3">
        <v>1789</v>
      </c>
      <c r="N183" s="3">
        <v>7649.5</v>
      </c>
      <c r="O183" s="3">
        <v>76495</v>
      </c>
      <c r="P183" s="3">
        <v>19224.37</v>
      </c>
      <c r="Q183" s="3">
        <v>1406240.05</v>
      </c>
      <c r="R183" s="9">
        <f>IF($F183=1,((SUMIFS(Investors!$M:$M,Investors!$E:$E,Sales!$C183,Investors!$O:$O,FALSE)+SUMIFS(Investors!$S:$S,Investors!$E:$E,Sales!$C183,Investors!$O:$O,FALSE))*$F183)-SUMIFS('Investor Exit List'!$Q:$Q,'Investor Exit List'!$Y:$Y,1,'Investor Exit List'!$Z:$Z,"Release",'Investor Exit List'!$C:$C,Sales!$C183),(SUMIFS(Investors!$M:$M,Investors!$E:$E,Sales!$C183,Investors!$O:$O,FALSE)+SUMIFS(Investors!$S:$S,Investors!$E:$E,Sales!$C183,Investors!$O:$O,FALSE))*$F183)</f>
        <v>0</v>
      </c>
      <c r="S183" s="9">
        <f t="shared" si="7"/>
        <v>1406240.05</v>
      </c>
      <c r="T183" s="3" t="b">
        <v>0</v>
      </c>
      <c r="U183" s="4">
        <v>45688</v>
      </c>
      <c r="V183" s="9">
        <v>28568.842997534201</v>
      </c>
      <c r="W183" s="10">
        <f>IF(SUMIFS('Cashflow Projection'!$E$117:$E$149,'Cashflow Projection'!$D$117:$D$149,Sales!C183)=1,SUMIFS('Cashflow Projection'!$C$117:$C$149,'Cashflow Projection'!$D$117:$D$149,Sales!C183),+Sales!H183)</f>
        <v>45625</v>
      </c>
      <c r="X183" s="10">
        <f t="shared" si="8"/>
        <v>45688</v>
      </c>
      <c r="Y183" s="10">
        <f t="shared" si="9"/>
        <v>45716</v>
      </c>
      <c r="Z183" t="b">
        <v>0</v>
      </c>
    </row>
    <row r="184" spans="1:26" x14ac:dyDescent="0.2">
      <c r="A184" s="3" t="s">
        <v>386</v>
      </c>
      <c r="B184" s="3" t="s">
        <v>388</v>
      </c>
      <c r="C184" s="3" t="s">
        <v>402</v>
      </c>
      <c r="D184" s="3" t="b">
        <v>1</v>
      </c>
      <c r="E184" s="3" t="b">
        <v>1</v>
      </c>
      <c r="F184" s="3">
        <f>IF(OR(Z184=TRUE,SUMIFS('Cashflow Projection'!$E$117:$E$149,'Cashflow Projection'!$D$117:$D$149,Sales!C184)=1),0,SUMIFS('Cashflow Projection'!$C$7:$C$23,'Cashflow Projection'!$B$7:$B$23,Sales!B184,'Cashflow Projection'!$A$7:$A$23,Sales!A184))</f>
        <v>1</v>
      </c>
      <c r="G184" s="4">
        <v>45174</v>
      </c>
      <c r="H184" s="4">
        <v>45688</v>
      </c>
      <c r="I184" s="3">
        <v>1619900</v>
      </c>
      <c r="J184" s="3">
        <v>211291.30434782611</v>
      </c>
      <c r="K184" s="3">
        <v>1408608.6956521741</v>
      </c>
      <c r="L184" s="3">
        <v>18502.080000000002</v>
      </c>
      <c r="M184" s="3">
        <v>1789</v>
      </c>
      <c r="N184" s="3">
        <v>8099.5</v>
      </c>
      <c r="O184" s="3">
        <v>80995</v>
      </c>
      <c r="P184" s="3">
        <v>19224.37</v>
      </c>
      <c r="Q184" s="3">
        <v>1491290.05</v>
      </c>
      <c r="R184" s="9">
        <f>IF($F184=1,((SUMIFS(Investors!$M:$M,Investors!$E:$E,Sales!$C184,Investors!$O:$O,FALSE)+SUMIFS(Investors!$S:$S,Investors!$E:$E,Sales!$C184,Investors!$O:$O,FALSE))*$F184)-SUMIFS('Investor Exit List'!$Q:$Q,'Investor Exit List'!$Y:$Y,1,'Investor Exit List'!$Z:$Z,"Release",'Investor Exit List'!$C:$C,Sales!$C184),(SUMIFS(Investors!$M:$M,Investors!$E:$E,Sales!$C184,Investors!$O:$O,FALSE)+SUMIFS(Investors!$S:$S,Investors!$E:$E,Sales!$C184,Investors!$O:$O,FALSE))*$F184)</f>
        <v>1294022.9904430136</v>
      </c>
      <c r="S184" s="9">
        <f t="shared" si="7"/>
        <v>197267.05955698644</v>
      </c>
      <c r="T184" s="3" t="b">
        <v>0</v>
      </c>
      <c r="U184" s="4">
        <v>45747</v>
      </c>
      <c r="V184" s="9">
        <v>197267.05955698621</v>
      </c>
      <c r="W184" s="10">
        <f>IF(SUMIFS('Cashflow Projection'!$E$117:$E$149,'Cashflow Projection'!$D$117:$D$149,Sales!C184)=1,SUMIFS('Cashflow Projection'!$C$117:$C$149,'Cashflow Projection'!$D$117:$D$149,Sales!C184),+Sales!H184)</f>
        <v>45688</v>
      </c>
      <c r="X184" s="10">
        <f t="shared" si="8"/>
        <v>45747</v>
      </c>
      <c r="Y184" s="10">
        <f t="shared" si="9"/>
        <v>45777</v>
      </c>
      <c r="Z184" t="b">
        <v>0</v>
      </c>
    </row>
    <row r="185" spans="1:26" x14ac:dyDescent="0.2">
      <c r="A185" s="3" t="s">
        <v>386</v>
      </c>
      <c r="B185" s="3" t="s">
        <v>790</v>
      </c>
      <c r="C185" s="3" t="s">
        <v>802</v>
      </c>
      <c r="D185" s="3" t="b">
        <v>0</v>
      </c>
      <c r="E185" s="3" t="b">
        <v>0</v>
      </c>
      <c r="F185" s="3">
        <f>IF(OR(Z185=TRUE,SUMIFS('Cashflow Projection'!$E$117:$E$149,'Cashflow Projection'!$D$117:$D$149,Sales!C185)=1),0,SUMIFS('Cashflow Projection'!$C$7:$C$23,'Cashflow Projection'!$B$7:$B$23,Sales!B185,'Cashflow Projection'!$A$7:$A$23,Sales!A185))</f>
        <v>0</v>
      </c>
      <c r="G185" s="4">
        <v>45499</v>
      </c>
      <c r="H185" s="4">
        <v>45716</v>
      </c>
      <c r="I185" s="3">
        <v>1499900</v>
      </c>
      <c r="J185" s="3">
        <v>195639.13043478259</v>
      </c>
      <c r="K185" s="3">
        <v>1304260.869565218</v>
      </c>
      <c r="L185" s="3">
        <v>18502.080000000002</v>
      </c>
      <c r="M185" s="3">
        <v>1789</v>
      </c>
      <c r="N185" s="3">
        <v>7499.5</v>
      </c>
      <c r="O185" s="3">
        <v>74995</v>
      </c>
      <c r="P185" s="3">
        <v>19224.37</v>
      </c>
      <c r="Q185" s="3">
        <v>1377890.05</v>
      </c>
      <c r="R185" s="9">
        <f>IF($F185=1,((SUMIFS(Investors!$M:$M,Investors!$E:$E,Sales!$C185,Investors!$O:$O,FALSE)+SUMIFS(Investors!$S:$S,Investors!$E:$E,Sales!$C185,Investors!$O:$O,FALSE))*$F185)-SUMIFS('Investor Exit List'!$Q:$Q,'Investor Exit List'!$Y:$Y,1,'Investor Exit List'!$Z:$Z,"Release",'Investor Exit List'!$C:$C,Sales!$C185),(SUMIFS(Investors!$M:$M,Investors!$E:$E,Sales!$C185,Investors!$O:$O,FALSE)+SUMIFS(Investors!$S:$S,Investors!$E:$E,Sales!$C185,Investors!$O:$O,FALSE))*$F185)</f>
        <v>0</v>
      </c>
      <c r="S185" s="9">
        <f t="shared" si="7"/>
        <v>1377890.05</v>
      </c>
      <c r="T185" s="3" t="b">
        <v>0</v>
      </c>
      <c r="U185" s="4">
        <v>45747</v>
      </c>
      <c r="V185" s="9">
        <v>89865.392465753248</v>
      </c>
      <c r="W185" s="10">
        <f>IF(SUMIFS('Cashflow Projection'!$E$117:$E$149,'Cashflow Projection'!$D$117:$D$149,Sales!C185)=1,SUMIFS('Cashflow Projection'!$C$117:$C$149,'Cashflow Projection'!$D$117:$D$149,Sales!C185),+Sales!H185)</f>
        <v>45716</v>
      </c>
      <c r="X185" s="10">
        <f t="shared" si="8"/>
        <v>45747</v>
      </c>
      <c r="Y185" s="10">
        <f t="shared" si="9"/>
        <v>45777</v>
      </c>
      <c r="Z185" t="b">
        <v>0</v>
      </c>
    </row>
    <row r="186" spans="1:26" x14ac:dyDescent="0.2">
      <c r="A186" s="3" t="s">
        <v>386</v>
      </c>
      <c r="B186" s="3" t="s">
        <v>388</v>
      </c>
      <c r="C186" s="3" t="s">
        <v>442</v>
      </c>
      <c r="D186" s="3" t="b">
        <v>1</v>
      </c>
      <c r="E186" s="3" t="b">
        <v>1</v>
      </c>
      <c r="F186" s="3">
        <f>IF(OR(Z186=TRUE,SUMIFS('Cashflow Projection'!$E$117:$E$149,'Cashflow Projection'!$D$117:$D$149,Sales!C186)=1),0,SUMIFS('Cashflow Projection'!$C$7:$C$23,'Cashflow Projection'!$B$7:$B$23,Sales!B186,'Cashflow Projection'!$A$7:$A$23,Sales!A186))</f>
        <v>1</v>
      </c>
      <c r="G186" s="4">
        <v>45154</v>
      </c>
      <c r="H186" s="4">
        <v>45688</v>
      </c>
      <c r="I186" s="3">
        <v>1499900</v>
      </c>
      <c r="J186" s="3">
        <v>195639.13043478259</v>
      </c>
      <c r="K186" s="3">
        <v>1304260.869565218</v>
      </c>
      <c r="L186" s="3">
        <v>18502.080000000002</v>
      </c>
      <c r="M186" s="3">
        <v>1789</v>
      </c>
      <c r="N186" s="3">
        <v>7499.5</v>
      </c>
      <c r="O186" s="3">
        <v>74995</v>
      </c>
      <c r="P186" s="3">
        <v>19224.37</v>
      </c>
      <c r="Q186" s="3">
        <v>1377890.05</v>
      </c>
      <c r="R186" s="9">
        <f>IF($F186=1,((SUMIFS(Investors!$M:$M,Investors!$E:$E,Sales!$C186,Investors!$O:$O,FALSE)+SUMIFS(Investors!$S:$S,Investors!$E:$E,Sales!$C186,Investors!$O:$O,FALSE))*$F186)-SUMIFS('Investor Exit List'!$Q:$Q,'Investor Exit List'!$Y:$Y,1,'Investor Exit List'!$Z:$Z,"Release",'Investor Exit List'!$C:$C,Sales!$C186),(SUMIFS(Investors!$M:$M,Investors!$E:$E,Sales!$C186,Investors!$O:$O,FALSE)+SUMIFS(Investors!$S:$S,Investors!$E:$E,Sales!$C186,Investors!$O:$O,FALSE))*$F186)</f>
        <v>1248517.8082191781</v>
      </c>
      <c r="S186" s="9">
        <f t="shared" si="7"/>
        <v>129372.24178082193</v>
      </c>
      <c r="T186" s="3" t="b">
        <v>0</v>
      </c>
      <c r="U186" s="4">
        <v>45747</v>
      </c>
      <c r="V186" s="9">
        <v>129372.2417808217</v>
      </c>
      <c r="W186" s="10">
        <f>IF(SUMIFS('Cashflow Projection'!$E$117:$E$149,'Cashflow Projection'!$D$117:$D$149,Sales!C186)=1,SUMIFS('Cashflow Projection'!$C$117:$C$149,'Cashflow Projection'!$D$117:$D$149,Sales!C186),+Sales!H186)</f>
        <v>45688</v>
      </c>
      <c r="X186" s="10">
        <f t="shared" si="8"/>
        <v>45747</v>
      </c>
      <c r="Y186" s="10">
        <f t="shared" si="9"/>
        <v>45777</v>
      </c>
      <c r="Z186" t="b">
        <v>0</v>
      </c>
    </row>
    <row r="187" spans="1:26" x14ac:dyDescent="0.2">
      <c r="A187" s="3" t="s">
        <v>386</v>
      </c>
      <c r="B187" s="3" t="s">
        <v>675</v>
      </c>
      <c r="C187" s="3" t="s">
        <v>678</v>
      </c>
      <c r="D187" s="3" t="b">
        <v>1</v>
      </c>
      <c r="E187" s="3" t="b">
        <v>0</v>
      </c>
      <c r="F187" s="3">
        <f>IF(OR(Z187=TRUE,SUMIFS('Cashflow Projection'!$E$117:$E$149,'Cashflow Projection'!$D$117:$D$149,Sales!C187)=1),0,SUMIFS('Cashflow Projection'!$C$7:$C$23,'Cashflow Projection'!$B$7:$B$23,Sales!B187,'Cashflow Projection'!$A$7:$A$23,Sales!A187))</f>
        <v>1</v>
      </c>
      <c r="G187" s="4">
        <v>45490</v>
      </c>
      <c r="H187" s="4">
        <v>45490</v>
      </c>
      <c r="I187" s="3">
        <v>1690999</v>
      </c>
      <c r="J187" s="3">
        <v>220565.0869565217</v>
      </c>
      <c r="K187" s="3">
        <v>1470433.913043478</v>
      </c>
      <c r="L187" s="3">
        <v>18502.080000000002</v>
      </c>
      <c r="M187" s="3">
        <v>1789</v>
      </c>
      <c r="N187" s="3">
        <v>8454.9950000000008</v>
      </c>
      <c r="O187" s="3">
        <v>84549.950000000012</v>
      </c>
      <c r="P187" s="3">
        <v>19224.37</v>
      </c>
      <c r="Q187" s="3">
        <v>1558478.605</v>
      </c>
      <c r="R187" s="9">
        <f>IF($F187=1,((SUMIFS(Investors!$M:$M,Investors!$E:$E,Sales!$C187,Investors!$O:$O,FALSE)+SUMIFS(Investors!$S:$S,Investors!$E:$E,Sales!$C187,Investors!$O:$O,FALSE))*$F187)-SUMIFS('Investor Exit List'!$Q:$Q,'Investor Exit List'!$Y:$Y,1,'Investor Exit List'!$Z:$Z,"Release",'Investor Exit List'!$C:$C,Sales!$C187),(SUMIFS(Investors!$M:$M,Investors!$E:$E,Sales!$C187,Investors!$O:$O,FALSE)+SUMIFS(Investors!$S:$S,Investors!$E:$E,Sales!$C187,Investors!$O:$O,FALSE))*$F187)</f>
        <v>1248936.98630137</v>
      </c>
      <c r="S187" s="9">
        <f t="shared" si="7"/>
        <v>309541.61869863002</v>
      </c>
      <c r="T187" s="3" t="b">
        <v>0</v>
      </c>
      <c r="U187" s="4">
        <v>45565</v>
      </c>
      <c r="V187" s="9">
        <v>309541.61869862978</v>
      </c>
      <c r="W187" s="10">
        <f>IF(SUMIFS('Cashflow Projection'!$E$117:$E$149,'Cashflow Projection'!$D$117:$D$149,Sales!C187)=1,SUMIFS('Cashflow Projection'!$C$117:$C$149,'Cashflow Projection'!$D$117:$D$149,Sales!C187),+Sales!H187)</f>
        <v>45490</v>
      </c>
      <c r="X187" s="10">
        <f t="shared" si="8"/>
        <v>45565</v>
      </c>
      <c r="Y187" s="10">
        <f t="shared" si="9"/>
        <v>45596</v>
      </c>
      <c r="Z187" t="b">
        <v>0</v>
      </c>
    </row>
    <row r="188" spans="1:26" x14ac:dyDescent="0.2">
      <c r="A188" s="3" t="s">
        <v>992</v>
      </c>
      <c r="B188" s="3" t="s">
        <v>26</v>
      </c>
      <c r="C188" s="3" t="s">
        <v>1033</v>
      </c>
      <c r="D188" s="3" t="b">
        <v>0</v>
      </c>
      <c r="E188" s="3" t="b">
        <v>0</v>
      </c>
      <c r="F188" s="3">
        <f>IF(OR(Z188=TRUE,SUMIFS('Cashflow Projection'!$E$117:$E$149,'Cashflow Projection'!$D$117:$D$149,Sales!C188)=1),0,SUMIFS('Cashflow Projection'!$C$7:$C$23,'Cashflow Projection'!$B$7:$B$23,Sales!B188,'Cashflow Projection'!$A$7:$A$23,Sales!A188))</f>
        <v>1</v>
      </c>
      <c r="G188" s="4">
        <v>45456</v>
      </c>
      <c r="H188" s="4">
        <v>45458</v>
      </c>
      <c r="I188" s="3">
        <v>1529900</v>
      </c>
      <c r="J188" s="3">
        <v>0</v>
      </c>
      <c r="K188" s="3">
        <v>1330347.826086957</v>
      </c>
      <c r="L188" s="3">
        <v>18502.080000000002</v>
      </c>
      <c r="M188" s="3">
        <v>1789</v>
      </c>
      <c r="N188" s="3">
        <v>7649.5</v>
      </c>
      <c r="O188" s="3">
        <v>76495</v>
      </c>
      <c r="P188" s="3">
        <v>19224.37</v>
      </c>
      <c r="Q188" s="3">
        <v>1406240.05</v>
      </c>
      <c r="R188" s="9">
        <f>IF($F188=1,((SUMIFS(Investors!$M:$M,Investors!$E:$E,Sales!$C188,Investors!$O:$O,FALSE)+SUMIFS(Investors!$S:$S,Investors!$E:$E,Sales!$C188,Investors!$O:$O,FALSE))*$F188)-SUMIFS('Investor Exit List'!$Q:$Q,'Investor Exit List'!$Y:$Y,1,'Investor Exit List'!$Z:$Z,"Release",'Investor Exit List'!$C:$C,Sales!$C188),(SUMIFS(Investors!$M:$M,Investors!$E:$E,Sales!$C188,Investors!$O:$O,FALSE)+SUMIFS(Investors!$S:$S,Investors!$E:$E,Sales!$C188,Investors!$O:$O,FALSE))*$F188)</f>
        <v>0</v>
      </c>
      <c r="S188" s="9">
        <f t="shared" si="7"/>
        <v>950600</v>
      </c>
      <c r="T188" s="3" t="b">
        <v>1</v>
      </c>
      <c r="U188" s="4">
        <v>45504</v>
      </c>
      <c r="V188" s="9">
        <v>950600</v>
      </c>
      <c r="W188" s="10">
        <f>IF(SUMIFS('Cashflow Projection'!$E$117:$E$149,'Cashflow Projection'!$D$117:$D$149,Sales!C188)=1,SUMIFS('Cashflow Projection'!$C$117:$C$149,'Cashflow Projection'!$D$117:$D$149,Sales!C188),+Sales!H188)</f>
        <v>45458</v>
      </c>
      <c r="X188" s="10">
        <f t="shared" si="8"/>
        <v>45504</v>
      </c>
      <c r="Y188" s="10">
        <f t="shared" si="9"/>
        <v>45535</v>
      </c>
      <c r="Z188" t="b">
        <v>0</v>
      </c>
    </row>
    <row r="189" spans="1:26" x14ac:dyDescent="0.2">
      <c r="A189" s="3" t="s">
        <v>992</v>
      </c>
      <c r="B189" s="3" t="s">
        <v>26</v>
      </c>
      <c r="C189" s="3" t="s">
        <v>1034</v>
      </c>
      <c r="D189" s="3" t="b">
        <v>1</v>
      </c>
      <c r="E189" s="3" t="b">
        <v>1</v>
      </c>
      <c r="F189" s="3">
        <f>IF(OR(Z189=TRUE,SUMIFS('Cashflow Projection'!$E$117:$E$149,'Cashflow Projection'!$D$117:$D$149,Sales!C189)=1),0,SUMIFS('Cashflow Projection'!$C$7:$C$23,'Cashflow Projection'!$B$7:$B$23,Sales!B189,'Cashflow Projection'!$A$7:$A$23,Sales!A189))</f>
        <v>1</v>
      </c>
      <c r="G189" s="4">
        <v>44880</v>
      </c>
      <c r="H189" s="4">
        <v>45688</v>
      </c>
      <c r="I189" s="3">
        <v>1594900</v>
      </c>
      <c r="J189" s="3">
        <v>208030.4347826087</v>
      </c>
      <c r="K189" s="3">
        <v>1386869.5652173909</v>
      </c>
      <c r="L189" s="3">
        <v>18502.080000000002</v>
      </c>
      <c r="M189" s="3">
        <v>1789</v>
      </c>
      <c r="N189" s="3">
        <v>7974.5</v>
      </c>
      <c r="O189" s="3">
        <v>79745</v>
      </c>
      <c r="P189" s="3">
        <v>19224.37</v>
      </c>
      <c r="Q189" s="3">
        <v>1467665.05</v>
      </c>
      <c r="R189" s="9">
        <f>IF($F189=1,((SUMIFS(Investors!$M:$M,Investors!$E:$E,Sales!$C189,Investors!$O:$O,FALSE)+SUMIFS(Investors!$S:$S,Investors!$E:$E,Sales!$C189,Investors!$O:$O,FALSE))*$F189)-SUMIFS('Investor Exit List'!$Q:$Q,'Investor Exit List'!$Y:$Y,1,'Investor Exit List'!$Z:$Z,"Release",'Investor Exit List'!$C:$C,Sales!$C189),(SUMIFS(Investors!$M:$M,Investors!$E:$E,Sales!$C189,Investors!$O:$O,FALSE)+SUMIFS(Investors!$S:$S,Investors!$E:$E,Sales!$C189,Investors!$O:$O,FALSE))*$F189)</f>
        <v>0</v>
      </c>
      <c r="S189" s="9">
        <f t="shared" si="7"/>
        <v>1467665.05</v>
      </c>
      <c r="T189" s="3" t="b">
        <v>0</v>
      </c>
      <c r="U189" s="4">
        <v>45747</v>
      </c>
      <c r="V189" s="9">
        <v>433280.11849315063</v>
      </c>
      <c r="W189" s="10">
        <f>IF(SUMIFS('Cashflow Projection'!$E$117:$E$149,'Cashflow Projection'!$D$117:$D$149,Sales!C189)=1,SUMIFS('Cashflow Projection'!$C$117:$C$149,'Cashflow Projection'!$D$117:$D$149,Sales!C189),+Sales!H189)</f>
        <v>45688</v>
      </c>
      <c r="X189" s="10">
        <f t="shared" si="8"/>
        <v>45747</v>
      </c>
      <c r="Y189" s="10">
        <f t="shared" si="9"/>
        <v>45777</v>
      </c>
      <c r="Z189" t="b">
        <v>0</v>
      </c>
    </row>
    <row r="190" spans="1:26" x14ac:dyDescent="0.2">
      <c r="A190" s="3" t="s">
        <v>992</v>
      </c>
      <c r="B190" s="3" t="s">
        <v>497</v>
      </c>
      <c r="C190" s="3" t="s">
        <v>1035</v>
      </c>
      <c r="D190" s="3" t="b">
        <v>1</v>
      </c>
      <c r="E190" s="3" t="b">
        <v>1</v>
      </c>
      <c r="F190" s="3">
        <f>IF(OR(Z190=TRUE,SUMIFS('Cashflow Projection'!$E$117:$E$149,'Cashflow Projection'!$D$117:$D$149,Sales!C190)=1),0,SUMIFS('Cashflow Projection'!$C$7:$C$23,'Cashflow Projection'!$B$7:$B$23,Sales!B190,'Cashflow Projection'!$A$7:$A$23,Sales!A190))</f>
        <v>0</v>
      </c>
      <c r="G190" s="4">
        <v>45376</v>
      </c>
      <c r="H190" s="4">
        <v>45369</v>
      </c>
      <c r="I190" s="3">
        <v>1349900</v>
      </c>
      <c r="J190" s="3">
        <v>176073.91304347821</v>
      </c>
      <c r="K190" s="3">
        <v>1173826.086956522</v>
      </c>
      <c r="L190" s="3">
        <v>18502.080000000002</v>
      </c>
      <c r="M190" s="3">
        <v>1789</v>
      </c>
      <c r="N190" s="3">
        <v>6749.5</v>
      </c>
      <c r="O190" s="3">
        <v>67495</v>
      </c>
      <c r="P190" s="3">
        <v>19224.37</v>
      </c>
      <c r="Q190" s="3">
        <v>1236140.05</v>
      </c>
      <c r="R190" s="9">
        <f>IF($F190=1,((SUMIFS(Investors!$M:$M,Investors!$E:$E,Sales!$C190,Investors!$O:$O,FALSE)+SUMIFS(Investors!$S:$S,Investors!$E:$E,Sales!$C190,Investors!$O:$O,FALSE))*$F190)-SUMIFS('Investor Exit List'!$Q:$Q,'Investor Exit List'!$Y:$Y,1,'Investor Exit List'!$Z:$Z,"Release",'Investor Exit List'!$C:$C,Sales!$C190),(SUMIFS(Investors!$M:$M,Investors!$E:$E,Sales!$C190,Investors!$O:$O,FALSE)+SUMIFS(Investors!$S:$S,Investors!$E:$E,Sales!$C190,Investors!$O:$O,FALSE))*$F190)</f>
        <v>0</v>
      </c>
      <c r="S190" s="9">
        <f t="shared" si="7"/>
        <v>1236140.05</v>
      </c>
      <c r="T190" s="3" t="b">
        <v>0</v>
      </c>
      <c r="U190" s="4">
        <v>45443</v>
      </c>
      <c r="V190" s="9">
        <v>-164791.4568493152</v>
      </c>
      <c r="W190" s="10">
        <f>IF(SUMIFS('Cashflow Projection'!$E$117:$E$149,'Cashflow Projection'!$D$117:$D$149,Sales!C190)=1,SUMIFS('Cashflow Projection'!$C$117:$C$149,'Cashflow Projection'!$D$117:$D$149,Sales!C190),+Sales!H190)</f>
        <v>45369</v>
      </c>
      <c r="X190" s="10">
        <f t="shared" si="8"/>
        <v>45443</v>
      </c>
      <c r="Y190" s="10">
        <f t="shared" si="9"/>
        <v>45473</v>
      </c>
      <c r="Z190" t="b">
        <v>0</v>
      </c>
    </row>
    <row r="191" spans="1:26" x14ac:dyDescent="0.2">
      <c r="A191" s="3" t="s">
        <v>992</v>
      </c>
      <c r="B191" s="3" t="s">
        <v>388</v>
      </c>
      <c r="C191" s="3" t="s">
        <v>1036</v>
      </c>
      <c r="D191" s="3" t="b">
        <v>1</v>
      </c>
      <c r="E191" s="3" t="b">
        <v>1</v>
      </c>
      <c r="F191" s="3">
        <f>IF(OR(Z191=TRUE,SUMIFS('Cashflow Projection'!$E$117:$E$149,'Cashflow Projection'!$D$117:$D$149,Sales!C191)=1),0,SUMIFS('Cashflow Projection'!$C$7:$C$23,'Cashflow Projection'!$B$7:$B$23,Sales!B191,'Cashflow Projection'!$A$7:$A$23,Sales!A191))</f>
        <v>0</v>
      </c>
      <c r="G191" s="4">
        <v>45240</v>
      </c>
      <c r="H191" s="4">
        <v>45688</v>
      </c>
      <c r="I191" s="3">
        <v>1499900</v>
      </c>
      <c r="J191" s="3">
        <v>195639.13043478259</v>
      </c>
      <c r="K191" s="3">
        <v>1304260.869565218</v>
      </c>
      <c r="L191" s="3">
        <v>18502.080000000002</v>
      </c>
      <c r="M191" s="3">
        <v>1789</v>
      </c>
      <c r="N191" s="3">
        <v>7499.5</v>
      </c>
      <c r="O191" s="3">
        <v>74995</v>
      </c>
      <c r="P191" s="3">
        <v>19224.37</v>
      </c>
      <c r="Q191" s="3">
        <v>1377890.05</v>
      </c>
      <c r="R191" s="9">
        <f>IF($F191=1,((SUMIFS(Investors!$M:$M,Investors!$E:$E,Sales!$C191,Investors!$O:$O,FALSE)+SUMIFS(Investors!$S:$S,Investors!$E:$E,Sales!$C191,Investors!$O:$O,FALSE))*$F191)-SUMIFS('Investor Exit List'!$Q:$Q,'Investor Exit List'!$Y:$Y,1,'Investor Exit List'!$Z:$Z,"Release",'Investor Exit List'!$C:$C,Sales!$C191),(SUMIFS(Investors!$M:$M,Investors!$E:$E,Sales!$C191,Investors!$O:$O,FALSE)+SUMIFS(Investors!$S:$S,Investors!$E:$E,Sales!$C191,Investors!$O:$O,FALSE))*$F191)</f>
        <v>0</v>
      </c>
      <c r="S191" s="9">
        <f t="shared" si="7"/>
        <v>1377890.05</v>
      </c>
      <c r="T191" s="3" t="b">
        <v>0</v>
      </c>
      <c r="U191" s="4">
        <v>45747</v>
      </c>
      <c r="V191" s="9">
        <v>123122.9267123286</v>
      </c>
      <c r="W191" s="10">
        <f>IF(SUMIFS('Cashflow Projection'!$E$117:$E$149,'Cashflow Projection'!$D$117:$D$149,Sales!C191)=1,SUMIFS('Cashflow Projection'!$C$117:$C$149,'Cashflow Projection'!$D$117:$D$149,Sales!C191),+Sales!H191)</f>
        <v>45688</v>
      </c>
      <c r="X191" s="10">
        <f t="shared" si="8"/>
        <v>45747</v>
      </c>
      <c r="Y191" s="10">
        <f t="shared" si="9"/>
        <v>45777</v>
      </c>
      <c r="Z191" t="b">
        <v>0</v>
      </c>
    </row>
    <row r="192" spans="1:26" x14ac:dyDescent="0.2">
      <c r="A192" s="3" t="s">
        <v>24</v>
      </c>
      <c r="B192" s="3" t="s">
        <v>26</v>
      </c>
      <c r="C192" s="3" t="s">
        <v>198</v>
      </c>
      <c r="D192" s="3" t="b">
        <v>1</v>
      </c>
      <c r="E192" s="3" t="b">
        <v>1</v>
      </c>
      <c r="F192" s="3">
        <f>IF(OR(Z192=TRUE,SUMIFS('Cashflow Projection'!$E$117:$E$149,'Cashflow Projection'!$D$117:$D$149,Sales!C192)=1),0,SUMIFS('Cashflow Projection'!$C$7:$C$23,'Cashflow Projection'!$B$7:$B$23,Sales!B192,'Cashflow Projection'!$A$7:$A$23,Sales!A192))</f>
        <v>0</v>
      </c>
      <c r="G192" s="4">
        <v>44901</v>
      </c>
      <c r="H192" s="4">
        <v>45688</v>
      </c>
      <c r="I192" s="3">
        <v>1389900</v>
      </c>
      <c r="J192" s="3">
        <v>181291.30434782611</v>
      </c>
      <c r="K192" s="3">
        <v>1208608.6956521741</v>
      </c>
      <c r="L192" s="3">
        <v>18502.080000000002</v>
      </c>
      <c r="M192" s="3">
        <v>1789</v>
      </c>
      <c r="N192" s="3">
        <v>6949.5</v>
      </c>
      <c r="O192" s="3">
        <v>69495</v>
      </c>
      <c r="P192" s="3">
        <v>19224.37</v>
      </c>
      <c r="Q192" s="3">
        <v>1273940.05</v>
      </c>
      <c r="R192" s="9">
        <f>IF($F192=1,((SUMIFS(Investors!$M:$M,Investors!$E:$E,Sales!$C192,Investors!$O:$O,FALSE)+SUMIFS(Investors!$S:$S,Investors!$E:$E,Sales!$C192,Investors!$O:$O,FALSE))*$F192)-SUMIFS('Investor Exit List'!$Q:$Q,'Investor Exit List'!$Y:$Y,1,'Investor Exit List'!$Z:$Z,"Release",'Investor Exit List'!$C:$C,Sales!$C192),(SUMIFS(Investors!$M:$M,Investors!$E:$E,Sales!$C192,Investors!$O:$O,FALSE)+SUMIFS(Investors!$S:$S,Investors!$E:$E,Sales!$C192,Investors!$O:$O,FALSE))*$F192)</f>
        <v>0</v>
      </c>
      <c r="S192" s="9">
        <f t="shared" si="7"/>
        <v>1273940.05</v>
      </c>
      <c r="T192" s="3" t="b">
        <v>0</v>
      </c>
      <c r="U192" s="4">
        <v>45747</v>
      </c>
      <c r="V192" s="9">
        <v>163857.46232876691</v>
      </c>
      <c r="W192" s="10">
        <f>IF(SUMIFS('Cashflow Projection'!$E$117:$E$149,'Cashflow Projection'!$D$117:$D$149,Sales!C192)=1,SUMIFS('Cashflow Projection'!$C$117:$C$149,'Cashflow Projection'!$D$117:$D$149,Sales!C192),+Sales!H192)</f>
        <v>45688</v>
      </c>
      <c r="X192" s="10">
        <f t="shared" si="8"/>
        <v>45747</v>
      </c>
      <c r="Y192" s="10">
        <f t="shared" si="9"/>
        <v>45777</v>
      </c>
      <c r="Z192" t="b">
        <v>0</v>
      </c>
    </row>
    <row r="193" spans="1:26" x14ac:dyDescent="0.2">
      <c r="A193" s="3" t="s">
        <v>24</v>
      </c>
      <c r="B193" s="3" t="s">
        <v>209</v>
      </c>
      <c r="C193" s="3" t="s">
        <v>208</v>
      </c>
      <c r="D193" s="3" t="b">
        <v>1</v>
      </c>
      <c r="E193" s="3" t="b">
        <v>1</v>
      </c>
      <c r="F193" s="3">
        <f>IF(OR(Z193=TRUE,SUMIFS('Cashflow Projection'!$E$117:$E$149,'Cashflow Projection'!$D$117:$D$149,Sales!C193)=1),0,SUMIFS('Cashflow Projection'!$C$7:$C$23,'Cashflow Projection'!$B$7:$B$23,Sales!B193,'Cashflow Projection'!$A$7:$A$23,Sales!A193))</f>
        <v>1</v>
      </c>
      <c r="G193" s="4">
        <v>44909</v>
      </c>
      <c r="H193" s="4">
        <v>45688</v>
      </c>
      <c r="I193" s="3">
        <v>1595900</v>
      </c>
      <c r="J193" s="3">
        <v>208160.86956521741</v>
      </c>
      <c r="K193" s="3">
        <v>1387739.1304347829</v>
      </c>
      <c r="L193" s="3">
        <v>18502.080000000002</v>
      </c>
      <c r="M193" s="3">
        <v>1789</v>
      </c>
      <c r="N193" s="3">
        <v>7979.5</v>
      </c>
      <c r="O193" s="3">
        <v>79795</v>
      </c>
      <c r="P193" s="3">
        <v>19224.37</v>
      </c>
      <c r="Q193" s="3">
        <v>1468610.05</v>
      </c>
      <c r="R193" s="9">
        <f>IF($F193=1,((SUMIFS(Investors!$M:$M,Investors!$E:$E,Sales!$C193,Investors!$O:$O,FALSE)+SUMIFS(Investors!$S:$S,Investors!$E:$E,Sales!$C193,Investors!$O:$O,FALSE))*$F193)-SUMIFS('Investor Exit List'!$Q:$Q,'Investor Exit List'!$Y:$Y,1,'Investor Exit List'!$Z:$Z,"Release",'Investor Exit List'!$C:$C,Sales!$C193),(SUMIFS(Investors!$M:$M,Investors!$E:$E,Sales!$C193,Investors!$O:$O,FALSE)+SUMIFS(Investors!$S:$S,Investors!$E:$E,Sales!$C193,Investors!$O:$O,FALSE))*$F193)</f>
        <v>1179461.0958904109</v>
      </c>
      <c r="S193" s="9">
        <f t="shared" si="7"/>
        <v>289148.9541095891</v>
      </c>
      <c r="T193" s="3" t="b">
        <v>0</v>
      </c>
      <c r="U193" s="4">
        <v>45747</v>
      </c>
      <c r="V193" s="9">
        <v>289148.95410958893</v>
      </c>
      <c r="W193" s="10">
        <f>IF(SUMIFS('Cashflow Projection'!$E$117:$E$149,'Cashflow Projection'!$D$117:$D$149,Sales!C193)=1,SUMIFS('Cashflow Projection'!$C$117:$C$149,'Cashflow Projection'!$D$117:$D$149,Sales!C193),+Sales!H193)</f>
        <v>45688</v>
      </c>
      <c r="X193" s="10">
        <f t="shared" si="8"/>
        <v>45747</v>
      </c>
      <c r="Y193" s="10">
        <f t="shared" si="9"/>
        <v>45777</v>
      </c>
      <c r="Z193" t="b">
        <v>0</v>
      </c>
    </row>
    <row r="194" spans="1:26" x14ac:dyDescent="0.2">
      <c r="A194" s="3" t="s">
        <v>24</v>
      </c>
      <c r="B194" s="3" t="s">
        <v>209</v>
      </c>
      <c r="C194" s="3" t="s">
        <v>302</v>
      </c>
      <c r="D194" s="3" t="b">
        <v>1</v>
      </c>
      <c r="E194" s="3" t="b">
        <v>1</v>
      </c>
      <c r="F194" s="3">
        <f>IF(OR(Z194=TRUE,SUMIFS('Cashflow Projection'!$E$117:$E$149,'Cashflow Projection'!$D$117:$D$149,Sales!C194)=1),0,SUMIFS('Cashflow Projection'!$C$7:$C$23,'Cashflow Projection'!$B$7:$B$23,Sales!B194,'Cashflow Projection'!$A$7:$A$23,Sales!A194))</f>
        <v>1</v>
      </c>
      <c r="G194" s="4">
        <v>45007</v>
      </c>
      <c r="H194" s="4">
        <v>45688</v>
      </c>
      <c r="I194" s="3">
        <v>1424900</v>
      </c>
      <c r="J194" s="3">
        <v>185856.5217391304</v>
      </c>
      <c r="K194" s="3">
        <v>1239043.4782608701</v>
      </c>
      <c r="L194" s="3">
        <v>18502.080000000002</v>
      </c>
      <c r="M194" s="3">
        <v>1789</v>
      </c>
      <c r="N194" s="3">
        <v>7124.5</v>
      </c>
      <c r="O194" s="3">
        <v>71245</v>
      </c>
      <c r="P194" s="3">
        <v>19224.37</v>
      </c>
      <c r="Q194" s="3">
        <v>1307015.05</v>
      </c>
      <c r="R194" s="9">
        <f>IF($F194=1,((SUMIFS(Investors!$M:$M,Investors!$E:$E,Sales!$C194,Investors!$O:$O,FALSE)+SUMIFS(Investors!$S:$S,Investors!$E:$E,Sales!$C194,Investors!$O:$O,FALSE))*$F194)-SUMIFS('Investor Exit List'!$Q:$Q,'Investor Exit List'!$Y:$Y,1,'Investor Exit List'!$Z:$Z,"Release",'Investor Exit List'!$C:$C,Sales!$C194),(SUMIFS(Investors!$M:$M,Investors!$E:$E,Sales!$C194,Investors!$O:$O,FALSE)+SUMIFS(Investors!$S:$S,Investors!$E:$E,Sales!$C194,Investors!$O:$O,FALSE))*$F194)</f>
        <v>0</v>
      </c>
      <c r="S194" s="9">
        <f t="shared" si="7"/>
        <v>1307015.05</v>
      </c>
      <c r="T194" s="3" t="b">
        <v>0</v>
      </c>
      <c r="U194" s="4">
        <v>45747</v>
      </c>
      <c r="V194" s="9">
        <v>108893.1321917805</v>
      </c>
      <c r="W194" s="10">
        <f>IF(SUMIFS('Cashflow Projection'!$E$117:$E$149,'Cashflow Projection'!$D$117:$D$149,Sales!C194)=1,SUMIFS('Cashflow Projection'!$C$117:$C$149,'Cashflow Projection'!$D$117:$D$149,Sales!C194),+Sales!H194)</f>
        <v>45688</v>
      </c>
      <c r="X194" s="10">
        <f t="shared" si="8"/>
        <v>45747</v>
      </c>
      <c r="Y194" s="10">
        <f t="shared" si="9"/>
        <v>45777</v>
      </c>
      <c r="Z194" t="b">
        <v>0</v>
      </c>
    </row>
    <row r="195" spans="1:26" x14ac:dyDescent="0.2">
      <c r="A195" s="3" t="s">
        <v>24</v>
      </c>
      <c r="B195" s="3" t="s">
        <v>209</v>
      </c>
      <c r="C195" s="3" t="s">
        <v>928</v>
      </c>
      <c r="D195" s="3" t="b">
        <v>1</v>
      </c>
      <c r="E195" s="3" t="b">
        <v>1</v>
      </c>
      <c r="F195" s="3">
        <f>IF(OR(Z195=TRUE,SUMIFS('Cashflow Projection'!$E$117:$E$149,'Cashflow Projection'!$D$117:$D$149,Sales!C195)=1),0,SUMIFS('Cashflow Projection'!$C$7:$C$23,'Cashflow Projection'!$B$7:$B$23,Sales!B195,'Cashflow Projection'!$A$7:$A$23,Sales!A195))</f>
        <v>1</v>
      </c>
      <c r="G195" s="4">
        <v>45007</v>
      </c>
      <c r="H195" s="4">
        <v>45688</v>
      </c>
      <c r="I195" s="3">
        <v>1604900</v>
      </c>
      <c r="J195" s="3">
        <v>209334.78260869559</v>
      </c>
      <c r="K195" s="3">
        <v>1395565.217391304</v>
      </c>
      <c r="L195" s="3">
        <v>18502.080000000002</v>
      </c>
      <c r="M195" s="3">
        <v>1789</v>
      </c>
      <c r="N195" s="3">
        <v>8024.5</v>
      </c>
      <c r="O195" s="3">
        <v>80245</v>
      </c>
      <c r="P195" s="3">
        <v>19224.37</v>
      </c>
      <c r="Q195" s="3">
        <v>1477115.05</v>
      </c>
      <c r="R195" s="9">
        <f>IF($F195=1,((SUMIFS(Investors!$M:$M,Investors!$E:$E,Sales!$C195,Investors!$O:$O,FALSE)+SUMIFS(Investors!$S:$S,Investors!$E:$E,Sales!$C195,Investors!$O:$O,FALSE))*$F195)-SUMIFS('Investor Exit List'!$Q:$Q,'Investor Exit List'!$Y:$Y,1,'Investor Exit List'!$Z:$Z,"Release",'Investor Exit List'!$C:$C,Sales!$C195),(SUMIFS(Investors!$M:$M,Investors!$E:$E,Sales!$C195,Investors!$O:$O,FALSE)+SUMIFS(Investors!$S:$S,Investors!$E:$E,Sales!$C195,Investors!$O:$O,FALSE))*$F195)</f>
        <v>0</v>
      </c>
      <c r="S195" s="9">
        <f t="shared" si="7"/>
        <v>1477115.05</v>
      </c>
      <c r="T195" s="3" t="b">
        <v>0</v>
      </c>
      <c r="U195" s="4">
        <v>45747</v>
      </c>
      <c r="V195" s="9">
        <v>0</v>
      </c>
      <c r="W195" s="10">
        <f>IF(SUMIFS('Cashflow Projection'!$E$117:$E$149,'Cashflow Projection'!$D$117:$D$149,Sales!C195)=1,SUMIFS('Cashflow Projection'!$C$117:$C$149,'Cashflow Projection'!$D$117:$D$149,Sales!C195),+Sales!H195)</f>
        <v>45688</v>
      </c>
      <c r="X195" s="10">
        <f t="shared" si="8"/>
        <v>45747</v>
      </c>
      <c r="Y195" s="10">
        <f t="shared" si="9"/>
        <v>45777</v>
      </c>
      <c r="Z195" t="b">
        <v>0</v>
      </c>
    </row>
    <row r="196" spans="1:26" x14ac:dyDescent="0.2">
      <c r="A196" s="3" t="s">
        <v>386</v>
      </c>
      <c r="B196" s="3" t="s">
        <v>711</v>
      </c>
      <c r="C196" s="3" t="s">
        <v>724</v>
      </c>
      <c r="D196" s="3" t="b">
        <v>1</v>
      </c>
      <c r="E196" s="3" t="b">
        <v>0</v>
      </c>
      <c r="F196" s="3">
        <f>IF(OR(Z196=TRUE,SUMIFS('Cashflow Projection'!$E$117:$E$149,'Cashflow Projection'!$D$117:$D$149,Sales!C196)=1),0,SUMIFS('Cashflow Projection'!$C$7:$C$23,'Cashflow Projection'!$B$7:$B$23,Sales!B196,'Cashflow Projection'!$A$7:$A$23,Sales!A196))</f>
        <v>0</v>
      </c>
      <c r="G196" s="4">
        <v>45552</v>
      </c>
      <c r="H196" s="4">
        <v>45552</v>
      </c>
      <c r="I196" s="3">
        <v>1599900</v>
      </c>
      <c r="J196" s="3">
        <v>208682.60869565219</v>
      </c>
      <c r="K196" s="3">
        <v>1391217.3913043479</v>
      </c>
      <c r="L196" s="3">
        <v>18502.080000000002</v>
      </c>
      <c r="M196" s="3">
        <v>1789</v>
      </c>
      <c r="N196" s="3">
        <v>7999.5</v>
      </c>
      <c r="O196" s="3">
        <v>79995</v>
      </c>
      <c r="P196" s="3">
        <v>19224.37</v>
      </c>
      <c r="Q196" s="3">
        <v>1472390.05</v>
      </c>
      <c r="R196" s="9">
        <f>IF($F196=1,((SUMIFS(Investors!$M:$M,Investors!$E:$E,Sales!$C196,Investors!$O:$O,FALSE)+SUMIFS(Investors!$S:$S,Investors!$E:$E,Sales!$C196,Investors!$O:$O,FALSE))*$F196)-SUMIFS('Investor Exit List'!$Q:$Q,'Investor Exit List'!$Y:$Y,1,'Investor Exit List'!$Z:$Z,"Release",'Investor Exit List'!$C:$C,Sales!$C196),(SUMIFS(Investors!$M:$M,Investors!$E:$E,Sales!$C196,Investors!$O:$O,FALSE)+SUMIFS(Investors!$S:$S,Investors!$E:$E,Sales!$C196,Investors!$O:$O,FALSE))*$F196)</f>
        <v>0</v>
      </c>
      <c r="S196" s="9">
        <f t="shared" si="7"/>
        <v>1472390.05</v>
      </c>
      <c r="T196" s="3" t="b">
        <v>0</v>
      </c>
      <c r="U196" s="4">
        <v>45626</v>
      </c>
      <c r="V196" s="9">
        <v>120457.1732876711</v>
      </c>
      <c r="W196" s="10">
        <f>IF(SUMIFS('Cashflow Projection'!$E$117:$E$149,'Cashflow Projection'!$D$117:$D$149,Sales!C196)=1,SUMIFS('Cashflow Projection'!$C$117:$C$149,'Cashflow Projection'!$D$117:$D$149,Sales!C196),+Sales!H196)</f>
        <v>45552</v>
      </c>
      <c r="X196" s="10">
        <f t="shared" si="8"/>
        <v>45626</v>
      </c>
      <c r="Y196" s="10">
        <f t="shared" si="9"/>
        <v>45657</v>
      </c>
      <c r="Z196" t="b">
        <v>0</v>
      </c>
    </row>
    <row r="197" spans="1:26" x14ac:dyDescent="0.2">
      <c r="A197" s="3" t="s">
        <v>386</v>
      </c>
      <c r="B197" s="3" t="s">
        <v>854</v>
      </c>
      <c r="C197" s="3" t="s">
        <v>886</v>
      </c>
      <c r="D197" s="3" t="b">
        <v>0</v>
      </c>
      <c r="E197" s="3" t="b">
        <v>0</v>
      </c>
      <c r="F197" s="3">
        <f>IF(OR(Z197=TRUE,SUMIFS('Cashflow Projection'!$E$117:$E$149,'Cashflow Projection'!$D$117:$D$149,Sales!C197)=1),0,SUMIFS('Cashflow Projection'!$C$7:$C$23,'Cashflow Projection'!$B$7:$B$23,Sales!B197,'Cashflow Projection'!$A$7:$A$23,Sales!A197))</f>
        <v>0</v>
      </c>
      <c r="G197" s="4">
        <v>45518</v>
      </c>
      <c r="H197" s="4">
        <v>45518</v>
      </c>
      <c r="I197" s="3">
        <v>1759900</v>
      </c>
      <c r="J197" s="3">
        <v>229552.17391304349</v>
      </c>
      <c r="K197" s="3">
        <v>1530347.826086957</v>
      </c>
      <c r="L197" s="3">
        <v>18502.080000000002</v>
      </c>
      <c r="M197" s="3">
        <v>1789</v>
      </c>
      <c r="N197" s="3">
        <v>8799.5</v>
      </c>
      <c r="O197" s="3">
        <v>87995</v>
      </c>
      <c r="P197" s="3">
        <v>19224.37</v>
      </c>
      <c r="Q197" s="3">
        <v>1623590.05</v>
      </c>
      <c r="R197" s="9">
        <f>IF($F197=1,((SUMIFS(Investors!$M:$M,Investors!$E:$E,Sales!$C197,Investors!$O:$O,FALSE)+SUMIFS(Investors!$S:$S,Investors!$E:$E,Sales!$C197,Investors!$O:$O,FALSE))*$F197)-SUMIFS('Investor Exit List'!$Q:$Q,'Investor Exit List'!$Y:$Y,1,'Investor Exit List'!$Z:$Z,"Release",'Investor Exit List'!$C:$C,Sales!$C197),(SUMIFS(Investors!$M:$M,Investors!$E:$E,Sales!$C197,Investors!$O:$O,FALSE)+SUMIFS(Investors!$S:$S,Investors!$E:$E,Sales!$C197,Investors!$O:$O,FALSE))*$F197)</f>
        <v>0</v>
      </c>
      <c r="S197" s="9">
        <f t="shared" ref="S197:S260" si="10">IF(T197=FALSE,Q197-R197,+V197)</f>
        <v>1623590.05</v>
      </c>
      <c r="T197" s="3" t="b">
        <v>0</v>
      </c>
      <c r="U197" s="4">
        <v>45565</v>
      </c>
      <c r="V197" s="9">
        <v>273647.83715178072</v>
      </c>
      <c r="W197" s="10">
        <f>IF(SUMIFS('Cashflow Projection'!$E$117:$E$149,'Cashflow Projection'!$D$117:$D$149,Sales!C197)=1,SUMIFS('Cashflow Projection'!$C$117:$C$149,'Cashflow Projection'!$D$117:$D$149,Sales!C197),+Sales!H197)</f>
        <v>45518</v>
      </c>
      <c r="X197" s="10">
        <f t="shared" ref="X197:X260" si="11">IF(MOD(MONTH(W197), 2) &lt;&gt; 0, EOMONTH(W197, 2), EOMONTH(W197, 1))</f>
        <v>45565</v>
      </c>
      <c r="Y197" s="10">
        <f t="shared" ref="Y197:Y260" si="12">EOMONTH(X197,1)</f>
        <v>45596</v>
      </c>
      <c r="Z197" t="b">
        <v>0</v>
      </c>
    </row>
    <row r="198" spans="1:26" x14ac:dyDescent="0.2">
      <c r="A198" s="3" t="s">
        <v>386</v>
      </c>
      <c r="B198" s="3" t="s">
        <v>684</v>
      </c>
      <c r="C198" s="3" t="s">
        <v>708</v>
      </c>
      <c r="D198" s="3" t="b">
        <v>0</v>
      </c>
      <c r="E198" s="3" t="b">
        <v>0</v>
      </c>
      <c r="F198" s="3">
        <f>IF(OR(Z198=TRUE,SUMIFS('Cashflow Projection'!$E$117:$E$149,'Cashflow Projection'!$D$117:$D$149,Sales!C198)=1),0,SUMIFS('Cashflow Projection'!$C$7:$C$23,'Cashflow Projection'!$B$7:$B$23,Sales!B198,'Cashflow Projection'!$A$7:$A$23,Sales!A198))</f>
        <v>0</v>
      </c>
      <c r="G198" s="4">
        <v>45491</v>
      </c>
      <c r="H198" s="4">
        <v>45596</v>
      </c>
      <c r="I198" s="3">
        <v>1549900</v>
      </c>
      <c r="J198" s="3">
        <v>202160.86956521741</v>
      </c>
      <c r="K198" s="3">
        <v>1347739.1304347829</v>
      </c>
      <c r="L198" s="3">
        <v>18502.080000000002</v>
      </c>
      <c r="M198" s="3">
        <v>1789</v>
      </c>
      <c r="N198" s="3">
        <v>7749.5</v>
      </c>
      <c r="O198" s="3">
        <v>77495</v>
      </c>
      <c r="P198" s="3">
        <v>19224.37</v>
      </c>
      <c r="Q198" s="3">
        <v>1425140.05</v>
      </c>
      <c r="R198" s="9">
        <f>IF($F198=1,((SUMIFS(Investors!$M:$M,Investors!$E:$E,Sales!$C198,Investors!$O:$O,FALSE)+SUMIFS(Investors!$S:$S,Investors!$E:$E,Sales!$C198,Investors!$O:$O,FALSE))*$F198)-SUMIFS('Investor Exit List'!$Q:$Q,'Investor Exit List'!$Y:$Y,1,'Investor Exit List'!$Z:$Z,"Release",'Investor Exit List'!$C:$C,Sales!$C198),(SUMIFS(Investors!$M:$M,Investors!$E:$E,Sales!$C198,Investors!$O:$O,FALSE)+SUMIFS(Investors!$S:$S,Investors!$E:$E,Sales!$C198,Investors!$O:$O,FALSE))*$F198)</f>
        <v>0</v>
      </c>
      <c r="S198" s="9">
        <f t="shared" si="10"/>
        <v>1425140.05</v>
      </c>
      <c r="T198" s="3" t="b">
        <v>0</v>
      </c>
      <c r="U198" s="4">
        <v>45626</v>
      </c>
      <c r="V198" s="9">
        <v>145583.8856164382</v>
      </c>
      <c r="W198" s="10">
        <f>IF(SUMIFS('Cashflow Projection'!$E$117:$E$149,'Cashflow Projection'!$D$117:$D$149,Sales!C198)=1,SUMIFS('Cashflow Projection'!$C$117:$C$149,'Cashflow Projection'!$D$117:$D$149,Sales!C198),+Sales!H198)</f>
        <v>45596</v>
      </c>
      <c r="X198" s="10">
        <f t="shared" si="11"/>
        <v>45626</v>
      </c>
      <c r="Y198" s="10">
        <f t="shared" si="12"/>
        <v>45657</v>
      </c>
      <c r="Z198" t="b">
        <v>0</v>
      </c>
    </row>
    <row r="199" spans="1:26" x14ac:dyDescent="0.2">
      <c r="A199" s="3" t="s">
        <v>386</v>
      </c>
      <c r="B199" s="3" t="s">
        <v>790</v>
      </c>
      <c r="C199" s="3" t="s">
        <v>809</v>
      </c>
      <c r="D199" s="3" t="b">
        <v>0</v>
      </c>
      <c r="E199" s="3" t="b">
        <v>0</v>
      </c>
      <c r="F199" s="3">
        <f>IF(OR(Z199=TRUE,SUMIFS('Cashflow Projection'!$E$117:$E$149,'Cashflow Projection'!$D$117:$D$149,Sales!C199)=1),0,SUMIFS('Cashflow Projection'!$C$7:$C$23,'Cashflow Projection'!$B$7:$B$23,Sales!B199,'Cashflow Projection'!$A$7:$A$23,Sales!A199))</f>
        <v>0</v>
      </c>
      <c r="G199" s="4">
        <v>45499</v>
      </c>
      <c r="H199" s="4">
        <v>45716</v>
      </c>
      <c r="I199" s="3">
        <v>1499900</v>
      </c>
      <c r="J199" s="3">
        <v>195639.13043478259</v>
      </c>
      <c r="K199" s="3">
        <v>1304260.869565218</v>
      </c>
      <c r="L199" s="3">
        <v>18502.080000000002</v>
      </c>
      <c r="M199" s="3">
        <v>1789</v>
      </c>
      <c r="N199" s="3">
        <v>7499.5</v>
      </c>
      <c r="O199" s="3">
        <v>74995</v>
      </c>
      <c r="P199" s="3">
        <v>19224.37</v>
      </c>
      <c r="Q199" s="3">
        <v>1377890.05</v>
      </c>
      <c r="R199" s="9">
        <f>IF($F199=1,((SUMIFS(Investors!$M:$M,Investors!$E:$E,Sales!$C199,Investors!$O:$O,FALSE)+SUMIFS(Investors!$S:$S,Investors!$E:$E,Sales!$C199,Investors!$O:$O,FALSE))*$F199)-SUMIFS('Investor Exit List'!$Q:$Q,'Investor Exit List'!$Y:$Y,1,'Investor Exit List'!$Z:$Z,"Release",'Investor Exit List'!$C:$C,Sales!$C199),(SUMIFS(Investors!$M:$M,Investors!$E:$E,Sales!$C199,Investors!$O:$O,FALSE)+SUMIFS(Investors!$S:$S,Investors!$E:$E,Sales!$C199,Investors!$O:$O,FALSE))*$F199)</f>
        <v>0</v>
      </c>
      <c r="S199" s="9">
        <f t="shared" si="10"/>
        <v>1377890.05</v>
      </c>
      <c r="T199" s="3" t="b">
        <v>0</v>
      </c>
      <c r="U199" s="4">
        <v>45747</v>
      </c>
      <c r="V199" s="9">
        <v>57158.067174794392</v>
      </c>
      <c r="W199" s="10">
        <f>IF(SUMIFS('Cashflow Projection'!$E$117:$E$149,'Cashflow Projection'!$D$117:$D$149,Sales!C199)=1,SUMIFS('Cashflow Projection'!$C$117:$C$149,'Cashflow Projection'!$D$117:$D$149,Sales!C199),+Sales!H199)</f>
        <v>45716</v>
      </c>
      <c r="X199" s="10">
        <f t="shared" si="11"/>
        <v>45747</v>
      </c>
      <c r="Y199" s="10">
        <f t="shared" si="12"/>
        <v>45777</v>
      </c>
      <c r="Z199" t="b">
        <v>0</v>
      </c>
    </row>
    <row r="200" spans="1:26" x14ac:dyDescent="0.2">
      <c r="A200" s="3" t="s">
        <v>386</v>
      </c>
      <c r="B200" s="3" t="s">
        <v>675</v>
      </c>
      <c r="C200" s="3" t="s">
        <v>679</v>
      </c>
      <c r="D200" s="3" t="b">
        <v>1</v>
      </c>
      <c r="E200" s="3" t="b">
        <v>0</v>
      </c>
      <c r="F200" s="3">
        <f>IF(OR(Z200=TRUE,SUMIFS('Cashflow Projection'!$E$117:$E$149,'Cashflow Projection'!$D$117:$D$149,Sales!C200)=1),0,SUMIFS('Cashflow Projection'!$C$7:$C$23,'Cashflow Projection'!$B$7:$B$23,Sales!B200,'Cashflow Projection'!$A$7:$A$23,Sales!A200))</f>
        <v>1</v>
      </c>
      <c r="G200" s="4">
        <v>45490</v>
      </c>
      <c r="H200" s="4">
        <v>45490</v>
      </c>
      <c r="I200" s="3">
        <v>1707999</v>
      </c>
      <c r="J200" s="3">
        <v>222782.4782608696</v>
      </c>
      <c r="K200" s="3">
        <v>1485216.5217391311</v>
      </c>
      <c r="L200" s="3">
        <v>18502.080000000002</v>
      </c>
      <c r="M200" s="3">
        <v>1789</v>
      </c>
      <c r="N200" s="3">
        <v>8539.9950000000008</v>
      </c>
      <c r="O200" s="3">
        <v>85399.950000000012</v>
      </c>
      <c r="P200" s="3">
        <v>19224.37</v>
      </c>
      <c r="Q200" s="3">
        <v>1574543.605</v>
      </c>
      <c r="R200" s="9">
        <f>IF($F200=1,((SUMIFS(Investors!$M:$M,Investors!$E:$E,Sales!$C200,Investors!$O:$O,FALSE)+SUMIFS(Investors!$S:$S,Investors!$E:$E,Sales!$C200,Investors!$O:$O,FALSE))*$F200)-SUMIFS('Investor Exit List'!$Q:$Q,'Investor Exit List'!$Y:$Y,1,'Investor Exit List'!$Z:$Z,"Release",'Investor Exit List'!$C:$C,Sales!$C200),(SUMIFS(Investors!$M:$M,Investors!$E:$E,Sales!$C200,Investors!$O:$O,FALSE)+SUMIFS(Investors!$S:$S,Investors!$E:$E,Sales!$C200,Investors!$O:$O,FALSE))*$F200)</f>
        <v>1226967.1232876712</v>
      </c>
      <c r="S200" s="9">
        <f t="shared" si="10"/>
        <v>347576.48171232874</v>
      </c>
      <c r="T200" s="3" t="b">
        <v>0</v>
      </c>
      <c r="U200" s="4">
        <v>45565</v>
      </c>
      <c r="V200" s="9">
        <v>347576.4817123285</v>
      </c>
      <c r="W200" s="10">
        <f>IF(SUMIFS('Cashflow Projection'!$E$117:$E$149,'Cashflow Projection'!$D$117:$D$149,Sales!C200)=1,SUMIFS('Cashflow Projection'!$C$117:$C$149,'Cashflow Projection'!$D$117:$D$149,Sales!C200),+Sales!H200)</f>
        <v>45490</v>
      </c>
      <c r="X200" s="10">
        <f t="shared" si="11"/>
        <v>45565</v>
      </c>
      <c r="Y200" s="10">
        <f t="shared" si="12"/>
        <v>45596</v>
      </c>
      <c r="Z200" t="b">
        <v>0</v>
      </c>
    </row>
    <row r="201" spans="1:26" x14ac:dyDescent="0.2">
      <c r="A201" s="3" t="s">
        <v>386</v>
      </c>
      <c r="B201" s="3" t="s">
        <v>854</v>
      </c>
      <c r="C201" s="3" t="s">
        <v>860</v>
      </c>
      <c r="D201" s="3" t="b">
        <v>1</v>
      </c>
      <c r="E201" s="3" t="b">
        <v>0</v>
      </c>
      <c r="F201" s="3">
        <f>IF(OR(Z201=TRUE,SUMIFS('Cashflow Projection'!$E$117:$E$149,'Cashflow Projection'!$D$117:$D$149,Sales!C201)=1),0,SUMIFS('Cashflow Projection'!$C$7:$C$23,'Cashflow Projection'!$B$7:$B$23,Sales!B201,'Cashflow Projection'!$A$7:$A$23,Sales!A201))</f>
        <v>0</v>
      </c>
      <c r="G201" s="4">
        <v>45518</v>
      </c>
      <c r="H201" s="4">
        <v>45518</v>
      </c>
      <c r="I201" s="3">
        <v>1659900</v>
      </c>
      <c r="J201" s="3">
        <v>216508.69565217389</v>
      </c>
      <c r="K201" s="3">
        <v>1443391.3043478259</v>
      </c>
      <c r="L201" s="3">
        <v>18502.080000000002</v>
      </c>
      <c r="M201" s="3">
        <v>1789</v>
      </c>
      <c r="N201" s="3">
        <v>8299.5</v>
      </c>
      <c r="O201" s="3">
        <v>82995</v>
      </c>
      <c r="P201" s="3">
        <v>19224.37</v>
      </c>
      <c r="Q201" s="3">
        <v>1529090.05</v>
      </c>
      <c r="R201" s="9">
        <f>IF($F201=1,((SUMIFS(Investors!$M:$M,Investors!$E:$E,Sales!$C201,Investors!$O:$O,FALSE)+SUMIFS(Investors!$S:$S,Investors!$E:$E,Sales!$C201,Investors!$O:$O,FALSE))*$F201)-SUMIFS('Investor Exit List'!$Q:$Q,'Investor Exit List'!$Y:$Y,1,'Investor Exit List'!$Z:$Z,"Release",'Investor Exit List'!$C:$C,Sales!$C201),(SUMIFS(Investors!$M:$M,Investors!$E:$E,Sales!$C201,Investors!$O:$O,FALSE)+SUMIFS(Investors!$S:$S,Investors!$E:$E,Sales!$C201,Investors!$O:$O,FALSE))*$F201)</f>
        <v>0</v>
      </c>
      <c r="S201" s="9">
        <f t="shared" si="10"/>
        <v>1529090.05</v>
      </c>
      <c r="T201" s="3" t="b">
        <v>0</v>
      </c>
      <c r="U201" s="4">
        <v>45565</v>
      </c>
      <c r="V201" s="9">
        <v>115943.5092847943</v>
      </c>
      <c r="W201" s="10">
        <f>IF(SUMIFS('Cashflow Projection'!$E$117:$E$149,'Cashflow Projection'!$D$117:$D$149,Sales!C201)=1,SUMIFS('Cashflow Projection'!$C$117:$C$149,'Cashflow Projection'!$D$117:$D$149,Sales!C201),+Sales!H201)</f>
        <v>45518</v>
      </c>
      <c r="X201" s="10">
        <f t="shared" si="11"/>
        <v>45565</v>
      </c>
      <c r="Y201" s="10">
        <f t="shared" si="12"/>
        <v>45596</v>
      </c>
      <c r="Z201" t="b">
        <v>0</v>
      </c>
    </row>
    <row r="202" spans="1:26" x14ac:dyDescent="0.2">
      <c r="A202" s="3" t="s">
        <v>24</v>
      </c>
      <c r="B202" s="3" t="s">
        <v>26</v>
      </c>
      <c r="C202" s="3" t="s">
        <v>33</v>
      </c>
      <c r="D202" s="3" t="b">
        <v>1</v>
      </c>
      <c r="E202" s="3" t="b">
        <v>1</v>
      </c>
      <c r="F202" s="3">
        <f>IF(OR(Z202=TRUE,SUMIFS('Cashflow Projection'!$E$117:$E$149,'Cashflow Projection'!$D$117:$D$149,Sales!C202)=1),0,SUMIFS('Cashflow Projection'!$C$7:$C$23,'Cashflow Projection'!$B$7:$B$23,Sales!B202,'Cashflow Projection'!$A$7:$A$23,Sales!A202))</f>
        <v>0</v>
      </c>
      <c r="G202" s="4">
        <v>44887</v>
      </c>
      <c r="H202" s="4">
        <v>45688</v>
      </c>
      <c r="I202" s="3">
        <v>1499900</v>
      </c>
      <c r="J202" s="3">
        <v>195639.13043478259</v>
      </c>
      <c r="K202" s="3">
        <v>1304260.869565218</v>
      </c>
      <c r="L202" s="3">
        <v>18502.080000000002</v>
      </c>
      <c r="M202" s="3">
        <v>1789</v>
      </c>
      <c r="N202" s="3">
        <v>7499.5</v>
      </c>
      <c r="O202" s="3">
        <v>74995</v>
      </c>
      <c r="P202" s="3">
        <v>19224.37</v>
      </c>
      <c r="Q202" s="3">
        <v>1377890.05</v>
      </c>
      <c r="R202" s="9">
        <f>IF($F202=1,((SUMIFS(Investors!$M:$M,Investors!$E:$E,Sales!$C202,Investors!$O:$O,FALSE)+SUMIFS(Investors!$S:$S,Investors!$E:$E,Sales!$C202,Investors!$O:$O,FALSE))*$F202)-SUMIFS('Investor Exit List'!$Q:$Q,'Investor Exit List'!$Y:$Y,1,'Investor Exit List'!$Z:$Z,"Release",'Investor Exit List'!$C:$C,Sales!$C202),(SUMIFS(Investors!$M:$M,Investors!$E:$E,Sales!$C202,Investors!$O:$O,FALSE)+SUMIFS(Investors!$S:$S,Investors!$E:$E,Sales!$C202,Investors!$O:$O,FALSE))*$F202)</f>
        <v>0</v>
      </c>
      <c r="S202" s="9">
        <f t="shared" si="10"/>
        <v>1377890.05</v>
      </c>
      <c r="T202" s="3" t="b">
        <v>0</v>
      </c>
      <c r="U202" s="4">
        <v>45747</v>
      </c>
      <c r="V202" s="9">
        <v>210694.84452054789</v>
      </c>
      <c r="W202" s="10">
        <f>IF(SUMIFS('Cashflow Projection'!$E$117:$E$149,'Cashflow Projection'!$D$117:$D$149,Sales!C202)=1,SUMIFS('Cashflow Projection'!$C$117:$C$149,'Cashflow Projection'!$D$117:$D$149,Sales!C202),+Sales!H202)</f>
        <v>45688</v>
      </c>
      <c r="X202" s="10">
        <f t="shared" si="11"/>
        <v>45747</v>
      </c>
      <c r="Y202" s="10">
        <f t="shared" si="12"/>
        <v>45777</v>
      </c>
      <c r="Z202" t="b">
        <v>0</v>
      </c>
    </row>
    <row r="203" spans="1:26" x14ac:dyDescent="0.2">
      <c r="A203" s="3" t="s">
        <v>24</v>
      </c>
      <c r="B203" s="3" t="s">
        <v>209</v>
      </c>
      <c r="C203" s="3" t="s">
        <v>239</v>
      </c>
      <c r="D203" s="3" t="b">
        <v>1</v>
      </c>
      <c r="E203" s="3" t="b">
        <v>1</v>
      </c>
      <c r="F203" s="3">
        <f>IF(OR(Z203=TRUE,SUMIFS('Cashflow Projection'!$E$117:$E$149,'Cashflow Projection'!$D$117:$D$149,Sales!C203)=1),0,SUMIFS('Cashflow Projection'!$C$7:$C$23,'Cashflow Projection'!$B$7:$B$23,Sales!B203,'Cashflow Projection'!$A$7:$A$23,Sales!A203))</f>
        <v>1</v>
      </c>
      <c r="G203" s="4">
        <v>44992</v>
      </c>
      <c r="H203" s="4">
        <v>45688</v>
      </c>
      <c r="I203" s="3">
        <v>1649900</v>
      </c>
      <c r="J203" s="3">
        <v>215204.34782608689</v>
      </c>
      <c r="K203" s="3">
        <v>1434695.6521739131</v>
      </c>
      <c r="L203" s="3">
        <v>18502.080000000002</v>
      </c>
      <c r="M203" s="3">
        <v>1789</v>
      </c>
      <c r="N203" s="3">
        <v>8249.5</v>
      </c>
      <c r="O203" s="3">
        <v>82495</v>
      </c>
      <c r="P203" s="3">
        <v>19224.37</v>
      </c>
      <c r="Q203" s="3">
        <v>1519640.05</v>
      </c>
      <c r="R203" s="9">
        <f>IF($F203=1,((SUMIFS(Investors!$M:$M,Investors!$E:$E,Sales!$C203,Investors!$O:$O,FALSE)+SUMIFS(Investors!$S:$S,Investors!$E:$E,Sales!$C203,Investors!$O:$O,FALSE))*$F203)-SUMIFS('Investor Exit List'!$Q:$Q,'Investor Exit List'!$Y:$Y,1,'Investor Exit List'!$Z:$Z,"Release",'Investor Exit List'!$C:$C,Sales!$C203),(SUMIFS(Investors!$M:$M,Investors!$E:$E,Sales!$C203,Investors!$O:$O,FALSE)+SUMIFS(Investors!$S:$S,Investors!$E:$E,Sales!$C203,Investors!$O:$O,FALSE))*$F203)</f>
        <v>191481.16438356164</v>
      </c>
      <c r="S203" s="9">
        <f t="shared" si="10"/>
        <v>1328158.8856164385</v>
      </c>
      <c r="T203" s="3" t="b">
        <v>0</v>
      </c>
      <c r="U203" s="4">
        <v>45747</v>
      </c>
      <c r="V203" s="9">
        <v>360381.48734424642</v>
      </c>
      <c r="W203" s="10">
        <f>IF(SUMIFS('Cashflow Projection'!$E$117:$E$149,'Cashflow Projection'!$D$117:$D$149,Sales!C203)=1,SUMIFS('Cashflow Projection'!$C$117:$C$149,'Cashflow Projection'!$D$117:$D$149,Sales!C203),+Sales!H203)</f>
        <v>45688</v>
      </c>
      <c r="X203" s="10">
        <f t="shared" si="11"/>
        <v>45747</v>
      </c>
      <c r="Y203" s="10">
        <f t="shared" si="12"/>
        <v>45777</v>
      </c>
      <c r="Z203" t="b">
        <v>0</v>
      </c>
    </row>
    <row r="204" spans="1:26" x14ac:dyDescent="0.2">
      <c r="A204" s="3" t="s">
        <v>24</v>
      </c>
      <c r="B204" s="3" t="s">
        <v>26</v>
      </c>
      <c r="C204" s="3" t="s">
        <v>191</v>
      </c>
      <c r="D204" s="3" t="b">
        <v>1</v>
      </c>
      <c r="E204" s="3" t="b">
        <v>1</v>
      </c>
      <c r="F204" s="3">
        <f>IF(OR(Z204=TRUE,SUMIFS('Cashflow Projection'!$E$117:$E$149,'Cashflow Projection'!$D$117:$D$149,Sales!C204)=1),0,SUMIFS('Cashflow Projection'!$C$7:$C$23,'Cashflow Projection'!$B$7:$B$23,Sales!B204,'Cashflow Projection'!$A$7:$A$23,Sales!A204))</f>
        <v>0</v>
      </c>
      <c r="G204" s="4">
        <v>44942</v>
      </c>
      <c r="H204" s="4">
        <v>45688</v>
      </c>
      <c r="I204" s="3">
        <v>1379900</v>
      </c>
      <c r="J204" s="3">
        <v>179986.95652173911</v>
      </c>
      <c r="K204" s="3">
        <v>1199913.043478261</v>
      </c>
      <c r="L204" s="3">
        <v>18502.080000000002</v>
      </c>
      <c r="M204" s="3">
        <v>1789</v>
      </c>
      <c r="N204" s="3">
        <v>6899.5</v>
      </c>
      <c r="O204" s="3">
        <v>68995</v>
      </c>
      <c r="P204" s="3">
        <v>19224.37</v>
      </c>
      <c r="Q204" s="3">
        <v>1264490.05</v>
      </c>
      <c r="R204" s="9">
        <f>IF($F204=1,((SUMIFS(Investors!$M:$M,Investors!$E:$E,Sales!$C204,Investors!$O:$O,FALSE)+SUMIFS(Investors!$S:$S,Investors!$E:$E,Sales!$C204,Investors!$O:$O,FALSE))*$F204)-SUMIFS('Investor Exit List'!$Q:$Q,'Investor Exit List'!$Y:$Y,1,'Investor Exit List'!$Z:$Z,"Release",'Investor Exit List'!$C:$C,Sales!$C204),(SUMIFS(Investors!$M:$M,Investors!$E:$E,Sales!$C204,Investors!$O:$O,FALSE)+SUMIFS(Investors!$S:$S,Investors!$E:$E,Sales!$C204,Investors!$O:$O,FALSE))*$F204)</f>
        <v>0</v>
      </c>
      <c r="S204" s="9">
        <f t="shared" si="10"/>
        <v>1264490.05</v>
      </c>
      <c r="T204" s="3" t="b">
        <v>0</v>
      </c>
      <c r="U204" s="4">
        <v>45747</v>
      </c>
      <c r="V204" s="9">
        <v>397609.31643835589</v>
      </c>
      <c r="W204" s="10">
        <f>IF(SUMIFS('Cashflow Projection'!$E$117:$E$149,'Cashflow Projection'!$D$117:$D$149,Sales!C204)=1,SUMIFS('Cashflow Projection'!$C$117:$C$149,'Cashflow Projection'!$D$117:$D$149,Sales!C204),+Sales!H204)</f>
        <v>45688</v>
      </c>
      <c r="X204" s="10">
        <f t="shared" si="11"/>
        <v>45747</v>
      </c>
      <c r="Y204" s="10">
        <f t="shared" si="12"/>
        <v>45777</v>
      </c>
      <c r="Z204" t="b">
        <v>0</v>
      </c>
    </row>
    <row r="205" spans="1:26" x14ac:dyDescent="0.2">
      <c r="A205" s="3" t="s">
        <v>24</v>
      </c>
      <c r="B205" s="3" t="s">
        <v>209</v>
      </c>
      <c r="C205" s="3" t="s">
        <v>226</v>
      </c>
      <c r="D205" s="3" t="b">
        <v>1</v>
      </c>
      <c r="E205" s="3" t="b">
        <v>1</v>
      </c>
      <c r="F205" s="3">
        <f>IF(OR(Z205=TRUE,SUMIFS('Cashflow Projection'!$E$117:$E$149,'Cashflow Projection'!$D$117:$D$149,Sales!C205)=1),0,SUMIFS('Cashflow Projection'!$C$7:$C$23,'Cashflow Projection'!$B$7:$B$23,Sales!B205,'Cashflow Projection'!$A$7:$A$23,Sales!A205))</f>
        <v>1</v>
      </c>
      <c r="G205" s="4">
        <v>44887</v>
      </c>
      <c r="H205" s="4">
        <v>45688</v>
      </c>
      <c r="I205" s="3">
        <v>1514900</v>
      </c>
      <c r="J205" s="3">
        <v>197595.65217391311</v>
      </c>
      <c r="K205" s="3">
        <v>1317304.3478260869</v>
      </c>
      <c r="L205" s="3">
        <v>18502.080000000002</v>
      </c>
      <c r="M205" s="3">
        <v>1789</v>
      </c>
      <c r="N205" s="3">
        <v>7574.5</v>
      </c>
      <c r="O205" s="3">
        <v>75745</v>
      </c>
      <c r="P205" s="3">
        <v>19224.37</v>
      </c>
      <c r="Q205" s="3">
        <v>1392065.05</v>
      </c>
      <c r="R205" s="9">
        <f>IF($F205=1,((SUMIFS(Investors!$M:$M,Investors!$E:$E,Sales!$C205,Investors!$O:$O,FALSE)+SUMIFS(Investors!$S:$S,Investors!$E:$E,Sales!$C205,Investors!$O:$O,FALSE))*$F205)-SUMIFS('Investor Exit List'!$Q:$Q,'Investor Exit List'!$Y:$Y,1,'Investor Exit List'!$Z:$Z,"Release",'Investor Exit List'!$C:$C,Sales!$C205),(SUMIFS(Investors!$M:$M,Investors!$E:$E,Sales!$C205,Investors!$O:$O,FALSE)+SUMIFS(Investors!$S:$S,Investors!$E:$E,Sales!$C205,Investors!$O:$O,FALSE))*$F205)</f>
        <v>1144936.3013698631</v>
      </c>
      <c r="S205" s="9">
        <f t="shared" si="10"/>
        <v>247128.74863013695</v>
      </c>
      <c r="T205" s="3" t="b">
        <v>0</v>
      </c>
      <c r="U205" s="4">
        <v>45747</v>
      </c>
      <c r="V205" s="9">
        <v>247128.74863013689</v>
      </c>
      <c r="W205" s="10">
        <f>IF(SUMIFS('Cashflow Projection'!$E$117:$E$149,'Cashflow Projection'!$D$117:$D$149,Sales!C205)=1,SUMIFS('Cashflow Projection'!$C$117:$C$149,'Cashflow Projection'!$D$117:$D$149,Sales!C205),+Sales!H205)</f>
        <v>45688</v>
      </c>
      <c r="X205" s="10">
        <f t="shared" si="11"/>
        <v>45747</v>
      </c>
      <c r="Y205" s="10">
        <f t="shared" si="12"/>
        <v>45777</v>
      </c>
      <c r="Z205" t="b">
        <v>0</v>
      </c>
    </row>
    <row r="206" spans="1:26" x14ac:dyDescent="0.2">
      <c r="A206" s="3" t="s">
        <v>24</v>
      </c>
      <c r="B206" s="3" t="s">
        <v>209</v>
      </c>
      <c r="C206" s="3" t="s">
        <v>256</v>
      </c>
      <c r="D206" s="3" t="b">
        <v>1</v>
      </c>
      <c r="E206" s="3" t="b">
        <v>1</v>
      </c>
      <c r="F206" s="3">
        <f>IF(OR(Z206=TRUE,SUMIFS('Cashflow Projection'!$E$117:$E$149,'Cashflow Projection'!$D$117:$D$149,Sales!C206)=1),0,SUMIFS('Cashflow Projection'!$C$7:$C$23,'Cashflow Projection'!$B$7:$B$23,Sales!B206,'Cashflow Projection'!$A$7:$A$23,Sales!A206))</f>
        <v>1</v>
      </c>
      <c r="G206" s="4">
        <v>45027</v>
      </c>
      <c r="H206" s="4">
        <v>45688</v>
      </c>
      <c r="I206" s="3">
        <v>1549900</v>
      </c>
      <c r="J206" s="3">
        <v>202160.86956521741</v>
      </c>
      <c r="K206" s="3">
        <v>1347739.1304347829</v>
      </c>
      <c r="L206" s="3">
        <v>18502.080000000002</v>
      </c>
      <c r="M206" s="3">
        <v>1789</v>
      </c>
      <c r="N206" s="3">
        <v>7749.5</v>
      </c>
      <c r="O206" s="3">
        <v>77495</v>
      </c>
      <c r="P206" s="3">
        <v>19224.37</v>
      </c>
      <c r="Q206" s="3">
        <v>1425140.05</v>
      </c>
      <c r="R206" s="9">
        <f>IF($F206=1,((SUMIFS(Investors!$M:$M,Investors!$E:$E,Sales!$C206,Investors!$O:$O,FALSE)+SUMIFS(Investors!$S:$S,Investors!$E:$E,Sales!$C206,Investors!$O:$O,FALSE))*$F206)-SUMIFS('Investor Exit List'!$Q:$Q,'Investor Exit List'!$Y:$Y,1,'Investor Exit List'!$Z:$Z,"Release",'Investor Exit List'!$C:$C,Sales!$C206),(SUMIFS(Investors!$M:$M,Investors!$E:$E,Sales!$C206,Investors!$O:$O,FALSE)+SUMIFS(Investors!$S:$S,Investors!$E:$E,Sales!$C206,Investors!$O:$O,FALSE))*$F206)</f>
        <v>564174.65753424657</v>
      </c>
      <c r="S206" s="9">
        <f t="shared" si="10"/>
        <v>860965.39246575348</v>
      </c>
      <c r="T206" s="3" t="b">
        <v>0</v>
      </c>
      <c r="U206" s="4">
        <v>45747</v>
      </c>
      <c r="V206" s="9">
        <v>201845.5294520545</v>
      </c>
      <c r="W206" s="10">
        <f>IF(SUMIFS('Cashflow Projection'!$E$117:$E$149,'Cashflow Projection'!$D$117:$D$149,Sales!C206)=1,SUMIFS('Cashflow Projection'!$C$117:$C$149,'Cashflow Projection'!$D$117:$D$149,Sales!C206),+Sales!H206)</f>
        <v>45688</v>
      </c>
      <c r="X206" s="10">
        <f t="shared" si="11"/>
        <v>45747</v>
      </c>
      <c r="Y206" s="10">
        <f t="shared" si="12"/>
        <v>45777</v>
      </c>
      <c r="Z206" t="b">
        <v>0</v>
      </c>
    </row>
    <row r="207" spans="1:26" x14ac:dyDescent="0.2">
      <c r="A207" s="3" t="s">
        <v>24</v>
      </c>
      <c r="B207" s="3" t="s">
        <v>209</v>
      </c>
      <c r="C207" s="3" t="s">
        <v>362</v>
      </c>
      <c r="D207" s="3" t="b">
        <v>1</v>
      </c>
      <c r="E207" s="3" t="b">
        <v>1</v>
      </c>
      <c r="F207" s="3">
        <f>IF(OR(Z207=TRUE,SUMIFS('Cashflow Projection'!$E$117:$E$149,'Cashflow Projection'!$D$117:$D$149,Sales!C207)=1),0,SUMIFS('Cashflow Projection'!$C$7:$C$23,'Cashflow Projection'!$B$7:$B$23,Sales!B207,'Cashflow Projection'!$A$7:$A$23,Sales!A207))</f>
        <v>1</v>
      </c>
      <c r="G207" s="4">
        <v>45054</v>
      </c>
      <c r="H207" s="4">
        <v>45688</v>
      </c>
      <c r="I207" s="3">
        <v>1399900</v>
      </c>
      <c r="J207" s="3">
        <v>182595.65217391311</v>
      </c>
      <c r="K207" s="3">
        <v>1217304.3478260869</v>
      </c>
      <c r="L207" s="3">
        <v>18502.080000000002</v>
      </c>
      <c r="M207" s="3">
        <v>1789</v>
      </c>
      <c r="N207" s="3">
        <v>6999.5</v>
      </c>
      <c r="O207" s="3">
        <v>69995</v>
      </c>
      <c r="P207" s="3">
        <v>19224.37</v>
      </c>
      <c r="Q207" s="3">
        <v>1283390.05</v>
      </c>
      <c r="R207" s="9">
        <f>IF($F207=1,((SUMIFS(Investors!$M:$M,Investors!$E:$E,Sales!$C207,Investors!$O:$O,FALSE)+SUMIFS(Investors!$S:$S,Investors!$E:$E,Sales!$C207,Investors!$O:$O,FALSE))*$F207)-SUMIFS('Investor Exit List'!$Q:$Q,'Investor Exit List'!$Y:$Y,1,'Investor Exit List'!$Z:$Z,"Release",'Investor Exit List'!$C:$C,Sales!$C207),(SUMIFS(Investors!$M:$M,Investors!$E:$E,Sales!$C207,Investors!$O:$O,FALSE)+SUMIFS(Investors!$S:$S,Investors!$E:$E,Sales!$C207,Investors!$O:$O,FALSE))*$F207)</f>
        <v>0</v>
      </c>
      <c r="S207" s="9">
        <f t="shared" si="10"/>
        <v>1283390.05</v>
      </c>
      <c r="T207" s="3" t="b">
        <v>0</v>
      </c>
      <c r="U207" s="4">
        <v>45747</v>
      </c>
      <c r="V207" s="9">
        <v>810420.18698630109</v>
      </c>
      <c r="W207" s="10">
        <f>IF(SUMIFS('Cashflow Projection'!$E$117:$E$149,'Cashflow Projection'!$D$117:$D$149,Sales!C207)=1,SUMIFS('Cashflow Projection'!$C$117:$C$149,'Cashflow Projection'!$D$117:$D$149,Sales!C207),+Sales!H207)</f>
        <v>45688</v>
      </c>
      <c r="X207" s="10">
        <f t="shared" si="11"/>
        <v>45747</v>
      </c>
      <c r="Y207" s="10">
        <f t="shared" si="12"/>
        <v>45777</v>
      </c>
      <c r="Z207" t="b">
        <v>0</v>
      </c>
    </row>
    <row r="208" spans="1:26" x14ac:dyDescent="0.2">
      <c r="A208" s="3" t="s">
        <v>24</v>
      </c>
      <c r="B208" s="3" t="s">
        <v>209</v>
      </c>
      <c r="C208" s="3" t="s">
        <v>274</v>
      </c>
      <c r="D208" s="3" t="b">
        <v>1</v>
      </c>
      <c r="E208" s="3" t="b">
        <v>1</v>
      </c>
      <c r="F208" s="3">
        <f>IF(OR(Z208=TRUE,SUMIFS('Cashflow Projection'!$E$117:$E$149,'Cashflow Projection'!$D$117:$D$149,Sales!C208)=1),0,SUMIFS('Cashflow Projection'!$C$7:$C$23,'Cashflow Projection'!$B$7:$B$23,Sales!B208,'Cashflow Projection'!$A$7:$A$23,Sales!A208))</f>
        <v>1</v>
      </c>
      <c r="G208" s="4">
        <v>45019</v>
      </c>
      <c r="H208" s="4">
        <v>45688</v>
      </c>
      <c r="I208" s="3">
        <v>1549900</v>
      </c>
      <c r="J208" s="3">
        <v>202160.86956521741</v>
      </c>
      <c r="K208" s="3">
        <v>1347739.1304347829</v>
      </c>
      <c r="L208" s="3">
        <v>18502.080000000002</v>
      </c>
      <c r="M208" s="3">
        <v>1789</v>
      </c>
      <c r="N208" s="3">
        <v>7749.5</v>
      </c>
      <c r="O208" s="3">
        <v>77495</v>
      </c>
      <c r="P208" s="3">
        <v>19224.37</v>
      </c>
      <c r="Q208" s="3">
        <v>1425140.05</v>
      </c>
      <c r="R208" s="9">
        <f>IF($F208=1,((SUMIFS(Investors!$M:$M,Investors!$E:$E,Sales!$C208,Investors!$O:$O,FALSE)+SUMIFS(Investors!$S:$S,Investors!$E:$E,Sales!$C208,Investors!$O:$O,FALSE))*$F208)-SUMIFS('Investor Exit List'!$Q:$Q,'Investor Exit List'!$Y:$Y,1,'Investor Exit List'!$Z:$Z,"Release",'Investor Exit List'!$C:$C,Sales!$C208),(SUMIFS(Investors!$M:$M,Investors!$E:$E,Sales!$C208,Investors!$O:$O,FALSE)+SUMIFS(Investors!$S:$S,Investors!$E:$E,Sales!$C208,Investors!$O:$O,FALSE))*$F208)</f>
        <v>1211295.2054794522</v>
      </c>
      <c r="S208" s="9">
        <f t="shared" si="10"/>
        <v>213844.84452054789</v>
      </c>
      <c r="T208" s="3" t="b">
        <v>0</v>
      </c>
      <c r="U208" s="4">
        <v>45747</v>
      </c>
      <c r="V208" s="9">
        <v>213844.84452054769</v>
      </c>
      <c r="W208" s="10">
        <f>IF(SUMIFS('Cashflow Projection'!$E$117:$E$149,'Cashflow Projection'!$D$117:$D$149,Sales!C208)=1,SUMIFS('Cashflow Projection'!$C$117:$C$149,'Cashflow Projection'!$D$117:$D$149,Sales!C208),+Sales!H208)</f>
        <v>45688</v>
      </c>
      <c r="X208" s="10">
        <f t="shared" si="11"/>
        <v>45747</v>
      </c>
      <c r="Y208" s="10">
        <f t="shared" si="12"/>
        <v>45777</v>
      </c>
      <c r="Z208" t="b">
        <v>0</v>
      </c>
    </row>
    <row r="209" spans="1:26" x14ac:dyDescent="0.2">
      <c r="A209" s="3" t="s">
        <v>386</v>
      </c>
      <c r="B209" s="3" t="s">
        <v>497</v>
      </c>
      <c r="C209" s="3" t="s">
        <v>549</v>
      </c>
      <c r="D209" s="3" t="b">
        <v>1</v>
      </c>
      <c r="E209" s="3" t="b">
        <v>1</v>
      </c>
      <c r="F209" s="3">
        <f>IF(OR(Z209=TRUE,SUMIFS('Cashflow Projection'!$E$117:$E$149,'Cashflow Projection'!$D$117:$D$149,Sales!C209)=1),0,SUMIFS('Cashflow Projection'!$C$7:$C$23,'Cashflow Projection'!$B$7:$B$23,Sales!B209,'Cashflow Projection'!$A$7:$A$23,Sales!A209))</f>
        <v>1</v>
      </c>
      <c r="G209" s="4">
        <v>45330</v>
      </c>
      <c r="H209" s="4">
        <v>45688</v>
      </c>
      <c r="I209" s="3">
        <v>1589900</v>
      </c>
      <c r="J209" s="3">
        <v>207378.26086956519</v>
      </c>
      <c r="K209" s="3">
        <v>1382521.739130435</v>
      </c>
      <c r="L209" s="3">
        <v>18502.080000000002</v>
      </c>
      <c r="M209" s="3">
        <v>1789</v>
      </c>
      <c r="N209" s="3">
        <v>7949.5</v>
      </c>
      <c r="O209" s="3">
        <v>79495</v>
      </c>
      <c r="P209" s="3">
        <v>19224.37</v>
      </c>
      <c r="Q209" s="3">
        <v>1462940.05</v>
      </c>
      <c r="R209" s="9">
        <f>IF($F209=1,((SUMIFS(Investors!$M:$M,Investors!$E:$E,Sales!$C209,Investors!$O:$O,FALSE)+SUMIFS(Investors!$S:$S,Investors!$E:$E,Sales!$C209,Investors!$O:$O,FALSE))*$F209)-SUMIFS('Investor Exit List'!$Q:$Q,'Investor Exit List'!$Y:$Y,1,'Investor Exit List'!$Z:$Z,"Release",'Investor Exit List'!$C:$C,Sales!$C209),(SUMIFS(Investors!$M:$M,Investors!$E:$E,Sales!$C209,Investors!$O:$O,FALSE)+SUMIFS(Investors!$S:$S,Investors!$E:$E,Sales!$C209,Investors!$O:$O,FALSE))*$F209)</f>
        <v>902327.63997821917</v>
      </c>
      <c r="S209" s="9">
        <f t="shared" si="10"/>
        <v>560612.41002178087</v>
      </c>
      <c r="T209" s="3" t="b">
        <v>0</v>
      </c>
      <c r="U209" s="4">
        <v>45747</v>
      </c>
      <c r="V209" s="9">
        <v>173085.71060342429</v>
      </c>
      <c r="W209" s="10">
        <f>IF(SUMIFS('Cashflow Projection'!$E$117:$E$149,'Cashflow Projection'!$D$117:$D$149,Sales!C209)=1,SUMIFS('Cashflow Projection'!$C$117:$C$149,'Cashflow Projection'!$D$117:$D$149,Sales!C209),+Sales!H209)</f>
        <v>45688</v>
      </c>
      <c r="X209" s="10">
        <f t="shared" si="11"/>
        <v>45747</v>
      </c>
      <c r="Y209" s="10">
        <f t="shared" si="12"/>
        <v>45777</v>
      </c>
      <c r="Z209" t="b">
        <v>0</v>
      </c>
    </row>
    <row r="210" spans="1:26" x14ac:dyDescent="0.2">
      <c r="A210" s="3" t="s">
        <v>386</v>
      </c>
      <c r="B210" s="3" t="s">
        <v>822</v>
      </c>
      <c r="C210" s="3" t="s">
        <v>838</v>
      </c>
      <c r="D210" s="3" t="b">
        <v>1</v>
      </c>
      <c r="E210" s="3" t="b">
        <v>1</v>
      </c>
      <c r="F210" s="3">
        <f>IF(OR(Z210=TRUE,SUMIFS('Cashflow Projection'!$E$117:$E$149,'Cashflow Projection'!$D$117:$D$149,Sales!C210)=1),0,SUMIFS('Cashflow Projection'!$C$7:$C$23,'Cashflow Projection'!$B$7:$B$23,Sales!B210,'Cashflow Projection'!$A$7:$A$23,Sales!A210))</f>
        <v>1</v>
      </c>
      <c r="G210" s="4">
        <v>45327</v>
      </c>
      <c r="H210" s="4">
        <v>45688</v>
      </c>
      <c r="I210" s="3">
        <v>1469900</v>
      </c>
      <c r="J210" s="3">
        <v>191726.0869565217</v>
      </c>
      <c r="K210" s="3">
        <v>1278173.913043478</v>
      </c>
      <c r="L210" s="3">
        <v>18502.080000000002</v>
      </c>
      <c r="M210" s="3">
        <v>1789</v>
      </c>
      <c r="N210" s="3">
        <v>7349.5</v>
      </c>
      <c r="O210" s="3">
        <v>73495</v>
      </c>
      <c r="P210" s="3">
        <v>19224.37</v>
      </c>
      <c r="Q210" s="3">
        <v>1349540.05</v>
      </c>
      <c r="R210" s="9">
        <f>IF($F210=1,((SUMIFS(Investors!$M:$M,Investors!$E:$E,Sales!$C210,Investors!$O:$O,FALSE)+SUMIFS(Investors!$S:$S,Investors!$E:$E,Sales!$C210,Investors!$O:$O,FALSE))*$F210)-SUMIFS('Investor Exit List'!$Q:$Q,'Investor Exit List'!$Y:$Y,1,'Investor Exit List'!$Z:$Z,"Release",'Investor Exit List'!$C:$C,Sales!$C210),(SUMIFS(Investors!$M:$M,Investors!$E:$E,Sales!$C210,Investors!$O:$O,FALSE)+SUMIFS(Investors!$S:$S,Investors!$E:$E,Sales!$C210,Investors!$O:$O,FALSE))*$F210)</f>
        <v>1283520.5479452056</v>
      </c>
      <c r="S210" s="9">
        <f t="shared" si="10"/>
        <v>66019.502054794459</v>
      </c>
      <c r="T210" s="3" t="b">
        <v>0</v>
      </c>
      <c r="U210" s="4">
        <v>45747</v>
      </c>
      <c r="V210" s="9">
        <v>66019.502054794226</v>
      </c>
      <c r="W210" s="10">
        <f>IF(SUMIFS('Cashflow Projection'!$E$117:$E$149,'Cashflow Projection'!$D$117:$D$149,Sales!C210)=1,SUMIFS('Cashflow Projection'!$C$117:$C$149,'Cashflow Projection'!$D$117:$D$149,Sales!C210),+Sales!H210)</f>
        <v>45688</v>
      </c>
      <c r="X210" s="10">
        <f t="shared" si="11"/>
        <v>45747</v>
      </c>
      <c r="Y210" s="10">
        <f t="shared" si="12"/>
        <v>45777</v>
      </c>
      <c r="Z210" t="b">
        <v>0</v>
      </c>
    </row>
    <row r="211" spans="1:26" x14ac:dyDescent="0.2">
      <c r="A211" s="3" t="s">
        <v>386</v>
      </c>
      <c r="B211" s="3" t="s">
        <v>711</v>
      </c>
      <c r="C211" s="3" t="s">
        <v>743</v>
      </c>
      <c r="D211" s="3" t="b">
        <v>0</v>
      </c>
      <c r="E211" s="3" t="b">
        <v>0</v>
      </c>
      <c r="F211" s="3">
        <f>IF(OR(Z211=TRUE,SUMIFS('Cashflow Projection'!$E$117:$E$149,'Cashflow Projection'!$D$117:$D$149,Sales!C211)=1),0,SUMIFS('Cashflow Projection'!$C$7:$C$23,'Cashflow Projection'!$B$7:$B$23,Sales!B211,'Cashflow Projection'!$A$7:$A$23,Sales!A211))</f>
        <v>0</v>
      </c>
      <c r="G211" s="4">
        <v>45552</v>
      </c>
      <c r="H211" s="4">
        <v>45552</v>
      </c>
      <c r="I211" s="3">
        <v>1699900</v>
      </c>
      <c r="J211" s="3">
        <v>221726.0869565217</v>
      </c>
      <c r="K211" s="3">
        <v>1478173.913043478</v>
      </c>
      <c r="L211" s="3">
        <v>18502.080000000002</v>
      </c>
      <c r="M211" s="3">
        <v>1789</v>
      </c>
      <c r="N211" s="3">
        <v>8499.5</v>
      </c>
      <c r="O211" s="3">
        <v>84995</v>
      </c>
      <c r="P211" s="3">
        <v>19224.37</v>
      </c>
      <c r="Q211" s="3">
        <v>1566890.05</v>
      </c>
      <c r="R211" s="9">
        <f>IF($F211=1,((SUMIFS(Investors!$M:$M,Investors!$E:$E,Sales!$C211,Investors!$O:$O,FALSE)+SUMIFS(Investors!$S:$S,Investors!$E:$E,Sales!$C211,Investors!$O:$O,FALSE))*$F211)-SUMIFS('Investor Exit List'!$Q:$Q,'Investor Exit List'!$Y:$Y,1,'Investor Exit List'!$Z:$Z,"Release",'Investor Exit List'!$C:$C,Sales!$C211),(SUMIFS(Investors!$M:$M,Investors!$E:$E,Sales!$C211,Investors!$O:$O,FALSE)+SUMIFS(Investors!$S:$S,Investors!$E:$E,Sales!$C211,Investors!$O:$O,FALSE))*$F211)</f>
        <v>0</v>
      </c>
      <c r="S211" s="9">
        <f t="shared" si="10"/>
        <v>1566890.05</v>
      </c>
      <c r="T211" s="3" t="b">
        <v>0</v>
      </c>
      <c r="U211" s="4">
        <v>45626</v>
      </c>
      <c r="V211" s="9">
        <v>191027.03630136981</v>
      </c>
      <c r="W211" s="10">
        <f>IF(SUMIFS('Cashflow Projection'!$E$117:$E$149,'Cashflow Projection'!$D$117:$D$149,Sales!C211)=1,SUMIFS('Cashflow Projection'!$C$117:$C$149,'Cashflow Projection'!$D$117:$D$149,Sales!C211),+Sales!H211)</f>
        <v>45552</v>
      </c>
      <c r="X211" s="10">
        <f t="shared" si="11"/>
        <v>45626</v>
      </c>
      <c r="Y211" s="10">
        <f t="shared" si="12"/>
        <v>45657</v>
      </c>
      <c r="Z211" t="b">
        <v>0</v>
      </c>
    </row>
    <row r="212" spans="1:26" x14ac:dyDescent="0.2">
      <c r="A212" s="3" t="s">
        <v>386</v>
      </c>
      <c r="B212" s="3" t="s">
        <v>891</v>
      </c>
      <c r="C212" s="3" t="s">
        <v>913</v>
      </c>
      <c r="D212" s="3" t="b">
        <v>0</v>
      </c>
      <c r="E212" s="3" t="b">
        <v>0</v>
      </c>
      <c r="F212" s="3">
        <f>IF(OR(Z212=TRUE,SUMIFS('Cashflow Projection'!$E$117:$E$149,'Cashflow Projection'!$D$117:$D$149,Sales!C212)=1),0,SUMIFS('Cashflow Projection'!$C$7:$C$23,'Cashflow Projection'!$B$7:$B$23,Sales!B212,'Cashflow Projection'!$A$7:$A$23,Sales!A212))</f>
        <v>1</v>
      </c>
      <c r="G212" s="4">
        <v>45456</v>
      </c>
      <c r="H212" s="4">
        <v>45646</v>
      </c>
      <c r="I212" s="3">
        <v>1729900</v>
      </c>
      <c r="J212" s="3">
        <v>225639.13043478259</v>
      </c>
      <c r="K212" s="3">
        <v>1504260.869565218</v>
      </c>
      <c r="L212" s="3">
        <v>18502.080000000002</v>
      </c>
      <c r="M212" s="3">
        <v>1789</v>
      </c>
      <c r="N212" s="3">
        <v>8649.5</v>
      </c>
      <c r="O212" s="3">
        <v>86495</v>
      </c>
      <c r="P212" s="3">
        <v>19224.37</v>
      </c>
      <c r="Q212" s="3">
        <v>1595240.05</v>
      </c>
      <c r="R212" s="9">
        <f>IF($F212=1,((SUMIFS(Investors!$M:$M,Investors!$E:$E,Sales!$C212,Investors!$O:$O,FALSE)+SUMIFS(Investors!$S:$S,Investors!$E:$E,Sales!$C212,Investors!$O:$O,FALSE))*$F212)-SUMIFS('Investor Exit List'!$Q:$Q,'Investor Exit List'!$Y:$Y,1,'Investor Exit List'!$Z:$Z,"Release",'Investor Exit List'!$C:$C,Sales!$C212),(SUMIFS(Investors!$M:$M,Investors!$E:$E,Sales!$C212,Investors!$O:$O,FALSE)+SUMIFS(Investors!$S:$S,Investors!$E:$E,Sales!$C212,Investors!$O:$O,FALSE))*$F212)</f>
        <v>0</v>
      </c>
      <c r="S212" s="9">
        <f t="shared" si="10"/>
        <v>1595240.05</v>
      </c>
      <c r="T212" s="3" t="b">
        <v>0</v>
      </c>
      <c r="U212" s="4">
        <v>45688</v>
      </c>
      <c r="V212" s="9">
        <v>146841.41986301361</v>
      </c>
      <c r="W212" s="10">
        <f>IF(SUMIFS('Cashflow Projection'!$E$117:$E$149,'Cashflow Projection'!$D$117:$D$149,Sales!C212)=1,SUMIFS('Cashflow Projection'!$C$117:$C$149,'Cashflow Projection'!$D$117:$D$149,Sales!C212),+Sales!H212)</f>
        <v>45646</v>
      </c>
      <c r="X212" s="10">
        <f t="shared" si="11"/>
        <v>45688</v>
      </c>
      <c r="Y212" s="10">
        <f t="shared" si="12"/>
        <v>45716</v>
      </c>
      <c r="Z212" t="b">
        <v>0</v>
      </c>
    </row>
    <row r="213" spans="1:26" x14ac:dyDescent="0.2">
      <c r="A213" s="3" t="s">
        <v>386</v>
      </c>
      <c r="B213" s="3" t="s">
        <v>388</v>
      </c>
      <c r="C213" s="3" t="s">
        <v>492</v>
      </c>
      <c r="D213" s="3" t="b">
        <v>0</v>
      </c>
      <c r="E213" s="3" t="b">
        <v>0</v>
      </c>
      <c r="F213" s="3">
        <f>IF(OR(Z213=TRUE,SUMIFS('Cashflow Projection'!$E$117:$E$149,'Cashflow Projection'!$D$117:$D$149,Sales!C213)=1),0,SUMIFS('Cashflow Projection'!$C$7:$C$23,'Cashflow Projection'!$B$7:$B$23,Sales!B213,'Cashflow Projection'!$A$7:$A$23,Sales!A213))</f>
        <v>1</v>
      </c>
      <c r="G213" s="4">
        <v>45471</v>
      </c>
      <c r="H213" s="4">
        <v>45646</v>
      </c>
      <c r="I213" s="3">
        <v>1509900</v>
      </c>
      <c r="J213" s="3">
        <v>196943.4782608696</v>
      </c>
      <c r="K213" s="3">
        <v>1312956.5217391311</v>
      </c>
      <c r="L213" s="3">
        <v>18502.080000000002</v>
      </c>
      <c r="M213" s="3">
        <v>1789</v>
      </c>
      <c r="N213" s="3">
        <v>7549.5</v>
      </c>
      <c r="O213" s="3">
        <v>75495</v>
      </c>
      <c r="P213" s="3">
        <v>19224.37</v>
      </c>
      <c r="Q213" s="3">
        <v>1387340.05</v>
      </c>
      <c r="R213" s="9">
        <f>IF($F213=1,((SUMIFS(Investors!$M:$M,Investors!$E:$E,Sales!$C213,Investors!$O:$O,FALSE)+SUMIFS(Investors!$S:$S,Investors!$E:$E,Sales!$C213,Investors!$O:$O,FALSE))*$F213)-SUMIFS('Investor Exit List'!$Q:$Q,'Investor Exit List'!$Y:$Y,1,'Investor Exit List'!$Z:$Z,"Release",'Investor Exit List'!$C:$C,Sales!$C213),(SUMIFS(Investors!$M:$M,Investors!$E:$E,Sales!$C213,Investors!$O:$O,FALSE)+SUMIFS(Investors!$S:$S,Investors!$E:$E,Sales!$C213,Investors!$O:$O,FALSE))*$F213)</f>
        <v>1416513.3648136985</v>
      </c>
      <c r="S213" s="9">
        <f t="shared" si="10"/>
        <v>-29173.314813698409</v>
      </c>
      <c r="T213" s="3" t="b">
        <v>0</v>
      </c>
      <c r="U213" s="4">
        <v>45688</v>
      </c>
      <c r="V213" s="9">
        <v>1003.756094794255</v>
      </c>
      <c r="W213" s="10">
        <f>IF(SUMIFS('Cashflow Projection'!$E$117:$E$149,'Cashflow Projection'!$D$117:$D$149,Sales!C213)=1,SUMIFS('Cashflow Projection'!$C$117:$C$149,'Cashflow Projection'!$D$117:$D$149,Sales!C213),+Sales!H213)</f>
        <v>45646</v>
      </c>
      <c r="X213" s="10">
        <f t="shared" si="11"/>
        <v>45688</v>
      </c>
      <c r="Y213" s="10">
        <f t="shared" si="12"/>
        <v>45716</v>
      </c>
      <c r="Z213" t="b">
        <v>0</v>
      </c>
    </row>
    <row r="214" spans="1:26" x14ac:dyDescent="0.2">
      <c r="A214" s="3" t="s">
        <v>386</v>
      </c>
      <c r="B214" s="3" t="s">
        <v>598</v>
      </c>
      <c r="C214" s="3" t="s">
        <v>597</v>
      </c>
      <c r="D214" s="3" t="b">
        <v>0</v>
      </c>
      <c r="E214" s="3" t="b">
        <v>0</v>
      </c>
      <c r="F214" s="3">
        <f>IF(OR(Z214=TRUE,SUMIFS('Cashflow Projection'!$E$117:$E$149,'Cashflow Projection'!$D$117:$D$149,Sales!C214)=1),0,SUMIFS('Cashflow Projection'!$C$7:$C$23,'Cashflow Projection'!$B$7:$B$23,Sales!B214,'Cashflow Projection'!$A$7:$A$23,Sales!A214))</f>
        <v>0</v>
      </c>
      <c r="G214" s="4">
        <v>45517</v>
      </c>
      <c r="H214" s="4">
        <v>45722</v>
      </c>
      <c r="I214" s="3">
        <v>1619900</v>
      </c>
      <c r="J214" s="3">
        <v>211291.30434782611</v>
      </c>
      <c r="K214" s="3">
        <v>1408608.6956521741</v>
      </c>
      <c r="L214" s="3">
        <v>18502.080000000002</v>
      </c>
      <c r="M214" s="3">
        <v>1789</v>
      </c>
      <c r="N214" s="3">
        <v>8099.5</v>
      </c>
      <c r="O214" s="3">
        <v>80995</v>
      </c>
      <c r="P214" s="3">
        <v>19224.37</v>
      </c>
      <c r="Q214" s="3">
        <v>1491290.05</v>
      </c>
      <c r="R214" s="9">
        <f>IF($F214=1,((SUMIFS(Investors!$M:$M,Investors!$E:$E,Sales!$C214,Investors!$O:$O,FALSE)+SUMIFS(Investors!$S:$S,Investors!$E:$E,Sales!$C214,Investors!$O:$O,FALSE))*$F214)-SUMIFS('Investor Exit List'!$Q:$Q,'Investor Exit List'!$Y:$Y,1,'Investor Exit List'!$Z:$Z,"Release",'Investor Exit List'!$C:$C,Sales!$C214),(SUMIFS(Investors!$M:$M,Investors!$E:$E,Sales!$C214,Investors!$O:$O,FALSE)+SUMIFS(Investors!$S:$S,Investors!$E:$E,Sales!$C214,Investors!$O:$O,FALSE))*$F214)</f>
        <v>0</v>
      </c>
      <c r="S214" s="9">
        <f t="shared" si="10"/>
        <v>1491290.05</v>
      </c>
      <c r="T214" s="3" t="b">
        <v>0</v>
      </c>
      <c r="U214" s="4">
        <v>45808</v>
      </c>
      <c r="V214" s="9">
        <v>73543.48670465732</v>
      </c>
      <c r="W214" s="10">
        <f>IF(SUMIFS('Cashflow Projection'!$E$117:$E$149,'Cashflow Projection'!$D$117:$D$149,Sales!C214)=1,SUMIFS('Cashflow Projection'!$C$117:$C$149,'Cashflow Projection'!$D$117:$D$149,Sales!C214),+Sales!H214)</f>
        <v>45722</v>
      </c>
      <c r="X214" s="10">
        <f t="shared" si="11"/>
        <v>45808</v>
      </c>
      <c r="Y214" s="10">
        <f t="shared" si="12"/>
        <v>45838</v>
      </c>
      <c r="Z214" t="b">
        <v>0</v>
      </c>
    </row>
    <row r="215" spans="1:26" x14ac:dyDescent="0.2">
      <c r="A215" s="3" t="s">
        <v>386</v>
      </c>
      <c r="B215" s="3" t="s">
        <v>598</v>
      </c>
      <c r="C215" s="3" t="s">
        <v>618</v>
      </c>
      <c r="D215" s="3" t="b">
        <v>0</v>
      </c>
      <c r="E215" s="3" t="b">
        <v>0</v>
      </c>
      <c r="F215" s="3">
        <f>IF(OR(Z215=TRUE,SUMIFS('Cashflow Projection'!$E$117:$E$149,'Cashflow Projection'!$D$117:$D$149,Sales!C215)=1),0,SUMIFS('Cashflow Projection'!$C$7:$C$23,'Cashflow Projection'!$B$7:$B$23,Sales!B215,'Cashflow Projection'!$A$7:$A$23,Sales!A215))</f>
        <v>0</v>
      </c>
      <c r="G215" s="4">
        <v>45517</v>
      </c>
      <c r="H215" s="4">
        <v>45722</v>
      </c>
      <c r="I215" s="3">
        <v>1599900</v>
      </c>
      <c r="J215" s="3">
        <v>208682.60869565219</v>
      </c>
      <c r="K215" s="3">
        <v>1391217.3913043479</v>
      </c>
      <c r="L215" s="3">
        <v>18502.080000000002</v>
      </c>
      <c r="M215" s="3">
        <v>1789</v>
      </c>
      <c r="N215" s="3">
        <v>7999.5</v>
      </c>
      <c r="O215" s="3">
        <v>79995</v>
      </c>
      <c r="P215" s="3">
        <v>19224.37</v>
      </c>
      <c r="Q215" s="3">
        <v>1472390.05</v>
      </c>
      <c r="R215" s="9">
        <f>IF($F215=1,((SUMIFS(Investors!$M:$M,Investors!$E:$E,Sales!$C215,Investors!$O:$O,FALSE)+SUMIFS(Investors!$S:$S,Investors!$E:$E,Sales!$C215,Investors!$O:$O,FALSE))*$F215)-SUMIFS('Investor Exit List'!$Q:$Q,'Investor Exit List'!$Y:$Y,1,'Investor Exit List'!$Z:$Z,"Release",'Investor Exit List'!$C:$C,Sales!$C215),(SUMIFS(Investors!$M:$M,Investors!$E:$E,Sales!$C215,Investors!$O:$O,FALSE)+SUMIFS(Investors!$S:$S,Investors!$E:$E,Sales!$C215,Investors!$O:$O,FALSE))*$F215)</f>
        <v>0</v>
      </c>
      <c r="S215" s="9">
        <f t="shared" si="10"/>
        <v>1472390.05</v>
      </c>
      <c r="T215" s="3" t="b">
        <v>0</v>
      </c>
      <c r="U215" s="4">
        <v>45808</v>
      </c>
      <c r="V215" s="9">
        <v>151378.80488739701</v>
      </c>
      <c r="W215" s="10">
        <f>IF(SUMIFS('Cashflow Projection'!$E$117:$E$149,'Cashflow Projection'!$D$117:$D$149,Sales!C215)=1,SUMIFS('Cashflow Projection'!$C$117:$C$149,'Cashflow Projection'!$D$117:$D$149,Sales!C215),+Sales!H215)</f>
        <v>45722</v>
      </c>
      <c r="X215" s="10">
        <f t="shared" si="11"/>
        <v>45808</v>
      </c>
      <c r="Y215" s="10">
        <f t="shared" si="12"/>
        <v>45838</v>
      </c>
      <c r="Z215" t="b">
        <v>0</v>
      </c>
    </row>
    <row r="216" spans="1:26" x14ac:dyDescent="0.2">
      <c r="A216" s="3" t="s">
        <v>386</v>
      </c>
      <c r="B216" s="3" t="s">
        <v>388</v>
      </c>
      <c r="C216" s="3" t="s">
        <v>478</v>
      </c>
      <c r="D216" s="3" t="b">
        <v>1</v>
      </c>
      <c r="E216" s="3" t="b">
        <v>1</v>
      </c>
      <c r="F216" s="3">
        <f>IF(OR(Z216=TRUE,SUMIFS('Cashflow Projection'!$E$117:$E$149,'Cashflow Projection'!$D$117:$D$149,Sales!C216)=1),0,SUMIFS('Cashflow Projection'!$C$7:$C$23,'Cashflow Projection'!$B$7:$B$23,Sales!B216,'Cashflow Projection'!$A$7:$A$23,Sales!A216))</f>
        <v>1</v>
      </c>
      <c r="G216" s="4">
        <v>45177</v>
      </c>
      <c r="H216" s="4">
        <v>45688</v>
      </c>
      <c r="I216" s="3">
        <v>1499900</v>
      </c>
      <c r="J216" s="3">
        <v>195639.13043478259</v>
      </c>
      <c r="K216" s="3">
        <v>1304260.869565218</v>
      </c>
      <c r="L216" s="3">
        <v>18502.080000000002</v>
      </c>
      <c r="M216" s="3">
        <v>1789</v>
      </c>
      <c r="N216" s="3">
        <v>7499.5</v>
      </c>
      <c r="O216" s="3">
        <v>74995</v>
      </c>
      <c r="P216" s="3">
        <v>19224.37</v>
      </c>
      <c r="Q216" s="3">
        <v>1377890.05</v>
      </c>
      <c r="R216" s="9">
        <f>IF($F216=1,((SUMIFS(Investors!$M:$M,Investors!$E:$E,Sales!$C216,Investors!$O:$O,FALSE)+SUMIFS(Investors!$S:$S,Investors!$E:$E,Sales!$C216,Investors!$O:$O,FALSE))*$F216)-SUMIFS('Investor Exit List'!$Q:$Q,'Investor Exit List'!$Y:$Y,1,'Investor Exit List'!$Z:$Z,"Release",'Investor Exit List'!$C:$C,Sales!$C216),(SUMIFS(Investors!$M:$M,Investors!$E:$E,Sales!$C216,Investors!$O:$O,FALSE)+SUMIFS(Investors!$S:$S,Investors!$E:$E,Sales!$C216,Investors!$O:$O,FALSE))*$F216)</f>
        <v>1213706.6566657531</v>
      </c>
      <c r="S216" s="9">
        <f t="shared" si="10"/>
        <v>164183.39333424694</v>
      </c>
      <c r="T216" s="3" t="b">
        <v>0</v>
      </c>
      <c r="U216" s="4">
        <v>45747</v>
      </c>
      <c r="V216" s="9">
        <v>164183.3933342465</v>
      </c>
      <c r="W216" s="10">
        <f>IF(SUMIFS('Cashflow Projection'!$E$117:$E$149,'Cashflow Projection'!$D$117:$D$149,Sales!C216)=1,SUMIFS('Cashflow Projection'!$C$117:$C$149,'Cashflow Projection'!$D$117:$D$149,Sales!C216),+Sales!H216)</f>
        <v>45688</v>
      </c>
      <c r="X216" s="10">
        <f t="shared" si="11"/>
        <v>45747</v>
      </c>
      <c r="Y216" s="10">
        <f t="shared" si="12"/>
        <v>45777</v>
      </c>
      <c r="Z216" t="b">
        <v>0</v>
      </c>
    </row>
    <row r="217" spans="1:26" x14ac:dyDescent="0.2">
      <c r="A217" s="3" t="s">
        <v>386</v>
      </c>
      <c r="B217" s="3" t="s">
        <v>684</v>
      </c>
      <c r="C217" s="3" t="s">
        <v>685</v>
      </c>
      <c r="D217" s="3" t="b">
        <v>0</v>
      </c>
      <c r="E217" s="3" t="b">
        <v>0</v>
      </c>
      <c r="F217" s="3">
        <f>IF(OR(Z217=TRUE,SUMIFS('Cashflow Projection'!$E$117:$E$149,'Cashflow Projection'!$D$117:$D$149,Sales!C217)=1),0,SUMIFS('Cashflow Projection'!$C$7:$C$23,'Cashflow Projection'!$B$7:$B$23,Sales!B217,'Cashflow Projection'!$A$7:$A$23,Sales!A217))</f>
        <v>0</v>
      </c>
      <c r="G217" s="4">
        <v>45491</v>
      </c>
      <c r="H217" s="4">
        <v>45596</v>
      </c>
      <c r="I217" s="3">
        <v>1649900</v>
      </c>
      <c r="J217" s="3">
        <v>215204.34782608689</v>
      </c>
      <c r="K217" s="3">
        <v>1434695.6521739131</v>
      </c>
      <c r="L217" s="3">
        <v>18502.080000000002</v>
      </c>
      <c r="M217" s="3">
        <v>1789</v>
      </c>
      <c r="N217" s="3">
        <v>8249.5</v>
      </c>
      <c r="O217" s="3">
        <v>82495</v>
      </c>
      <c r="P217" s="3">
        <v>19224.37</v>
      </c>
      <c r="Q217" s="3">
        <v>1519640.05</v>
      </c>
      <c r="R217" s="9">
        <f>IF($F217=1,((SUMIFS(Investors!$M:$M,Investors!$E:$E,Sales!$C217,Investors!$O:$O,FALSE)+SUMIFS(Investors!$S:$S,Investors!$E:$E,Sales!$C217,Investors!$O:$O,FALSE))*$F217)-SUMIFS('Investor Exit List'!$Q:$Q,'Investor Exit List'!$Y:$Y,1,'Investor Exit List'!$Z:$Z,"Release",'Investor Exit List'!$C:$C,Sales!$C217),(SUMIFS(Investors!$M:$M,Investors!$E:$E,Sales!$C217,Investors!$O:$O,FALSE)+SUMIFS(Investors!$S:$S,Investors!$E:$E,Sales!$C217,Investors!$O:$O,FALSE))*$F217)</f>
        <v>0</v>
      </c>
      <c r="S217" s="9">
        <f t="shared" si="10"/>
        <v>1519640.05</v>
      </c>
      <c r="T217" s="3" t="b">
        <v>0</v>
      </c>
      <c r="U217" s="4">
        <v>45626</v>
      </c>
      <c r="V217" s="9">
        <v>247785.5705479453</v>
      </c>
      <c r="W217" s="10">
        <f>IF(SUMIFS('Cashflow Projection'!$E$117:$E$149,'Cashflow Projection'!$D$117:$D$149,Sales!C217)=1,SUMIFS('Cashflow Projection'!$C$117:$C$149,'Cashflow Projection'!$D$117:$D$149,Sales!C217),+Sales!H217)</f>
        <v>45596</v>
      </c>
      <c r="X217" s="10">
        <f t="shared" si="11"/>
        <v>45626</v>
      </c>
      <c r="Y217" s="10">
        <f t="shared" si="12"/>
        <v>45657</v>
      </c>
      <c r="Z217" t="b">
        <v>0</v>
      </c>
    </row>
    <row r="218" spans="1:26" x14ac:dyDescent="0.2">
      <c r="A218" s="3" t="s">
        <v>386</v>
      </c>
      <c r="B218" s="3" t="s">
        <v>750</v>
      </c>
      <c r="C218" s="3" t="s">
        <v>752</v>
      </c>
      <c r="D218" s="3" t="b">
        <v>0</v>
      </c>
      <c r="E218" s="3" t="b">
        <v>0</v>
      </c>
      <c r="F218" s="3">
        <f>IF(OR(Z218=TRUE,SUMIFS('Cashflow Projection'!$E$117:$E$149,'Cashflow Projection'!$D$117:$D$149,Sales!C218)=1),0,SUMIFS('Cashflow Projection'!$C$7:$C$23,'Cashflow Projection'!$B$7:$B$23,Sales!B218,'Cashflow Projection'!$A$7:$A$23,Sales!A218))</f>
        <v>0</v>
      </c>
      <c r="G218" s="4">
        <v>45510</v>
      </c>
      <c r="H218" s="4">
        <v>45625</v>
      </c>
      <c r="I218" s="3">
        <v>1739900</v>
      </c>
      <c r="J218" s="3">
        <v>226943.4782608696</v>
      </c>
      <c r="K218" s="3">
        <v>1512956.5217391311</v>
      </c>
      <c r="L218" s="3">
        <v>18502.080000000002</v>
      </c>
      <c r="M218" s="3">
        <v>1789</v>
      </c>
      <c r="N218" s="3">
        <v>8699.5</v>
      </c>
      <c r="O218" s="3">
        <v>86995</v>
      </c>
      <c r="P218" s="3">
        <v>19224.37</v>
      </c>
      <c r="Q218" s="3">
        <v>1604690.05</v>
      </c>
      <c r="R218" s="9">
        <f>IF($F218=1,((SUMIFS(Investors!$M:$M,Investors!$E:$E,Sales!$C218,Investors!$O:$O,FALSE)+SUMIFS(Investors!$S:$S,Investors!$E:$E,Sales!$C218,Investors!$O:$O,FALSE))*$F218)-SUMIFS('Investor Exit List'!$Q:$Q,'Investor Exit List'!$Y:$Y,1,'Investor Exit List'!$Z:$Z,"Release",'Investor Exit List'!$C:$C,Sales!$C218),(SUMIFS(Investors!$M:$M,Investors!$E:$E,Sales!$C218,Investors!$O:$O,FALSE)+SUMIFS(Investors!$S:$S,Investors!$E:$E,Sales!$C218,Investors!$O:$O,FALSE))*$F218)</f>
        <v>0</v>
      </c>
      <c r="S218" s="9">
        <f t="shared" si="10"/>
        <v>1604690.05</v>
      </c>
      <c r="T218" s="3" t="b">
        <v>0</v>
      </c>
      <c r="U218" s="4">
        <v>45688</v>
      </c>
      <c r="V218" s="9">
        <v>251456.97338856151</v>
      </c>
      <c r="W218" s="10">
        <f>IF(SUMIFS('Cashflow Projection'!$E$117:$E$149,'Cashflow Projection'!$D$117:$D$149,Sales!C218)=1,SUMIFS('Cashflow Projection'!$C$117:$C$149,'Cashflow Projection'!$D$117:$D$149,Sales!C218),+Sales!H218)</f>
        <v>45625</v>
      </c>
      <c r="X218" s="10">
        <f t="shared" si="11"/>
        <v>45688</v>
      </c>
      <c r="Y218" s="10">
        <f t="shared" si="12"/>
        <v>45716</v>
      </c>
      <c r="Z218" t="b">
        <v>0</v>
      </c>
    </row>
    <row r="219" spans="1:26" x14ac:dyDescent="0.2">
      <c r="A219" s="3" t="s">
        <v>386</v>
      </c>
      <c r="B219" s="3" t="s">
        <v>790</v>
      </c>
      <c r="C219" s="3" t="s">
        <v>803</v>
      </c>
      <c r="D219" s="3" t="b">
        <v>0</v>
      </c>
      <c r="E219" s="3" t="b">
        <v>0</v>
      </c>
      <c r="F219" s="3">
        <f>IF(OR(Z219=TRUE,SUMIFS('Cashflow Projection'!$E$117:$E$149,'Cashflow Projection'!$D$117:$D$149,Sales!C219)=1),0,SUMIFS('Cashflow Projection'!$C$7:$C$23,'Cashflow Projection'!$B$7:$B$23,Sales!B219,'Cashflow Projection'!$A$7:$A$23,Sales!A219))</f>
        <v>0</v>
      </c>
      <c r="G219" s="4">
        <v>45499</v>
      </c>
      <c r="H219" s="4">
        <v>45716</v>
      </c>
      <c r="I219" s="3">
        <v>1499900</v>
      </c>
      <c r="J219" s="3">
        <v>195639.13043478259</v>
      </c>
      <c r="K219" s="3">
        <v>1304260.869565218</v>
      </c>
      <c r="L219" s="3">
        <v>18502.080000000002</v>
      </c>
      <c r="M219" s="3">
        <v>1789</v>
      </c>
      <c r="N219" s="3">
        <v>7499.5</v>
      </c>
      <c r="O219" s="3">
        <v>74995</v>
      </c>
      <c r="P219" s="3">
        <v>19224.37</v>
      </c>
      <c r="Q219" s="3">
        <v>1377890.05</v>
      </c>
      <c r="R219" s="9">
        <f>IF($F219=1,((SUMIFS(Investors!$M:$M,Investors!$E:$E,Sales!$C219,Investors!$O:$O,FALSE)+SUMIFS(Investors!$S:$S,Investors!$E:$E,Sales!$C219,Investors!$O:$O,FALSE))*$F219)-SUMIFS('Investor Exit List'!$Q:$Q,'Investor Exit List'!$Y:$Y,1,'Investor Exit List'!$Z:$Z,"Release",'Investor Exit List'!$C:$C,Sales!$C219),(SUMIFS(Investors!$M:$M,Investors!$E:$E,Sales!$C219,Investors!$O:$O,FALSE)+SUMIFS(Investors!$S:$S,Investors!$E:$E,Sales!$C219,Investors!$O:$O,FALSE))*$F219)</f>
        <v>0</v>
      </c>
      <c r="S219" s="9">
        <f t="shared" si="10"/>
        <v>1377890.05</v>
      </c>
      <c r="T219" s="3" t="b">
        <v>0</v>
      </c>
      <c r="U219" s="4">
        <v>45747</v>
      </c>
      <c r="V219" s="9">
        <v>31258.118892054768</v>
      </c>
      <c r="W219" s="10">
        <f>IF(SUMIFS('Cashflow Projection'!$E$117:$E$149,'Cashflow Projection'!$D$117:$D$149,Sales!C219)=1,SUMIFS('Cashflow Projection'!$C$117:$C$149,'Cashflow Projection'!$D$117:$D$149,Sales!C219),+Sales!H219)</f>
        <v>45716</v>
      </c>
      <c r="X219" s="10">
        <f t="shared" si="11"/>
        <v>45747</v>
      </c>
      <c r="Y219" s="10">
        <f t="shared" si="12"/>
        <v>45777</v>
      </c>
      <c r="Z219" t="b">
        <v>0</v>
      </c>
    </row>
    <row r="220" spans="1:26" x14ac:dyDescent="0.2">
      <c r="A220" s="3" t="s">
        <v>386</v>
      </c>
      <c r="B220" s="3" t="s">
        <v>675</v>
      </c>
      <c r="C220" s="3" t="s">
        <v>677</v>
      </c>
      <c r="D220" s="3" t="b">
        <v>1</v>
      </c>
      <c r="E220" s="3" t="b">
        <v>0</v>
      </c>
      <c r="F220" s="3">
        <f>IF(OR(Z220=TRUE,SUMIFS('Cashflow Projection'!$E$117:$E$149,'Cashflow Projection'!$D$117:$D$149,Sales!C220)=1),0,SUMIFS('Cashflow Projection'!$C$7:$C$23,'Cashflow Projection'!$B$7:$B$23,Sales!B220,'Cashflow Projection'!$A$7:$A$23,Sales!A220))</f>
        <v>1</v>
      </c>
      <c r="G220" s="4">
        <v>45490</v>
      </c>
      <c r="H220" s="4">
        <v>45490</v>
      </c>
      <c r="I220" s="3">
        <v>1669999</v>
      </c>
      <c r="J220" s="3">
        <v>217825.95652173911</v>
      </c>
      <c r="K220" s="3">
        <v>1452173.043478261</v>
      </c>
      <c r="L220" s="3">
        <v>18502.080000000002</v>
      </c>
      <c r="M220" s="3">
        <v>1789</v>
      </c>
      <c r="N220" s="3">
        <v>8349.9950000000008</v>
      </c>
      <c r="O220" s="3">
        <v>83499.950000000012</v>
      </c>
      <c r="P220" s="3">
        <v>19224.37</v>
      </c>
      <c r="Q220" s="3">
        <v>1538633.605</v>
      </c>
      <c r="R220" s="9">
        <f>IF($F220=1,((SUMIFS(Investors!$M:$M,Investors!$E:$E,Sales!$C220,Investors!$O:$O,FALSE)+SUMIFS(Investors!$S:$S,Investors!$E:$E,Sales!$C220,Investors!$O:$O,FALSE))*$F220)-SUMIFS('Investor Exit List'!$Q:$Q,'Investor Exit List'!$Y:$Y,1,'Investor Exit List'!$Z:$Z,"Release",'Investor Exit List'!$C:$C,Sales!$C220),(SUMIFS(Investors!$M:$M,Investors!$E:$E,Sales!$C220,Investors!$O:$O,FALSE)+SUMIFS(Investors!$S:$S,Investors!$E:$E,Sales!$C220,Investors!$O:$O,FALSE))*$F220)</f>
        <v>1248936.98630137</v>
      </c>
      <c r="S220" s="9">
        <f t="shared" si="10"/>
        <v>289696.61869863002</v>
      </c>
      <c r="T220" s="3" t="b">
        <v>0</v>
      </c>
      <c r="U220" s="4">
        <v>45565</v>
      </c>
      <c r="V220" s="9">
        <v>289696.61869862978</v>
      </c>
      <c r="W220" s="10">
        <f>IF(SUMIFS('Cashflow Projection'!$E$117:$E$149,'Cashflow Projection'!$D$117:$D$149,Sales!C220)=1,SUMIFS('Cashflow Projection'!$C$117:$C$149,'Cashflow Projection'!$D$117:$D$149,Sales!C220),+Sales!H220)</f>
        <v>45490</v>
      </c>
      <c r="X220" s="10">
        <f t="shared" si="11"/>
        <v>45565</v>
      </c>
      <c r="Y220" s="10">
        <f t="shared" si="12"/>
        <v>45596</v>
      </c>
      <c r="Z220" t="b">
        <v>0</v>
      </c>
    </row>
    <row r="221" spans="1:26" x14ac:dyDescent="0.2">
      <c r="A221" s="3" t="s">
        <v>386</v>
      </c>
      <c r="B221" s="3" t="s">
        <v>790</v>
      </c>
      <c r="C221" s="3" t="s">
        <v>805</v>
      </c>
      <c r="D221" s="3" t="b">
        <v>0</v>
      </c>
      <c r="E221" s="3" t="b">
        <v>0</v>
      </c>
      <c r="F221" s="3">
        <f>IF(OR(Z221=TRUE,SUMIFS('Cashflow Projection'!$E$117:$E$149,'Cashflow Projection'!$D$117:$D$149,Sales!C221)=1),0,SUMIFS('Cashflow Projection'!$C$7:$C$23,'Cashflow Projection'!$B$7:$B$23,Sales!B221,'Cashflow Projection'!$A$7:$A$23,Sales!A221))</f>
        <v>0</v>
      </c>
      <c r="G221" s="4">
        <v>45499</v>
      </c>
      <c r="H221" s="4">
        <v>45716</v>
      </c>
      <c r="I221" s="3">
        <v>1499900</v>
      </c>
      <c r="J221" s="3">
        <v>195639.13043478259</v>
      </c>
      <c r="K221" s="3">
        <v>1304260.869565218</v>
      </c>
      <c r="L221" s="3">
        <v>18502.080000000002</v>
      </c>
      <c r="M221" s="3">
        <v>1789</v>
      </c>
      <c r="N221" s="3">
        <v>7499.5</v>
      </c>
      <c r="O221" s="3">
        <v>74995</v>
      </c>
      <c r="P221" s="3">
        <v>19224.37</v>
      </c>
      <c r="Q221" s="3">
        <v>1377890.05</v>
      </c>
      <c r="R221" s="9">
        <f>IF($F221=1,((SUMIFS(Investors!$M:$M,Investors!$E:$E,Sales!$C221,Investors!$O:$O,FALSE)+SUMIFS(Investors!$S:$S,Investors!$E:$E,Sales!$C221,Investors!$O:$O,FALSE))*$F221)-SUMIFS('Investor Exit List'!$Q:$Q,'Investor Exit List'!$Y:$Y,1,'Investor Exit List'!$Z:$Z,"Release",'Investor Exit List'!$C:$C,Sales!$C221),(SUMIFS(Investors!$M:$M,Investors!$E:$E,Sales!$C221,Investors!$O:$O,FALSE)+SUMIFS(Investors!$S:$S,Investors!$E:$E,Sales!$C221,Investors!$O:$O,FALSE))*$F221)</f>
        <v>0</v>
      </c>
      <c r="S221" s="9">
        <f t="shared" si="10"/>
        <v>1377890.05</v>
      </c>
      <c r="T221" s="3" t="b">
        <v>0</v>
      </c>
      <c r="U221" s="4">
        <v>45747</v>
      </c>
      <c r="V221" s="9">
        <v>35089.730922739487</v>
      </c>
      <c r="W221" s="10">
        <f>IF(SUMIFS('Cashflow Projection'!$E$117:$E$149,'Cashflow Projection'!$D$117:$D$149,Sales!C221)=1,SUMIFS('Cashflow Projection'!$C$117:$C$149,'Cashflow Projection'!$D$117:$D$149,Sales!C221),+Sales!H221)</f>
        <v>45716</v>
      </c>
      <c r="X221" s="10">
        <f t="shared" si="11"/>
        <v>45747</v>
      </c>
      <c r="Y221" s="10">
        <f t="shared" si="12"/>
        <v>45777</v>
      </c>
      <c r="Z221" t="b">
        <v>0</v>
      </c>
    </row>
    <row r="222" spans="1:26" x14ac:dyDescent="0.2">
      <c r="A222" s="3" t="s">
        <v>386</v>
      </c>
      <c r="B222" s="3" t="s">
        <v>598</v>
      </c>
      <c r="C222" s="3" t="s">
        <v>622</v>
      </c>
      <c r="D222" s="3" t="b">
        <v>0</v>
      </c>
      <c r="E222" s="3" t="b">
        <v>0</v>
      </c>
      <c r="F222" s="3">
        <f>IF(OR(Z222=TRUE,SUMIFS('Cashflow Projection'!$E$117:$E$149,'Cashflow Projection'!$D$117:$D$149,Sales!C222)=1),0,SUMIFS('Cashflow Projection'!$C$7:$C$23,'Cashflow Projection'!$B$7:$B$23,Sales!B222,'Cashflow Projection'!$A$7:$A$23,Sales!A222))</f>
        <v>0</v>
      </c>
      <c r="G222" s="4">
        <v>45517</v>
      </c>
      <c r="H222" s="4">
        <v>45722</v>
      </c>
      <c r="I222" s="3">
        <v>1599900</v>
      </c>
      <c r="J222" s="3">
        <v>208682.60869565219</v>
      </c>
      <c r="K222" s="3">
        <v>1391217.3913043479</v>
      </c>
      <c r="L222" s="3">
        <v>18502.080000000002</v>
      </c>
      <c r="M222" s="3">
        <v>1789</v>
      </c>
      <c r="N222" s="3">
        <v>7999.5</v>
      </c>
      <c r="O222" s="3">
        <v>79995</v>
      </c>
      <c r="P222" s="3">
        <v>19224.37</v>
      </c>
      <c r="Q222" s="3">
        <v>1472390.05</v>
      </c>
      <c r="R222" s="9">
        <f>IF($F222=1,((SUMIFS(Investors!$M:$M,Investors!$E:$E,Sales!$C222,Investors!$O:$O,FALSE)+SUMIFS(Investors!$S:$S,Investors!$E:$E,Sales!$C222,Investors!$O:$O,FALSE))*$F222)-SUMIFS('Investor Exit List'!$Q:$Q,'Investor Exit List'!$Y:$Y,1,'Investor Exit List'!$Z:$Z,"Release",'Investor Exit List'!$C:$C,Sales!$C222),(SUMIFS(Investors!$M:$M,Investors!$E:$E,Sales!$C222,Investors!$O:$O,FALSE)+SUMIFS(Investors!$S:$S,Investors!$E:$E,Sales!$C222,Investors!$O:$O,FALSE))*$F222)</f>
        <v>0</v>
      </c>
      <c r="S222" s="9">
        <f t="shared" si="10"/>
        <v>1472390.05</v>
      </c>
      <c r="T222" s="3" t="b">
        <v>0</v>
      </c>
      <c r="U222" s="4">
        <v>45808</v>
      </c>
      <c r="V222" s="9">
        <v>86782.340973698534</v>
      </c>
      <c r="W222" s="10">
        <f>IF(SUMIFS('Cashflow Projection'!$E$117:$E$149,'Cashflow Projection'!$D$117:$D$149,Sales!C222)=1,SUMIFS('Cashflow Projection'!$C$117:$C$149,'Cashflow Projection'!$D$117:$D$149,Sales!C222),+Sales!H222)</f>
        <v>45722</v>
      </c>
      <c r="X222" s="10">
        <f t="shared" si="11"/>
        <v>45808</v>
      </c>
      <c r="Y222" s="10">
        <f t="shared" si="12"/>
        <v>45838</v>
      </c>
      <c r="Z222" t="b">
        <v>0</v>
      </c>
    </row>
    <row r="223" spans="1:26" x14ac:dyDescent="0.2">
      <c r="A223" s="3" t="s">
        <v>992</v>
      </c>
      <c r="B223" s="3" t="s">
        <v>26</v>
      </c>
      <c r="C223" s="3" t="s">
        <v>1037</v>
      </c>
      <c r="D223" s="3" t="b">
        <v>1</v>
      </c>
      <c r="E223" s="3" t="b">
        <v>1</v>
      </c>
      <c r="F223" s="3">
        <f>IF(OR(Z223=TRUE,SUMIFS('Cashflow Projection'!$E$117:$E$149,'Cashflow Projection'!$D$117:$D$149,Sales!C223)=1),0,SUMIFS('Cashflow Projection'!$C$7:$C$23,'Cashflow Projection'!$B$7:$B$23,Sales!B223,'Cashflow Projection'!$A$7:$A$23,Sales!A223))</f>
        <v>1</v>
      </c>
      <c r="G223" s="4">
        <v>44855</v>
      </c>
      <c r="H223" s="4">
        <v>45688</v>
      </c>
      <c r="I223" s="3">
        <v>1599900</v>
      </c>
      <c r="J223" s="3">
        <v>208682.60869565219</v>
      </c>
      <c r="K223" s="3">
        <v>1391217.3913043479</v>
      </c>
      <c r="L223" s="3">
        <v>18502.080000000002</v>
      </c>
      <c r="M223" s="3">
        <v>1789</v>
      </c>
      <c r="N223" s="3">
        <v>7999.5</v>
      </c>
      <c r="O223" s="3">
        <v>79995</v>
      </c>
      <c r="P223" s="3">
        <v>19224.37</v>
      </c>
      <c r="Q223" s="3">
        <v>1472390.05</v>
      </c>
      <c r="R223" s="9">
        <f>IF($F223=1,((SUMIFS(Investors!$M:$M,Investors!$E:$E,Sales!$C223,Investors!$O:$O,FALSE)+SUMIFS(Investors!$S:$S,Investors!$E:$E,Sales!$C223,Investors!$O:$O,FALSE))*$F223)-SUMIFS('Investor Exit List'!$Q:$Q,'Investor Exit List'!$Y:$Y,1,'Investor Exit List'!$Z:$Z,"Release",'Investor Exit List'!$C:$C,Sales!$C223),(SUMIFS(Investors!$M:$M,Investors!$E:$E,Sales!$C223,Investors!$O:$O,FALSE)+SUMIFS(Investors!$S:$S,Investors!$E:$E,Sales!$C223,Investors!$O:$O,FALSE))*$F223)</f>
        <v>0</v>
      </c>
      <c r="S223" s="9">
        <f t="shared" si="10"/>
        <v>1472390.05</v>
      </c>
      <c r="T223" s="3" t="b">
        <v>0</v>
      </c>
      <c r="U223" s="4">
        <v>45747</v>
      </c>
      <c r="V223" s="9">
        <v>344555.80342465732</v>
      </c>
      <c r="W223" s="10">
        <f>IF(SUMIFS('Cashflow Projection'!$E$117:$E$149,'Cashflow Projection'!$D$117:$D$149,Sales!C223)=1,SUMIFS('Cashflow Projection'!$C$117:$C$149,'Cashflow Projection'!$D$117:$D$149,Sales!C223),+Sales!H223)</f>
        <v>45688</v>
      </c>
      <c r="X223" s="10">
        <f t="shared" si="11"/>
        <v>45747</v>
      </c>
      <c r="Y223" s="10">
        <f t="shared" si="12"/>
        <v>45777</v>
      </c>
      <c r="Z223" t="b">
        <v>0</v>
      </c>
    </row>
    <row r="224" spans="1:26" x14ac:dyDescent="0.2">
      <c r="A224" s="3" t="s">
        <v>992</v>
      </c>
      <c r="B224" s="3" t="s">
        <v>26</v>
      </c>
      <c r="C224" s="3" t="s">
        <v>1038</v>
      </c>
      <c r="D224" s="3" t="b">
        <v>1</v>
      </c>
      <c r="E224" s="3" t="b">
        <v>1</v>
      </c>
      <c r="F224" s="3">
        <f>IF(OR(Z224=TRUE,SUMIFS('Cashflow Projection'!$E$117:$E$149,'Cashflow Projection'!$D$117:$D$149,Sales!C224)=1),0,SUMIFS('Cashflow Projection'!$C$7:$C$23,'Cashflow Projection'!$B$7:$B$23,Sales!B224,'Cashflow Projection'!$A$7:$A$23,Sales!A224))</f>
        <v>1</v>
      </c>
      <c r="G224" s="4">
        <v>44838</v>
      </c>
      <c r="H224" s="4">
        <v>45688</v>
      </c>
      <c r="I224" s="3">
        <v>1579900</v>
      </c>
      <c r="J224" s="3">
        <v>206073.91304347821</v>
      </c>
      <c r="K224" s="3">
        <v>1373826.086956522</v>
      </c>
      <c r="L224" s="3">
        <v>18502.080000000002</v>
      </c>
      <c r="M224" s="3">
        <v>1789</v>
      </c>
      <c r="N224" s="3">
        <v>7899.5</v>
      </c>
      <c r="O224" s="3">
        <v>78995</v>
      </c>
      <c r="P224" s="3">
        <v>19224.37</v>
      </c>
      <c r="Q224" s="3">
        <v>1453490.05</v>
      </c>
      <c r="R224" s="9">
        <f>IF($F224=1,((SUMIFS(Investors!$M:$M,Investors!$E:$E,Sales!$C224,Investors!$O:$O,FALSE)+SUMIFS(Investors!$S:$S,Investors!$E:$E,Sales!$C224,Investors!$O:$O,FALSE))*$F224)-SUMIFS('Investor Exit List'!$Q:$Q,'Investor Exit List'!$Y:$Y,1,'Investor Exit List'!$Z:$Z,"Release",'Investor Exit List'!$C:$C,Sales!$C224),(SUMIFS(Investors!$M:$M,Investors!$E:$E,Sales!$C224,Investors!$O:$O,FALSE)+SUMIFS(Investors!$S:$S,Investors!$E:$E,Sales!$C224,Investors!$O:$O,FALSE))*$F224)</f>
        <v>0</v>
      </c>
      <c r="S224" s="9">
        <f t="shared" si="10"/>
        <v>1453490.05</v>
      </c>
      <c r="T224" s="3" t="b">
        <v>0</v>
      </c>
      <c r="U224" s="4">
        <v>45747</v>
      </c>
      <c r="V224" s="9">
        <v>336393.81599506829</v>
      </c>
      <c r="W224" s="10">
        <f>IF(SUMIFS('Cashflow Projection'!$E$117:$E$149,'Cashflow Projection'!$D$117:$D$149,Sales!C224)=1,SUMIFS('Cashflow Projection'!$C$117:$C$149,'Cashflow Projection'!$D$117:$D$149,Sales!C224),+Sales!H224)</f>
        <v>45688</v>
      </c>
      <c r="X224" s="10">
        <f t="shared" si="11"/>
        <v>45747</v>
      </c>
      <c r="Y224" s="10">
        <f t="shared" si="12"/>
        <v>45777</v>
      </c>
      <c r="Z224" t="b">
        <v>0</v>
      </c>
    </row>
    <row r="225" spans="1:26" x14ac:dyDescent="0.2">
      <c r="A225" s="3" t="s">
        <v>992</v>
      </c>
      <c r="B225" s="3" t="s">
        <v>26</v>
      </c>
      <c r="C225" s="3" t="s">
        <v>1039</v>
      </c>
      <c r="D225" s="3" t="b">
        <v>1</v>
      </c>
      <c r="E225" s="3" t="b">
        <v>1</v>
      </c>
      <c r="F225" s="3">
        <f>IF(OR(Z225=TRUE,SUMIFS('Cashflow Projection'!$E$117:$E$149,'Cashflow Projection'!$D$117:$D$149,Sales!C225)=1),0,SUMIFS('Cashflow Projection'!$C$7:$C$23,'Cashflow Projection'!$B$7:$B$23,Sales!B225,'Cashflow Projection'!$A$7:$A$23,Sales!A225))</f>
        <v>1</v>
      </c>
      <c r="G225" s="4">
        <v>44830</v>
      </c>
      <c r="H225" s="4">
        <v>45688</v>
      </c>
      <c r="I225" s="3">
        <v>1549900</v>
      </c>
      <c r="J225" s="3">
        <v>202160.86956521741</v>
      </c>
      <c r="K225" s="3">
        <v>1347739.1304347829</v>
      </c>
      <c r="L225" s="3">
        <v>18502.080000000002</v>
      </c>
      <c r="M225" s="3">
        <v>1789</v>
      </c>
      <c r="N225" s="3">
        <v>7749.5</v>
      </c>
      <c r="O225" s="3">
        <v>77495</v>
      </c>
      <c r="P225" s="3">
        <v>19224.37</v>
      </c>
      <c r="Q225" s="3">
        <v>1425140.05</v>
      </c>
      <c r="R225" s="9">
        <f>IF($F225=1,((SUMIFS(Investors!$M:$M,Investors!$E:$E,Sales!$C225,Investors!$O:$O,FALSE)+SUMIFS(Investors!$S:$S,Investors!$E:$E,Sales!$C225,Investors!$O:$O,FALSE))*$F225)-SUMIFS('Investor Exit List'!$Q:$Q,'Investor Exit List'!$Y:$Y,1,'Investor Exit List'!$Z:$Z,"Release",'Investor Exit List'!$C:$C,Sales!$C225),(SUMIFS(Investors!$M:$M,Investors!$E:$E,Sales!$C225,Investors!$O:$O,FALSE)+SUMIFS(Investors!$S:$S,Investors!$E:$E,Sales!$C225,Investors!$O:$O,FALSE))*$F225)</f>
        <v>0</v>
      </c>
      <c r="S225" s="9">
        <f t="shared" si="10"/>
        <v>1425140.05</v>
      </c>
      <c r="T225" s="3" t="b">
        <v>0</v>
      </c>
      <c r="U225" s="4">
        <v>45747</v>
      </c>
      <c r="V225" s="9">
        <v>248403.74863013669</v>
      </c>
      <c r="W225" s="10">
        <f>IF(SUMIFS('Cashflow Projection'!$E$117:$E$149,'Cashflow Projection'!$D$117:$D$149,Sales!C225)=1,SUMIFS('Cashflow Projection'!$C$117:$C$149,'Cashflow Projection'!$D$117:$D$149,Sales!C225),+Sales!H225)</f>
        <v>45688</v>
      </c>
      <c r="X225" s="10">
        <f t="shared" si="11"/>
        <v>45747</v>
      </c>
      <c r="Y225" s="10">
        <f t="shared" si="12"/>
        <v>45777</v>
      </c>
      <c r="Z225" t="b">
        <v>0</v>
      </c>
    </row>
    <row r="226" spans="1:26" x14ac:dyDescent="0.2">
      <c r="A226" s="3" t="s">
        <v>992</v>
      </c>
      <c r="B226" s="3" t="s">
        <v>26</v>
      </c>
      <c r="C226" s="3" t="s">
        <v>1040</v>
      </c>
      <c r="D226" s="3" t="b">
        <v>1</v>
      </c>
      <c r="E226" s="3" t="b">
        <v>1</v>
      </c>
      <c r="F226" s="3">
        <f>IF(OR(Z226=TRUE,SUMIFS('Cashflow Projection'!$E$117:$E$149,'Cashflow Projection'!$D$117:$D$149,Sales!C226)=1),0,SUMIFS('Cashflow Projection'!$C$7:$C$23,'Cashflow Projection'!$B$7:$B$23,Sales!B226,'Cashflow Projection'!$A$7:$A$23,Sales!A226))</f>
        <v>1</v>
      </c>
      <c r="G226" s="4">
        <v>44851</v>
      </c>
      <c r="H226" s="4">
        <v>45688</v>
      </c>
      <c r="I226" s="3">
        <v>1599000</v>
      </c>
      <c r="J226" s="3">
        <v>208565.21739130441</v>
      </c>
      <c r="K226" s="3">
        <v>1390434.782608696</v>
      </c>
      <c r="L226" s="3">
        <v>18502.080000000002</v>
      </c>
      <c r="M226" s="3">
        <v>1789</v>
      </c>
      <c r="N226" s="3">
        <v>7995</v>
      </c>
      <c r="O226" s="3">
        <v>79950</v>
      </c>
      <c r="P226" s="3">
        <v>19224.37</v>
      </c>
      <c r="Q226" s="3">
        <v>1471539.55</v>
      </c>
      <c r="R226" s="9">
        <f>IF($F226=1,((SUMIFS(Investors!$M:$M,Investors!$E:$E,Sales!$C226,Investors!$O:$O,FALSE)+SUMIFS(Investors!$S:$S,Investors!$E:$E,Sales!$C226,Investors!$O:$O,FALSE))*$F226)-SUMIFS('Investor Exit List'!$Q:$Q,'Investor Exit List'!$Y:$Y,1,'Investor Exit List'!$Z:$Z,"Release",'Investor Exit List'!$C:$C,Sales!$C226),(SUMIFS(Investors!$M:$M,Investors!$E:$E,Sales!$C226,Investors!$O:$O,FALSE)+SUMIFS(Investors!$S:$S,Investors!$E:$E,Sales!$C226,Investors!$O:$O,FALSE))*$F226)</f>
        <v>0</v>
      </c>
      <c r="S226" s="9">
        <f t="shared" si="10"/>
        <v>1471539.55</v>
      </c>
      <c r="T226" s="3" t="b">
        <v>0</v>
      </c>
      <c r="U226" s="4">
        <v>45747</v>
      </c>
      <c r="V226" s="9">
        <v>296637.49520547921</v>
      </c>
      <c r="W226" s="10">
        <f>IF(SUMIFS('Cashflow Projection'!$E$117:$E$149,'Cashflow Projection'!$D$117:$D$149,Sales!C226)=1,SUMIFS('Cashflow Projection'!$C$117:$C$149,'Cashflow Projection'!$D$117:$D$149,Sales!C226),+Sales!H226)</f>
        <v>45688</v>
      </c>
      <c r="X226" s="10">
        <f t="shared" si="11"/>
        <v>45747</v>
      </c>
      <c r="Y226" s="10">
        <f t="shared" si="12"/>
        <v>45777</v>
      </c>
      <c r="Z226" t="b">
        <v>0</v>
      </c>
    </row>
    <row r="227" spans="1:26" x14ac:dyDescent="0.2">
      <c r="A227" s="3" t="s">
        <v>992</v>
      </c>
      <c r="B227" s="3" t="s">
        <v>26</v>
      </c>
      <c r="C227" s="3" t="s">
        <v>1041</v>
      </c>
      <c r="D227" s="3" t="b">
        <v>0</v>
      </c>
      <c r="E227" s="3" t="b">
        <v>0</v>
      </c>
      <c r="F227" s="3">
        <f>IF(OR(Z227=TRUE,SUMIFS('Cashflow Projection'!$E$117:$E$149,'Cashflow Projection'!$D$117:$D$149,Sales!C227)=1),0,SUMIFS('Cashflow Projection'!$C$7:$C$23,'Cashflow Projection'!$B$7:$B$23,Sales!B227,'Cashflow Projection'!$A$7:$A$23,Sales!A227))</f>
        <v>1</v>
      </c>
      <c r="G227" s="4">
        <v>45442</v>
      </c>
      <c r="H227" s="4">
        <v>45458</v>
      </c>
      <c r="I227" s="3">
        <v>1559900</v>
      </c>
      <c r="J227" s="3">
        <v>0</v>
      </c>
      <c r="K227" s="3">
        <v>1356434.782608696</v>
      </c>
      <c r="L227" s="3">
        <v>18502.080000000002</v>
      </c>
      <c r="M227" s="3">
        <v>1789</v>
      </c>
      <c r="N227" s="3">
        <v>7799.5</v>
      </c>
      <c r="O227" s="3">
        <v>77995</v>
      </c>
      <c r="P227" s="3">
        <v>19224.37</v>
      </c>
      <c r="Q227" s="3">
        <v>1434590.05</v>
      </c>
      <c r="R227" s="9">
        <f>IF($F227=1,((SUMIFS(Investors!$M:$M,Investors!$E:$E,Sales!$C227,Investors!$O:$O,FALSE)+SUMIFS(Investors!$S:$S,Investors!$E:$E,Sales!$C227,Investors!$O:$O,FALSE))*$F227)-SUMIFS('Investor Exit List'!$Q:$Q,'Investor Exit List'!$Y:$Y,1,'Investor Exit List'!$Z:$Z,"Release",'Investor Exit List'!$C:$C,Sales!$C227),(SUMIFS(Investors!$M:$M,Investors!$E:$E,Sales!$C227,Investors!$O:$O,FALSE)+SUMIFS(Investors!$S:$S,Investors!$E:$E,Sales!$C227,Investors!$O:$O,FALSE))*$F227)</f>
        <v>0</v>
      </c>
      <c r="S227" s="9">
        <f t="shared" si="10"/>
        <v>902100</v>
      </c>
      <c r="T227" s="3" t="b">
        <v>1</v>
      </c>
      <c r="U227" s="4">
        <v>45504</v>
      </c>
      <c r="V227" s="9">
        <v>902100</v>
      </c>
      <c r="W227" s="10">
        <f>IF(SUMIFS('Cashflow Projection'!$E$117:$E$149,'Cashflow Projection'!$D$117:$D$149,Sales!C227)=1,SUMIFS('Cashflow Projection'!$C$117:$C$149,'Cashflow Projection'!$D$117:$D$149,Sales!C227),+Sales!H227)</f>
        <v>45458</v>
      </c>
      <c r="X227" s="10">
        <f t="shared" si="11"/>
        <v>45504</v>
      </c>
      <c r="Y227" s="10">
        <f t="shared" si="12"/>
        <v>45535</v>
      </c>
      <c r="Z227" t="b">
        <v>0</v>
      </c>
    </row>
    <row r="228" spans="1:26" x14ac:dyDescent="0.2">
      <c r="A228" s="3" t="s">
        <v>992</v>
      </c>
      <c r="B228" s="3" t="s">
        <v>569</v>
      </c>
      <c r="C228" s="3" t="s">
        <v>1042</v>
      </c>
      <c r="D228" s="3" t="b">
        <v>1</v>
      </c>
      <c r="E228" s="3" t="b">
        <v>1</v>
      </c>
      <c r="F228" s="3">
        <f>IF(OR(Z228=TRUE,SUMIFS('Cashflow Projection'!$E$117:$E$149,'Cashflow Projection'!$D$117:$D$149,Sales!C228)=1),0,SUMIFS('Cashflow Projection'!$C$7:$C$23,'Cashflow Projection'!$B$7:$B$23,Sales!B228,'Cashflow Projection'!$A$7:$A$23,Sales!A228))</f>
        <v>0</v>
      </c>
      <c r="G228" s="4">
        <v>44687</v>
      </c>
      <c r="H228" s="4">
        <v>45688</v>
      </c>
      <c r="I228" s="3">
        <v>1499900</v>
      </c>
      <c r="J228" s="3">
        <v>195639.13043478259</v>
      </c>
      <c r="K228" s="3">
        <v>1304260.869565218</v>
      </c>
      <c r="L228" s="3">
        <v>18502.080000000002</v>
      </c>
      <c r="M228" s="3">
        <v>1789</v>
      </c>
      <c r="N228" s="3">
        <v>7499.5</v>
      </c>
      <c r="O228" s="3">
        <v>74995</v>
      </c>
      <c r="P228" s="3">
        <v>19224.37</v>
      </c>
      <c r="Q228" s="3">
        <v>1377890.05</v>
      </c>
      <c r="R228" s="9">
        <f>IF($F228=1,((SUMIFS(Investors!$M:$M,Investors!$E:$E,Sales!$C228,Investors!$O:$O,FALSE)+SUMIFS(Investors!$S:$S,Investors!$E:$E,Sales!$C228,Investors!$O:$O,FALSE))*$F228)-SUMIFS('Investor Exit List'!$Q:$Q,'Investor Exit List'!$Y:$Y,1,'Investor Exit List'!$Z:$Z,"Release",'Investor Exit List'!$C:$C,Sales!$C228),(SUMIFS(Investors!$M:$M,Investors!$E:$E,Sales!$C228,Investors!$O:$O,FALSE)+SUMIFS(Investors!$S:$S,Investors!$E:$E,Sales!$C228,Investors!$O:$O,FALSE))*$F228)</f>
        <v>0</v>
      </c>
      <c r="S228" s="9">
        <f t="shared" si="10"/>
        <v>1377890.05</v>
      </c>
      <c r="T228" s="3" t="b">
        <v>0</v>
      </c>
      <c r="U228" s="4">
        <v>45747</v>
      </c>
      <c r="V228" s="9">
        <v>110728.5592725342</v>
      </c>
      <c r="W228" s="10">
        <f>IF(SUMIFS('Cashflow Projection'!$E$117:$E$149,'Cashflow Projection'!$D$117:$D$149,Sales!C228)=1,SUMIFS('Cashflow Projection'!$C$117:$C$149,'Cashflow Projection'!$D$117:$D$149,Sales!C228),+Sales!H228)</f>
        <v>45688</v>
      </c>
      <c r="X228" s="10">
        <f t="shared" si="11"/>
        <v>45747</v>
      </c>
      <c r="Y228" s="10">
        <f t="shared" si="12"/>
        <v>45777</v>
      </c>
      <c r="Z228" t="b">
        <v>0</v>
      </c>
    </row>
    <row r="229" spans="1:26" x14ac:dyDescent="0.2">
      <c r="A229" s="3" t="s">
        <v>992</v>
      </c>
      <c r="B229" s="3" t="s">
        <v>569</v>
      </c>
      <c r="C229" s="3" t="s">
        <v>1043</v>
      </c>
      <c r="D229" s="3" t="b">
        <v>1</v>
      </c>
      <c r="E229" s="3" t="b">
        <v>1</v>
      </c>
      <c r="F229" s="3">
        <f>IF(OR(Z229=TRUE,SUMIFS('Cashflow Projection'!$E$117:$E$149,'Cashflow Projection'!$D$117:$D$149,Sales!C229)=1),0,SUMIFS('Cashflow Projection'!$C$7:$C$23,'Cashflow Projection'!$B$7:$B$23,Sales!B229,'Cashflow Projection'!$A$7:$A$23,Sales!A229))</f>
        <v>0</v>
      </c>
      <c r="G229" s="4">
        <v>44690</v>
      </c>
      <c r="H229" s="4">
        <v>45688</v>
      </c>
      <c r="I229" s="3">
        <v>1444900</v>
      </c>
      <c r="J229" s="3">
        <v>188465.21739130441</v>
      </c>
      <c r="K229" s="3">
        <v>1256434.782608696</v>
      </c>
      <c r="L229" s="3">
        <v>18502.080000000002</v>
      </c>
      <c r="M229" s="3">
        <v>1789</v>
      </c>
      <c r="N229" s="3">
        <v>7224.5</v>
      </c>
      <c r="O229" s="3">
        <v>72245</v>
      </c>
      <c r="P229" s="3">
        <v>19224.37</v>
      </c>
      <c r="Q229" s="3">
        <v>1325915.05</v>
      </c>
      <c r="R229" s="9">
        <f>IF($F229=1,((SUMIFS(Investors!$M:$M,Investors!$E:$E,Sales!$C229,Investors!$O:$O,FALSE)+SUMIFS(Investors!$S:$S,Investors!$E:$E,Sales!$C229,Investors!$O:$O,FALSE))*$F229)-SUMIFS('Investor Exit List'!$Q:$Q,'Investor Exit List'!$Y:$Y,1,'Investor Exit List'!$Z:$Z,"Release",'Investor Exit List'!$C:$C,Sales!$C229),(SUMIFS(Investors!$M:$M,Investors!$E:$E,Sales!$C229,Investors!$O:$O,FALSE)+SUMIFS(Investors!$S:$S,Investors!$E:$E,Sales!$C229,Investors!$O:$O,FALSE))*$F229)</f>
        <v>0</v>
      </c>
      <c r="S229" s="9">
        <f t="shared" si="10"/>
        <v>1325915.05</v>
      </c>
      <c r="T229" s="3" t="b">
        <v>0</v>
      </c>
      <c r="U229" s="4">
        <v>45747</v>
      </c>
      <c r="V229" s="9">
        <v>119014.2744549997</v>
      </c>
      <c r="W229" s="10">
        <f>IF(SUMIFS('Cashflow Projection'!$E$117:$E$149,'Cashflow Projection'!$D$117:$D$149,Sales!C229)=1,SUMIFS('Cashflow Projection'!$C$117:$C$149,'Cashflow Projection'!$D$117:$D$149,Sales!C229),+Sales!H229)</f>
        <v>45688</v>
      </c>
      <c r="X229" s="10">
        <f t="shared" si="11"/>
        <v>45747</v>
      </c>
      <c r="Y229" s="10">
        <f t="shared" si="12"/>
        <v>45777</v>
      </c>
      <c r="Z229" t="b">
        <v>0</v>
      </c>
    </row>
    <row r="230" spans="1:26" x14ac:dyDescent="0.2">
      <c r="A230" s="3" t="s">
        <v>24</v>
      </c>
      <c r="B230" s="3" t="s">
        <v>209</v>
      </c>
      <c r="C230" s="3" t="s">
        <v>298</v>
      </c>
      <c r="D230" s="3" t="b">
        <v>1</v>
      </c>
      <c r="E230" s="3" t="b">
        <v>1</v>
      </c>
      <c r="F230" s="3">
        <f>IF(OR(Z230=TRUE,SUMIFS('Cashflow Projection'!$E$117:$E$149,'Cashflow Projection'!$D$117:$D$149,Sales!C230)=1),0,SUMIFS('Cashflow Projection'!$C$7:$C$23,'Cashflow Projection'!$B$7:$B$23,Sales!B230,'Cashflow Projection'!$A$7:$A$23,Sales!A230))</f>
        <v>1</v>
      </c>
      <c r="G230" s="4">
        <v>44936</v>
      </c>
      <c r="H230" s="4">
        <v>45688</v>
      </c>
      <c r="I230" s="3">
        <v>1329900</v>
      </c>
      <c r="J230" s="3">
        <v>173465.21739130441</v>
      </c>
      <c r="K230" s="3">
        <v>1156434.782608696</v>
      </c>
      <c r="L230" s="3">
        <v>18502.080000000002</v>
      </c>
      <c r="M230" s="3">
        <v>1789</v>
      </c>
      <c r="N230" s="3">
        <v>6649.5</v>
      </c>
      <c r="O230" s="3">
        <v>66495</v>
      </c>
      <c r="P230" s="3">
        <v>19224.37</v>
      </c>
      <c r="Q230" s="3">
        <v>1217240.05</v>
      </c>
      <c r="R230" s="9">
        <f>IF($F230=1,((SUMIFS(Investors!$M:$M,Investors!$E:$E,Sales!$C230,Investors!$O:$O,FALSE)+SUMIFS(Investors!$S:$S,Investors!$E:$E,Sales!$C230,Investors!$O:$O,FALSE))*$F230)-SUMIFS('Investor Exit List'!$Q:$Q,'Investor Exit List'!$Y:$Y,1,'Investor Exit List'!$Z:$Z,"Release",'Investor Exit List'!$C:$C,Sales!$C230),(SUMIFS(Investors!$M:$M,Investors!$E:$E,Sales!$C230,Investors!$O:$O,FALSE)+SUMIFS(Investors!$S:$S,Investors!$E:$E,Sales!$C230,Investors!$O:$O,FALSE))*$F230)</f>
        <v>187515.4109589041</v>
      </c>
      <c r="S230" s="9">
        <f t="shared" si="10"/>
        <v>1029724.639041096</v>
      </c>
      <c r="T230" s="3" t="b">
        <v>0</v>
      </c>
      <c r="U230" s="4">
        <v>45747</v>
      </c>
      <c r="V230" s="9">
        <v>262275.32397260261</v>
      </c>
      <c r="W230" s="10">
        <f>IF(SUMIFS('Cashflow Projection'!$E$117:$E$149,'Cashflow Projection'!$D$117:$D$149,Sales!C230)=1,SUMIFS('Cashflow Projection'!$C$117:$C$149,'Cashflow Projection'!$D$117:$D$149,Sales!C230),+Sales!H230)</f>
        <v>45688</v>
      </c>
      <c r="X230" s="10">
        <f t="shared" si="11"/>
        <v>45747</v>
      </c>
      <c r="Y230" s="10">
        <f t="shared" si="12"/>
        <v>45777</v>
      </c>
      <c r="Z230" t="b">
        <v>0</v>
      </c>
    </row>
    <row r="231" spans="1:26" x14ac:dyDescent="0.2">
      <c r="A231" s="3" t="s">
        <v>386</v>
      </c>
      <c r="B231" s="3" t="s">
        <v>497</v>
      </c>
      <c r="C231" s="3" t="s">
        <v>526</v>
      </c>
      <c r="D231" s="3" t="b">
        <v>1</v>
      </c>
      <c r="E231" s="3" t="b">
        <v>1</v>
      </c>
      <c r="F231" s="3">
        <f>IF(OR(Z231=TRUE,SUMIFS('Cashflow Projection'!$E$117:$E$149,'Cashflow Projection'!$D$117:$D$149,Sales!C231)=1),0,SUMIFS('Cashflow Projection'!$C$7:$C$23,'Cashflow Projection'!$B$7:$B$23,Sales!B231,'Cashflow Projection'!$A$7:$A$23,Sales!A231))</f>
        <v>1</v>
      </c>
      <c r="G231" s="4">
        <v>45327</v>
      </c>
      <c r="H231" s="4">
        <v>45688</v>
      </c>
      <c r="I231" s="3">
        <v>1589900</v>
      </c>
      <c r="J231" s="3">
        <v>207378.26086956519</v>
      </c>
      <c r="K231" s="3">
        <v>1382521.739130435</v>
      </c>
      <c r="L231" s="3">
        <v>18502.080000000002</v>
      </c>
      <c r="M231" s="3">
        <v>1789</v>
      </c>
      <c r="N231" s="3">
        <v>7949.5</v>
      </c>
      <c r="O231" s="3">
        <v>79495</v>
      </c>
      <c r="P231" s="3">
        <v>19224.37</v>
      </c>
      <c r="Q231" s="3">
        <v>1462940.05</v>
      </c>
      <c r="R231" s="9">
        <f>IF($F231=1,((SUMIFS(Investors!$M:$M,Investors!$E:$E,Sales!$C231,Investors!$O:$O,FALSE)+SUMIFS(Investors!$S:$S,Investors!$E:$E,Sales!$C231,Investors!$O:$O,FALSE))*$F231)-SUMIFS('Investor Exit List'!$Q:$Q,'Investor Exit List'!$Y:$Y,1,'Investor Exit List'!$Z:$Z,"Release",'Investor Exit List'!$C:$C,Sales!$C231),(SUMIFS(Investors!$M:$M,Investors!$E:$E,Sales!$C231,Investors!$O:$O,FALSE)+SUMIFS(Investors!$S:$S,Investors!$E:$E,Sales!$C231,Investors!$O:$O,FALSE))*$F231)</f>
        <v>0</v>
      </c>
      <c r="S231" s="9">
        <f t="shared" si="10"/>
        <v>1462940.05</v>
      </c>
      <c r="T231" s="3" t="b">
        <v>0</v>
      </c>
      <c r="U231" s="4">
        <v>45747</v>
      </c>
      <c r="V231" s="9">
        <v>167242.54105232871</v>
      </c>
      <c r="W231" s="10">
        <f>IF(SUMIFS('Cashflow Projection'!$E$117:$E$149,'Cashflow Projection'!$D$117:$D$149,Sales!C231)=1,SUMIFS('Cashflow Projection'!$C$117:$C$149,'Cashflow Projection'!$D$117:$D$149,Sales!C231),+Sales!H231)</f>
        <v>45688</v>
      </c>
      <c r="X231" s="10">
        <f t="shared" si="11"/>
        <v>45747</v>
      </c>
      <c r="Y231" s="10">
        <f t="shared" si="12"/>
        <v>45777</v>
      </c>
      <c r="Z231" t="b">
        <v>0</v>
      </c>
    </row>
    <row r="232" spans="1:26" x14ac:dyDescent="0.2">
      <c r="A232" s="3" t="s">
        <v>386</v>
      </c>
      <c r="B232" s="3" t="s">
        <v>628</v>
      </c>
      <c r="C232" s="3" t="s">
        <v>670</v>
      </c>
      <c r="D232" s="3" t="b">
        <v>0</v>
      </c>
      <c r="E232" s="3" t="b">
        <v>0</v>
      </c>
      <c r="F232" s="3">
        <f>IF(OR(Z232=TRUE,SUMIFS('Cashflow Projection'!$E$117:$E$149,'Cashflow Projection'!$D$117:$D$149,Sales!C232)=1),0,SUMIFS('Cashflow Projection'!$C$7:$C$23,'Cashflow Projection'!$B$7:$B$23,Sales!B232,'Cashflow Projection'!$A$7:$A$23,Sales!A232))</f>
        <v>0</v>
      </c>
      <c r="G232" s="4">
        <v>45523</v>
      </c>
      <c r="H232" s="4">
        <v>45532</v>
      </c>
      <c r="I232" s="3">
        <v>1499900</v>
      </c>
      <c r="J232" s="3">
        <v>195639.13043478259</v>
      </c>
      <c r="K232" s="3">
        <v>1304260.869565218</v>
      </c>
      <c r="L232" s="3">
        <v>18502.080000000002</v>
      </c>
      <c r="M232" s="3">
        <v>1789</v>
      </c>
      <c r="N232" s="3">
        <v>7499.5</v>
      </c>
      <c r="O232" s="3">
        <v>74995</v>
      </c>
      <c r="P232" s="3">
        <v>19224.37</v>
      </c>
      <c r="Q232" s="3">
        <v>1377890.05</v>
      </c>
      <c r="R232" s="9">
        <f>IF($F232=1,((SUMIFS(Investors!$M:$M,Investors!$E:$E,Sales!$C232,Investors!$O:$O,FALSE)+SUMIFS(Investors!$S:$S,Investors!$E:$E,Sales!$C232,Investors!$O:$O,FALSE))*$F232)-SUMIFS('Investor Exit List'!$Q:$Q,'Investor Exit List'!$Y:$Y,1,'Investor Exit List'!$Z:$Z,"Release",'Investor Exit List'!$C:$C,Sales!$C232),(SUMIFS(Investors!$M:$M,Investors!$E:$E,Sales!$C232,Investors!$O:$O,FALSE)+SUMIFS(Investors!$S:$S,Investors!$E:$E,Sales!$C232,Investors!$O:$O,FALSE))*$F232)</f>
        <v>0</v>
      </c>
      <c r="S232" s="9">
        <f t="shared" si="10"/>
        <v>1377890.05</v>
      </c>
      <c r="T232" s="3" t="b">
        <v>0</v>
      </c>
      <c r="U232" s="4">
        <v>45565</v>
      </c>
      <c r="V232" s="9">
        <v>57618.81712328759</v>
      </c>
      <c r="W232" s="10">
        <f>IF(SUMIFS('Cashflow Projection'!$E$117:$E$149,'Cashflow Projection'!$D$117:$D$149,Sales!C232)=1,SUMIFS('Cashflow Projection'!$C$117:$C$149,'Cashflow Projection'!$D$117:$D$149,Sales!C232),+Sales!H232)</f>
        <v>45532</v>
      </c>
      <c r="X232" s="10">
        <f t="shared" si="11"/>
        <v>45565</v>
      </c>
      <c r="Y232" s="10">
        <f t="shared" si="12"/>
        <v>45596</v>
      </c>
      <c r="Z232" t="b">
        <v>0</v>
      </c>
    </row>
    <row r="233" spans="1:26" x14ac:dyDescent="0.2">
      <c r="A233" s="3" t="s">
        <v>386</v>
      </c>
      <c r="B233" s="3" t="s">
        <v>811</v>
      </c>
      <c r="C233" s="3" t="s">
        <v>818</v>
      </c>
      <c r="D233" s="3" t="b">
        <v>0</v>
      </c>
      <c r="E233" s="3" t="b">
        <v>0</v>
      </c>
      <c r="F233" s="3">
        <f>IF(OR(Z233=TRUE,SUMIFS('Cashflow Projection'!$E$117:$E$149,'Cashflow Projection'!$D$117:$D$149,Sales!C233)=1),0,SUMIFS('Cashflow Projection'!$C$7:$C$23,'Cashflow Projection'!$B$7:$B$23,Sales!B233,'Cashflow Projection'!$A$7:$A$23,Sales!A233))</f>
        <v>0</v>
      </c>
      <c r="G233" s="4">
        <v>45450</v>
      </c>
      <c r="H233" s="4">
        <v>45583</v>
      </c>
      <c r="I233" s="3">
        <v>1699900</v>
      </c>
      <c r="J233" s="3">
        <v>221726.0869565217</v>
      </c>
      <c r="K233" s="3">
        <v>1478173.913043478</v>
      </c>
      <c r="L233" s="3">
        <v>18502.080000000002</v>
      </c>
      <c r="M233" s="3">
        <v>1789</v>
      </c>
      <c r="N233" s="3">
        <v>8499.5</v>
      </c>
      <c r="O233" s="3">
        <v>84995</v>
      </c>
      <c r="P233" s="3">
        <v>19224.37</v>
      </c>
      <c r="Q233" s="3">
        <v>1566890.05</v>
      </c>
      <c r="R233" s="9">
        <f>IF($F233=1,((SUMIFS(Investors!$M:$M,Investors!$E:$E,Sales!$C233,Investors!$O:$O,FALSE)+SUMIFS(Investors!$S:$S,Investors!$E:$E,Sales!$C233,Investors!$O:$O,FALSE))*$F233)-SUMIFS('Investor Exit List'!$Q:$Q,'Investor Exit List'!$Y:$Y,1,'Investor Exit List'!$Z:$Z,"Release",'Investor Exit List'!$C:$C,Sales!$C233),(SUMIFS(Investors!$M:$M,Investors!$E:$E,Sales!$C233,Investors!$O:$O,FALSE)+SUMIFS(Investors!$S:$S,Investors!$E:$E,Sales!$C233,Investors!$O:$O,FALSE))*$F233)</f>
        <v>0</v>
      </c>
      <c r="S233" s="9">
        <f t="shared" si="10"/>
        <v>1566890.05</v>
      </c>
      <c r="T233" s="3" t="b">
        <v>0</v>
      </c>
      <c r="U233" s="4">
        <v>45626</v>
      </c>
      <c r="V233" s="9">
        <v>282753.06369862979</v>
      </c>
      <c r="W233" s="10">
        <f>IF(SUMIFS('Cashflow Projection'!$E$117:$E$149,'Cashflow Projection'!$D$117:$D$149,Sales!C233)=1,SUMIFS('Cashflow Projection'!$C$117:$C$149,'Cashflow Projection'!$D$117:$D$149,Sales!C233),+Sales!H233)</f>
        <v>45583</v>
      </c>
      <c r="X233" s="10">
        <f t="shared" si="11"/>
        <v>45626</v>
      </c>
      <c r="Y233" s="10">
        <f t="shared" si="12"/>
        <v>45657</v>
      </c>
      <c r="Z233" t="b">
        <v>0</v>
      </c>
    </row>
    <row r="234" spans="1:26" x14ac:dyDescent="0.2">
      <c r="A234" s="3" t="s">
        <v>386</v>
      </c>
      <c r="B234" s="3" t="s">
        <v>750</v>
      </c>
      <c r="C234" s="3" t="s">
        <v>756</v>
      </c>
      <c r="D234" s="3" t="b">
        <v>0</v>
      </c>
      <c r="E234" s="3" t="b">
        <v>0</v>
      </c>
      <c r="F234" s="3">
        <f>IF(OR(Z234=TRUE,SUMIFS('Cashflow Projection'!$E$117:$E$149,'Cashflow Projection'!$D$117:$D$149,Sales!C234)=1),0,SUMIFS('Cashflow Projection'!$C$7:$C$23,'Cashflow Projection'!$B$7:$B$23,Sales!B234,'Cashflow Projection'!$A$7:$A$23,Sales!A234))</f>
        <v>0</v>
      </c>
      <c r="G234" s="4">
        <v>45510</v>
      </c>
      <c r="H234" s="4">
        <v>45625</v>
      </c>
      <c r="I234" s="3">
        <v>1499900</v>
      </c>
      <c r="J234" s="3">
        <v>195639.13043478259</v>
      </c>
      <c r="K234" s="3">
        <v>1304260.869565218</v>
      </c>
      <c r="L234" s="3">
        <v>18502.080000000002</v>
      </c>
      <c r="M234" s="3">
        <v>1789</v>
      </c>
      <c r="N234" s="3">
        <v>7499.5</v>
      </c>
      <c r="O234" s="3">
        <v>74995</v>
      </c>
      <c r="P234" s="3">
        <v>19224.37</v>
      </c>
      <c r="Q234" s="3">
        <v>1377890.05</v>
      </c>
      <c r="R234" s="9">
        <f>IF($F234=1,((SUMIFS(Investors!$M:$M,Investors!$E:$E,Sales!$C234,Investors!$O:$O,FALSE)+SUMIFS(Investors!$S:$S,Investors!$E:$E,Sales!$C234,Investors!$O:$O,FALSE))*$F234)-SUMIFS('Investor Exit List'!$Q:$Q,'Investor Exit List'!$Y:$Y,1,'Investor Exit List'!$Z:$Z,"Release",'Investor Exit List'!$C:$C,Sales!$C234),(SUMIFS(Investors!$M:$M,Investors!$E:$E,Sales!$C234,Investors!$O:$O,FALSE)+SUMIFS(Investors!$S:$S,Investors!$E:$E,Sales!$C234,Investors!$O:$O,FALSE))*$F234)</f>
        <v>0</v>
      </c>
      <c r="S234" s="9">
        <f t="shared" si="10"/>
        <v>1377890.05</v>
      </c>
      <c r="T234" s="3" t="b">
        <v>0</v>
      </c>
      <c r="U234" s="4">
        <v>45688</v>
      </c>
      <c r="V234" s="9">
        <v>-58370.908904109849</v>
      </c>
      <c r="W234" s="10">
        <f>IF(SUMIFS('Cashflow Projection'!$E$117:$E$149,'Cashflow Projection'!$D$117:$D$149,Sales!C234)=1,SUMIFS('Cashflow Projection'!$C$117:$C$149,'Cashflow Projection'!$D$117:$D$149,Sales!C234),+Sales!H234)</f>
        <v>45625</v>
      </c>
      <c r="X234" s="10">
        <f t="shared" si="11"/>
        <v>45688</v>
      </c>
      <c r="Y234" s="10">
        <f t="shared" si="12"/>
        <v>45716</v>
      </c>
      <c r="Z234" t="b">
        <v>0</v>
      </c>
    </row>
    <row r="235" spans="1:26" x14ac:dyDescent="0.2">
      <c r="A235" s="3" t="s">
        <v>386</v>
      </c>
      <c r="B235" s="3" t="s">
        <v>628</v>
      </c>
      <c r="C235" s="3" t="s">
        <v>643</v>
      </c>
      <c r="D235" s="3" t="b">
        <v>0</v>
      </c>
      <c r="E235" s="3" t="b">
        <v>0</v>
      </c>
      <c r="F235" s="3">
        <f>IF(OR(Z235=TRUE,SUMIFS('Cashflow Projection'!$E$117:$E$149,'Cashflow Projection'!$D$117:$D$149,Sales!C235)=1),0,SUMIFS('Cashflow Projection'!$C$7:$C$23,'Cashflow Projection'!$B$7:$B$23,Sales!B235,'Cashflow Projection'!$A$7:$A$23,Sales!A235))</f>
        <v>0</v>
      </c>
      <c r="G235" s="4">
        <v>45523</v>
      </c>
      <c r="H235" s="4">
        <v>45532</v>
      </c>
      <c r="I235" s="3">
        <v>1649900</v>
      </c>
      <c r="J235" s="3">
        <v>215204.34782608689</v>
      </c>
      <c r="K235" s="3">
        <v>1434695.6521739131</v>
      </c>
      <c r="L235" s="3">
        <v>18502.080000000002</v>
      </c>
      <c r="M235" s="3">
        <v>1789</v>
      </c>
      <c r="N235" s="3">
        <v>8249.5</v>
      </c>
      <c r="O235" s="3">
        <v>82495</v>
      </c>
      <c r="P235" s="3">
        <v>19224.37</v>
      </c>
      <c r="Q235" s="3">
        <v>1519640.05</v>
      </c>
      <c r="R235" s="9">
        <f>IF($F235=1,((SUMIFS(Investors!$M:$M,Investors!$E:$E,Sales!$C235,Investors!$O:$O,FALSE)+SUMIFS(Investors!$S:$S,Investors!$E:$E,Sales!$C235,Investors!$O:$O,FALSE))*$F235)-SUMIFS('Investor Exit List'!$Q:$Q,'Investor Exit List'!$Y:$Y,1,'Investor Exit List'!$Z:$Z,"Release",'Investor Exit List'!$C:$C,Sales!$C235),(SUMIFS(Investors!$M:$M,Investors!$E:$E,Sales!$C235,Investors!$O:$O,FALSE)+SUMIFS(Investors!$S:$S,Investors!$E:$E,Sales!$C235,Investors!$O:$O,FALSE))*$F235)</f>
        <v>0</v>
      </c>
      <c r="S235" s="9">
        <f t="shared" si="10"/>
        <v>1519640.05</v>
      </c>
      <c r="T235" s="3" t="b">
        <v>0</v>
      </c>
      <c r="U235" s="4">
        <v>45565</v>
      </c>
      <c r="V235" s="9">
        <v>169984.74909862989</v>
      </c>
      <c r="W235" s="10">
        <f>IF(SUMIFS('Cashflow Projection'!$E$117:$E$149,'Cashflow Projection'!$D$117:$D$149,Sales!C235)=1,SUMIFS('Cashflow Projection'!$C$117:$C$149,'Cashflow Projection'!$D$117:$D$149,Sales!C235),+Sales!H235)</f>
        <v>45532</v>
      </c>
      <c r="X235" s="10">
        <f t="shared" si="11"/>
        <v>45565</v>
      </c>
      <c r="Y235" s="10">
        <f t="shared" si="12"/>
        <v>45596</v>
      </c>
      <c r="Z235" t="b">
        <v>0</v>
      </c>
    </row>
    <row r="236" spans="1:26" x14ac:dyDescent="0.2">
      <c r="A236" s="3" t="s">
        <v>386</v>
      </c>
      <c r="B236" s="3" t="s">
        <v>750</v>
      </c>
      <c r="C236" s="3" t="s">
        <v>751</v>
      </c>
      <c r="D236" s="3" t="b">
        <v>0</v>
      </c>
      <c r="E236" s="3" t="b">
        <v>0</v>
      </c>
      <c r="F236" s="3">
        <f>IF(OR(Z236=TRUE,SUMIFS('Cashflow Projection'!$E$117:$E$149,'Cashflow Projection'!$D$117:$D$149,Sales!C236)=1),0,SUMIFS('Cashflow Projection'!$C$7:$C$23,'Cashflow Projection'!$B$7:$B$23,Sales!B236,'Cashflow Projection'!$A$7:$A$23,Sales!A236))</f>
        <v>0</v>
      </c>
      <c r="G236" s="4">
        <v>45510</v>
      </c>
      <c r="H236" s="4">
        <v>45625</v>
      </c>
      <c r="I236" s="3">
        <v>1739900</v>
      </c>
      <c r="J236" s="3">
        <v>226943.4782608696</v>
      </c>
      <c r="K236" s="3">
        <v>1512956.5217391311</v>
      </c>
      <c r="L236" s="3">
        <v>18502.080000000002</v>
      </c>
      <c r="M236" s="3">
        <v>1789</v>
      </c>
      <c r="N236" s="3">
        <v>8699.5</v>
      </c>
      <c r="O236" s="3">
        <v>86995</v>
      </c>
      <c r="P236" s="3">
        <v>19224.37</v>
      </c>
      <c r="Q236" s="3">
        <v>1604690.05</v>
      </c>
      <c r="R236" s="9">
        <f>IF($F236=1,((SUMIFS(Investors!$M:$M,Investors!$E:$E,Sales!$C236,Investors!$O:$O,FALSE)+SUMIFS(Investors!$S:$S,Investors!$E:$E,Sales!$C236,Investors!$O:$O,FALSE))*$F236)-SUMIFS('Investor Exit List'!$Q:$Q,'Investor Exit List'!$Y:$Y,1,'Investor Exit List'!$Z:$Z,"Release",'Investor Exit List'!$C:$C,Sales!$C236),(SUMIFS(Investors!$M:$M,Investors!$E:$E,Sales!$C236,Investors!$O:$O,FALSE)+SUMIFS(Investors!$S:$S,Investors!$E:$E,Sales!$C236,Investors!$O:$O,FALSE))*$F236)</f>
        <v>0</v>
      </c>
      <c r="S236" s="9">
        <f t="shared" si="10"/>
        <v>1604690.05</v>
      </c>
      <c r="T236" s="3" t="b">
        <v>0</v>
      </c>
      <c r="U236" s="4">
        <v>45688</v>
      </c>
      <c r="V236" s="9">
        <v>166688.68013698611</v>
      </c>
      <c r="W236" s="10">
        <f>IF(SUMIFS('Cashflow Projection'!$E$117:$E$149,'Cashflow Projection'!$D$117:$D$149,Sales!C236)=1,SUMIFS('Cashflow Projection'!$C$117:$C$149,'Cashflow Projection'!$D$117:$D$149,Sales!C236),+Sales!H236)</f>
        <v>45625</v>
      </c>
      <c r="X236" s="10">
        <f t="shared" si="11"/>
        <v>45688</v>
      </c>
      <c r="Y236" s="10">
        <f t="shared" si="12"/>
        <v>45716</v>
      </c>
      <c r="Z236" t="b">
        <v>0</v>
      </c>
    </row>
    <row r="237" spans="1:26" x14ac:dyDescent="0.2">
      <c r="A237" s="3" t="s">
        <v>386</v>
      </c>
      <c r="B237" s="3" t="s">
        <v>854</v>
      </c>
      <c r="C237" s="3" t="s">
        <v>859</v>
      </c>
      <c r="D237" s="3" t="b">
        <v>1</v>
      </c>
      <c r="E237" s="3" t="b">
        <v>0</v>
      </c>
      <c r="F237" s="3">
        <f>IF(OR(Z237=TRUE,SUMIFS('Cashflow Projection'!$E$117:$E$149,'Cashflow Projection'!$D$117:$D$149,Sales!C237)=1),0,SUMIFS('Cashflow Projection'!$C$7:$C$23,'Cashflow Projection'!$B$7:$B$23,Sales!B237,'Cashflow Projection'!$A$7:$A$23,Sales!A237))</f>
        <v>0</v>
      </c>
      <c r="G237" s="4">
        <v>45518</v>
      </c>
      <c r="H237" s="4">
        <v>45518</v>
      </c>
      <c r="I237" s="3">
        <v>1659900</v>
      </c>
      <c r="J237" s="3">
        <v>216508.69565217389</v>
      </c>
      <c r="K237" s="3">
        <v>1443391.3043478259</v>
      </c>
      <c r="L237" s="3">
        <v>18502.080000000002</v>
      </c>
      <c r="M237" s="3">
        <v>1789</v>
      </c>
      <c r="N237" s="3">
        <v>8299.5</v>
      </c>
      <c r="O237" s="3">
        <v>82995</v>
      </c>
      <c r="P237" s="3">
        <v>19224.37</v>
      </c>
      <c r="Q237" s="3">
        <v>1529090.05</v>
      </c>
      <c r="R237" s="9">
        <f>IF($F237=1,((SUMIFS(Investors!$M:$M,Investors!$E:$E,Sales!$C237,Investors!$O:$O,FALSE)+SUMIFS(Investors!$S:$S,Investors!$E:$E,Sales!$C237,Investors!$O:$O,FALSE))*$F237)-SUMIFS('Investor Exit List'!$Q:$Q,'Investor Exit List'!$Y:$Y,1,'Investor Exit List'!$Z:$Z,"Release",'Investor Exit List'!$C:$C,Sales!$C237),(SUMIFS(Investors!$M:$M,Investors!$E:$E,Sales!$C237,Investors!$O:$O,FALSE)+SUMIFS(Investors!$S:$S,Investors!$E:$E,Sales!$C237,Investors!$O:$O,FALSE))*$F237)</f>
        <v>0</v>
      </c>
      <c r="S237" s="9">
        <f t="shared" si="10"/>
        <v>1529090.05</v>
      </c>
      <c r="T237" s="3" t="b">
        <v>0</v>
      </c>
      <c r="U237" s="4">
        <v>45565</v>
      </c>
      <c r="V237" s="9">
        <v>114546.55024267131</v>
      </c>
      <c r="W237" s="10">
        <f>IF(SUMIFS('Cashflow Projection'!$E$117:$E$149,'Cashflow Projection'!$D$117:$D$149,Sales!C237)=1,SUMIFS('Cashflow Projection'!$C$117:$C$149,'Cashflow Projection'!$D$117:$D$149,Sales!C237),+Sales!H237)</f>
        <v>45518</v>
      </c>
      <c r="X237" s="10">
        <f t="shared" si="11"/>
        <v>45565</v>
      </c>
      <c r="Y237" s="10">
        <f t="shared" si="12"/>
        <v>45596</v>
      </c>
      <c r="Z237" t="b">
        <v>0</v>
      </c>
    </row>
    <row r="238" spans="1:26" x14ac:dyDescent="0.2">
      <c r="A238" s="3" t="s">
        <v>386</v>
      </c>
      <c r="B238" s="3" t="s">
        <v>675</v>
      </c>
      <c r="C238" s="3" t="s">
        <v>682</v>
      </c>
      <c r="D238" s="3" t="b">
        <v>1</v>
      </c>
      <c r="E238" s="3" t="b">
        <v>0</v>
      </c>
      <c r="F238" s="3">
        <f>IF(OR(Z238=TRUE,SUMIFS('Cashflow Projection'!$E$117:$E$149,'Cashflow Projection'!$D$117:$D$149,Sales!C238)=1),0,SUMIFS('Cashflow Projection'!$C$7:$C$23,'Cashflow Projection'!$B$7:$B$23,Sales!B238,'Cashflow Projection'!$A$7:$A$23,Sales!A238))</f>
        <v>1</v>
      </c>
      <c r="G238" s="4">
        <v>45490</v>
      </c>
      <c r="H238" s="4">
        <v>45490</v>
      </c>
      <c r="I238" s="3">
        <v>1707999</v>
      </c>
      <c r="J238" s="3">
        <v>222782.4782608696</v>
      </c>
      <c r="K238" s="3">
        <v>1485216.5217391311</v>
      </c>
      <c r="L238" s="3">
        <v>18502.080000000002</v>
      </c>
      <c r="M238" s="3">
        <v>1789</v>
      </c>
      <c r="N238" s="3">
        <v>8539.9950000000008</v>
      </c>
      <c r="O238" s="3">
        <v>85399.950000000012</v>
      </c>
      <c r="P238" s="3">
        <v>19224.37</v>
      </c>
      <c r="Q238" s="3">
        <v>1574543.605</v>
      </c>
      <c r="R238" s="9">
        <f>IF($F238=1,((SUMIFS(Investors!$M:$M,Investors!$E:$E,Sales!$C238,Investors!$O:$O,FALSE)+SUMIFS(Investors!$S:$S,Investors!$E:$E,Sales!$C238,Investors!$O:$O,FALSE))*$F238)-SUMIFS('Investor Exit List'!$Q:$Q,'Investor Exit List'!$Y:$Y,1,'Investor Exit List'!$Z:$Z,"Release",'Investor Exit List'!$C:$C,Sales!$C238),(SUMIFS(Investors!$M:$M,Investors!$E:$E,Sales!$C238,Investors!$O:$O,FALSE)+SUMIFS(Investors!$S:$S,Investors!$E:$E,Sales!$C238,Investors!$O:$O,FALSE))*$F238)</f>
        <v>1224013.6986301369</v>
      </c>
      <c r="S238" s="9">
        <f t="shared" si="10"/>
        <v>350529.90636986308</v>
      </c>
      <c r="T238" s="3" t="b">
        <v>0</v>
      </c>
      <c r="U238" s="4">
        <v>45565</v>
      </c>
      <c r="V238" s="9">
        <v>350529.90636986279</v>
      </c>
      <c r="W238" s="10">
        <f>IF(SUMIFS('Cashflow Projection'!$E$117:$E$149,'Cashflow Projection'!$D$117:$D$149,Sales!C238)=1,SUMIFS('Cashflow Projection'!$C$117:$C$149,'Cashflow Projection'!$D$117:$D$149,Sales!C238),+Sales!H238)</f>
        <v>45490</v>
      </c>
      <c r="X238" s="10">
        <f t="shared" si="11"/>
        <v>45565</v>
      </c>
      <c r="Y238" s="10">
        <f t="shared" si="12"/>
        <v>45596</v>
      </c>
      <c r="Z238" t="b">
        <v>0</v>
      </c>
    </row>
    <row r="239" spans="1:26" x14ac:dyDescent="0.2">
      <c r="A239" s="3" t="s">
        <v>386</v>
      </c>
      <c r="B239" s="3" t="s">
        <v>854</v>
      </c>
      <c r="C239" s="3" t="s">
        <v>855</v>
      </c>
      <c r="D239" s="3" t="b">
        <v>1</v>
      </c>
      <c r="E239" s="3" t="b">
        <v>0</v>
      </c>
      <c r="F239" s="3">
        <f>IF(OR(Z239=TRUE,SUMIFS('Cashflow Projection'!$E$117:$E$149,'Cashflow Projection'!$D$117:$D$149,Sales!C239)=1),0,SUMIFS('Cashflow Projection'!$C$7:$C$23,'Cashflow Projection'!$B$7:$B$23,Sales!B239,'Cashflow Projection'!$A$7:$A$23,Sales!A239))</f>
        <v>0</v>
      </c>
      <c r="G239" s="4">
        <v>45518</v>
      </c>
      <c r="H239" s="4">
        <v>45518</v>
      </c>
      <c r="I239" s="3">
        <v>1659900</v>
      </c>
      <c r="J239" s="3">
        <v>216508.69565217389</v>
      </c>
      <c r="K239" s="3">
        <v>1443391.3043478259</v>
      </c>
      <c r="L239" s="3">
        <v>18502.080000000002</v>
      </c>
      <c r="M239" s="3">
        <v>1789</v>
      </c>
      <c r="N239" s="3">
        <v>8299.5</v>
      </c>
      <c r="O239" s="3">
        <v>82995</v>
      </c>
      <c r="P239" s="3">
        <v>19224.37</v>
      </c>
      <c r="Q239" s="3">
        <v>1529090.05</v>
      </c>
      <c r="R239" s="9">
        <f>IF($F239=1,((SUMIFS(Investors!$M:$M,Investors!$E:$E,Sales!$C239,Investors!$O:$O,FALSE)+SUMIFS(Investors!$S:$S,Investors!$E:$E,Sales!$C239,Investors!$O:$O,FALSE))*$F239)-SUMIFS('Investor Exit List'!$Q:$Q,'Investor Exit List'!$Y:$Y,1,'Investor Exit List'!$Z:$Z,"Release",'Investor Exit List'!$C:$C,Sales!$C239),(SUMIFS(Investors!$M:$M,Investors!$E:$E,Sales!$C239,Investors!$O:$O,FALSE)+SUMIFS(Investors!$S:$S,Investors!$E:$E,Sales!$C239,Investors!$O:$O,FALSE))*$F239)</f>
        <v>0</v>
      </c>
      <c r="S239" s="9">
        <f t="shared" si="10"/>
        <v>1529090.05</v>
      </c>
      <c r="T239" s="3" t="b">
        <v>0</v>
      </c>
      <c r="U239" s="4">
        <v>45565</v>
      </c>
      <c r="V239" s="9">
        <v>161468.49966561611</v>
      </c>
      <c r="W239" s="10">
        <f>IF(SUMIFS('Cashflow Projection'!$E$117:$E$149,'Cashflow Projection'!$D$117:$D$149,Sales!C239)=1,SUMIFS('Cashflow Projection'!$C$117:$C$149,'Cashflow Projection'!$D$117:$D$149,Sales!C239),+Sales!H239)</f>
        <v>45518</v>
      </c>
      <c r="X239" s="10">
        <f t="shared" si="11"/>
        <v>45565</v>
      </c>
      <c r="Y239" s="10">
        <f t="shared" si="12"/>
        <v>45596</v>
      </c>
      <c r="Z239" t="b">
        <v>0</v>
      </c>
    </row>
    <row r="240" spans="1:26" x14ac:dyDescent="0.2">
      <c r="A240" s="3" t="s">
        <v>386</v>
      </c>
      <c r="B240" s="3" t="s">
        <v>598</v>
      </c>
      <c r="C240" s="3" t="s">
        <v>599</v>
      </c>
      <c r="D240" s="3" t="b">
        <v>0</v>
      </c>
      <c r="E240" s="3" t="b">
        <v>0</v>
      </c>
      <c r="F240" s="3">
        <f>IF(OR(Z240=TRUE,SUMIFS('Cashflow Projection'!$E$117:$E$149,'Cashflow Projection'!$D$117:$D$149,Sales!C240)=1),0,SUMIFS('Cashflow Projection'!$C$7:$C$23,'Cashflow Projection'!$B$7:$B$23,Sales!B240,'Cashflow Projection'!$A$7:$A$23,Sales!A240))</f>
        <v>0</v>
      </c>
      <c r="G240" s="4">
        <v>45517</v>
      </c>
      <c r="H240" s="4">
        <v>45722</v>
      </c>
      <c r="I240" s="3">
        <v>1619900</v>
      </c>
      <c r="J240" s="3">
        <v>211291.30434782611</v>
      </c>
      <c r="K240" s="3">
        <v>1408608.6956521741</v>
      </c>
      <c r="L240" s="3">
        <v>18502.080000000002</v>
      </c>
      <c r="M240" s="3">
        <v>1789</v>
      </c>
      <c r="N240" s="3">
        <v>8099.5</v>
      </c>
      <c r="O240" s="3">
        <v>80995</v>
      </c>
      <c r="P240" s="3">
        <v>19224.37</v>
      </c>
      <c r="Q240" s="3">
        <v>1491290.05</v>
      </c>
      <c r="R240" s="9">
        <f>IF($F240=1,((SUMIFS(Investors!$M:$M,Investors!$E:$E,Sales!$C240,Investors!$O:$O,FALSE)+SUMIFS(Investors!$S:$S,Investors!$E:$E,Sales!$C240,Investors!$O:$O,FALSE))*$F240)-SUMIFS('Investor Exit List'!$Q:$Q,'Investor Exit List'!$Y:$Y,1,'Investor Exit List'!$Z:$Z,"Release",'Investor Exit List'!$C:$C,Sales!$C240),(SUMIFS(Investors!$M:$M,Investors!$E:$E,Sales!$C240,Investors!$O:$O,FALSE)+SUMIFS(Investors!$S:$S,Investors!$E:$E,Sales!$C240,Investors!$O:$O,FALSE))*$F240)</f>
        <v>0</v>
      </c>
      <c r="S240" s="9">
        <f t="shared" si="10"/>
        <v>1491290.05</v>
      </c>
      <c r="T240" s="3" t="b">
        <v>0</v>
      </c>
      <c r="U240" s="4">
        <v>45808</v>
      </c>
      <c r="V240" s="9">
        <v>279221.24839424639</v>
      </c>
      <c r="W240" s="10">
        <f>IF(SUMIFS('Cashflow Projection'!$E$117:$E$149,'Cashflow Projection'!$D$117:$D$149,Sales!C240)=1,SUMIFS('Cashflow Projection'!$C$117:$C$149,'Cashflow Projection'!$D$117:$D$149,Sales!C240),+Sales!H240)</f>
        <v>45722</v>
      </c>
      <c r="X240" s="10">
        <f t="shared" si="11"/>
        <v>45808</v>
      </c>
      <c r="Y240" s="10">
        <f t="shared" si="12"/>
        <v>45838</v>
      </c>
      <c r="Z240" t="b">
        <v>0</v>
      </c>
    </row>
    <row r="241" spans="1:26" x14ac:dyDescent="0.2">
      <c r="A241" s="3" t="s">
        <v>386</v>
      </c>
      <c r="B241" s="3" t="s">
        <v>628</v>
      </c>
      <c r="C241" s="3" t="s">
        <v>662</v>
      </c>
      <c r="D241" s="3" t="b">
        <v>0</v>
      </c>
      <c r="E241" s="3" t="b">
        <v>0</v>
      </c>
      <c r="F241" s="3">
        <f>IF(OR(Z241=TRUE,SUMIFS('Cashflow Projection'!$E$117:$E$149,'Cashflow Projection'!$D$117:$D$149,Sales!C241)=1),0,SUMIFS('Cashflow Projection'!$C$7:$C$23,'Cashflow Projection'!$B$7:$B$23,Sales!B241,'Cashflow Projection'!$A$7:$A$23,Sales!A241))</f>
        <v>0</v>
      </c>
      <c r="G241" s="4">
        <v>45523</v>
      </c>
      <c r="H241" s="4">
        <v>45532</v>
      </c>
      <c r="I241" s="3">
        <v>1499900</v>
      </c>
      <c r="J241" s="3">
        <v>195639.13043478259</v>
      </c>
      <c r="K241" s="3">
        <v>1304260.869565218</v>
      </c>
      <c r="L241" s="3">
        <v>18502.080000000002</v>
      </c>
      <c r="M241" s="3">
        <v>1789</v>
      </c>
      <c r="N241" s="3">
        <v>7499.5</v>
      </c>
      <c r="O241" s="3">
        <v>74995</v>
      </c>
      <c r="P241" s="3">
        <v>19224.37</v>
      </c>
      <c r="Q241" s="3">
        <v>1377890.05</v>
      </c>
      <c r="R241" s="9">
        <f>IF($F241=1,((SUMIFS(Investors!$M:$M,Investors!$E:$E,Sales!$C241,Investors!$O:$O,FALSE)+SUMIFS(Investors!$S:$S,Investors!$E:$E,Sales!$C241,Investors!$O:$O,FALSE))*$F241)-SUMIFS('Investor Exit List'!$Q:$Q,'Investor Exit List'!$Y:$Y,1,'Investor Exit List'!$Z:$Z,"Release",'Investor Exit List'!$C:$C,Sales!$C241),(SUMIFS(Investors!$M:$M,Investors!$E:$E,Sales!$C241,Investors!$O:$O,FALSE)+SUMIFS(Investors!$S:$S,Investors!$E:$E,Sales!$C241,Investors!$O:$O,FALSE))*$F241)</f>
        <v>0</v>
      </c>
      <c r="S241" s="9">
        <f t="shared" si="10"/>
        <v>1377890.05</v>
      </c>
      <c r="T241" s="3" t="b">
        <v>0</v>
      </c>
      <c r="U241" s="4">
        <v>45565</v>
      </c>
      <c r="V241" s="9">
        <v>64244.84452054766</v>
      </c>
      <c r="W241" s="10">
        <f>IF(SUMIFS('Cashflow Projection'!$E$117:$E$149,'Cashflow Projection'!$D$117:$D$149,Sales!C241)=1,SUMIFS('Cashflow Projection'!$C$117:$C$149,'Cashflow Projection'!$D$117:$D$149,Sales!C241),+Sales!H241)</f>
        <v>45532</v>
      </c>
      <c r="X241" s="10">
        <f t="shared" si="11"/>
        <v>45565</v>
      </c>
      <c r="Y241" s="10">
        <f t="shared" si="12"/>
        <v>45596</v>
      </c>
      <c r="Z241" t="b">
        <v>0</v>
      </c>
    </row>
    <row r="242" spans="1:26" x14ac:dyDescent="0.2">
      <c r="A242" s="3" t="s">
        <v>386</v>
      </c>
      <c r="B242" s="3" t="s">
        <v>854</v>
      </c>
      <c r="C242" s="3" t="s">
        <v>885</v>
      </c>
      <c r="D242" s="3" t="b">
        <v>0</v>
      </c>
      <c r="E242" s="3" t="b">
        <v>0</v>
      </c>
      <c r="F242" s="3">
        <f>IF(OR(Z242=TRUE,SUMIFS('Cashflow Projection'!$E$117:$E$149,'Cashflow Projection'!$D$117:$D$149,Sales!C242)=1),0,SUMIFS('Cashflow Projection'!$C$7:$C$23,'Cashflow Projection'!$B$7:$B$23,Sales!B242,'Cashflow Projection'!$A$7:$A$23,Sales!A242))</f>
        <v>0</v>
      </c>
      <c r="G242" s="4">
        <v>45518</v>
      </c>
      <c r="H242" s="4">
        <v>45518</v>
      </c>
      <c r="I242" s="3">
        <v>1689900</v>
      </c>
      <c r="J242" s="3">
        <v>220421.73913043481</v>
      </c>
      <c r="K242" s="3">
        <v>1469478.260869565</v>
      </c>
      <c r="L242" s="3">
        <v>18502.080000000002</v>
      </c>
      <c r="M242" s="3">
        <v>1789</v>
      </c>
      <c r="N242" s="3">
        <v>8449.5</v>
      </c>
      <c r="O242" s="3">
        <v>84495</v>
      </c>
      <c r="P242" s="3">
        <v>19224.37</v>
      </c>
      <c r="Q242" s="3">
        <v>1557440.05</v>
      </c>
      <c r="R242" s="9">
        <f>IF($F242=1,((SUMIFS(Investors!$M:$M,Investors!$E:$E,Sales!$C242,Investors!$O:$O,FALSE)+SUMIFS(Investors!$S:$S,Investors!$E:$E,Sales!$C242,Investors!$O:$O,FALSE))*$F242)-SUMIFS('Investor Exit List'!$Q:$Q,'Investor Exit List'!$Y:$Y,1,'Investor Exit List'!$Z:$Z,"Release",'Investor Exit List'!$C:$C,Sales!$C242),(SUMIFS(Investors!$M:$M,Investors!$E:$E,Sales!$C242,Investors!$O:$O,FALSE)+SUMIFS(Investors!$S:$S,Investors!$E:$E,Sales!$C242,Investors!$O:$O,FALSE))*$F242)</f>
        <v>0</v>
      </c>
      <c r="S242" s="9">
        <f t="shared" si="10"/>
        <v>1557440.05</v>
      </c>
      <c r="T242" s="3" t="b">
        <v>0</v>
      </c>
      <c r="U242" s="4">
        <v>45565</v>
      </c>
      <c r="V242" s="9">
        <v>237373.90829917791</v>
      </c>
      <c r="W242" s="10">
        <f>IF(SUMIFS('Cashflow Projection'!$E$117:$E$149,'Cashflow Projection'!$D$117:$D$149,Sales!C242)=1,SUMIFS('Cashflow Projection'!$C$117:$C$149,'Cashflow Projection'!$D$117:$D$149,Sales!C242),+Sales!H242)</f>
        <v>45518</v>
      </c>
      <c r="X242" s="10">
        <f t="shared" si="11"/>
        <v>45565</v>
      </c>
      <c r="Y242" s="10">
        <f t="shared" si="12"/>
        <v>45596</v>
      </c>
      <c r="Z242" t="b">
        <v>0</v>
      </c>
    </row>
    <row r="243" spans="1:26" x14ac:dyDescent="0.2">
      <c r="A243" s="3" t="s">
        <v>992</v>
      </c>
      <c r="B243" s="3" t="s">
        <v>26</v>
      </c>
      <c r="C243" s="3" t="s">
        <v>1044</v>
      </c>
      <c r="D243" s="3" t="b">
        <v>1</v>
      </c>
      <c r="E243" s="3" t="b">
        <v>1</v>
      </c>
      <c r="F243" s="3">
        <f>IF(OR(Z243=TRUE,SUMIFS('Cashflow Projection'!$E$117:$E$149,'Cashflow Projection'!$D$117:$D$149,Sales!C243)=1),0,SUMIFS('Cashflow Projection'!$C$7:$C$23,'Cashflow Projection'!$B$7:$B$23,Sales!B243,'Cashflow Projection'!$A$7:$A$23,Sales!A243))</f>
        <v>1</v>
      </c>
      <c r="G243" s="4">
        <v>45274</v>
      </c>
      <c r="H243" s="4">
        <v>45688</v>
      </c>
      <c r="I243" s="3">
        <v>1499900</v>
      </c>
      <c r="J243" s="3">
        <v>195639.13043478259</v>
      </c>
      <c r="K243" s="3">
        <v>1304260.869565218</v>
      </c>
      <c r="L243" s="3">
        <v>18502.080000000002</v>
      </c>
      <c r="M243" s="3">
        <v>1789</v>
      </c>
      <c r="N243" s="3">
        <v>7499.5</v>
      </c>
      <c r="O243" s="3">
        <v>74995</v>
      </c>
      <c r="P243" s="3">
        <v>19224.37</v>
      </c>
      <c r="Q243" s="3">
        <v>1377890.05</v>
      </c>
      <c r="R243" s="9">
        <f>IF($F243=1,((SUMIFS(Investors!$M:$M,Investors!$E:$E,Sales!$C243,Investors!$O:$O,FALSE)+SUMIFS(Investors!$S:$S,Investors!$E:$E,Sales!$C243,Investors!$O:$O,FALSE))*$F243)-SUMIFS('Investor Exit List'!$Q:$Q,'Investor Exit List'!$Y:$Y,1,'Investor Exit List'!$Z:$Z,"Release",'Investor Exit List'!$C:$C,Sales!$C243),(SUMIFS(Investors!$M:$M,Investors!$E:$E,Sales!$C243,Investors!$O:$O,FALSE)+SUMIFS(Investors!$S:$S,Investors!$E:$E,Sales!$C243,Investors!$O:$O,FALSE))*$F243)</f>
        <v>0</v>
      </c>
      <c r="S243" s="9">
        <f t="shared" si="10"/>
        <v>1377890.05</v>
      </c>
      <c r="T243" s="3" t="b">
        <v>0</v>
      </c>
      <c r="U243" s="4">
        <v>45747</v>
      </c>
      <c r="V243" s="9">
        <v>133229.77602739699</v>
      </c>
      <c r="W243" s="10">
        <f>IF(SUMIFS('Cashflow Projection'!$E$117:$E$149,'Cashflow Projection'!$D$117:$D$149,Sales!C243)=1,SUMIFS('Cashflow Projection'!$C$117:$C$149,'Cashflow Projection'!$D$117:$D$149,Sales!C243),+Sales!H243)</f>
        <v>45688</v>
      </c>
      <c r="X243" s="10">
        <f t="shared" si="11"/>
        <v>45747</v>
      </c>
      <c r="Y243" s="10">
        <f t="shared" si="12"/>
        <v>45777</v>
      </c>
      <c r="Z243" t="b">
        <v>0</v>
      </c>
    </row>
    <row r="244" spans="1:26" x14ac:dyDescent="0.2">
      <c r="A244" s="3" t="s">
        <v>992</v>
      </c>
      <c r="B244" s="3" t="s">
        <v>26</v>
      </c>
      <c r="C244" s="3" t="s">
        <v>1045</v>
      </c>
      <c r="D244" s="3" t="b">
        <v>1</v>
      </c>
      <c r="E244" s="3" t="b">
        <v>1</v>
      </c>
      <c r="F244" s="3">
        <f>IF(OR(Z244=TRUE,SUMIFS('Cashflow Projection'!$E$117:$E$149,'Cashflow Projection'!$D$117:$D$149,Sales!C244)=1),0,SUMIFS('Cashflow Projection'!$C$7:$C$23,'Cashflow Projection'!$B$7:$B$23,Sales!B244,'Cashflow Projection'!$A$7:$A$23,Sales!A244))</f>
        <v>1</v>
      </c>
      <c r="G244" s="4">
        <v>45264</v>
      </c>
      <c r="H244" s="4">
        <v>45688</v>
      </c>
      <c r="I244" s="3">
        <v>1559900</v>
      </c>
      <c r="J244" s="3">
        <v>203465.21739130441</v>
      </c>
      <c r="K244" s="3">
        <v>1356434.782608696</v>
      </c>
      <c r="L244" s="3">
        <v>18502.080000000002</v>
      </c>
      <c r="M244" s="3">
        <v>1789</v>
      </c>
      <c r="N244" s="3">
        <v>7799.5</v>
      </c>
      <c r="O244" s="3">
        <v>77995</v>
      </c>
      <c r="P244" s="3">
        <v>19224.37</v>
      </c>
      <c r="Q244" s="3">
        <v>1434590.05</v>
      </c>
      <c r="R244" s="9">
        <f>IF($F244=1,((SUMIFS(Investors!$M:$M,Investors!$E:$E,Sales!$C244,Investors!$O:$O,FALSE)+SUMIFS(Investors!$S:$S,Investors!$E:$E,Sales!$C244,Investors!$O:$O,FALSE))*$F244)-SUMIFS('Investor Exit List'!$Q:$Q,'Investor Exit List'!$Y:$Y,1,'Investor Exit List'!$Z:$Z,"Release",'Investor Exit List'!$C:$C,Sales!$C244),(SUMIFS(Investors!$M:$M,Investors!$E:$E,Sales!$C244,Investors!$O:$O,FALSE)+SUMIFS(Investors!$S:$S,Investors!$E:$E,Sales!$C244,Investors!$O:$O,FALSE))*$F244)</f>
        <v>0</v>
      </c>
      <c r="S244" s="9">
        <f t="shared" si="10"/>
        <v>1434590.05</v>
      </c>
      <c r="T244" s="3" t="b">
        <v>0</v>
      </c>
      <c r="U244" s="4">
        <v>45747</v>
      </c>
      <c r="V244" s="9">
        <v>324976.35136986268</v>
      </c>
      <c r="W244" s="10">
        <f>IF(SUMIFS('Cashflow Projection'!$E$117:$E$149,'Cashflow Projection'!$D$117:$D$149,Sales!C244)=1,SUMIFS('Cashflow Projection'!$C$117:$C$149,'Cashflow Projection'!$D$117:$D$149,Sales!C244),+Sales!H244)</f>
        <v>45688</v>
      </c>
      <c r="X244" s="10">
        <f t="shared" si="11"/>
        <v>45747</v>
      </c>
      <c r="Y244" s="10">
        <f t="shared" si="12"/>
        <v>45777</v>
      </c>
      <c r="Z244" t="b">
        <v>0</v>
      </c>
    </row>
    <row r="245" spans="1:26" x14ac:dyDescent="0.2">
      <c r="A245" s="3" t="s">
        <v>992</v>
      </c>
      <c r="B245" s="3" t="s">
        <v>388</v>
      </c>
      <c r="C245" s="3" t="s">
        <v>1046</v>
      </c>
      <c r="D245" s="3" t="b">
        <v>1</v>
      </c>
      <c r="E245" s="3" t="b">
        <v>1</v>
      </c>
      <c r="F245" s="3">
        <f>IF(OR(Z245=TRUE,SUMIFS('Cashflow Projection'!$E$117:$E$149,'Cashflow Projection'!$D$117:$D$149,Sales!C245)=1),0,SUMIFS('Cashflow Projection'!$C$7:$C$23,'Cashflow Projection'!$B$7:$B$23,Sales!B245,'Cashflow Projection'!$A$7:$A$23,Sales!A245))</f>
        <v>0</v>
      </c>
      <c r="G245" s="4">
        <v>44841</v>
      </c>
      <c r="H245" s="4">
        <v>45688</v>
      </c>
      <c r="I245" s="3">
        <v>1559900</v>
      </c>
      <c r="J245" s="3">
        <v>203465.21739130441</v>
      </c>
      <c r="K245" s="3">
        <v>1356434.782608696</v>
      </c>
      <c r="L245" s="3">
        <v>18502.080000000002</v>
      </c>
      <c r="M245" s="3">
        <v>1789</v>
      </c>
      <c r="N245" s="3">
        <v>7799.5</v>
      </c>
      <c r="O245" s="3">
        <v>77995</v>
      </c>
      <c r="P245" s="3">
        <v>19224.37</v>
      </c>
      <c r="Q245" s="3">
        <v>1434590.05</v>
      </c>
      <c r="R245" s="9">
        <f>IF($F245=1,((SUMIFS(Investors!$M:$M,Investors!$E:$E,Sales!$C245,Investors!$O:$O,FALSE)+SUMIFS(Investors!$S:$S,Investors!$E:$E,Sales!$C245,Investors!$O:$O,FALSE))*$F245)-SUMIFS('Investor Exit List'!$Q:$Q,'Investor Exit List'!$Y:$Y,1,'Investor Exit List'!$Z:$Z,"Release",'Investor Exit List'!$C:$C,Sales!$C245),(SUMIFS(Investors!$M:$M,Investors!$E:$E,Sales!$C245,Investors!$O:$O,FALSE)+SUMIFS(Investors!$S:$S,Investors!$E:$E,Sales!$C245,Investors!$O:$O,FALSE))*$F245)</f>
        <v>0</v>
      </c>
      <c r="S245" s="9">
        <f t="shared" si="10"/>
        <v>1434590.05</v>
      </c>
      <c r="T245" s="3" t="b">
        <v>0</v>
      </c>
      <c r="U245" s="4">
        <v>45747</v>
      </c>
      <c r="V245" s="9">
        <v>242139.70753424641</v>
      </c>
      <c r="W245" s="10">
        <f>IF(SUMIFS('Cashflow Projection'!$E$117:$E$149,'Cashflow Projection'!$D$117:$D$149,Sales!C245)=1,SUMIFS('Cashflow Projection'!$C$117:$C$149,'Cashflow Projection'!$D$117:$D$149,Sales!C245),+Sales!H245)</f>
        <v>45688</v>
      </c>
      <c r="X245" s="10">
        <f t="shared" si="11"/>
        <v>45747</v>
      </c>
      <c r="Y245" s="10">
        <f t="shared" si="12"/>
        <v>45777</v>
      </c>
      <c r="Z245" t="b">
        <v>0</v>
      </c>
    </row>
    <row r="246" spans="1:26" x14ac:dyDescent="0.2">
      <c r="A246" s="3" t="s">
        <v>992</v>
      </c>
      <c r="B246" s="3" t="s">
        <v>209</v>
      </c>
      <c r="C246" s="3" t="s">
        <v>1047</v>
      </c>
      <c r="D246" s="3" t="b">
        <v>1</v>
      </c>
      <c r="E246" s="3" t="b">
        <v>1</v>
      </c>
      <c r="F246" s="3">
        <f>IF(OR(Z246=TRUE,SUMIFS('Cashflow Projection'!$E$117:$E$149,'Cashflow Projection'!$D$117:$D$149,Sales!C246)=1),0,SUMIFS('Cashflow Projection'!$C$7:$C$23,'Cashflow Projection'!$B$7:$B$23,Sales!B246,'Cashflow Projection'!$A$7:$A$23,Sales!A246))</f>
        <v>1</v>
      </c>
      <c r="G246" s="4">
        <v>45265</v>
      </c>
      <c r="H246" s="4">
        <v>45688</v>
      </c>
      <c r="I246" s="3">
        <v>1499900</v>
      </c>
      <c r="J246" s="3">
        <v>195639.13043478259</v>
      </c>
      <c r="K246" s="3">
        <v>1304260.869565218</v>
      </c>
      <c r="L246" s="3">
        <v>18502.080000000002</v>
      </c>
      <c r="M246" s="3">
        <v>1789</v>
      </c>
      <c r="N246" s="3">
        <v>7499.5</v>
      </c>
      <c r="O246" s="3">
        <v>74995</v>
      </c>
      <c r="P246" s="3">
        <v>19224.37</v>
      </c>
      <c r="Q246" s="3">
        <v>1377890.05</v>
      </c>
      <c r="R246" s="9">
        <f>IF($F246=1,((SUMIFS(Investors!$M:$M,Investors!$E:$E,Sales!$C246,Investors!$O:$O,FALSE)+SUMIFS(Investors!$S:$S,Investors!$E:$E,Sales!$C246,Investors!$O:$O,FALSE))*$F246)-SUMIFS('Investor Exit List'!$Q:$Q,'Investor Exit List'!$Y:$Y,1,'Investor Exit List'!$Z:$Z,"Release",'Investor Exit List'!$C:$C,Sales!$C246),(SUMIFS(Investors!$M:$M,Investors!$E:$E,Sales!$C246,Investors!$O:$O,FALSE)+SUMIFS(Investors!$S:$S,Investors!$E:$E,Sales!$C246,Investors!$O:$O,FALSE))*$F246)</f>
        <v>0</v>
      </c>
      <c r="S246" s="9">
        <f t="shared" si="10"/>
        <v>1377890.05</v>
      </c>
      <c r="T246" s="3" t="b">
        <v>0</v>
      </c>
      <c r="U246" s="4">
        <v>45747</v>
      </c>
      <c r="V246" s="9">
        <v>156079.0212124656</v>
      </c>
      <c r="W246" s="10">
        <f>IF(SUMIFS('Cashflow Projection'!$E$117:$E$149,'Cashflow Projection'!$D$117:$D$149,Sales!C246)=1,SUMIFS('Cashflow Projection'!$C$117:$C$149,'Cashflow Projection'!$D$117:$D$149,Sales!C246),+Sales!H246)</f>
        <v>45688</v>
      </c>
      <c r="X246" s="10">
        <f t="shared" si="11"/>
        <v>45747</v>
      </c>
      <c r="Y246" s="10">
        <f t="shared" si="12"/>
        <v>45777</v>
      </c>
      <c r="Z246" t="b">
        <v>0</v>
      </c>
    </row>
    <row r="247" spans="1:26" x14ac:dyDescent="0.2">
      <c r="A247" s="3" t="s">
        <v>992</v>
      </c>
      <c r="B247" s="3" t="s">
        <v>497</v>
      </c>
      <c r="C247" s="3" t="s">
        <v>1048</v>
      </c>
      <c r="D247" s="3" t="b">
        <v>1</v>
      </c>
      <c r="E247" s="3" t="b">
        <v>1</v>
      </c>
      <c r="F247" s="3">
        <f>IF(OR(Z247=TRUE,SUMIFS('Cashflow Projection'!$E$117:$E$149,'Cashflow Projection'!$D$117:$D$149,Sales!C247)=1),0,SUMIFS('Cashflow Projection'!$C$7:$C$23,'Cashflow Projection'!$B$7:$B$23,Sales!B247,'Cashflow Projection'!$A$7:$A$23,Sales!A247))</f>
        <v>0</v>
      </c>
      <c r="G247" s="4">
        <v>44711</v>
      </c>
      <c r="H247" s="4">
        <v>45688</v>
      </c>
      <c r="I247" s="3">
        <v>1399900</v>
      </c>
      <c r="J247" s="3">
        <v>182595.65217391311</v>
      </c>
      <c r="K247" s="3">
        <v>1217304.3478260869</v>
      </c>
      <c r="L247" s="3">
        <v>18502.080000000002</v>
      </c>
      <c r="M247" s="3">
        <v>1789</v>
      </c>
      <c r="N247" s="3">
        <v>6999.5</v>
      </c>
      <c r="O247" s="3">
        <v>69995</v>
      </c>
      <c r="P247" s="3">
        <v>19224.37</v>
      </c>
      <c r="Q247" s="3">
        <v>1283390.05</v>
      </c>
      <c r="R247" s="9">
        <f>IF($F247=1,((SUMIFS(Investors!$M:$M,Investors!$E:$E,Sales!$C247,Investors!$O:$O,FALSE)+SUMIFS(Investors!$S:$S,Investors!$E:$E,Sales!$C247,Investors!$O:$O,FALSE))*$F247)-SUMIFS('Investor Exit List'!$Q:$Q,'Investor Exit List'!$Y:$Y,1,'Investor Exit List'!$Z:$Z,"Release",'Investor Exit List'!$C:$C,Sales!$C247),(SUMIFS(Investors!$M:$M,Investors!$E:$E,Sales!$C247,Investors!$O:$O,FALSE)+SUMIFS(Investors!$S:$S,Investors!$E:$E,Sales!$C247,Investors!$O:$O,FALSE))*$F247)</f>
        <v>0</v>
      </c>
      <c r="S247" s="9">
        <f t="shared" si="10"/>
        <v>1283390.05</v>
      </c>
      <c r="T247" s="3" t="b">
        <v>0</v>
      </c>
      <c r="U247" s="4">
        <v>45747</v>
      </c>
      <c r="V247" s="9">
        <v>49965.392465753248</v>
      </c>
      <c r="W247" s="10">
        <f>IF(SUMIFS('Cashflow Projection'!$E$117:$E$149,'Cashflow Projection'!$D$117:$D$149,Sales!C247)=1,SUMIFS('Cashflow Projection'!$C$117:$C$149,'Cashflow Projection'!$D$117:$D$149,Sales!C247),+Sales!H247)</f>
        <v>45688</v>
      </c>
      <c r="X247" s="10">
        <f t="shared" si="11"/>
        <v>45747</v>
      </c>
      <c r="Y247" s="10">
        <f t="shared" si="12"/>
        <v>45777</v>
      </c>
      <c r="Z247" t="b">
        <v>0</v>
      </c>
    </row>
    <row r="248" spans="1:26" x14ac:dyDescent="0.2">
      <c r="A248" s="3" t="s">
        <v>24</v>
      </c>
      <c r="B248" s="3" t="s">
        <v>26</v>
      </c>
      <c r="C248" s="3" t="s">
        <v>148</v>
      </c>
      <c r="D248" s="3" t="b">
        <v>1</v>
      </c>
      <c r="E248" s="3" t="b">
        <v>1</v>
      </c>
      <c r="F248" s="3">
        <f>IF(OR(Z248=TRUE,SUMIFS('Cashflow Projection'!$E$117:$E$149,'Cashflow Projection'!$D$117:$D$149,Sales!C248)=1),0,SUMIFS('Cashflow Projection'!$C$7:$C$23,'Cashflow Projection'!$B$7:$B$23,Sales!B248,'Cashflow Projection'!$A$7:$A$23,Sales!A248))</f>
        <v>0</v>
      </c>
      <c r="G248" s="4">
        <v>44901</v>
      </c>
      <c r="H248" s="4">
        <v>45688</v>
      </c>
      <c r="I248" s="3">
        <v>1399900</v>
      </c>
      <c r="J248" s="3">
        <v>182595.65217391311</v>
      </c>
      <c r="K248" s="3">
        <v>1217304.3478260869</v>
      </c>
      <c r="L248" s="3">
        <v>18502.080000000002</v>
      </c>
      <c r="M248" s="3">
        <v>1789</v>
      </c>
      <c r="N248" s="3">
        <v>6999.5</v>
      </c>
      <c r="O248" s="3">
        <v>69995</v>
      </c>
      <c r="P248" s="3">
        <v>19224.37</v>
      </c>
      <c r="Q248" s="3">
        <v>1283390.05</v>
      </c>
      <c r="R248" s="9">
        <f>IF($F248=1,((SUMIFS(Investors!$M:$M,Investors!$E:$E,Sales!$C248,Investors!$O:$O,FALSE)+SUMIFS(Investors!$S:$S,Investors!$E:$E,Sales!$C248,Investors!$O:$O,FALSE))*$F248)-SUMIFS('Investor Exit List'!$Q:$Q,'Investor Exit List'!$Y:$Y,1,'Investor Exit List'!$Z:$Z,"Release",'Investor Exit List'!$C:$C,Sales!$C248),(SUMIFS(Investors!$M:$M,Investors!$E:$E,Sales!$C248,Investors!$O:$O,FALSE)+SUMIFS(Investors!$S:$S,Investors!$E:$E,Sales!$C248,Investors!$O:$O,FALSE))*$F248)</f>
        <v>0</v>
      </c>
      <c r="S248" s="9">
        <f t="shared" si="10"/>
        <v>1283390.05</v>
      </c>
      <c r="T248" s="3" t="b">
        <v>0</v>
      </c>
      <c r="U248" s="4">
        <v>45747</v>
      </c>
      <c r="V248" s="9">
        <v>97089.080523835495</v>
      </c>
      <c r="W248" s="10">
        <f>IF(SUMIFS('Cashflow Projection'!$E$117:$E$149,'Cashflow Projection'!$D$117:$D$149,Sales!C248)=1,SUMIFS('Cashflow Projection'!$C$117:$C$149,'Cashflow Projection'!$D$117:$D$149,Sales!C248),+Sales!H248)</f>
        <v>45688</v>
      </c>
      <c r="X248" s="10">
        <f t="shared" si="11"/>
        <v>45747</v>
      </c>
      <c r="Y248" s="10">
        <f t="shared" si="12"/>
        <v>45777</v>
      </c>
      <c r="Z248" t="b">
        <v>0</v>
      </c>
    </row>
    <row r="249" spans="1:26" x14ac:dyDescent="0.2">
      <c r="A249" s="3" t="s">
        <v>24</v>
      </c>
      <c r="B249" s="3" t="s">
        <v>209</v>
      </c>
      <c r="C249" s="3" t="s">
        <v>328</v>
      </c>
      <c r="D249" s="3" t="b">
        <v>0</v>
      </c>
      <c r="E249" s="3" t="b">
        <v>0</v>
      </c>
      <c r="F249" s="3">
        <f>IF(OR(Z249=TRUE,SUMIFS('Cashflow Projection'!$E$117:$E$149,'Cashflow Projection'!$D$117:$D$149,Sales!C249)=1),0,SUMIFS('Cashflow Projection'!$C$7:$C$23,'Cashflow Projection'!$B$7:$B$23,Sales!B249,'Cashflow Projection'!$A$7:$A$23,Sales!A249))</f>
        <v>1</v>
      </c>
      <c r="G249" s="4">
        <v>45439</v>
      </c>
      <c r="H249" s="4">
        <v>45458</v>
      </c>
      <c r="I249" s="3">
        <v>1499900</v>
      </c>
      <c r="J249" s="3">
        <v>0</v>
      </c>
      <c r="K249" s="3">
        <v>1304260.869565218</v>
      </c>
      <c r="L249" s="3">
        <v>18502.080000000002</v>
      </c>
      <c r="M249" s="3">
        <v>1789</v>
      </c>
      <c r="N249" s="3">
        <v>7499.5</v>
      </c>
      <c r="O249" s="3">
        <v>74995</v>
      </c>
      <c r="P249" s="3">
        <v>19224.37</v>
      </c>
      <c r="Q249" s="3">
        <v>1377890.05</v>
      </c>
      <c r="R249" s="9">
        <f>IF($F249=1,((SUMIFS(Investors!$M:$M,Investors!$E:$E,Sales!$C249,Investors!$O:$O,FALSE)+SUMIFS(Investors!$S:$S,Investors!$E:$E,Sales!$C249,Investors!$O:$O,FALSE))*$F249)-SUMIFS('Investor Exit List'!$Q:$Q,'Investor Exit List'!$Y:$Y,1,'Investor Exit List'!$Z:$Z,"Release",'Investor Exit List'!$C:$C,Sales!$C249),(SUMIFS(Investors!$M:$M,Investors!$E:$E,Sales!$C249,Investors!$O:$O,FALSE)+SUMIFS(Investors!$S:$S,Investors!$E:$E,Sales!$C249,Investors!$O:$O,FALSE))*$F249)</f>
        <v>0</v>
      </c>
      <c r="S249" s="9">
        <f t="shared" si="10"/>
        <v>921500</v>
      </c>
      <c r="T249" s="3" t="b">
        <v>1</v>
      </c>
      <c r="U249" s="4">
        <v>45504</v>
      </c>
      <c r="V249" s="9">
        <v>921500</v>
      </c>
      <c r="W249" s="10">
        <f>IF(SUMIFS('Cashflow Projection'!$E$117:$E$149,'Cashflow Projection'!$D$117:$D$149,Sales!C249)=1,SUMIFS('Cashflow Projection'!$C$117:$C$149,'Cashflow Projection'!$D$117:$D$149,Sales!C249),+Sales!H249)</f>
        <v>45458</v>
      </c>
      <c r="X249" s="10">
        <f t="shared" si="11"/>
        <v>45504</v>
      </c>
      <c r="Y249" s="10">
        <f t="shared" si="12"/>
        <v>45535</v>
      </c>
      <c r="Z249" t="b">
        <v>0</v>
      </c>
    </row>
    <row r="250" spans="1:26" x14ac:dyDescent="0.2">
      <c r="A250" s="3" t="s">
        <v>386</v>
      </c>
      <c r="B250" s="3" t="s">
        <v>497</v>
      </c>
      <c r="C250" s="3" t="s">
        <v>565</v>
      </c>
      <c r="D250" s="3" t="b">
        <v>0</v>
      </c>
      <c r="E250" s="3" t="b">
        <v>0</v>
      </c>
      <c r="F250" s="3">
        <f>IF(OR(Z250=TRUE,SUMIFS('Cashflow Projection'!$E$117:$E$149,'Cashflow Projection'!$D$117:$D$149,Sales!C250)=1),0,SUMIFS('Cashflow Projection'!$C$7:$C$23,'Cashflow Projection'!$B$7:$B$23,Sales!B250,'Cashflow Projection'!$A$7:$A$23,Sales!A250))</f>
        <v>1</v>
      </c>
      <c r="G250" s="4">
        <v>45428</v>
      </c>
      <c r="H250" s="4">
        <v>45646</v>
      </c>
      <c r="I250" s="3">
        <v>1599900</v>
      </c>
      <c r="J250" s="3">
        <v>208682.60869565219</v>
      </c>
      <c r="K250" s="3">
        <v>1391217.3913043479</v>
      </c>
      <c r="L250" s="3">
        <v>18502.080000000002</v>
      </c>
      <c r="M250" s="3">
        <v>1789</v>
      </c>
      <c r="N250" s="3">
        <v>7999.5</v>
      </c>
      <c r="O250" s="3">
        <v>79995</v>
      </c>
      <c r="P250" s="3">
        <v>19224.37</v>
      </c>
      <c r="Q250" s="3">
        <v>1472390.05</v>
      </c>
      <c r="R250" s="9">
        <f>IF($F250=1,((SUMIFS(Investors!$M:$M,Investors!$E:$E,Sales!$C250,Investors!$O:$O,FALSE)+SUMIFS(Investors!$S:$S,Investors!$E:$E,Sales!$C250,Investors!$O:$O,FALSE))*$F250)-SUMIFS('Investor Exit List'!$Q:$Q,'Investor Exit List'!$Y:$Y,1,'Investor Exit List'!$Z:$Z,"Release",'Investor Exit List'!$C:$C,Sales!$C250),(SUMIFS(Investors!$M:$M,Investors!$E:$E,Sales!$C250,Investors!$O:$O,FALSE)+SUMIFS(Investors!$S:$S,Investors!$E:$E,Sales!$C250,Investors!$O:$O,FALSE))*$F250)</f>
        <v>0</v>
      </c>
      <c r="S250" s="9">
        <f t="shared" si="10"/>
        <v>1472390.05</v>
      </c>
      <c r="T250" s="3" t="b">
        <v>0</v>
      </c>
      <c r="U250" s="4">
        <v>45688</v>
      </c>
      <c r="V250" s="9">
        <v>136568.81712328739</v>
      </c>
      <c r="W250" s="10">
        <f>IF(SUMIFS('Cashflow Projection'!$E$117:$E$149,'Cashflow Projection'!$D$117:$D$149,Sales!C250)=1,SUMIFS('Cashflow Projection'!$C$117:$C$149,'Cashflow Projection'!$D$117:$D$149,Sales!C250),+Sales!H250)</f>
        <v>45646</v>
      </c>
      <c r="X250" s="10">
        <f t="shared" si="11"/>
        <v>45688</v>
      </c>
      <c r="Y250" s="10">
        <f t="shared" si="12"/>
        <v>45716</v>
      </c>
      <c r="Z250" t="b">
        <v>0</v>
      </c>
    </row>
    <row r="251" spans="1:26" x14ac:dyDescent="0.2">
      <c r="A251" s="3" t="s">
        <v>386</v>
      </c>
      <c r="B251" s="3" t="s">
        <v>822</v>
      </c>
      <c r="C251" s="3" t="s">
        <v>835</v>
      </c>
      <c r="D251" s="3" t="b">
        <v>1</v>
      </c>
      <c r="E251" s="3" t="b">
        <v>1</v>
      </c>
      <c r="F251" s="3">
        <f>IF(OR(Z251=TRUE,SUMIFS('Cashflow Projection'!$E$117:$E$149,'Cashflow Projection'!$D$117:$D$149,Sales!C251)=1),0,SUMIFS('Cashflow Projection'!$C$7:$C$23,'Cashflow Projection'!$B$7:$B$23,Sales!B251,'Cashflow Projection'!$A$7:$A$23,Sales!A251))</f>
        <v>1</v>
      </c>
      <c r="G251" s="4">
        <v>45308</v>
      </c>
      <c r="H251" s="4">
        <v>45688</v>
      </c>
      <c r="I251" s="3">
        <v>1479900</v>
      </c>
      <c r="J251" s="3">
        <v>193030.4347826087</v>
      </c>
      <c r="K251" s="3">
        <v>1286869.5652173909</v>
      </c>
      <c r="L251" s="3">
        <v>18502.080000000002</v>
      </c>
      <c r="M251" s="3">
        <v>1789</v>
      </c>
      <c r="N251" s="3">
        <v>7399.5</v>
      </c>
      <c r="O251" s="3">
        <v>73995</v>
      </c>
      <c r="P251" s="3">
        <v>19224.37</v>
      </c>
      <c r="Q251" s="3">
        <v>1358990.05</v>
      </c>
      <c r="R251" s="9">
        <f>IF($F251=1,((SUMIFS(Investors!$M:$M,Investors!$E:$E,Sales!$C251,Investors!$O:$O,FALSE)+SUMIFS(Investors!$S:$S,Investors!$E:$E,Sales!$C251,Investors!$O:$O,FALSE))*$F251)-SUMIFS('Investor Exit List'!$Q:$Q,'Investor Exit List'!$Y:$Y,1,'Investor Exit List'!$Z:$Z,"Release",'Investor Exit List'!$C:$C,Sales!$C251),(SUMIFS(Investors!$M:$M,Investors!$E:$E,Sales!$C251,Investors!$O:$O,FALSE)+SUMIFS(Investors!$S:$S,Investors!$E:$E,Sales!$C251,Investors!$O:$O,FALSE))*$F251)</f>
        <v>1284794.5205479453</v>
      </c>
      <c r="S251" s="9">
        <f t="shared" si="10"/>
        <v>74195.529452054761</v>
      </c>
      <c r="T251" s="3" t="b">
        <v>0</v>
      </c>
      <c r="U251" s="4">
        <v>45747</v>
      </c>
      <c r="V251" s="9">
        <v>74195.529452054529</v>
      </c>
      <c r="W251" s="10">
        <f>IF(SUMIFS('Cashflow Projection'!$E$117:$E$149,'Cashflow Projection'!$D$117:$D$149,Sales!C251)=1,SUMIFS('Cashflow Projection'!$C$117:$C$149,'Cashflow Projection'!$D$117:$D$149,Sales!C251),+Sales!H251)</f>
        <v>45688</v>
      </c>
      <c r="X251" s="10">
        <f t="shared" si="11"/>
        <v>45747</v>
      </c>
      <c r="Y251" s="10">
        <f t="shared" si="12"/>
        <v>45777</v>
      </c>
      <c r="Z251" t="b">
        <v>0</v>
      </c>
    </row>
    <row r="252" spans="1:26" x14ac:dyDescent="0.2">
      <c r="A252" s="3" t="s">
        <v>386</v>
      </c>
      <c r="B252" s="3" t="s">
        <v>891</v>
      </c>
      <c r="C252" s="3" t="s">
        <v>902</v>
      </c>
      <c r="D252" s="3" t="b">
        <v>1</v>
      </c>
      <c r="E252" s="3" t="b">
        <v>0</v>
      </c>
      <c r="F252" s="3">
        <f>IF(OR(Z252=TRUE,SUMIFS('Cashflow Projection'!$E$117:$E$149,'Cashflow Projection'!$D$117:$D$149,Sales!C252)=1),0,SUMIFS('Cashflow Projection'!$C$7:$C$23,'Cashflow Projection'!$B$7:$B$23,Sales!B252,'Cashflow Projection'!$A$7:$A$23,Sales!A252))</f>
        <v>1</v>
      </c>
      <c r="G252" s="4">
        <v>45429</v>
      </c>
      <c r="H252" s="4">
        <v>45475</v>
      </c>
      <c r="I252" s="3">
        <v>1699900</v>
      </c>
      <c r="J252" s="3">
        <v>221726.0869565217</v>
      </c>
      <c r="K252" s="3">
        <v>1478173.913043478</v>
      </c>
      <c r="L252" s="3">
        <v>18502.080000000002</v>
      </c>
      <c r="M252" s="3">
        <v>1789</v>
      </c>
      <c r="N252" s="3">
        <v>8499.5</v>
      </c>
      <c r="O252" s="3">
        <v>84995</v>
      </c>
      <c r="P252" s="3">
        <v>19224.37</v>
      </c>
      <c r="Q252" s="3">
        <v>1566890.05</v>
      </c>
      <c r="R252" s="9">
        <f>IF($F252=1,((SUMIFS(Investors!$M:$M,Investors!$E:$E,Sales!$C252,Investors!$O:$O,FALSE)+SUMIFS(Investors!$S:$S,Investors!$E:$E,Sales!$C252,Investors!$O:$O,FALSE))*$F252)-SUMIFS('Investor Exit List'!$Q:$Q,'Investor Exit List'!$Y:$Y,1,'Investor Exit List'!$Z:$Z,"Release",'Investor Exit List'!$C:$C,Sales!$C252),(SUMIFS(Investors!$M:$M,Investors!$E:$E,Sales!$C252,Investors!$O:$O,FALSE)+SUMIFS(Investors!$S:$S,Investors!$E:$E,Sales!$C252,Investors!$O:$O,FALSE))*$F252)</f>
        <v>1423956.8493150685</v>
      </c>
      <c r="S252" s="9">
        <f t="shared" si="10"/>
        <v>142933.20068493159</v>
      </c>
      <c r="T252" s="3" t="b">
        <v>0</v>
      </c>
      <c r="U252" s="4">
        <v>45565</v>
      </c>
      <c r="V252" s="9">
        <v>163875.66643835601</v>
      </c>
      <c r="W252" s="10">
        <f>IF(SUMIFS('Cashflow Projection'!$E$117:$E$149,'Cashflow Projection'!$D$117:$D$149,Sales!C252)=1,SUMIFS('Cashflow Projection'!$C$117:$C$149,'Cashflow Projection'!$D$117:$D$149,Sales!C252),+Sales!H252)</f>
        <v>45475</v>
      </c>
      <c r="X252" s="10">
        <f t="shared" si="11"/>
        <v>45565</v>
      </c>
      <c r="Y252" s="10">
        <f t="shared" si="12"/>
        <v>45596</v>
      </c>
      <c r="Z252" t="b">
        <v>0</v>
      </c>
    </row>
    <row r="253" spans="1:26" x14ac:dyDescent="0.2">
      <c r="A253" s="3" t="s">
        <v>386</v>
      </c>
      <c r="B253" s="3" t="s">
        <v>598</v>
      </c>
      <c r="C253" s="3" t="s">
        <v>626</v>
      </c>
      <c r="D253" s="3" t="b">
        <v>0</v>
      </c>
      <c r="E253" s="3" t="b">
        <v>0</v>
      </c>
      <c r="F253" s="3">
        <f>IF(OR(Z253=TRUE,SUMIFS('Cashflow Projection'!$E$117:$E$149,'Cashflow Projection'!$D$117:$D$149,Sales!C253)=1),0,SUMIFS('Cashflow Projection'!$C$7:$C$23,'Cashflow Projection'!$B$7:$B$23,Sales!B253,'Cashflow Projection'!$A$7:$A$23,Sales!A253))</f>
        <v>0</v>
      </c>
      <c r="G253" s="4">
        <v>45517</v>
      </c>
      <c r="H253" s="4">
        <v>45722</v>
      </c>
      <c r="I253" s="3">
        <v>1599900</v>
      </c>
      <c r="J253" s="3">
        <v>208682.60869565219</v>
      </c>
      <c r="K253" s="3">
        <v>1391217.3913043479</v>
      </c>
      <c r="L253" s="3">
        <v>18502.080000000002</v>
      </c>
      <c r="M253" s="3">
        <v>1789</v>
      </c>
      <c r="N253" s="3">
        <v>7999.5</v>
      </c>
      <c r="O253" s="3">
        <v>79995</v>
      </c>
      <c r="P253" s="3">
        <v>19224.37</v>
      </c>
      <c r="Q253" s="3">
        <v>1472390.05</v>
      </c>
      <c r="R253" s="9">
        <f>IF($F253=1,((SUMIFS(Investors!$M:$M,Investors!$E:$E,Sales!$C253,Investors!$O:$O,FALSE)+SUMIFS(Investors!$S:$S,Investors!$E:$E,Sales!$C253,Investors!$O:$O,FALSE))*$F253)-SUMIFS('Investor Exit List'!$Q:$Q,'Investor Exit List'!$Y:$Y,1,'Investor Exit List'!$Z:$Z,"Release",'Investor Exit List'!$C:$C,Sales!$C253),(SUMIFS(Investors!$M:$M,Investors!$E:$E,Sales!$C253,Investors!$O:$O,FALSE)+SUMIFS(Investors!$S:$S,Investors!$E:$E,Sales!$C253,Investors!$O:$O,FALSE))*$F253)</f>
        <v>0</v>
      </c>
      <c r="S253" s="9">
        <f t="shared" si="10"/>
        <v>1472390.05</v>
      </c>
      <c r="T253" s="3" t="b">
        <v>0</v>
      </c>
      <c r="U253" s="4">
        <v>45808</v>
      </c>
      <c r="V253" s="9">
        <v>0</v>
      </c>
      <c r="W253" s="10">
        <f>IF(SUMIFS('Cashflow Projection'!$E$117:$E$149,'Cashflow Projection'!$D$117:$D$149,Sales!C253)=1,SUMIFS('Cashflow Projection'!$C$117:$C$149,'Cashflow Projection'!$D$117:$D$149,Sales!C253),+Sales!H253)</f>
        <v>45722</v>
      </c>
      <c r="X253" s="10">
        <f t="shared" si="11"/>
        <v>45808</v>
      </c>
      <c r="Y253" s="10">
        <f t="shared" si="12"/>
        <v>45838</v>
      </c>
      <c r="Z253" t="b">
        <v>0</v>
      </c>
    </row>
    <row r="254" spans="1:26" x14ac:dyDescent="0.2">
      <c r="A254" s="3" t="s">
        <v>386</v>
      </c>
      <c r="B254" s="3" t="s">
        <v>569</v>
      </c>
      <c r="C254" s="3" t="s">
        <v>579</v>
      </c>
      <c r="D254" s="3" t="b">
        <v>0</v>
      </c>
      <c r="E254" s="3" t="b">
        <v>0</v>
      </c>
      <c r="F254" s="3">
        <f>IF(OR(Z254=TRUE,SUMIFS('Cashflow Projection'!$E$117:$E$149,'Cashflow Projection'!$D$117:$D$149,Sales!C254)=1),0,SUMIFS('Cashflow Projection'!$C$7:$C$23,'Cashflow Projection'!$B$7:$B$23,Sales!B254,'Cashflow Projection'!$A$7:$A$23,Sales!A254))</f>
        <v>0</v>
      </c>
      <c r="G254" s="4">
        <v>45685</v>
      </c>
      <c r="H254" s="4">
        <v>45685</v>
      </c>
      <c r="I254" s="3">
        <v>1649900</v>
      </c>
      <c r="J254" s="3">
        <v>215204.34782608689</v>
      </c>
      <c r="K254" s="3">
        <v>1434695.6521739131</v>
      </c>
      <c r="L254" s="3">
        <v>18502.080000000002</v>
      </c>
      <c r="M254" s="3">
        <v>1789</v>
      </c>
      <c r="N254" s="3">
        <v>8249.5</v>
      </c>
      <c r="O254" s="3">
        <v>82495</v>
      </c>
      <c r="P254" s="3">
        <v>19224.37</v>
      </c>
      <c r="Q254" s="3">
        <v>1519640.05</v>
      </c>
      <c r="R254" s="9">
        <f>IF($F254=1,((SUMIFS(Investors!$M:$M,Investors!$E:$E,Sales!$C254,Investors!$O:$O,FALSE)+SUMIFS(Investors!$S:$S,Investors!$E:$E,Sales!$C254,Investors!$O:$O,FALSE))*$F254)-SUMIFS('Investor Exit List'!$Q:$Q,'Investor Exit List'!$Y:$Y,1,'Investor Exit List'!$Z:$Z,"Release",'Investor Exit List'!$C:$C,Sales!$C254),(SUMIFS(Investors!$M:$M,Investors!$E:$E,Sales!$C254,Investors!$O:$O,FALSE)+SUMIFS(Investors!$S:$S,Investors!$E:$E,Sales!$C254,Investors!$O:$O,FALSE))*$F254)</f>
        <v>0</v>
      </c>
      <c r="S254" s="9">
        <f t="shared" si="10"/>
        <v>1519640.05</v>
      </c>
      <c r="T254" s="3" t="b">
        <v>0</v>
      </c>
      <c r="U254" s="4">
        <v>45747</v>
      </c>
      <c r="V254" s="9">
        <v>67640.049999999814</v>
      </c>
      <c r="W254" s="10">
        <f>IF(SUMIFS('Cashflow Projection'!$E$117:$E$149,'Cashflow Projection'!$D$117:$D$149,Sales!C254)=1,SUMIFS('Cashflow Projection'!$C$117:$C$149,'Cashflow Projection'!$D$117:$D$149,Sales!C254),+Sales!H254)</f>
        <v>45685</v>
      </c>
      <c r="X254" s="10">
        <f t="shared" si="11"/>
        <v>45747</v>
      </c>
      <c r="Y254" s="10">
        <f t="shared" si="12"/>
        <v>45777</v>
      </c>
      <c r="Z254" t="b">
        <v>0</v>
      </c>
    </row>
    <row r="255" spans="1:26" x14ac:dyDescent="0.2">
      <c r="A255" s="3" t="s">
        <v>386</v>
      </c>
      <c r="B255" s="3" t="s">
        <v>750</v>
      </c>
      <c r="C255" s="3" t="s">
        <v>757</v>
      </c>
      <c r="D255" s="3" t="b">
        <v>0</v>
      </c>
      <c r="E255" s="3" t="b">
        <v>0</v>
      </c>
      <c r="F255" s="3">
        <f>IF(OR(Z255=TRUE,SUMIFS('Cashflow Projection'!$E$117:$E$149,'Cashflow Projection'!$D$117:$D$149,Sales!C255)=1),0,SUMIFS('Cashflow Projection'!$C$7:$C$23,'Cashflow Projection'!$B$7:$B$23,Sales!B255,'Cashflow Projection'!$A$7:$A$23,Sales!A255))</f>
        <v>0</v>
      </c>
      <c r="G255" s="4">
        <v>45510</v>
      </c>
      <c r="H255" s="4">
        <v>45625</v>
      </c>
      <c r="I255" s="3">
        <v>1499900</v>
      </c>
      <c r="J255" s="3">
        <v>195639.13043478259</v>
      </c>
      <c r="K255" s="3">
        <v>1304260.869565218</v>
      </c>
      <c r="L255" s="3">
        <v>18502.080000000002</v>
      </c>
      <c r="M255" s="3">
        <v>1789</v>
      </c>
      <c r="N255" s="3">
        <v>7499.5</v>
      </c>
      <c r="O255" s="3">
        <v>74995</v>
      </c>
      <c r="P255" s="3">
        <v>19224.37</v>
      </c>
      <c r="Q255" s="3">
        <v>1377890.05</v>
      </c>
      <c r="R255" s="9">
        <f>IF($F255=1,((SUMIFS(Investors!$M:$M,Investors!$E:$E,Sales!$C255,Investors!$O:$O,FALSE)+SUMIFS(Investors!$S:$S,Investors!$E:$E,Sales!$C255,Investors!$O:$O,FALSE))*$F255)-SUMIFS('Investor Exit List'!$Q:$Q,'Investor Exit List'!$Y:$Y,1,'Investor Exit List'!$Z:$Z,"Release",'Investor Exit List'!$C:$C,Sales!$C255),(SUMIFS(Investors!$M:$M,Investors!$E:$E,Sales!$C255,Investors!$O:$O,FALSE)+SUMIFS(Investors!$S:$S,Investors!$E:$E,Sales!$C255,Investors!$O:$O,FALSE))*$F255)</f>
        <v>0</v>
      </c>
      <c r="S255" s="9">
        <f t="shared" si="10"/>
        <v>1377890.05</v>
      </c>
      <c r="T255" s="3" t="b">
        <v>0</v>
      </c>
      <c r="U255" s="4">
        <v>45688</v>
      </c>
      <c r="V255" s="9">
        <v>100090.1216166434</v>
      </c>
      <c r="W255" s="10">
        <f>IF(SUMIFS('Cashflow Projection'!$E$117:$E$149,'Cashflow Projection'!$D$117:$D$149,Sales!C255)=1,SUMIFS('Cashflow Projection'!$C$117:$C$149,'Cashflow Projection'!$D$117:$D$149,Sales!C255),+Sales!H255)</f>
        <v>45625</v>
      </c>
      <c r="X255" s="10">
        <f t="shared" si="11"/>
        <v>45688</v>
      </c>
      <c r="Y255" s="10">
        <f t="shared" si="12"/>
        <v>45716</v>
      </c>
      <c r="Z255" t="b">
        <v>0</v>
      </c>
    </row>
    <row r="256" spans="1:26" x14ac:dyDescent="0.2">
      <c r="A256" s="3" t="s">
        <v>386</v>
      </c>
      <c r="B256" s="3" t="s">
        <v>750</v>
      </c>
      <c r="C256" s="3" t="s">
        <v>758</v>
      </c>
      <c r="D256" s="3" t="b">
        <v>0</v>
      </c>
      <c r="E256" s="3" t="b">
        <v>0</v>
      </c>
      <c r="F256" s="3">
        <f>IF(OR(Z256=TRUE,SUMIFS('Cashflow Projection'!$E$117:$E$149,'Cashflow Projection'!$D$117:$D$149,Sales!C256)=1),0,SUMIFS('Cashflow Projection'!$C$7:$C$23,'Cashflow Projection'!$B$7:$B$23,Sales!B256,'Cashflow Projection'!$A$7:$A$23,Sales!A256))</f>
        <v>0</v>
      </c>
      <c r="G256" s="4">
        <v>45510</v>
      </c>
      <c r="H256" s="4">
        <v>45625</v>
      </c>
      <c r="I256" s="3">
        <v>1699900</v>
      </c>
      <c r="J256" s="3">
        <v>221726.0869565217</v>
      </c>
      <c r="K256" s="3">
        <v>1478173.913043478</v>
      </c>
      <c r="L256" s="3">
        <v>18502.080000000002</v>
      </c>
      <c r="M256" s="3">
        <v>1789</v>
      </c>
      <c r="N256" s="3">
        <v>8499.5</v>
      </c>
      <c r="O256" s="3">
        <v>84995</v>
      </c>
      <c r="P256" s="3">
        <v>19224.37</v>
      </c>
      <c r="Q256" s="3">
        <v>1566890.05</v>
      </c>
      <c r="R256" s="9">
        <f>IF($F256=1,((SUMIFS(Investors!$M:$M,Investors!$E:$E,Sales!$C256,Investors!$O:$O,FALSE)+SUMIFS(Investors!$S:$S,Investors!$E:$E,Sales!$C256,Investors!$O:$O,FALSE))*$F256)-SUMIFS('Investor Exit List'!$Q:$Q,'Investor Exit List'!$Y:$Y,1,'Investor Exit List'!$Z:$Z,"Release",'Investor Exit List'!$C:$C,Sales!$C256),(SUMIFS(Investors!$M:$M,Investors!$E:$E,Sales!$C256,Investors!$O:$O,FALSE)+SUMIFS(Investors!$S:$S,Investors!$E:$E,Sales!$C256,Investors!$O:$O,FALSE))*$F256)</f>
        <v>0</v>
      </c>
      <c r="S256" s="9">
        <f t="shared" si="10"/>
        <v>1566890.05</v>
      </c>
      <c r="T256" s="3" t="b">
        <v>0</v>
      </c>
      <c r="U256" s="4">
        <v>45688</v>
      </c>
      <c r="V256" s="9">
        <v>197457.67784835579</v>
      </c>
      <c r="W256" s="10">
        <f>IF(SUMIFS('Cashflow Projection'!$E$117:$E$149,'Cashflow Projection'!$D$117:$D$149,Sales!C256)=1,SUMIFS('Cashflow Projection'!$C$117:$C$149,'Cashflow Projection'!$D$117:$D$149,Sales!C256),+Sales!H256)</f>
        <v>45625</v>
      </c>
      <c r="X256" s="10">
        <f t="shared" si="11"/>
        <v>45688</v>
      </c>
      <c r="Y256" s="10">
        <f t="shared" si="12"/>
        <v>45716</v>
      </c>
      <c r="Z256" t="b">
        <v>0</v>
      </c>
    </row>
    <row r="257" spans="1:26" x14ac:dyDescent="0.2">
      <c r="A257" s="3" t="s">
        <v>386</v>
      </c>
      <c r="B257" s="3" t="s">
        <v>628</v>
      </c>
      <c r="C257" s="3" t="s">
        <v>649</v>
      </c>
      <c r="D257" s="3" t="b">
        <v>0</v>
      </c>
      <c r="E257" s="3" t="b">
        <v>0</v>
      </c>
      <c r="F257" s="3">
        <f>IF(OR(Z257=TRUE,SUMIFS('Cashflow Projection'!$E$117:$E$149,'Cashflow Projection'!$D$117:$D$149,Sales!C257)=1),0,SUMIFS('Cashflow Projection'!$C$7:$C$23,'Cashflow Projection'!$B$7:$B$23,Sales!B257,'Cashflow Projection'!$A$7:$A$23,Sales!A257))</f>
        <v>0</v>
      </c>
      <c r="G257" s="4">
        <v>45523</v>
      </c>
      <c r="H257" s="4">
        <v>45532</v>
      </c>
      <c r="I257" s="3">
        <v>1449900</v>
      </c>
      <c r="J257" s="3">
        <v>189117.39130434781</v>
      </c>
      <c r="K257" s="3">
        <v>1260782.6086956521</v>
      </c>
      <c r="L257" s="3">
        <v>18502.080000000002</v>
      </c>
      <c r="M257" s="3">
        <v>1789</v>
      </c>
      <c r="N257" s="3">
        <v>7249.5</v>
      </c>
      <c r="O257" s="3">
        <v>72495</v>
      </c>
      <c r="P257" s="3">
        <v>19224.37</v>
      </c>
      <c r="Q257" s="3">
        <v>1330640.05</v>
      </c>
      <c r="R257" s="9">
        <f>IF($F257=1,((SUMIFS(Investors!$M:$M,Investors!$E:$E,Sales!$C257,Investors!$O:$O,FALSE)+SUMIFS(Investors!$S:$S,Investors!$E:$E,Sales!$C257,Investors!$O:$O,FALSE))*$F257)-SUMIFS('Investor Exit List'!$Q:$Q,'Investor Exit List'!$Y:$Y,1,'Investor Exit List'!$Z:$Z,"Release",'Investor Exit List'!$C:$C,Sales!$C257),(SUMIFS(Investors!$M:$M,Investors!$E:$E,Sales!$C257,Investors!$O:$O,FALSE)+SUMIFS(Investors!$S:$S,Investors!$E:$E,Sales!$C257,Investors!$O:$O,FALSE))*$F257)</f>
        <v>0</v>
      </c>
      <c r="S257" s="9">
        <f t="shared" si="10"/>
        <v>1330640.05</v>
      </c>
      <c r="T257" s="3" t="b">
        <v>0</v>
      </c>
      <c r="U257" s="4">
        <v>45565</v>
      </c>
      <c r="V257" s="9">
        <v>19431.92394739715</v>
      </c>
      <c r="W257" s="10">
        <f>IF(SUMIFS('Cashflow Projection'!$E$117:$E$149,'Cashflow Projection'!$D$117:$D$149,Sales!C257)=1,SUMIFS('Cashflow Projection'!$C$117:$C$149,'Cashflow Projection'!$D$117:$D$149,Sales!C257),+Sales!H257)</f>
        <v>45532</v>
      </c>
      <c r="X257" s="10">
        <f t="shared" si="11"/>
        <v>45565</v>
      </c>
      <c r="Y257" s="10">
        <f t="shared" si="12"/>
        <v>45596</v>
      </c>
      <c r="Z257" t="b">
        <v>0</v>
      </c>
    </row>
    <row r="258" spans="1:26" x14ac:dyDescent="0.2">
      <c r="A258" s="3" t="s">
        <v>386</v>
      </c>
      <c r="B258" s="3" t="s">
        <v>811</v>
      </c>
      <c r="C258" s="3" t="s">
        <v>814</v>
      </c>
      <c r="D258" s="3" t="b">
        <v>0</v>
      </c>
      <c r="E258" s="3" t="b">
        <v>0</v>
      </c>
      <c r="F258" s="3">
        <f>IF(OR(Z258=TRUE,SUMIFS('Cashflow Projection'!$E$117:$E$149,'Cashflow Projection'!$D$117:$D$149,Sales!C258)=1),0,SUMIFS('Cashflow Projection'!$C$7:$C$23,'Cashflow Projection'!$B$7:$B$23,Sales!B258,'Cashflow Projection'!$A$7:$A$23,Sales!A258))</f>
        <v>0</v>
      </c>
      <c r="G258" s="4">
        <v>45450</v>
      </c>
      <c r="H258" s="4">
        <v>45583</v>
      </c>
      <c r="I258" s="3">
        <v>1679900</v>
      </c>
      <c r="J258" s="3">
        <v>219117.39130434781</v>
      </c>
      <c r="K258" s="3">
        <v>1460782.6086956521</v>
      </c>
      <c r="L258" s="3">
        <v>18502.080000000002</v>
      </c>
      <c r="M258" s="3">
        <v>1789</v>
      </c>
      <c r="N258" s="3">
        <v>8399.5</v>
      </c>
      <c r="O258" s="3">
        <v>83995</v>
      </c>
      <c r="P258" s="3">
        <v>19224.37</v>
      </c>
      <c r="Q258" s="3">
        <v>1547990.05</v>
      </c>
      <c r="R258" s="9">
        <f>IF($F258=1,((SUMIFS(Investors!$M:$M,Investors!$E:$E,Sales!$C258,Investors!$O:$O,FALSE)+SUMIFS(Investors!$S:$S,Investors!$E:$E,Sales!$C258,Investors!$O:$O,FALSE))*$F258)-SUMIFS('Investor Exit List'!$Q:$Q,'Investor Exit List'!$Y:$Y,1,'Investor Exit List'!$Z:$Z,"Release",'Investor Exit List'!$C:$C,Sales!$C258),(SUMIFS(Investors!$M:$M,Investors!$E:$E,Sales!$C258,Investors!$O:$O,FALSE)+SUMIFS(Investors!$S:$S,Investors!$E:$E,Sales!$C258,Investors!$O:$O,FALSE))*$F258)</f>
        <v>0</v>
      </c>
      <c r="S258" s="9">
        <f t="shared" si="10"/>
        <v>1547990.05</v>
      </c>
      <c r="T258" s="3" t="b">
        <v>0</v>
      </c>
      <c r="U258" s="4">
        <v>45626</v>
      </c>
      <c r="V258" s="9">
        <v>228155.80342465729</v>
      </c>
      <c r="W258" s="10">
        <f>IF(SUMIFS('Cashflow Projection'!$E$117:$E$149,'Cashflow Projection'!$D$117:$D$149,Sales!C258)=1,SUMIFS('Cashflow Projection'!$C$117:$C$149,'Cashflow Projection'!$D$117:$D$149,Sales!C258),+Sales!H258)</f>
        <v>45583</v>
      </c>
      <c r="X258" s="10">
        <f t="shared" si="11"/>
        <v>45626</v>
      </c>
      <c r="Y258" s="10">
        <f t="shared" si="12"/>
        <v>45657</v>
      </c>
      <c r="Z258" t="b">
        <v>0</v>
      </c>
    </row>
    <row r="259" spans="1:26" x14ac:dyDescent="0.2">
      <c r="A259" s="3" t="s">
        <v>386</v>
      </c>
      <c r="B259" s="3" t="s">
        <v>750</v>
      </c>
      <c r="C259" s="3" t="s">
        <v>788</v>
      </c>
      <c r="D259" s="3" t="b">
        <v>0</v>
      </c>
      <c r="E259" s="3" t="b">
        <v>0</v>
      </c>
      <c r="F259" s="3">
        <f>IF(OR(Z259=TRUE,SUMIFS('Cashflow Projection'!$E$117:$E$149,'Cashflow Projection'!$D$117:$D$149,Sales!C259)=1),0,SUMIFS('Cashflow Projection'!$C$7:$C$23,'Cashflow Projection'!$B$7:$B$23,Sales!B259,'Cashflow Projection'!$A$7:$A$23,Sales!A259))</f>
        <v>0</v>
      </c>
      <c r="G259" s="4">
        <v>45510</v>
      </c>
      <c r="H259" s="4">
        <v>45510</v>
      </c>
      <c r="I259" s="3">
        <v>1499900</v>
      </c>
      <c r="J259" s="3">
        <v>195639.13043478259</v>
      </c>
      <c r="K259" s="3">
        <v>1304260.869565218</v>
      </c>
      <c r="L259" s="3">
        <v>18502.080000000002</v>
      </c>
      <c r="M259" s="3">
        <v>1789</v>
      </c>
      <c r="N259" s="3">
        <v>7499.5</v>
      </c>
      <c r="O259" s="3">
        <v>74995</v>
      </c>
      <c r="P259" s="3">
        <v>19224.37</v>
      </c>
      <c r="Q259" s="3">
        <v>1377890.05</v>
      </c>
      <c r="R259" s="9">
        <f>IF($F259=1,((SUMIFS(Investors!$M:$M,Investors!$E:$E,Sales!$C259,Investors!$O:$O,FALSE)+SUMIFS(Investors!$S:$S,Investors!$E:$E,Sales!$C259,Investors!$O:$O,FALSE))*$F259)-SUMIFS('Investor Exit List'!$Q:$Q,'Investor Exit List'!$Y:$Y,1,'Investor Exit List'!$Z:$Z,"Release",'Investor Exit List'!$C:$C,Sales!$C259),(SUMIFS(Investors!$M:$M,Investors!$E:$E,Sales!$C259,Investors!$O:$O,FALSE)+SUMIFS(Investors!$S:$S,Investors!$E:$E,Sales!$C259,Investors!$O:$O,FALSE))*$F259)</f>
        <v>0</v>
      </c>
      <c r="S259" s="9">
        <f t="shared" si="10"/>
        <v>1377890.05</v>
      </c>
      <c r="T259" s="3" t="b">
        <v>0</v>
      </c>
      <c r="U259" s="4">
        <v>45565</v>
      </c>
      <c r="V259" s="9">
        <v>-24403.30641226051</v>
      </c>
      <c r="W259" s="10">
        <f>IF(SUMIFS('Cashflow Projection'!$E$117:$E$149,'Cashflow Projection'!$D$117:$D$149,Sales!C259)=1,SUMIFS('Cashflow Projection'!$C$117:$C$149,'Cashflow Projection'!$D$117:$D$149,Sales!C259),+Sales!H259)</f>
        <v>45510</v>
      </c>
      <c r="X259" s="10">
        <f t="shared" si="11"/>
        <v>45565</v>
      </c>
      <c r="Y259" s="10">
        <f t="shared" si="12"/>
        <v>45596</v>
      </c>
      <c r="Z259" t="b">
        <v>0</v>
      </c>
    </row>
    <row r="260" spans="1:26" x14ac:dyDescent="0.2">
      <c r="A260" s="3" t="s">
        <v>386</v>
      </c>
      <c r="B260" s="3" t="s">
        <v>684</v>
      </c>
      <c r="C260" s="3" t="s">
        <v>698</v>
      </c>
      <c r="D260" s="3" t="b">
        <v>0</v>
      </c>
      <c r="E260" s="3" t="b">
        <v>0</v>
      </c>
      <c r="F260" s="3">
        <f>IF(OR(Z260=TRUE,SUMIFS('Cashflow Projection'!$E$117:$E$149,'Cashflow Projection'!$D$117:$D$149,Sales!C260)=1),0,SUMIFS('Cashflow Projection'!$C$7:$C$23,'Cashflow Projection'!$B$7:$B$23,Sales!B260,'Cashflow Projection'!$A$7:$A$23,Sales!A260))</f>
        <v>0</v>
      </c>
      <c r="G260" s="4">
        <v>45491</v>
      </c>
      <c r="H260" s="4">
        <v>45596</v>
      </c>
      <c r="I260" s="3">
        <v>1649900</v>
      </c>
      <c r="J260" s="3">
        <v>215204.34782608689</v>
      </c>
      <c r="K260" s="3">
        <v>1434695.6521739131</v>
      </c>
      <c r="L260" s="3">
        <v>18502.080000000002</v>
      </c>
      <c r="M260" s="3">
        <v>1789</v>
      </c>
      <c r="N260" s="3">
        <v>8249.5</v>
      </c>
      <c r="O260" s="3">
        <v>82495</v>
      </c>
      <c r="P260" s="3">
        <v>19224.37</v>
      </c>
      <c r="Q260" s="3">
        <v>1519640.05</v>
      </c>
      <c r="R260" s="9">
        <f>IF($F260=1,((SUMIFS(Investors!$M:$M,Investors!$E:$E,Sales!$C260,Investors!$O:$O,FALSE)+SUMIFS(Investors!$S:$S,Investors!$E:$E,Sales!$C260,Investors!$O:$O,FALSE))*$F260)-SUMIFS('Investor Exit List'!$Q:$Q,'Investor Exit List'!$Y:$Y,1,'Investor Exit List'!$Z:$Z,"Release",'Investor Exit List'!$C:$C,Sales!$C260),(SUMIFS(Investors!$M:$M,Investors!$E:$E,Sales!$C260,Investors!$O:$O,FALSE)+SUMIFS(Investors!$S:$S,Investors!$E:$E,Sales!$C260,Investors!$O:$O,FALSE))*$F260)</f>
        <v>0</v>
      </c>
      <c r="S260" s="9">
        <f t="shared" si="10"/>
        <v>1519640.05</v>
      </c>
      <c r="T260" s="3" t="b">
        <v>0</v>
      </c>
      <c r="U260" s="4">
        <v>45626</v>
      </c>
      <c r="V260" s="9">
        <v>240741.41986301361</v>
      </c>
      <c r="W260" s="10">
        <f>IF(SUMIFS('Cashflow Projection'!$E$117:$E$149,'Cashflow Projection'!$D$117:$D$149,Sales!C260)=1,SUMIFS('Cashflow Projection'!$C$117:$C$149,'Cashflow Projection'!$D$117:$D$149,Sales!C260),+Sales!H260)</f>
        <v>45596</v>
      </c>
      <c r="X260" s="10">
        <f t="shared" si="11"/>
        <v>45626</v>
      </c>
      <c r="Y260" s="10">
        <f t="shared" si="12"/>
        <v>45657</v>
      </c>
      <c r="Z260" t="b">
        <v>0</v>
      </c>
    </row>
    <row r="261" spans="1:26" x14ac:dyDescent="0.2">
      <c r="A261" s="3" t="s">
        <v>386</v>
      </c>
      <c r="B261" s="3" t="s">
        <v>750</v>
      </c>
      <c r="C261" s="3" t="s">
        <v>765</v>
      </c>
      <c r="D261" s="3" t="b">
        <v>0</v>
      </c>
      <c r="E261" s="3" t="b">
        <v>0</v>
      </c>
      <c r="F261" s="3">
        <f>IF(OR(Z261=TRUE,SUMIFS('Cashflow Projection'!$E$117:$E$149,'Cashflow Projection'!$D$117:$D$149,Sales!C261)=1),0,SUMIFS('Cashflow Projection'!$C$7:$C$23,'Cashflow Projection'!$B$7:$B$23,Sales!B261,'Cashflow Projection'!$A$7:$A$23,Sales!A261))</f>
        <v>0</v>
      </c>
      <c r="G261" s="4">
        <v>45510</v>
      </c>
      <c r="H261" s="4">
        <v>45625</v>
      </c>
      <c r="I261" s="3">
        <v>1529900</v>
      </c>
      <c r="J261" s="3">
        <v>199552.17391304349</v>
      </c>
      <c r="K261" s="3">
        <v>1330347.826086957</v>
      </c>
      <c r="L261" s="3">
        <v>18502.080000000002</v>
      </c>
      <c r="M261" s="3">
        <v>1789</v>
      </c>
      <c r="N261" s="3">
        <v>7649.5</v>
      </c>
      <c r="O261" s="3">
        <v>76495</v>
      </c>
      <c r="P261" s="3">
        <v>19224.37</v>
      </c>
      <c r="Q261" s="3">
        <v>1406240.05</v>
      </c>
      <c r="R261" s="9">
        <f>IF($F261=1,((SUMIFS(Investors!$M:$M,Investors!$E:$E,Sales!$C261,Investors!$O:$O,FALSE)+SUMIFS(Investors!$S:$S,Investors!$E:$E,Sales!$C261,Investors!$O:$O,FALSE))*$F261)-SUMIFS('Investor Exit List'!$Q:$Q,'Investor Exit List'!$Y:$Y,1,'Investor Exit List'!$Z:$Z,"Release",'Investor Exit List'!$C:$C,Sales!$C261),(SUMIFS(Investors!$M:$M,Investors!$E:$E,Sales!$C261,Investors!$O:$O,FALSE)+SUMIFS(Investors!$S:$S,Investors!$E:$E,Sales!$C261,Investors!$O:$O,FALSE))*$F261)</f>
        <v>0</v>
      </c>
      <c r="S261" s="9">
        <f t="shared" ref="S261:S324" si="13">IF(T261=FALSE,Q261-R261,+V261)</f>
        <v>1406240.05</v>
      </c>
      <c r="T261" s="3" t="b">
        <v>0</v>
      </c>
      <c r="U261" s="4">
        <v>45688</v>
      </c>
      <c r="V261" s="9">
        <v>26263.56270506838</v>
      </c>
      <c r="W261" s="10">
        <f>IF(SUMIFS('Cashflow Projection'!$E$117:$E$149,'Cashflow Projection'!$D$117:$D$149,Sales!C261)=1,SUMIFS('Cashflow Projection'!$C$117:$C$149,'Cashflow Projection'!$D$117:$D$149,Sales!C261),+Sales!H261)</f>
        <v>45625</v>
      </c>
      <c r="X261" s="10">
        <f t="shared" ref="X261:X324" si="14">IF(MOD(MONTH(W261), 2) &lt;&gt; 0, EOMONTH(W261, 2), EOMONTH(W261, 1))</f>
        <v>45688</v>
      </c>
      <c r="Y261" s="10">
        <f t="shared" ref="Y261:Y324" si="15">EOMONTH(X261,1)</f>
        <v>45716</v>
      </c>
      <c r="Z261" t="b">
        <v>0</v>
      </c>
    </row>
    <row r="262" spans="1:26" x14ac:dyDescent="0.2">
      <c r="A262" s="3" t="s">
        <v>992</v>
      </c>
      <c r="B262" s="3" t="s">
        <v>209</v>
      </c>
      <c r="C262" s="3" t="s">
        <v>1049</v>
      </c>
      <c r="D262" s="3" t="b">
        <v>0</v>
      </c>
      <c r="E262" s="3" t="b">
        <v>0</v>
      </c>
      <c r="F262" s="3">
        <f>IF(OR(Z262=TRUE,SUMIFS('Cashflow Projection'!$E$117:$E$149,'Cashflow Projection'!$D$117:$D$149,Sales!C262)=1),0,SUMIFS('Cashflow Projection'!$C$7:$C$23,'Cashflow Projection'!$B$7:$B$23,Sales!B262,'Cashflow Projection'!$A$7:$A$23,Sales!A262))</f>
        <v>1</v>
      </c>
      <c r="G262" s="4">
        <v>45478</v>
      </c>
      <c r="H262" s="4">
        <v>45458</v>
      </c>
      <c r="I262" s="3">
        <v>1549900</v>
      </c>
      <c r="J262" s="3">
        <v>0</v>
      </c>
      <c r="K262" s="3">
        <v>1347739.1304347829</v>
      </c>
      <c r="L262" s="3">
        <v>18502.080000000002</v>
      </c>
      <c r="M262" s="3">
        <v>1789</v>
      </c>
      <c r="N262" s="3">
        <v>7749.5</v>
      </c>
      <c r="O262" s="3">
        <v>77495</v>
      </c>
      <c r="P262" s="3">
        <v>19224.37</v>
      </c>
      <c r="Q262" s="3">
        <v>1425140.05</v>
      </c>
      <c r="R262" s="9">
        <f>IF($F262=1,((SUMIFS(Investors!$M:$M,Investors!$E:$E,Sales!$C262,Investors!$O:$O,FALSE)+SUMIFS(Investors!$S:$S,Investors!$E:$E,Sales!$C262,Investors!$O:$O,FALSE))*$F262)-SUMIFS('Investor Exit List'!$Q:$Q,'Investor Exit List'!$Y:$Y,1,'Investor Exit List'!$Z:$Z,"Release",'Investor Exit List'!$C:$C,Sales!$C262),(SUMIFS(Investors!$M:$M,Investors!$E:$E,Sales!$C262,Investors!$O:$O,FALSE)+SUMIFS(Investors!$S:$S,Investors!$E:$E,Sales!$C262,Investors!$O:$O,FALSE))*$F262)</f>
        <v>0</v>
      </c>
      <c r="S262" s="9">
        <f t="shared" si="13"/>
        <v>921500</v>
      </c>
      <c r="T262" s="3" t="b">
        <v>1</v>
      </c>
      <c r="U262" s="4">
        <v>45504</v>
      </c>
      <c r="V262" s="9">
        <v>921500</v>
      </c>
      <c r="W262" s="10">
        <f>IF(SUMIFS('Cashflow Projection'!$E$117:$E$149,'Cashflow Projection'!$D$117:$D$149,Sales!C262)=1,SUMIFS('Cashflow Projection'!$C$117:$C$149,'Cashflow Projection'!$D$117:$D$149,Sales!C262),+Sales!H262)</f>
        <v>45458</v>
      </c>
      <c r="X262" s="10">
        <f t="shared" si="14"/>
        <v>45504</v>
      </c>
      <c r="Y262" s="10">
        <f t="shared" si="15"/>
        <v>45535</v>
      </c>
      <c r="Z262" t="b">
        <v>0</v>
      </c>
    </row>
    <row r="263" spans="1:26" x14ac:dyDescent="0.2">
      <c r="A263" s="3" t="s">
        <v>992</v>
      </c>
      <c r="B263" s="3" t="s">
        <v>388</v>
      </c>
      <c r="C263" s="3" t="s">
        <v>1050</v>
      </c>
      <c r="D263" s="3" t="b">
        <v>1</v>
      </c>
      <c r="E263" s="3" t="b">
        <v>1</v>
      </c>
      <c r="F263" s="3">
        <f>IF(OR(Z263=TRUE,SUMIFS('Cashflow Projection'!$E$117:$E$149,'Cashflow Projection'!$D$117:$D$149,Sales!C263)=1),0,SUMIFS('Cashflow Projection'!$C$7:$C$23,'Cashflow Projection'!$B$7:$B$23,Sales!B263,'Cashflow Projection'!$A$7:$A$23,Sales!A263))</f>
        <v>0</v>
      </c>
      <c r="G263" s="4">
        <v>44837</v>
      </c>
      <c r="H263" s="4">
        <v>45688</v>
      </c>
      <c r="I263" s="3">
        <v>1559900</v>
      </c>
      <c r="J263" s="3">
        <v>203465.21739130441</v>
      </c>
      <c r="K263" s="3">
        <v>1356434.782608696</v>
      </c>
      <c r="L263" s="3">
        <v>18502.080000000002</v>
      </c>
      <c r="M263" s="3">
        <v>1789</v>
      </c>
      <c r="N263" s="3">
        <v>7799.5</v>
      </c>
      <c r="O263" s="3">
        <v>77995</v>
      </c>
      <c r="P263" s="3">
        <v>19224.37</v>
      </c>
      <c r="Q263" s="3">
        <v>1434590.05</v>
      </c>
      <c r="R263" s="9">
        <f>IF($F263=1,((SUMIFS(Investors!$M:$M,Investors!$E:$E,Sales!$C263,Investors!$O:$O,FALSE)+SUMIFS(Investors!$S:$S,Investors!$E:$E,Sales!$C263,Investors!$O:$O,FALSE))*$F263)-SUMIFS('Investor Exit List'!$Q:$Q,'Investor Exit List'!$Y:$Y,1,'Investor Exit List'!$Z:$Z,"Release",'Investor Exit List'!$C:$C,Sales!$C263),(SUMIFS(Investors!$M:$M,Investors!$E:$E,Sales!$C263,Investors!$O:$O,FALSE)+SUMIFS(Investors!$S:$S,Investors!$E:$E,Sales!$C263,Investors!$O:$O,FALSE))*$F263)</f>
        <v>0</v>
      </c>
      <c r="S263" s="9">
        <f t="shared" si="13"/>
        <v>1434590.05</v>
      </c>
      <c r="T263" s="3" t="b">
        <v>0</v>
      </c>
      <c r="U263" s="4">
        <v>45747</v>
      </c>
      <c r="V263" s="9">
        <v>255059.22808219169</v>
      </c>
      <c r="W263" s="10">
        <f>IF(SUMIFS('Cashflow Projection'!$E$117:$E$149,'Cashflow Projection'!$D$117:$D$149,Sales!C263)=1,SUMIFS('Cashflow Projection'!$C$117:$C$149,'Cashflow Projection'!$D$117:$D$149,Sales!C263),+Sales!H263)</f>
        <v>45688</v>
      </c>
      <c r="X263" s="10">
        <f t="shared" si="14"/>
        <v>45747</v>
      </c>
      <c r="Y263" s="10">
        <f t="shared" si="15"/>
        <v>45777</v>
      </c>
      <c r="Z263" t="b">
        <v>0</v>
      </c>
    </row>
    <row r="264" spans="1:26" x14ac:dyDescent="0.2">
      <c r="A264" s="3" t="s">
        <v>992</v>
      </c>
      <c r="B264" s="3" t="s">
        <v>598</v>
      </c>
      <c r="C264" s="3" t="s">
        <v>1051</v>
      </c>
      <c r="D264" s="3" t="b">
        <v>1</v>
      </c>
      <c r="E264" s="3" t="b">
        <v>1</v>
      </c>
      <c r="F264" s="3">
        <f>IF(OR(Z264=TRUE,SUMIFS('Cashflow Projection'!$E$117:$E$149,'Cashflow Projection'!$D$117:$D$149,Sales!C264)=1),0,SUMIFS('Cashflow Projection'!$C$7:$C$23,'Cashflow Projection'!$B$7:$B$23,Sales!B264,'Cashflow Projection'!$A$7:$A$23,Sales!A264))</f>
        <v>0</v>
      </c>
      <c r="G264" s="4">
        <v>44657</v>
      </c>
      <c r="H264" s="4">
        <v>45688</v>
      </c>
      <c r="I264" s="3">
        <v>1404900</v>
      </c>
      <c r="J264" s="3">
        <v>183247.82608695651</v>
      </c>
      <c r="K264" s="3">
        <v>1221652.173913043</v>
      </c>
      <c r="L264" s="3">
        <v>18502.080000000002</v>
      </c>
      <c r="M264" s="3">
        <v>1789</v>
      </c>
      <c r="N264" s="3">
        <v>7024.5</v>
      </c>
      <c r="O264" s="3">
        <v>70245</v>
      </c>
      <c r="P264" s="3">
        <v>19224.37</v>
      </c>
      <c r="Q264" s="3">
        <v>1288115.05</v>
      </c>
      <c r="R264" s="9">
        <f>IF($F264=1,((SUMIFS(Investors!$M:$M,Investors!$E:$E,Sales!$C264,Investors!$O:$O,FALSE)+SUMIFS(Investors!$S:$S,Investors!$E:$E,Sales!$C264,Investors!$O:$O,FALSE))*$F264)-SUMIFS('Investor Exit List'!$Q:$Q,'Investor Exit List'!$Y:$Y,1,'Investor Exit List'!$Z:$Z,"Release",'Investor Exit List'!$C:$C,Sales!$C264),(SUMIFS(Investors!$M:$M,Investors!$E:$E,Sales!$C264,Investors!$O:$O,FALSE)+SUMIFS(Investors!$S:$S,Investors!$E:$E,Sales!$C264,Investors!$O:$O,FALSE))*$F264)</f>
        <v>0</v>
      </c>
      <c r="S264" s="9">
        <f t="shared" si="13"/>
        <v>1288115.05</v>
      </c>
      <c r="T264" s="3" t="b">
        <v>0</v>
      </c>
      <c r="U264" s="4">
        <v>45747</v>
      </c>
      <c r="V264" s="9">
        <v>177167.56715410951</v>
      </c>
      <c r="W264" s="10">
        <f>IF(SUMIFS('Cashflow Projection'!$E$117:$E$149,'Cashflow Projection'!$D$117:$D$149,Sales!C264)=1,SUMIFS('Cashflow Projection'!$C$117:$C$149,'Cashflow Projection'!$D$117:$D$149,Sales!C264),+Sales!H264)</f>
        <v>45688</v>
      </c>
      <c r="X264" s="10">
        <f t="shared" si="14"/>
        <v>45747</v>
      </c>
      <c r="Y264" s="10">
        <f t="shared" si="15"/>
        <v>45777</v>
      </c>
      <c r="Z264" t="b">
        <v>0</v>
      </c>
    </row>
    <row r="265" spans="1:26" x14ac:dyDescent="0.2">
      <c r="A265" s="3" t="s">
        <v>24</v>
      </c>
      <c r="B265" s="3" t="s">
        <v>26</v>
      </c>
      <c r="C265" s="3" t="s">
        <v>101</v>
      </c>
      <c r="D265" s="3" t="b">
        <v>1</v>
      </c>
      <c r="E265" s="3" t="b">
        <v>1</v>
      </c>
      <c r="F265" s="3">
        <f>IF(OR(Z265=TRUE,SUMIFS('Cashflow Projection'!$E$117:$E$149,'Cashflow Projection'!$D$117:$D$149,Sales!C265)=1),0,SUMIFS('Cashflow Projection'!$C$7:$C$23,'Cashflow Projection'!$B$7:$B$23,Sales!B265,'Cashflow Projection'!$A$7:$A$23,Sales!A265))</f>
        <v>0</v>
      </c>
      <c r="G265" s="4">
        <v>44897</v>
      </c>
      <c r="H265" s="4">
        <v>45688</v>
      </c>
      <c r="I265" s="3">
        <v>1349900</v>
      </c>
      <c r="J265" s="3">
        <v>176073.91304347821</v>
      </c>
      <c r="K265" s="3">
        <v>1173826.086956522</v>
      </c>
      <c r="L265" s="3">
        <v>18502.080000000002</v>
      </c>
      <c r="M265" s="3">
        <v>1789</v>
      </c>
      <c r="N265" s="3">
        <v>6749.5</v>
      </c>
      <c r="O265" s="3">
        <v>67495</v>
      </c>
      <c r="P265" s="3">
        <v>19224.37</v>
      </c>
      <c r="Q265" s="3">
        <v>1236140.05</v>
      </c>
      <c r="R265" s="9">
        <f>IF($F265=1,((SUMIFS(Investors!$M:$M,Investors!$E:$E,Sales!$C265,Investors!$O:$O,FALSE)+SUMIFS(Investors!$S:$S,Investors!$E:$E,Sales!$C265,Investors!$O:$O,FALSE))*$F265)-SUMIFS('Investor Exit List'!$Q:$Q,'Investor Exit List'!$Y:$Y,1,'Investor Exit List'!$Z:$Z,"Release",'Investor Exit List'!$C:$C,Sales!$C265),(SUMIFS(Investors!$M:$M,Investors!$E:$E,Sales!$C265,Investors!$O:$O,FALSE)+SUMIFS(Investors!$S:$S,Investors!$E:$E,Sales!$C265,Investors!$O:$O,FALSE))*$F265)</f>
        <v>0</v>
      </c>
      <c r="S265" s="9">
        <f t="shared" si="13"/>
        <v>1236140.05</v>
      </c>
      <c r="T265" s="3" t="b">
        <v>0</v>
      </c>
      <c r="U265" s="4">
        <v>45747</v>
      </c>
      <c r="V265" s="9">
        <v>103177.5842465751</v>
      </c>
      <c r="W265" s="10">
        <f>IF(SUMIFS('Cashflow Projection'!$E$117:$E$149,'Cashflow Projection'!$D$117:$D$149,Sales!C265)=1,SUMIFS('Cashflow Projection'!$C$117:$C$149,'Cashflow Projection'!$D$117:$D$149,Sales!C265),+Sales!H265)</f>
        <v>45688</v>
      </c>
      <c r="X265" s="10">
        <f t="shared" si="14"/>
        <v>45747</v>
      </c>
      <c r="Y265" s="10">
        <f t="shared" si="15"/>
        <v>45777</v>
      </c>
      <c r="Z265" t="b">
        <v>0</v>
      </c>
    </row>
    <row r="266" spans="1:26" x14ac:dyDescent="0.2">
      <c r="A266" s="3" t="s">
        <v>24</v>
      </c>
      <c r="B266" s="3" t="s">
        <v>209</v>
      </c>
      <c r="C266" s="3" t="s">
        <v>358</v>
      </c>
      <c r="D266" s="3" t="b">
        <v>1</v>
      </c>
      <c r="E266" s="3" t="b">
        <v>1</v>
      </c>
      <c r="F266" s="3">
        <f>IF(OR(Z266=TRUE,SUMIFS('Cashflow Projection'!$E$117:$E$149,'Cashflow Projection'!$D$117:$D$149,Sales!C266)=1),0,SUMIFS('Cashflow Projection'!$C$7:$C$23,'Cashflow Projection'!$B$7:$B$23,Sales!B266,'Cashflow Projection'!$A$7:$A$23,Sales!A266))</f>
        <v>1</v>
      </c>
      <c r="G266" s="4">
        <v>45061</v>
      </c>
      <c r="H266" s="4">
        <v>45688</v>
      </c>
      <c r="I266" s="3">
        <v>1399900</v>
      </c>
      <c r="J266" s="3">
        <v>182595.65217391311</v>
      </c>
      <c r="K266" s="3">
        <v>1217304.3478260869</v>
      </c>
      <c r="L266" s="3">
        <v>18502.080000000002</v>
      </c>
      <c r="M266" s="3">
        <v>1789</v>
      </c>
      <c r="N266" s="3">
        <v>6999.5</v>
      </c>
      <c r="O266" s="3">
        <v>69995</v>
      </c>
      <c r="P266" s="3">
        <v>19224.37</v>
      </c>
      <c r="Q266" s="3">
        <v>1283390.05</v>
      </c>
      <c r="R266" s="9">
        <f>IF($F266=1,((SUMIFS(Investors!$M:$M,Investors!$E:$E,Sales!$C266,Investors!$O:$O,FALSE)+SUMIFS(Investors!$S:$S,Investors!$E:$E,Sales!$C266,Investors!$O:$O,FALSE))*$F266)-SUMIFS('Investor Exit List'!$Q:$Q,'Investor Exit List'!$Y:$Y,1,'Investor Exit List'!$Z:$Z,"Release",'Investor Exit List'!$C:$C,Sales!$C266),(SUMIFS(Investors!$M:$M,Investors!$E:$E,Sales!$C266,Investors!$O:$O,FALSE)+SUMIFS(Investors!$S:$S,Investors!$E:$E,Sales!$C266,Investors!$O:$O,FALSE))*$F266)</f>
        <v>0</v>
      </c>
      <c r="S266" s="9">
        <f t="shared" si="13"/>
        <v>1283390.05</v>
      </c>
      <c r="T266" s="3" t="b">
        <v>0</v>
      </c>
      <c r="U266" s="4">
        <v>45747</v>
      </c>
      <c r="V266" s="9">
        <v>70629.77602739702</v>
      </c>
      <c r="W266" s="10">
        <f>IF(SUMIFS('Cashflow Projection'!$E$117:$E$149,'Cashflow Projection'!$D$117:$D$149,Sales!C266)=1,SUMIFS('Cashflow Projection'!$C$117:$C$149,'Cashflow Projection'!$D$117:$D$149,Sales!C266),+Sales!H266)</f>
        <v>45688</v>
      </c>
      <c r="X266" s="10">
        <f t="shared" si="14"/>
        <v>45747</v>
      </c>
      <c r="Y266" s="10">
        <f t="shared" si="15"/>
        <v>45777</v>
      </c>
      <c r="Z266" t="b">
        <v>0</v>
      </c>
    </row>
    <row r="267" spans="1:26" x14ac:dyDescent="0.2">
      <c r="A267" s="3" t="s">
        <v>386</v>
      </c>
      <c r="B267" s="3" t="s">
        <v>497</v>
      </c>
      <c r="C267" s="3" t="s">
        <v>511</v>
      </c>
      <c r="D267" s="3" t="b">
        <v>1</v>
      </c>
      <c r="E267" s="3" t="b">
        <v>1</v>
      </c>
      <c r="F267" s="3">
        <f>IF(OR(Z267=TRUE,SUMIFS('Cashflow Projection'!$E$117:$E$149,'Cashflow Projection'!$D$117:$D$149,Sales!C267)=1),0,SUMIFS('Cashflow Projection'!$C$7:$C$23,'Cashflow Projection'!$B$7:$B$23,Sales!B267,'Cashflow Projection'!$A$7:$A$23,Sales!A267))</f>
        <v>1</v>
      </c>
      <c r="G267" s="4">
        <v>45323</v>
      </c>
      <c r="H267" s="4">
        <v>45688</v>
      </c>
      <c r="I267" s="3">
        <v>1699900</v>
      </c>
      <c r="J267" s="3">
        <v>221726.0869565217</v>
      </c>
      <c r="K267" s="3">
        <v>1478173.913043478</v>
      </c>
      <c r="L267" s="3">
        <v>18502.080000000002</v>
      </c>
      <c r="M267" s="3">
        <v>1789</v>
      </c>
      <c r="N267" s="3">
        <v>8499.5</v>
      </c>
      <c r="O267" s="3">
        <v>84995</v>
      </c>
      <c r="P267" s="3">
        <v>19224.37</v>
      </c>
      <c r="Q267" s="3">
        <v>1566890.05</v>
      </c>
      <c r="R267" s="9">
        <f>IF($F267=1,((SUMIFS(Investors!$M:$M,Investors!$E:$E,Sales!$C267,Investors!$O:$O,FALSE)+SUMIFS(Investors!$S:$S,Investors!$E:$E,Sales!$C267,Investors!$O:$O,FALSE))*$F267)-SUMIFS('Investor Exit List'!$Q:$Q,'Investor Exit List'!$Y:$Y,1,'Investor Exit List'!$Z:$Z,"Release",'Investor Exit List'!$C:$C,Sales!$C267),(SUMIFS(Investors!$M:$M,Investors!$E:$E,Sales!$C267,Investors!$O:$O,FALSE)+SUMIFS(Investors!$S:$S,Investors!$E:$E,Sales!$C267,Investors!$O:$O,FALSE))*$F267)</f>
        <v>840607.85660027398</v>
      </c>
      <c r="S267" s="9">
        <f t="shared" si="13"/>
        <v>726282.19339972606</v>
      </c>
      <c r="T267" s="3" t="b">
        <v>0</v>
      </c>
      <c r="U267" s="4">
        <v>45747</v>
      </c>
      <c r="V267" s="9">
        <v>313960.61805726012</v>
      </c>
      <c r="W267" s="10">
        <f>IF(SUMIFS('Cashflow Projection'!$E$117:$E$149,'Cashflow Projection'!$D$117:$D$149,Sales!C267)=1,SUMIFS('Cashflow Projection'!$C$117:$C$149,'Cashflow Projection'!$D$117:$D$149,Sales!C267),+Sales!H267)</f>
        <v>45688</v>
      </c>
      <c r="X267" s="10">
        <f t="shared" si="14"/>
        <v>45747</v>
      </c>
      <c r="Y267" s="10">
        <f t="shared" si="15"/>
        <v>45777</v>
      </c>
      <c r="Z267" t="b">
        <v>0</v>
      </c>
    </row>
    <row r="268" spans="1:26" x14ac:dyDescent="0.2">
      <c r="A268" s="3" t="s">
        <v>386</v>
      </c>
      <c r="B268" s="3" t="s">
        <v>822</v>
      </c>
      <c r="C268" s="3" t="s">
        <v>834</v>
      </c>
      <c r="D268" s="3" t="b">
        <v>1</v>
      </c>
      <c r="E268" s="3" t="b">
        <v>1</v>
      </c>
      <c r="F268" s="3">
        <f>IF(OR(Z268=TRUE,SUMIFS('Cashflow Projection'!$E$117:$E$149,'Cashflow Projection'!$D$117:$D$149,Sales!C268)=1),0,SUMIFS('Cashflow Projection'!$C$7:$C$23,'Cashflow Projection'!$B$7:$B$23,Sales!B268,'Cashflow Projection'!$A$7:$A$23,Sales!A268))</f>
        <v>1</v>
      </c>
      <c r="G268" s="4">
        <v>45399</v>
      </c>
      <c r="H268" s="4">
        <v>45369</v>
      </c>
      <c r="I268" s="3">
        <v>1699900</v>
      </c>
      <c r="J268" s="3">
        <v>221726.0869565217</v>
      </c>
      <c r="K268" s="3">
        <v>1478173.913043478</v>
      </c>
      <c r="L268" s="3">
        <v>18502.080000000002</v>
      </c>
      <c r="M268" s="3">
        <v>1789</v>
      </c>
      <c r="N268" s="3">
        <v>8499.5</v>
      </c>
      <c r="O268" s="3">
        <v>84995</v>
      </c>
      <c r="P268" s="3">
        <v>19224.37</v>
      </c>
      <c r="Q268" s="3">
        <v>1566890.05</v>
      </c>
      <c r="R268" s="9">
        <f>IF($F268=1,((SUMIFS(Investors!$M:$M,Investors!$E:$E,Sales!$C268,Investors!$O:$O,FALSE)+SUMIFS(Investors!$S:$S,Investors!$E:$E,Sales!$C268,Investors!$O:$O,FALSE))*$F268)-SUMIFS('Investor Exit List'!$Q:$Q,'Investor Exit List'!$Y:$Y,1,'Investor Exit List'!$Z:$Z,"Release",'Investor Exit List'!$C:$C,Sales!$C268),(SUMIFS(Investors!$M:$M,Investors!$E:$E,Sales!$C268,Investors!$O:$O,FALSE)+SUMIFS(Investors!$S:$S,Investors!$E:$E,Sales!$C268,Investors!$O:$O,FALSE))*$F268)</f>
        <v>1315554.7945205481</v>
      </c>
      <c r="S268" s="9">
        <f t="shared" si="13"/>
        <v>251335.25547945197</v>
      </c>
      <c r="T268" s="3" t="b">
        <v>0</v>
      </c>
      <c r="U268" s="4">
        <v>45443</v>
      </c>
      <c r="V268" s="9">
        <v>251335.25547945171</v>
      </c>
      <c r="W268" s="10">
        <f>IF(SUMIFS('Cashflow Projection'!$E$117:$E$149,'Cashflow Projection'!$D$117:$D$149,Sales!C268)=1,SUMIFS('Cashflow Projection'!$C$117:$C$149,'Cashflow Projection'!$D$117:$D$149,Sales!C268),+Sales!H268)</f>
        <v>45369</v>
      </c>
      <c r="X268" s="10">
        <f t="shared" si="14"/>
        <v>45443</v>
      </c>
      <c r="Y268" s="10">
        <f t="shared" si="15"/>
        <v>45473</v>
      </c>
      <c r="Z268" t="b">
        <v>0</v>
      </c>
    </row>
    <row r="269" spans="1:26" x14ac:dyDescent="0.2">
      <c r="A269" s="3" t="s">
        <v>386</v>
      </c>
      <c r="B269" s="3" t="s">
        <v>711</v>
      </c>
      <c r="C269" s="3" t="s">
        <v>710</v>
      </c>
      <c r="D269" s="3" t="b">
        <v>1</v>
      </c>
      <c r="E269" s="3" t="b">
        <v>0</v>
      </c>
      <c r="F269" s="3">
        <f>IF(OR(Z269=TRUE,SUMIFS('Cashflow Projection'!$E$117:$E$149,'Cashflow Projection'!$D$117:$D$149,Sales!C269)=1),0,SUMIFS('Cashflow Projection'!$C$7:$C$23,'Cashflow Projection'!$B$7:$B$23,Sales!B269,'Cashflow Projection'!$A$7:$A$23,Sales!A269))</f>
        <v>0</v>
      </c>
      <c r="G269" s="4">
        <v>45552</v>
      </c>
      <c r="H269" s="4">
        <v>45552</v>
      </c>
      <c r="I269" s="3">
        <v>1759900</v>
      </c>
      <c r="J269" s="3">
        <v>229552.17391304349</v>
      </c>
      <c r="K269" s="3">
        <v>1530347.826086957</v>
      </c>
      <c r="L269" s="3">
        <v>18502.080000000002</v>
      </c>
      <c r="M269" s="3">
        <v>1789</v>
      </c>
      <c r="N269" s="3">
        <v>8799.5</v>
      </c>
      <c r="O269" s="3">
        <v>87995</v>
      </c>
      <c r="P269" s="3">
        <v>19224.37</v>
      </c>
      <c r="Q269" s="3">
        <v>1623590.05</v>
      </c>
      <c r="R269" s="9">
        <f>IF($F269=1,((SUMIFS(Investors!$M:$M,Investors!$E:$E,Sales!$C269,Investors!$O:$O,FALSE)+SUMIFS(Investors!$S:$S,Investors!$E:$E,Sales!$C269,Investors!$O:$O,FALSE))*$F269)-SUMIFS('Investor Exit List'!$Q:$Q,'Investor Exit List'!$Y:$Y,1,'Investor Exit List'!$Z:$Z,"Release",'Investor Exit List'!$C:$C,Sales!$C269),(SUMIFS(Investors!$M:$M,Investors!$E:$E,Sales!$C269,Investors!$O:$O,FALSE)+SUMIFS(Investors!$S:$S,Investors!$E:$E,Sales!$C269,Investors!$O:$O,FALSE))*$F269)</f>
        <v>0</v>
      </c>
      <c r="S269" s="9">
        <f t="shared" si="13"/>
        <v>1623590.05</v>
      </c>
      <c r="T269" s="3" t="b">
        <v>0</v>
      </c>
      <c r="U269" s="4">
        <v>45626</v>
      </c>
      <c r="V269" s="9">
        <v>196146.2143835614</v>
      </c>
      <c r="W269" s="10">
        <f>IF(SUMIFS('Cashflow Projection'!$E$117:$E$149,'Cashflow Projection'!$D$117:$D$149,Sales!C269)=1,SUMIFS('Cashflow Projection'!$C$117:$C$149,'Cashflow Projection'!$D$117:$D$149,Sales!C269),+Sales!H269)</f>
        <v>45552</v>
      </c>
      <c r="X269" s="10">
        <f t="shared" si="14"/>
        <v>45626</v>
      </c>
      <c r="Y269" s="10">
        <f t="shared" si="15"/>
        <v>45657</v>
      </c>
      <c r="Z269" t="b">
        <v>0</v>
      </c>
    </row>
    <row r="270" spans="1:26" x14ac:dyDescent="0.2">
      <c r="A270" s="3" t="s">
        <v>386</v>
      </c>
      <c r="B270" s="3" t="s">
        <v>675</v>
      </c>
      <c r="C270" s="3" t="s">
        <v>676</v>
      </c>
      <c r="D270" s="3" t="b">
        <v>1</v>
      </c>
      <c r="E270" s="3" t="b">
        <v>0</v>
      </c>
      <c r="F270" s="3">
        <f>IF(OR(Z270=TRUE,SUMIFS('Cashflow Projection'!$E$117:$E$149,'Cashflow Projection'!$D$117:$D$149,Sales!C270)=1),0,SUMIFS('Cashflow Projection'!$C$7:$C$23,'Cashflow Projection'!$B$7:$B$23,Sales!B270,'Cashflow Projection'!$A$7:$A$23,Sales!A270))</f>
        <v>1</v>
      </c>
      <c r="G270" s="4">
        <v>45490</v>
      </c>
      <c r="H270" s="4">
        <v>45490</v>
      </c>
      <c r="I270" s="3">
        <v>1669999</v>
      </c>
      <c r="J270" s="3">
        <v>217825.95652173911</v>
      </c>
      <c r="K270" s="3">
        <v>1452173.043478261</v>
      </c>
      <c r="L270" s="3">
        <v>18502.080000000002</v>
      </c>
      <c r="M270" s="3">
        <v>1789</v>
      </c>
      <c r="N270" s="3">
        <v>8349.9950000000008</v>
      </c>
      <c r="O270" s="3">
        <v>83499.950000000012</v>
      </c>
      <c r="P270" s="3">
        <v>19224.37</v>
      </c>
      <c r="Q270" s="3">
        <v>1538633.605</v>
      </c>
      <c r="R270" s="9">
        <f>IF($F270=1,((SUMIFS(Investors!$M:$M,Investors!$E:$E,Sales!$C270,Investors!$O:$O,FALSE)+SUMIFS(Investors!$S:$S,Investors!$E:$E,Sales!$C270,Investors!$O:$O,FALSE))*$F270)-SUMIFS('Investor Exit List'!$Q:$Q,'Investor Exit List'!$Y:$Y,1,'Investor Exit List'!$Z:$Z,"Release",'Investor Exit List'!$C:$C,Sales!$C270),(SUMIFS(Investors!$M:$M,Investors!$E:$E,Sales!$C270,Investors!$O:$O,FALSE)+SUMIFS(Investors!$S:$S,Investors!$E:$E,Sales!$C270,Investors!$O:$O,FALSE))*$F270)</f>
        <v>1248936.98630137</v>
      </c>
      <c r="S270" s="9">
        <f t="shared" si="13"/>
        <v>289696.61869863002</v>
      </c>
      <c r="T270" s="3" t="b">
        <v>0</v>
      </c>
      <c r="U270" s="4">
        <v>45565</v>
      </c>
      <c r="V270" s="9">
        <v>289696.61869862978</v>
      </c>
      <c r="W270" s="10">
        <f>IF(SUMIFS('Cashflow Projection'!$E$117:$E$149,'Cashflow Projection'!$D$117:$D$149,Sales!C270)=1,SUMIFS('Cashflow Projection'!$C$117:$C$149,'Cashflow Projection'!$D$117:$D$149,Sales!C270),+Sales!H270)</f>
        <v>45490</v>
      </c>
      <c r="X270" s="10">
        <f t="shared" si="14"/>
        <v>45565</v>
      </c>
      <c r="Y270" s="10">
        <f t="shared" si="15"/>
        <v>45596</v>
      </c>
      <c r="Z270" t="b">
        <v>0</v>
      </c>
    </row>
    <row r="271" spans="1:26" x14ac:dyDescent="0.2">
      <c r="A271" s="3" t="s">
        <v>386</v>
      </c>
      <c r="B271" s="3" t="s">
        <v>388</v>
      </c>
      <c r="C271" s="3" t="s">
        <v>470</v>
      </c>
      <c r="D271" s="3" t="b">
        <v>1</v>
      </c>
      <c r="E271" s="3" t="b">
        <v>1</v>
      </c>
      <c r="F271" s="3">
        <f>IF(OR(Z271=TRUE,SUMIFS('Cashflow Projection'!$E$117:$E$149,'Cashflow Projection'!$D$117:$D$149,Sales!C271)=1),0,SUMIFS('Cashflow Projection'!$C$7:$C$23,'Cashflow Projection'!$B$7:$B$23,Sales!B271,'Cashflow Projection'!$A$7:$A$23,Sales!A271))</f>
        <v>1</v>
      </c>
      <c r="G271" s="4">
        <v>45154</v>
      </c>
      <c r="H271" s="4">
        <v>45688</v>
      </c>
      <c r="I271" s="3">
        <v>1549900</v>
      </c>
      <c r="J271" s="3">
        <v>202160.86956521741</v>
      </c>
      <c r="K271" s="3">
        <v>1347739.1304347829</v>
      </c>
      <c r="L271" s="3">
        <v>18502.080000000002</v>
      </c>
      <c r="M271" s="3">
        <v>1789</v>
      </c>
      <c r="N271" s="3">
        <v>7749.5</v>
      </c>
      <c r="O271" s="3">
        <v>77495</v>
      </c>
      <c r="P271" s="3">
        <v>19224.37</v>
      </c>
      <c r="Q271" s="3">
        <v>1425140.05</v>
      </c>
      <c r="R271" s="9">
        <f>IF($F271=1,((SUMIFS(Investors!$M:$M,Investors!$E:$E,Sales!$C271,Investors!$O:$O,FALSE)+SUMIFS(Investors!$S:$S,Investors!$E:$E,Sales!$C271,Investors!$O:$O,FALSE))*$F271)-SUMIFS('Investor Exit List'!$Q:$Q,'Investor Exit List'!$Y:$Y,1,'Investor Exit List'!$Z:$Z,"Release",'Investor Exit List'!$C:$C,Sales!$C271),(SUMIFS(Investors!$M:$M,Investors!$E:$E,Sales!$C271,Investors!$O:$O,FALSE)+SUMIFS(Investors!$S:$S,Investors!$E:$E,Sales!$C271,Investors!$O:$O,FALSE))*$F271)</f>
        <v>1250733.6691532878</v>
      </c>
      <c r="S271" s="9">
        <f t="shared" si="13"/>
        <v>174406.38084671227</v>
      </c>
      <c r="T271" s="3" t="b">
        <v>0</v>
      </c>
      <c r="U271" s="4">
        <v>45747</v>
      </c>
      <c r="V271" s="9">
        <v>174406.3808467123</v>
      </c>
      <c r="W271" s="10">
        <f>IF(SUMIFS('Cashflow Projection'!$E$117:$E$149,'Cashflow Projection'!$D$117:$D$149,Sales!C271)=1,SUMIFS('Cashflow Projection'!$C$117:$C$149,'Cashflow Projection'!$D$117:$D$149,Sales!C271),+Sales!H271)</f>
        <v>45688</v>
      </c>
      <c r="X271" s="10">
        <f t="shared" si="14"/>
        <v>45747</v>
      </c>
      <c r="Y271" s="10">
        <f t="shared" si="15"/>
        <v>45777</v>
      </c>
      <c r="Z271" t="b">
        <v>0</v>
      </c>
    </row>
    <row r="272" spans="1:26" x14ac:dyDescent="0.2">
      <c r="A272" s="3" t="s">
        <v>386</v>
      </c>
      <c r="B272" s="3" t="s">
        <v>811</v>
      </c>
      <c r="C272" s="3" t="s">
        <v>817</v>
      </c>
      <c r="D272" s="3" t="b">
        <v>0</v>
      </c>
      <c r="E272" s="3" t="b">
        <v>0</v>
      </c>
      <c r="F272" s="3">
        <f>IF(OR(Z272=TRUE,SUMIFS('Cashflow Projection'!$E$117:$E$149,'Cashflow Projection'!$D$117:$D$149,Sales!C272)=1),0,SUMIFS('Cashflow Projection'!$C$7:$C$23,'Cashflow Projection'!$B$7:$B$23,Sales!B272,'Cashflow Projection'!$A$7:$A$23,Sales!A272))</f>
        <v>0</v>
      </c>
      <c r="G272" s="4">
        <v>45450</v>
      </c>
      <c r="H272" s="4">
        <v>45583</v>
      </c>
      <c r="I272" s="3">
        <v>1729900</v>
      </c>
      <c r="J272" s="3">
        <v>225639.13043478259</v>
      </c>
      <c r="K272" s="3">
        <v>1504260.869565218</v>
      </c>
      <c r="L272" s="3">
        <v>18502.080000000002</v>
      </c>
      <c r="M272" s="3">
        <v>1789</v>
      </c>
      <c r="N272" s="3">
        <v>8649.5</v>
      </c>
      <c r="O272" s="3">
        <v>86495</v>
      </c>
      <c r="P272" s="3">
        <v>19224.37</v>
      </c>
      <c r="Q272" s="3">
        <v>1595240.05</v>
      </c>
      <c r="R272" s="9">
        <f>IF($F272=1,((SUMIFS(Investors!$M:$M,Investors!$E:$E,Sales!$C272,Investors!$O:$O,FALSE)+SUMIFS(Investors!$S:$S,Investors!$E:$E,Sales!$C272,Investors!$O:$O,FALSE))*$F272)-SUMIFS('Investor Exit List'!$Q:$Q,'Investor Exit List'!$Y:$Y,1,'Investor Exit List'!$Z:$Z,"Release",'Investor Exit List'!$C:$C,Sales!$C272),(SUMIFS(Investors!$M:$M,Investors!$E:$E,Sales!$C272,Investors!$O:$O,FALSE)+SUMIFS(Investors!$S:$S,Investors!$E:$E,Sales!$C272,Investors!$O:$O,FALSE))*$F272)</f>
        <v>0</v>
      </c>
      <c r="S272" s="9">
        <f t="shared" si="13"/>
        <v>1595240.05</v>
      </c>
      <c r="T272" s="3" t="b">
        <v>0</v>
      </c>
      <c r="U272" s="4">
        <v>45626</v>
      </c>
      <c r="V272" s="9">
        <v>288048.269178082</v>
      </c>
      <c r="W272" s="10">
        <f>IF(SUMIFS('Cashflow Projection'!$E$117:$E$149,'Cashflow Projection'!$D$117:$D$149,Sales!C272)=1,SUMIFS('Cashflow Projection'!$C$117:$C$149,'Cashflow Projection'!$D$117:$D$149,Sales!C272),+Sales!H272)</f>
        <v>45583</v>
      </c>
      <c r="X272" s="10">
        <f t="shared" si="14"/>
        <v>45626</v>
      </c>
      <c r="Y272" s="10">
        <f t="shared" si="15"/>
        <v>45657</v>
      </c>
      <c r="Z272" t="b">
        <v>0</v>
      </c>
    </row>
    <row r="273" spans="1:26" x14ac:dyDescent="0.2">
      <c r="A273" s="3" t="s">
        <v>386</v>
      </c>
      <c r="B273" s="3" t="s">
        <v>790</v>
      </c>
      <c r="C273" s="3" t="s">
        <v>789</v>
      </c>
      <c r="D273" s="3" t="b">
        <v>0</v>
      </c>
      <c r="E273" s="3" t="b">
        <v>0</v>
      </c>
      <c r="F273" s="3">
        <f>IF(OR(Z273=TRUE,SUMIFS('Cashflow Projection'!$E$117:$E$149,'Cashflow Projection'!$D$117:$D$149,Sales!C273)=1),0,SUMIFS('Cashflow Projection'!$C$7:$C$23,'Cashflow Projection'!$B$7:$B$23,Sales!B273,'Cashflow Projection'!$A$7:$A$23,Sales!A273))</f>
        <v>0</v>
      </c>
      <c r="G273" s="4">
        <v>45499</v>
      </c>
      <c r="H273" s="4">
        <v>45716</v>
      </c>
      <c r="I273" s="3">
        <v>1499900</v>
      </c>
      <c r="J273" s="3">
        <v>195639.13043478259</v>
      </c>
      <c r="K273" s="3">
        <v>1304260.869565218</v>
      </c>
      <c r="L273" s="3">
        <v>18502.080000000002</v>
      </c>
      <c r="M273" s="3">
        <v>1789</v>
      </c>
      <c r="N273" s="3">
        <v>7499.5</v>
      </c>
      <c r="O273" s="3">
        <v>74995</v>
      </c>
      <c r="P273" s="3">
        <v>19224.37</v>
      </c>
      <c r="Q273" s="3">
        <v>1377890.05</v>
      </c>
      <c r="R273" s="9">
        <f>IF($F273=1,((SUMIFS(Investors!$M:$M,Investors!$E:$E,Sales!$C273,Investors!$O:$O,FALSE)+SUMIFS(Investors!$S:$S,Investors!$E:$E,Sales!$C273,Investors!$O:$O,FALSE))*$F273)-SUMIFS('Investor Exit List'!$Q:$Q,'Investor Exit List'!$Y:$Y,1,'Investor Exit List'!$Z:$Z,"Release",'Investor Exit List'!$C:$C,Sales!$C273),(SUMIFS(Investors!$M:$M,Investors!$E:$E,Sales!$C273,Investors!$O:$O,FALSE)+SUMIFS(Investors!$S:$S,Investors!$E:$E,Sales!$C273,Investors!$O:$O,FALSE))*$F273)</f>
        <v>0</v>
      </c>
      <c r="S273" s="9">
        <f t="shared" si="13"/>
        <v>1377890.05</v>
      </c>
      <c r="T273" s="3" t="b">
        <v>0</v>
      </c>
      <c r="U273" s="4">
        <v>45747</v>
      </c>
      <c r="V273" s="9">
        <v>89865.392465753248</v>
      </c>
      <c r="W273" s="10">
        <f>IF(SUMIFS('Cashflow Projection'!$E$117:$E$149,'Cashflow Projection'!$D$117:$D$149,Sales!C273)=1,SUMIFS('Cashflow Projection'!$C$117:$C$149,'Cashflow Projection'!$D$117:$D$149,Sales!C273),+Sales!H273)</f>
        <v>45716</v>
      </c>
      <c r="X273" s="10">
        <f t="shared" si="14"/>
        <v>45747</v>
      </c>
      <c r="Y273" s="10">
        <f t="shared" si="15"/>
        <v>45777</v>
      </c>
      <c r="Z273" t="b">
        <v>0</v>
      </c>
    </row>
    <row r="274" spans="1:26" x14ac:dyDescent="0.2">
      <c r="A274" s="3" t="s">
        <v>386</v>
      </c>
      <c r="B274" s="3" t="s">
        <v>598</v>
      </c>
      <c r="C274" s="3" t="s">
        <v>604</v>
      </c>
      <c r="D274" s="3" t="b">
        <v>0</v>
      </c>
      <c r="E274" s="3" t="b">
        <v>0</v>
      </c>
      <c r="F274" s="3">
        <f>IF(OR(Z274=TRUE,SUMIFS('Cashflow Projection'!$E$117:$E$149,'Cashflow Projection'!$D$117:$D$149,Sales!C274)=1),0,SUMIFS('Cashflow Projection'!$C$7:$C$23,'Cashflow Projection'!$B$7:$B$23,Sales!B274,'Cashflow Projection'!$A$7:$A$23,Sales!A274))</f>
        <v>0</v>
      </c>
      <c r="G274" s="4">
        <v>45517</v>
      </c>
      <c r="H274" s="4">
        <v>45722</v>
      </c>
      <c r="I274" s="3">
        <v>1619900</v>
      </c>
      <c r="J274" s="3">
        <v>211291.30434782611</v>
      </c>
      <c r="K274" s="3">
        <v>1408608.6956521741</v>
      </c>
      <c r="L274" s="3">
        <v>18502.080000000002</v>
      </c>
      <c r="M274" s="3">
        <v>1789</v>
      </c>
      <c r="N274" s="3">
        <v>8099.5</v>
      </c>
      <c r="O274" s="3">
        <v>80995</v>
      </c>
      <c r="P274" s="3">
        <v>19224.37</v>
      </c>
      <c r="Q274" s="3">
        <v>1491290.05</v>
      </c>
      <c r="R274" s="9">
        <f>IF($F274=1,((SUMIFS(Investors!$M:$M,Investors!$E:$E,Sales!$C274,Investors!$O:$O,FALSE)+SUMIFS(Investors!$S:$S,Investors!$E:$E,Sales!$C274,Investors!$O:$O,FALSE))*$F274)-SUMIFS('Investor Exit List'!$Q:$Q,'Investor Exit List'!$Y:$Y,1,'Investor Exit List'!$Z:$Z,"Release",'Investor Exit List'!$C:$C,Sales!$C274),(SUMIFS(Investors!$M:$M,Investors!$E:$E,Sales!$C274,Investors!$O:$O,FALSE)+SUMIFS(Investors!$S:$S,Investors!$E:$E,Sales!$C274,Investors!$O:$O,FALSE))*$F274)</f>
        <v>0</v>
      </c>
      <c r="S274" s="9">
        <f t="shared" si="13"/>
        <v>1491290.05</v>
      </c>
      <c r="T274" s="3" t="b">
        <v>0</v>
      </c>
      <c r="U274" s="4">
        <v>45808</v>
      </c>
      <c r="V274" s="9">
        <v>358449.06103424629</v>
      </c>
      <c r="W274" s="10">
        <f>IF(SUMIFS('Cashflow Projection'!$E$117:$E$149,'Cashflow Projection'!$D$117:$D$149,Sales!C274)=1,SUMIFS('Cashflow Projection'!$C$117:$C$149,'Cashflow Projection'!$D$117:$D$149,Sales!C274),+Sales!H274)</f>
        <v>45722</v>
      </c>
      <c r="X274" s="10">
        <f t="shared" si="14"/>
        <v>45808</v>
      </c>
      <c r="Y274" s="10">
        <f t="shared" si="15"/>
        <v>45838</v>
      </c>
      <c r="Z274" t="b">
        <v>0</v>
      </c>
    </row>
    <row r="275" spans="1:26" x14ac:dyDescent="0.2">
      <c r="A275" s="3" t="s">
        <v>386</v>
      </c>
      <c r="B275" s="3" t="s">
        <v>854</v>
      </c>
      <c r="C275" s="3" t="s">
        <v>869</v>
      </c>
      <c r="D275" s="3" t="b">
        <v>1</v>
      </c>
      <c r="E275" s="3" t="b">
        <v>0</v>
      </c>
      <c r="F275" s="3">
        <f>IF(OR(Z275=TRUE,SUMIFS('Cashflow Projection'!$E$117:$E$149,'Cashflow Projection'!$D$117:$D$149,Sales!C275)=1),0,SUMIFS('Cashflow Projection'!$C$7:$C$23,'Cashflow Projection'!$B$7:$B$23,Sales!B275,'Cashflow Projection'!$A$7:$A$23,Sales!A275))</f>
        <v>0</v>
      </c>
      <c r="G275" s="4">
        <v>45518</v>
      </c>
      <c r="H275" s="4">
        <v>45518</v>
      </c>
      <c r="I275" s="3">
        <v>1699900</v>
      </c>
      <c r="J275" s="3">
        <v>221726.0869565217</v>
      </c>
      <c r="K275" s="3">
        <v>1478173.913043478</v>
      </c>
      <c r="L275" s="3">
        <v>18502.080000000002</v>
      </c>
      <c r="M275" s="3">
        <v>1789</v>
      </c>
      <c r="N275" s="3">
        <v>8499.5</v>
      </c>
      <c r="O275" s="3">
        <v>84995</v>
      </c>
      <c r="P275" s="3">
        <v>19224.37</v>
      </c>
      <c r="Q275" s="3">
        <v>1566890.05</v>
      </c>
      <c r="R275" s="9">
        <f>IF($F275=1,((SUMIFS(Investors!$M:$M,Investors!$E:$E,Sales!$C275,Investors!$O:$O,FALSE)+SUMIFS(Investors!$S:$S,Investors!$E:$E,Sales!$C275,Investors!$O:$O,FALSE))*$F275)-SUMIFS('Investor Exit List'!$Q:$Q,'Investor Exit List'!$Y:$Y,1,'Investor Exit List'!$Z:$Z,"Release",'Investor Exit List'!$C:$C,Sales!$C275),(SUMIFS(Investors!$M:$M,Investors!$E:$E,Sales!$C275,Investors!$O:$O,FALSE)+SUMIFS(Investors!$S:$S,Investors!$E:$E,Sales!$C275,Investors!$O:$O,FALSE))*$F275)</f>
        <v>0</v>
      </c>
      <c r="S275" s="9">
        <f t="shared" si="13"/>
        <v>1566890.05</v>
      </c>
      <c r="T275" s="3" t="b">
        <v>0</v>
      </c>
      <c r="U275" s="4">
        <v>45565</v>
      </c>
      <c r="V275" s="9">
        <v>221288.63852684919</v>
      </c>
      <c r="W275" s="10">
        <f>IF(SUMIFS('Cashflow Projection'!$E$117:$E$149,'Cashflow Projection'!$D$117:$D$149,Sales!C275)=1,SUMIFS('Cashflow Projection'!$C$117:$C$149,'Cashflow Projection'!$D$117:$D$149,Sales!C275),+Sales!H275)</f>
        <v>45518</v>
      </c>
      <c r="X275" s="10">
        <f t="shared" si="14"/>
        <v>45565</v>
      </c>
      <c r="Y275" s="10">
        <f t="shared" si="15"/>
        <v>45596</v>
      </c>
      <c r="Z275" t="b">
        <v>0</v>
      </c>
    </row>
    <row r="276" spans="1:26" x14ac:dyDescent="0.2">
      <c r="A276" s="3" t="s">
        <v>992</v>
      </c>
      <c r="B276" s="3" t="s">
        <v>569</v>
      </c>
      <c r="C276" s="3" t="s">
        <v>1052</v>
      </c>
      <c r="D276" s="3" t="b">
        <v>1</v>
      </c>
      <c r="E276" s="3" t="b">
        <v>1</v>
      </c>
      <c r="F276" s="3">
        <f>IF(OR(Z276=TRUE,SUMIFS('Cashflow Projection'!$E$117:$E$149,'Cashflow Projection'!$D$117:$D$149,Sales!C276)=1),0,SUMIFS('Cashflow Projection'!$C$7:$C$23,'Cashflow Projection'!$B$7:$B$23,Sales!B276,'Cashflow Projection'!$A$7:$A$23,Sales!A276))</f>
        <v>0</v>
      </c>
      <c r="G276" s="4">
        <v>44685</v>
      </c>
      <c r="H276" s="4">
        <v>45688</v>
      </c>
      <c r="I276" s="3">
        <v>1549900</v>
      </c>
      <c r="J276" s="3">
        <v>202160.86956521741</v>
      </c>
      <c r="K276" s="3">
        <v>1347739.1304347829</v>
      </c>
      <c r="L276" s="3">
        <v>18502.080000000002</v>
      </c>
      <c r="M276" s="3">
        <v>1789</v>
      </c>
      <c r="N276" s="3">
        <v>7749.5</v>
      </c>
      <c r="O276" s="3">
        <v>77495</v>
      </c>
      <c r="P276" s="3">
        <v>19224.37</v>
      </c>
      <c r="Q276" s="3">
        <v>1425140.05</v>
      </c>
      <c r="R276" s="9">
        <f>IF($F276=1,((SUMIFS(Investors!$M:$M,Investors!$E:$E,Sales!$C276,Investors!$O:$O,FALSE)+SUMIFS(Investors!$S:$S,Investors!$E:$E,Sales!$C276,Investors!$O:$O,FALSE))*$F276)-SUMIFS('Investor Exit List'!$Q:$Q,'Investor Exit List'!$Y:$Y,1,'Investor Exit List'!$Z:$Z,"Release",'Investor Exit List'!$C:$C,Sales!$C276),(SUMIFS(Investors!$M:$M,Investors!$E:$E,Sales!$C276,Investors!$O:$O,FALSE)+SUMIFS(Investors!$S:$S,Investors!$E:$E,Sales!$C276,Investors!$O:$O,FALSE))*$F276)</f>
        <v>0</v>
      </c>
      <c r="S276" s="9">
        <f t="shared" si="13"/>
        <v>1425140.05</v>
      </c>
      <c r="T276" s="3" t="b">
        <v>0</v>
      </c>
      <c r="U276" s="4">
        <v>45747</v>
      </c>
      <c r="V276" s="9">
        <v>318915.3105557533</v>
      </c>
      <c r="W276" s="10">
        <f>IF(SUMIFS('Cashflow Projection'!$E$117:$E$149,'Cashflow Projection'!$D$117:$D$149,Sales!C276)=1,SUMIFS('Cashflow Projection'!$C$117:$C$149,'Cashflow Projection'!$D$117:$D$149,Sales!C276),+Sales!H276)</f>
        <v>45688</v>
      </c>
      <c r="X276" s="10">
        <f t="shared" si="14"/>
        <v>45747</v>
      </c>
      <c r="Y276" s="10">
        <f t="shared" si="15"/>
        <v>45777</v>
      </c>
      <c r="Z276" t="b">
        <v>0</v>
      </c>
    </row>
    <row r="277" spans="1:26" x14ac:dyDescent="0.2">
      <c r="A277" s="3" t="s">
        <v>992</v>
      </c>
      <c r="B277" s="3" t="s">
        <v>598</v>
      </c>
      <c r="C277" s="3" t="s">
        <v>1053</v>
      </c>
      <c r="D277" s="3" t="b">
        <v>1</v>
      </c>
      <c r="E277" s="3" t="b">
        <v>1</v>
      </c>
      <c r="F277" s="3">
        <f>IF(OR(Z277=TRUE,SUMIFS('Cashflow Projection'!$E$117:$E$149,'Cashflow Projection'!$D$117:$D$149,Sales!C277)=1),0,SUMIFS('Cashflow Projection'!$C$7:$C$23,'Cashflow Projection'!$B$7:$B$23,Sales!B277,'Cashflow Projection'!$A$7:$A$23,Sales!A277))</f>
        <v>0</v>
      </c>
      <c r="G277" s="4">
        <v>44657</v>
      </c>
      <c r="H277" s="4">
        <v>45688</v>
      </c>
      <c r="I277" s="3">
        <v>1488900</v>
      </c>
      <c r="J277" s="3">
        <v>194204.34782608689</v>
      </c>
      <c r="K277" s="3">
        <v>1294695.6521739131</v>
      </c>
      <c r="L277" s="3">
        <v>18502.080000000002</v>
      </c>
      <c r="M277" s="3">
        <v>1789</v>
      </c>
      <c r="N277" s="3">
        <v>7444.5</v>
      </c>
      <c r="O277" s="3">
        <v>74445</v>
      </c>
      <c r="P277" s="3">
        <v>19224.37</v>
      </c>
      <c r="Q277" s="3">
        <v>1367495.05</v>
      </c>
      <c r="R277" s="9">
        <f>IF($F277=1,((SUMIFS(Investors!$M:$M,Investors!$E:$E,Sales!$C277,Investors!$O:$O,FALSE)+SUMIFS(Investors!$S:$S,Investors!$E:$E,Sales!$C277,Investors!$O:$O,FALSE))*$F277)-SUMIFS('Investor Exit List'!$Q:$Q,'Investor Exit List'!$Y:$Y,1,'Investor Exit List'!$Z:$Z,"Release",'Investor Exit List'!$C:$C,Sales!$C277),(SUMIFS(Investors!$M:$M,Investors!$E:$E,Sales!$C277,Investors!$O:$O,FALSE)+SUMIFS(Investors!$S:$S,Investors!$E:$E,Sales!$C277,Investors!$O:$O,FALSE))*$F277)</f>
        <v>0</v>
      </c>
      <c r="S277" s="9">
        <f t="shared" si="13"/>
        <v>1367495.05</v>
      </c>
      <c r="T277" s="3" t="b">
        <v>0</v>
      </c>
      <c r="U277" s="4">
        <v>45747</v>
      </c>
      <c r="V277" s="9">
        <v>116166.2944530135</v>
      </c>
      <c r="W277" s="10">
        <f>IF(SUMIFS('Cashflow Projection'!$E$117:$E$149,'Cashflow Projection'!$D$117:$D$149,Sales!C277)=1,SUMIFS('Cashflow Projection'!$C$117:$C$149,'Cashflow Projection'!$D$117:$D$149,Sales!C277),+Sales!H277)</f>
        <v>45688</v>
      </c>
      <c r="X277" s="10">
        <f t="shared" si="14"/>
        <v>45747</v>
      </c>
      <c r="Y277" s="10">
        <f t="shared" si="15"/>
        <v>45777</v>
      </c>
      <c r="Z277" t="b">
        <v>0</v>
      </c>
    </row>
    <row r="278" spans="1:26" x14ac:dyDescent="0.2">
      <c r="A278" s="3" t="s">
        <v>24</v>
      </c>
      <c r="B278" s="3" t="s">
        <v>26</v>
      </c>
      <c r="C278" s="3" t="s">
        <v>155</v>
      </c>
      <c r="D278" s="3" t="b">
        <v>1</v>
      </c>
      <c r="E278" s="3" t="b">
        <v>1</v>
      </c>
      <c r="F278" s="3">
        <f>IF(OR(Z278=TRUE,SUMIFS('Cashflow Projection'!$E$117:$E$149,'Cashflow Projection'!$D$117:$D$149,Sales!C278)=1),0,SUMIFS('Cashflow Projection'!$C$7:$C$23,'Cashflow Projection'!$B$7:$B$23,Sales!B278,'Cashflow Projection'!$A$7:$A$23,Sales!A278))</f>
        <v>0</v>
      </c>
      <c r="G278" s="4">
        <v>44887</v>
      </c>
      <c r="H278" s="4">
        <v>45688</v>
      </c>
      <c r="I278" s="3">
        <v>1309900</v>
      </c>
      <c r="J278" s="3">
        <v>170856.5217391304</v>
      </c>
      <c r="K278" s="3">
        <v>1139043.4782608701</v>
      </c>
      <c r="L278" s="3">
        <v>18502.080000000002</v>
      </c>
      <c r="M278" s="3">
        <v>1789</v>
      </c>
      <c r="N278" s="3">
        <v>6549.5</v>
      </c>
      <c r="O278" s="3">
        <v>65495</v>
      </c>
      <c r="P278" s="3">
        <v>19224.37</v>
      </c>
      <c r="Q278" s="3">
        <v>1198340.05</v>
      </c>
      <c r="R278" s="9">
        <f>IF($F278=1,((SUMIFS(Investors!$M:$M,Investors!$E:$E,Sales!$C278,Investors!$O:$O,FALSE)+SUMIFS(Investors!$S:$S,Investors!$E:$E,Sales!$C278,Investors!$O:$O,FALSE))*$F278)-SUMIFS('Investor Exit List'!$Q:$Q,'Investor Exit List'!$Y:$Y,1,'Investor Exit List'!$Z:$Z,"Release",'Investor Exit List'!$C:$C,Sales!$C278),(SUMIFS(Investors!$M:$M,Investors!$E:$E,Sales!$C278,Investors!$O:$O,FALSE)+SUMIFS(Investors!$S:$S,Investors!$E:$E,Sales!$C278,Investors!$O:$O,FALSE))*$F278)</f>
        <v>0</v>
      </c>
      <c r="S278" s="9">
        <f t="shared" si="13"/>
        <v>1198340.05</v>
      </c>
      <c r="T278" s="3" t="b">
        <v>0</v>
      </c>
      <c r="U278" s="4">
        <v>45747</v>
      </c>
      <c r="V278" s="9">
        <v>60455.767908219023</v>
      </c>
      <c r="W278" s="10">
        <f>IF(SUMIFS('Cashflow Projection'!$E$117:$E$149,'Cashflow Projection'!$D$117:$D$149,Sales!C278)=1,SUMIFS('Cashflow Projection'!$C$117:$C$149,'Cashflow Projection'!$D$117:$D$149,Sales!C278),+Sales!H278)</f>
        <v>45688</v>
      </c>
      <c r="X278" s="10">
        <f t="shared" si="14"/>
        <v>45747</v>
      </c>
      <c r="Y278" s="10">
        <f t="shared" si="15"/>
        <v>45777</v>
      </c>
      <c r="Z278" t="b">
        <v>0</v>
      </c>
    </row>
    <row r="279" spans="1:26" x14ac:dyDescent="0.2">
      <c r="A279" s="3" t="s">
        <v>24</v>
      </c>
      <c r="B279" s="3" t="s">
        <v>209</v>
      </c>
      <c r="C279" s="3" t="s">
        <v>307</v>
      </c>
      <c r="D279" s="3" t="b">
        <v>1</v>
      </c>
      <c r="E279" s="3" t="b">
        <v>0</v>
      </c>
      <c r="F279" s="3">
        <f>IF(OR(Z279=TRUE,SUMIFS('Cashflow Projection'!$E$117:$E$149,'Cashflow Projection'!$D$117:$D$149,Sales!C279)=1),0,SUMIFS('Cashflow Projection'!$C$7:$C$23,'Cashflow Projection'!$B$7:$B$23,Sales!B279,'Cashflow Projection'!$A$7:$A$23,Sales!A279))</f>
        <v>1</v>
      </c>
      <c r="G279" s="4">
        <v>45408</v>
      </c>
      <c r="H279" s="4">
        <v>45458</v>
      </c>
      <c r="I279" s="3">
        <v>1399900</v>
      </c>
      <c r="J279" s="3">
        <v>0</v>
      </c>
      <c r="K279" s="3">
        <v>1217304.3478260869</v>
      </c>
      <c r="L279" s="3">
        <v>18502.080000000002</v>
      </c>
      <c r="M279" s="3">
        <v>1789</v>
      </c>
      <c r="N279" s="3">
        <v>6999.5</v>
      </c>
      <c r="O279" s="3">
        <v>69995</v>
      </c>
      <c r="P279" s="3">
        <v>19224.37</v>
      </c>
      <c r="Q279" s="3">
        <v>1283390.05</v>
      </c>
      <c r="R279" s="9">
        <f>IF($F279=1,((SUMIFS(Investors!$M:$M,Investors!$E:$E,Sales!$C279,Investors!$O:$O,FALSE)+SUMIFS(Investors!$S:$S,Investors!$E:$E,Sales!$C279,Investors!$O:$O,FALSE))*$F279)-SUMIFS('Investor Exit List'!$Q:$Q,'Investor Exit List'!$Y:$Y,1,'Investor Exit List'!$Z:$Z,"Release",'Investor Exit List'!$C:$C,Sales!$C279),(SUMIFS(Investors!$M:$M,Investors!$E:$E,Sales!$C279,Investors!$O:$O,FALSE)+SUMIFS(Investors!$S:$S,Investors!$E:$E,Sales!$C279,Investors!$O:$O,FALSE))*$F279)</f>
        <v>0</v>
      </c>
      <c r="S279" s="9">
        <f t="shared" si="13"/>
        <v>824500</v>
      </c>
      <c r="T279" s="3" t="b">
        <v>1</v>
      </c>
      <c r="U279" s="4">
        <v>45504</v>
      </c>
      <c r="V279" s="9">
        <v>824500</v>
      </c>
      <c r="W279" s="10">
        <f>IF(SUMIFS('Cashflow Projection'!$E$117:$E$149,'Cashflow Projection'!$D$117:$D$149,Sales!C279)=1,SUMIFS('Cashflow Projection'!$C$117:$C$149,'Cashflow Projection'!$D$117:$D$149,Sales!C279),+Sales!H279)</f>
        <v>45458</v>
      </c>
      <c r="X279" s="10">
        <f t="shared" si="14"/>
        <v>45504</v>
      </c>
      <c r="Y279" s="10">
        <f t="shared" si="15"/>
        <v>45535</v>
      </c>
      <c r="Z279" t="b">
        <v>0</v>
      </c>
    </row>
    <row r="280" spans="1:26" x14ac:dyDescent="0.2">
      <c r="A280" s="3" t="s">
        <v>24</v>
      </c>
      <c r="B280" s="3" t="s">
        <v>209</v>
      </c>
      <c r="C280" s="3" t="s">
        <v>308</v>
      </c>
      <c r="D280" s="3" t="b">
        <v>0</v>
      </c>
      <c r="E280" s="3" t="b">
        <v>0</v>
      </c>
      <c r="F280" s="3">
        <f>IF(OR(Z280=TRUE,SUMIFS('Cashflow Projection'!$E$117:$E$149,'Cashflow Projection'!$D$117:$D$149,Sales!C280)=1),0,SUMIFS('Cashflow Projection'!$C$7:$C$23,'Cashflow Projection'!$B$7:$B$23,Sales!B280,'Cashflow Projection'!$A$7:$A$23,Sales!A280))</f>
        <v>1</v>
      </c>
      <c r="G280" s="4">
        <v>45408</v>
      </c>
      <c r="H280" s="4">
        <v>45458</v>
      </c>
      <c r="I280" s="3">
        <v>1449900</v>
      </c>
      <c r="J280" s="3">
        <v>0</v>
      </c>
      <c r="K280" s="3">
        <v>1260782.6086956521</v>
      </c>
      <c r="L280" s="3">
        <v>18502.080000000002</v>
      </c>
      <c r="M280" s="3">
        <v>1789</v>
      </c>
      <c r="N280" s="3">
        <v>7249.5</v>
      </c>
      <c r="O280" s="3">
        <v>72495</v>
      </c>
      <c r="P280" s="3">
        <v>19224.37</v>
      </c>
      <c r="Q280" s="3">
        <v>1330640.05</v>
      </c>
      <c r="R280" s="9">
        <f>IF($F280=1,((SUMIFS(Investors!$M:$M,Investors!$E:$E,Sales!$C280,Investors!$O:$O,FALSE)+SUMIFS(Investors!$S:$S,Investors!$E:$E,Sales!$C280,Investors!$O:$O,FALSE))*$F280)-SUMIFS('Investor Exit List'!$Q:$Q,'Investor Exit List'!$Y:$Y,1,'Investor Exit List'!$Z:$Z,"Release",'Investor Exit List'!$C:$C,Sales!$C280),(SUMIFS(Investors!$M:$M,Investors!$E:$E,Sales!$C280,Investors!$O:$O,FALSE)+SUMIFS(Investors!$S:$S,Investors!$E:$E,Sales!$C280,Investors!$O:$O,FALSE))*$F280)</f>
        <v>0</v>
      </c>
      <c r="S280" s="9">
        <f t="shared" si="13"/>
        <v>824500</v>
      </c>
      <c r="T280" s="3" t="b">
        <v>1</v>
      </c>
      <c r="U280" s="4">
        <v>45504</v>
      </c>
      <c r="V280" s="9">
        <v>824500</v>
      </c>
      <c r="W280" s="10">
        <f>IF(SUMIFS('Cashflow Projection'!$E$117:$E$149,'Cashflow Projection'!$D$117:$D$149,Sales!C280)=1,SUMIFS('Cashflow Projection'!$C$117:$C$149,'Cashflow Projection'!$D$117:$D$149,Sales!C280),+Sales!H280)</f>
        <v>45458</v>
      </c>
      <c r="X280" s="10">
        <f t="shared" si="14"/>
        <v>45504</v>
      </c>
      <c r="Y280" s="10">
        <f t="shared" si="15"/>
        <v>45535</v>
      </c>
      <c r="Z280" t="b">
        <v>0</v>
      </c>
    </row>
    <row r="281" spans="1:26" x14ac:dyDescent="0.2">
      <c r="A281" s="3" t="s">
        <v>24</v>
      </c>
      <c r="B281" s="3" t="s">
        <v>209</v>
      </c>
      <c r="C281" s="3" t="s">
        <v>354</v>
      </c>
      <c r="D281" s="3" t="b">
        <v>1</v>
      </c>
      <c r="E281" s="3" t="b">
        <v>1</v>
      </c>
      <c r="F281" s="3">
        <f>IF(OR(Z281=TRUE,SUMIFS('Cashflow Projection'!$E$117:$E$149,'Cashflow Projection'!$D$117:$D$149,Sales!C281)=1),0,SUMIFS('Cashflow Projection'!$C$7:$C$23,'Cashflow Projection'!$B$7:$B$23,Sales!B281,'Cashflow Projection'!$A$7:$A$23,Sales!A281))</f>
        <v>1</v>
      </c>
      <c r="G281" s="4">
        <v>45027</v>
      </c>
      <c r="H281" s="4">
        <v>45688</v>
      </c>
      <c r="I281" s="3">
        <v>1449900</v>
      </c>
      <c r="J281" s="3">
        <v>189117.39130434781</v>
      </c>
      <c r="K281" s="3">
        <v>1260782.6086956521</v>
      </c>
      <c r="L281" s="3">
        <v>18502.080000000002</v>
      </c>
      <c r="M281" s="3">
        <v>1789</v>
      </c>
      <c r="N281" s="3">
        <v>7249.5</v>
      </c>
      <c r="O281" s="3">
        <v>72495</v>
      </c>
      <c r="P281" s="3">
        <v>19224.37</v>
      </c>
      <c r="Q281" s="3">
        <v>1330640.05</v>
      </c>
      <c r="R281" s="9">
        <f>IF($F281=1,((SUMIFS(Investors!$M:$M,Investors!$E:$E,Sales!$C281,Investors!$O:$O,FALSE)+SUMIFS(Investors!$S:$S,Investors!$E:$E,Sales!$C281,Investors!$O:$O,FALSE))*$F281)-SUMIFS('Investor Exit List'!$Q:$Q,'Investor Exit List'!$Y:$Y,1,'Investor Exit List'!$Z:$Z,"Release",'Investor Exit List'!$C:$C,Sales!$C281),(SUMIFS(Investors!$M:$M,Investors!$E:$E,Sales!$C281,Investors!$O:$O,FALSE)+SUMIFS(Investors!$S:$S,Investors!$E:$E,Sales!$C281,Investors!$O:$O,FALSE))*$F281)</f>
        <v>1197849.3150684931</v>
      </c>
      <c r="S281" s="9">
        <f t="shared" si="13"/>
        <v>132790.73493150692</v>
      </c>
      <c r="T281" s="3" t="b">
        <v>0</v>
      </c>
      <c r="U281" s="4">
        <v>45747</v>
      </c>
      <c r="V281" s="9">
        <v>132790.73493150671</v>
      </c>
      <c r="W281" s="10">
        <f>IF(SUMIFS('Cashflow Projection'!$E$117:$E$149,'Cashflow Projection'!$D$117:$D$149,Sales!C281)=1,SUMIFS('Cashflow Projection'!$C$117:$C$149,'Cashflow Projection'!$D$117:$D$149,Sales!C281),+Sales!H281)</f>
        <v>45688</v>
      </c>
      <c r="X281" s="10">
        <f t="shared" si="14"/>
        <v>45747</v>
      </c>
      <c r="Y281" s="10">
        <f t="shared" si="15"/>
        <v>45777</v>
      </c>
      <c r="Z281" t="b">
        <v>0</v>
      </c>
    </row>
    <row r="282" spans="1:26" x14ac:dyDescent="0.2">
      <c r="A282" s="3" t="s">
        <v>24</v>
      </c>
      <c r="B282" s="3" t="s">
        <v>209</v>
      </c>
      <c r="C282" s="3" t="s">
        <v>331</v>
      </c>
      <c r="D282" s="3" t="b">
        <v>0</v>
      </c>
      <c r="E282" s="3" t="b">
        <v>0</v>
      </c>
      <c r="F282" s="3">
        <f>IF(OR(Z282=TRUE,SUMIFS('Cashflow Projection'!$E$117:$E$149,'Cashflow Projection'!$D$117:$D$149,Sales!C282)=1),0,SUMIFS('Cashflow Projection'!$C$7:$C$23,'Cashflow Projection'!$B$7:$B$23,Sales!B282,'Cashflow Projection'!$A$7:$A$23,Sales!A282))</f>
        <v>1</v>
      </c>
      <c r="G282" s="4">
        <v>45439</v>
      </c>
      <c r="H282" s="4">
        <v>45458</v>
      </c>
      <c r="I282" s="3">
        <v>1439900</v>
      </c>
      <c r="J282" s="3">
        <v>0</v>
      </c>
      <c r="K282" s="3">
        <v>1252086.956521739</v>
      </c>
      <c r="L282" s="3">
        <v>18502.080000000002</v>
      </c>
      <c r="M282" s="3">
        <v>1789</v>
      </c>
      <c r="N282" s="3">
        <v>7199.5</v>
      </c>
      <c r="O282" s="3">
        <v>71995</v>
      </c>
      <c r="P282" s="3">
        <v>19224.37</v>
      </c>
      <c r="Q282" s="3">
        <v>1321190.05</v>
      </c>
      <c r="R282" s="9">
        <f>IF($F282=1,((SUMIFS(Investors!$M:$M,Investors!$E:$E,Sales!$C282,Investors!$O:$O,FALSE)+SUMIFS(Investors!$S:$S,Investors!$E:$E,Sales!$C282,Investors!$O:$O,FALSE))*$F282)-SUMIFS('Investor Exit List'!$Q:$Q,'Investor Exit List'!$Y:$Y,1,'Investor Exit List'!$Z:$Z,"Release",'Investor Exit List'!$C:$C,Sales!$C282),(SUMIFS(Investors!$M:$M,Investors!$E:$E,Sales!$C282,Investors!$O:$O,FALSE)+SUMIFS(Investors!$S:$S,Investors!$E:$E,Sales!$C282,Investors!$O:$O,FALSE))*$F282)</f>
        <v>0</v>
      </c>
      <c r="S282" s="9">
        <f t="shared" si="13"/>
        <v>892400</v>
      </c>
      <c r="T282" s="3" t="b">
        <v>1</v>
      </c>
      <c r="U282" s="4">
        <v>45504</v>
      </c>
      <c r="V282" s="9">
        <v>892400</v>
      </c>
      <c r="W282" s="10">
        <f>IF(SUMIFS('Cashflow Projection'!$E$117:$E$149,'Cashflow Projection'!$D$117:$D$149,Sales!C282)=1,SUMIFS('Cashflow Projection'!$C$117:$C$149,'Cashflow Projection'!$D$117:$D$149,Sales!C282),+Sales!H282)</f>
        <v>45458</v>
      </c>
      <c r="X282" s="10">
        <f t="shared" si="14"/>
        <v>45504</v>
      </c>
      <c r="Y282" s="10">
        <f t="shared" si="15"/>
        <v>45535</v>
      </c>
      <c r="Z282" t="b">
        <v>0</v>
      </c>
    </row>
    <row r="283" spans="1:26" x14ac:dyDescent="0.2">
      <c r="A283" s="3" t="s">
        <v>386</v>
      </c>
      <c r="B283" s="3" t="s">
        <v>822</v>
      </c>
      <c r="C283" s="3" t="s">
        <v>849</v>
      </c>
      <c r="D283" s="3" t="b">
        <v>0</v>
      </c>
      <c r="E283" s="3" t="b">
        <v>0</v>
      </c>
      <c r="F283" s="3">
        <f>IF(OR(Z283=TRUE,SUMIFS('Cashflow Projection'!$E$117:$E$149,'Cashflow Projection'!$D$117:$D$149,Sales!C283)=1),0,SUMIFS('Cashflow Projection'!$C$7:$C$23,'Cashflow Projection'!$B$7:$B$23,Sales!B283,'Cashflow Projection'!$A$7:$A$23,Sales!A283))</f>
        <v>1</v>
      </c>
      <c r="G283" s="4">
        <v>45464</v>
      </c>
      <c r="H283" s="4">
        <v>45498</v>
      </c>
      <c r="I283" s="3">
        <v>1489900</v>
      </c>
      <c r="J283" s="3">
        <v>194334.78260869559</v>
      </c>
      <c r="K283" s="3">
        <v>1295565.217391304</v>
      </c>
      <c r="L283" s="3">
        <v>18502.080000000002</v>
      </c>
      <c r="M283" s="3">
        <v>1789</v>
      </c>
      <c r="N283" s="3">
        <v>7449.5</v>
      </c>
      <c r="O283" s="3">
        <v>74495</v>
      </c>
      <c r="P283" s="3">
        <v>19224.37</v>
      </c>
      <c r="Q283" s="3">
        <v>1368440.05</v>
      </c>
      <c r="R283" s="9">
        <f>IF($F283=1,((SUMIFS(Investors!$M:$M,Investors!$E:$E,Sales!$C283,Investors!$O:$O,FALSE)+SUMIFS(Investors!$S:$S,Investors!$E:$E,Sales!$C283,Investors!$O:$O,FALSE))*$F283)-SUMIFS('Investor Exit List'!$Q:$Q,'Investor Exit List'!$Y:$Y,1,'Investor Exit List'!$Z:$Z,"Release",'Investor Exit List'!$C:$C,Sales!$C283),(SUMIFS(Investors!$M:$M,Investors!$E:$E,Sales!$C283,Investors!$O:$O,FALSE)+SUMIFS(Investors!$S:$S,Investors!$E:$E,Sales!$C283,Investors!$O:$O,FALSE))*$F283)</f>
        <v>1365917.8082191781</v>
      </c>
      <c r="S283" s="9">
        <f t="shared" si="13"/>
        <v>2522.2417808219325</v>
      </c>
      <c r="T283" s="3" t="b">
        <v>0</v>
      </c>
      <c r="U283" s="4">
        <v>45565</v>
      </c>
      <c r="V283" s="9">
        <v>19289.365068492949</v>
      </c>
      <c r="W283" s="10">
        <f>IF(SUMIFS('Cashflow Projection'!$E$117:$E$149,'Cashflow Projection'!$D$117:$D$149,Sales!C283)=1,SUMIFS('Cashflow Projection'!$C$117:$C$149,'Cashflow Projection'!$D$117:$D$149,Sales!C283),+Sales!H283)</f>
        <v>45498</v>
      </c>
      <c r="X283" s="10">
        <f t="shared" si="14"/>
        <v>45565</v>
      </c>
      <c r="Y283" s="10">
        <f t="shared" si="15"/>
        <v>45596</v>
      </c>
      <c r="Z283" t="b">
        <v>0</v>
      </c>
    </row>
    <row r="284" spans="1:26" x14ac:dyDescent="0.2">
      <c r="A284" s="3" t="s">
        <v>386</v>
      </c>
      <c r="B284" s="3" t="s">
        <v>711</v>
      </c>
      <c r="C284" s="3" t="s">
        <v>748</v>
      </c>
      <c r="D284" s="3" t="b">
        <v>0</v>
      </c>
      <c r="E284" s="3" t="b">
        <v>0</v>
      </c>
      <c r="F284" s="3">
        <f>IF(OR(Z284=TRUE,SUMIFS('Cashflow Projection'!$E$117:$E$149,'Cashflow Projection'!$D$117:$D$149,Sales!C284)=1),0,SUMIFS('Cashflow Projection'!$C$7:$C$23,'Cashflow Projection'!$B$7:$B$23,Sales!B284,'Cashflow Projection'!$A$7:$A$23,Sales!A284))</f>
        <v>0</v>
      </c>
      <c r="G284" s="4">
        <v>45552</v>
      </c>
      <c r="H284" s="4">
        <v>45552</v>
      </c>
      <c r="I284" s="3">
        <v>1699900</v>
      </c>
      <c r="J284" s="3">
        <v>221726.0869565217</v>
      </c>
      <c r="K284" s="3">
        <v>1478173.913043478</v>
      </c>
      <c r="L284" s="3">
        <v>18502.080000000002</v>
      </c>
      <c r="M284" s="3">
        <v>1789</v>
      </c>
      <c r="N284" s="3">
        <v>8499.5</v>
      </c>
      <c r="O284" s="3">
        <v>84995</v>
      </c>
      <c r="P284" s="3">
        <v>19224.37</v>
      </c>
      <c r="Q284" s="3">
        <v>1566890.05</v>
      </c>
      <c r="R284" s="9">
        <f>IF($F284=1,((SUMIFS(Investors!$M:$M,Investors!$E:$E,Sales!$C284,Investors!$O:$O,FALSE)+SUMIFS(Investors!$S:$S,Investors!$E:$E,Sales!$C284,Investors!$O:$O,FALSE))*$F284)-SUMIFS('Investor Exit List'!$Q:$Q,'Investor Exit List'!$Y:$Y,1,'Investor Exit List'!$Z:$Z,"Release",'Investor Exit List'!$C:$C,Sales!$C284),(SUMIFS(Investors!$M:$M,Investors!$E:$E,Sales!$C284,Investors!$O:$O,FALSE)+SUMIFS(Investors!$S:$S,Investors!$E:$E,Sales!$C284,Investors!$O:$O,FALSE))*$F284)</f>
        <v>0</v>
      </c>
      <c r="S284" s="9">
        <f t="shared" si="13"/>
        <v>1566890.05</v>
      </c>
      <c r="T284" s="3" t="b">
        <v>0</v>
      </c>
      <c r="U284" s="4">
        <v>45626</v>
      </c>
      <c r="V284" s="9">
        <v>188366.07739726009</v>
      </c>
      <c r="W284" s="10">
        <f>IF(SUMIFS('Cashflow Projection'!$E$117:$E$149,'Cashflow Projection'!$D$117:$D$149,Sales!C284)=1,SUMIFS('Cashflow Projection'!$C$117:$C$149,'Cashflow Projection'!$D$117:$D$149,Sales!C284),+Sales!H284)</f>
        <v>45552</v>
      </c>
      <c r="X284" s="10">
        <f t="shared" si="14"/>
        <v>45626</v>
      </c>
      <c r="Y284" s="10">
        <f t="shared" si="15"/>
        <v>45657</v>
      </c>
      <c r="Z284" t="b">
        <v>0</v>
      </c>
    </row>
    <row r="285" spans="1:26" x14ac:dyDescent="0.2">
      <c r="A285" s="3" t="s">
        <v>386</v>
      </c>
      <c r="B285" s="3" t="s">
        <v>891</v>
      </c>
      <c r="C285" s="3" t="s">
        <v>917</v>
      </c>
      <c r="D285" s="3" t="b">
        <v>1</v>
      </c>
      <c r="E285" s="3" t="b">
        <v>1</v>
      </c>
      <c r="F285" s="3">
        <f>IF(OR(Z285=TRUE,SUMIFS('Cashflow Projection'!$E$117:$E$149,'Cashflow Projection'!$D$117:$D$149,Sales!C285)=1),0,SUMIFS('Cashflow Projection'!$C$7:$C$23,'Cashflow Projection'!$B$7:$B$23,Sales!B285,'Cashflow Projection'!$A$7:$A$23,Sales!A285))</f>
        <v>1</v>
      </c>
      <c r="G285" s="4">
        <v>45247</v>
      </c>
      <c r="H285" s="4">
        <v>45688</v>
      </c>
      <c r="I285" s="3">
        <v>1719900</v>
      </c>
      <c r="J285" s="3">
        <v>224334.78260869559</v>
      </c>
      <c r="K285" s="3">
        <v>1495565.217391304</v>
      </c>
      <c r="L285" s="3">
        <v>18502.080000000002</v>
      </c>
      <c r="M285" s="3">
        <v>1789</v>
      </c>
      <c r="N285" s="3">
        <v>8599.5</v>
      </c>
      <c r="O285" s="3">
        <v>85995</v>
      </c>
      <c r="P285" s="3">
        <v>19224.37</v>
      </c>
      <c r="Q285" s="3">
        <v>1585790.05</v>
      </c>
      <c r="R285" s="9">
        <f>IF($F285=1,((SUMIFS(Investors!$M:$M,Investors!$E:$E,Sales!$C285,Investors!$O:$O,FALSE)+SUMIFS(Investors!$S:$S,Investors!$E:$E,Sales!$C285,Investors!$O:$O,FALSE))*$F285)-SUMIFS('Investor Exit List'!$Q:$Q,'Investor Exit List'!$Y:$Y,1,'Investor Exit List'!$Z:$Z,"Release",'Investor Exit List'!$C:$C,Sales!$C285),(SUMIFS(Investors!$M:$M,Investors!$E:$E,Sales!$C285,Investors!$O:$O,FALSE)+SUMIFS(Investors!$S:$S,Investors!$E:$E,Sales!$C285,Investors!$O:$O,FALSE))*$F285)</f>
        <v>1331587.8296416439</v>
      </c>
      <c r="S285" s="9">
        <f t="shared" si="13"/>
        <v>254202.22035835613</v>
      </c>
      <c r="T285" s="3" t="b">
        <v>0</v>
      </c>
      <c r="U285" s="4">
        <v>45747</v>
      </c>
      <c r="V285" s="9">
        <v>254202.2203583559</v>
      </c>
      <c r="W285" s="10">
        <f>IF(SUMIFS('Cashflow Projection'!$E$117:$E$149,'Cashflow Projection'!$D$117:$D$149,Sales!C285)=1,SUMIFS('Cashflow Projection'!$C$117:$C$149,'Cashflow Projection'!$D$117:$D$149,Sales!C285),+Sales!H285)</f>
        <v>45688</v>
      </c>
      <c r="X285" s="10">
        <f t="shared" si="14"/>
        <v>45747</v>
      </c>
      <c r="Y285" s="10">
        <f t="shared" si="15"/>
        <v>45777</v>
      </c>
      <c r="Z285" t="b">
        <v>0</v>
      </c>
    </row>
    <row r="286" spans="1:26" x14ac:dyDescent="0.2">
      <c r="A286" s="3" t="s">
        <v>386</v>
      </c>
      <c r="B286" s="3" t="s">
        <v>598</v>
      </c>
      <c r="C286" s="3" t="s">
        <v>614</v>
      </c>
      <c r="D286" s="3" t="b">
        <v>0</v>
      </c>
      <c r="E286" s="3" t="b">
        <v>0</v>
      </c>
      <c r="F286" s="3">
        <f>IF(OR(Z286=TRUE,SUMIFS('Cashflow Projection'!$E$117:$E$149,'Cashflow Projection'!$D$117:$D$149,Sales!C286)=1),0,SUMIFS('Cashflow Projection'!$C$7:$C$23,'Cashflow Projection'!$B$7:$B$23,Sales!B286,'Cashflow Projection'!$A$7:$A$23,Sales!A286))</f>
        <v>0</v>
      </c>
      <c r="G286" s="4">
        <v>45517</v>
      </c>
      <c r="H286" s="4">
        <v>45722</v>
      </c>
      <c r="I286" s="3">
        <v>1599900</v>
      </c>
      <c r="J286" s="3">
        <v>208682.60869565219</v>
      </c>
      <c r="K286" s="3">
        <v>1391217.3913043479</v>
      </c>
      <c r="L286" s="3">
        <v>18502.080000000002</v>
      </c>
      <c r="M286" s="3">
        <v>1789</v>
      </c>
      <c r="N286" s="3">
        <v>7999.5</v>
      </c>
      <c r="O286" s="3">
        <v>79995</v>
      </c>
      <c r="P286" s="3">
        <v>19224.37</v>
      </c>
      <c r="Q286" s="3">
        <v>1472390.05</v>
      </c>
      <c r="R286" s="9">
        <f>IF($F286=1,((SUMIFS(Investors!$M:$M,Investors!$E:$E,Sales!$C286,Investors!$O:$O,FALSE)+SUMIFS(Investors!$S:$S,Investors!$E:$E,Sales!$C286,Investors!$O:$O,FALSE))*$F286)-SUMIFS('Investor Exit List'!$Q:$Q,'Investor Exit List'!$Y:$Y,1,'Investor Exit List'!$Z:$Z,"Release",'Investor Exit List'!$C:$C,Sales!$C286),(SUMIFS(Investors!$M:$M,Investors!$E:$E,Sales!$C286,Investors!$O:$O,FALSE)+SUMIFS(Investors!$S:$S,Investors!$E:$E,Sales!$C286,Investors!$O:$O,FALSE))*$F286)</f>
        <v>0</v>
      </c>
      <c r="S286" s="9">
        <f t="shared" si="13"/>
        <v>1472390.05</v>
      </c>
      <c r="T286" s="3" t="b">
        <v>0</v>
      </c>
      <c r="U286" s="4">
        <v>45808</v>
      </c>
      <c r="V286" s="9">
        <v>284828.40616438328</v>
      </c>
      <c r="W286" s="10">
        <f>IF(SUMIFS('Cashflow Projection'!$E$117:$E$149,'Cashflow Projection'!$D$117:$D$149,Sales!C286)=1,SUMIFS('Cashflow Projection'!$C$117:$C$149,'Cashflow Projection'!$D$117:$D$149,Sales!C286),+Sales!H286)</f>
        <v>45722</v>
      </c>
      <c r="X286" s="10">
        <f t="shared" si="14"/>
        <v>45808</v>
      </c>
      <c r="Y286" s="10">
        <f t="shared" si="15"/>
        <v>45838</v>
      </c>
      <c r="Z286" t="b">
        <v>0</v>
      </c>
    </row>
    <row r="287" spans="1:26" x14ac:dyDescent="0.2">
      <c r="A287" s="3" t="s">
        <v>386</v>
      </c>
      <c r="B287" s="3" t="s">
        <v>854</v>
      </c>
      <c r="C287" s="3" t="s">
        <v>862</v>
      </c>
      <c r="D287" s="3" t="b">
        <v>1</v>
      </c>
      <c r="E287" s="3" t="b">
        <v>0</v>
      </c>
      <c r="F287" s="3">
        <f>IF(OR(Z287=TRUE,SUMIFS('Cashflow Projection'!$E$117:$E$149,'Cashflow Projection'!$D$117:$D$149,Sales!C287)=1),0,SUMIFS('Cashflow Projection'!$C$7:$C$23,'Cashflow Projection'!$B$7:$B$23,Sales!B287,'Cashflow Projection'!$A$7:$A$23,Sales!A287))</f>
        <v>0</v>
      </c>
      <c r="G287" s="4">
        <v>45518</v>
      </c>
      <c r="H287" s="4">
        <v>45518</v>
      </c>
      <c r="I287" s="3">
        <v>1689900</v>
      </c>
      <c r="J287" s="3">
        <v>220421.73913043481</v>
      </c>
      <c r="K287" s="3">
        <v>1469478.260869565</v>
      </c>
      <c r="L287" s="3">
        <v>18502.080000000002</v>
      </c>
      <c r="M287" s="3">
        <v>1789</v>
      </c>
      <c r="N287" s="3">
        <v>8449.5</v>
      </c>
      <c r="O287" s="3">
        <v>84495</v>
      </c>
      <c r="P287" s="3">
        <v>19224.37</v>
      </c>
      <c r="Q287" s="3">
        <v>1557440.05</v>
      </c>
      <c r="R287" s="9">
        <f>IF($F287=1,((SUMIFS(Investors!$M:$M,Investors!$E:$E,Sales!$C287,Investors!$O:$O,FALSE)+SUMIFS(Investors!$S:$S,Investors!$E:$E,Sales!$C287,Investors!$O:$O,FALSE))*$F287)-SUMIFS('Investor Exit List'!$Q:$Q,'Investor Exit List'!$Y:$Y,1,'Investor Exit List'!$Z:$Z,"Release",'Investor Exit List'!$C:$C,Sales!$C287),(SUMIFS(Investors!$M:$M,Investors!$E:$E,Sales!$C287,Investors!$O:$O,FALSE)+SUMIFS(Investors!$S:$S,Investors!$E:$E,Sales!$C287,Investors!$O:$O,FALSE))*$F287)</f>
        <v>0</v>
      </c>
      <c r="S287" s="9">
        <f t="shared" si="13"/>
        <v>1557440.05</v>
      </c>
      <c r="T287" s="3" t="b">
        <v>0</v>
      </c>
      <c r="U287" s="4">
        <v>45565</v>
      </c>
      <c r="V287" s="9">
        <v>267165.45775089017</v>
      </c>
      <c r="W287" s="10">
        <f>IF(SUMIFS('Cashflow Projection'!$E$117:$E$149,'Cashflow Projection'!$D$117:$D$149,Sales!C287)=1,SUMIFS('Cashflow Projection'!$C$117:$C$149,'Cashflow Projection'!$D$117:$D$149,Sales!C287),+Sales!H287)</f>
        <v>45518</v>
      </c>
      <c r="X287" s="10">
        <f t="shared" si="14"/>
        <v>45565</v>
      </c>
      <c r="Y287" s="10">
        <f t="shared" si="15"/>
        <v>45596</v>
      </c>
      <c r="Z287" t="b">
        <v>0</v>
      </c>
    </row>
    <row r="288" spans="1:26" x14ac:dyDescent="0.2">
      <c r="A288" s="3" t="s">
        <v>386</v>
      </c>
      <c r="B288" s="3" t="s">
        <v>569</v>
      </c>
      <c r="C288" s="3" t="s">
        <v>575</v>
      </c>
      <c r="D288" s="3" t="b">
        <v>0</v>
      </c>
      <c r="E288" s="3" t="b">
        <v>0</v>
      </c>
      <c r="F288" s="3">
        <f>IF(OR(Z288=TRUE,SUMIFS('Cashflow Projection'!$E$117:$E$149,'Cashflow Projection'!$D$117:$D$149,Sales!C288)=1),0,SUMIFS('Cashflow Projection'!$C$7:$C$23,'Cashflow Projection'!$B$7:$B$23,Sales!B288,'Cashflow Projection'!$A$7:$A$23,Sales!A288))</f>
        <v>0</v>
      </c>
      <c r="G288" s="4">
        <v>45685</v>
      </c>
      <c r="H288" s="4">
        <v>45685</v>
      </c>
      <c r="I288" s="3">
        <v>1649900</v>
      </c>
      <c r="J288" s="3">
        <v>215204.34782608689</v>
      </c>
      <c r="K288" s="3">
        <v>1434695.6521739131</v>
      </c>
      <c r="L288" s="3">
        <v>18502.080000000002</v>
      </c>
      <c r="M288" s="3">
        <v>1789</v>
      </c>
      <c r="N288" s="3">
        <v>8249.5</v>
      </c>
      <c r="O288" s="3">
        <v>82495</v>
      </c>
      <c r="P288" s="3">
        <v>19224.37</v>
      </c>
      <c r="Q288" s="3">
        <v>1519640.05</v>
      </c>
      <c r="R288" s="9">
        <f>IF($F288=1,((SUMIFS(Investors!$M:$M,Investors!$E:$E,Sales!$C288,Investors!$O:$O,FALSE)+SUMIFS(Investors!$S:$S,Investors!$E:$E,Sales!$C288,Investors!$O:$O,FALSE))*$F288)-SUMIFS('Investor Exit List'!$Q:$Q,'Investor Exit List'!$Y:$Y,1,'Investor Exit List'!$Z:$Z,"Release",'Investor Exit List'!$C:$C,Sales!$C288),(SUMIFS(Investors!$M:$M,Investors!$E:$E,Sales!$C288,Investors!$O:$O,FALSE)+SUMIFS(Investors!$S:$S,Investors!$E:$E,Sales!$C288,Investors!$O:$O,FALSE))*$F288)</f>
        <v>0</v>
      </c>
      <c r="S288" s="9">
        <f t="shared" si="13"/>
        <v>1519640.05</v>
      </c>
      <c r="T288" s="3" t="b">
        <v>0</v>
      </c>
      <c r="U288" s="4">
        <v>45747</v>
      </c>
      <c r="V288" s="9">
        <v>0</v>
      </c>
      <c r="W288" s="10">
        <f>IF(SUMIFS('Cashflow Projection'!$E$117:$E$149,'Cashflow Projection'!$D$117:$D$149,Sales!C288)=1,SUMIFS('Cashflow Projection'!$C$117:$C$149,'Cashflow Projection'!$D$117:$D$149,Sales!C288),+Sales!H288)</f>
        <v>45685</v>
      </c>
      <c r="X288" s="10">
        <f t="shared" si="14"/>
        <v>45747</v>
      </c>
      <c r="Y288" s="10">
        <f t="shared" si="15"/>
        <v>45777</v>
      </c>
      <c r="Z288" t="b">
        <v>0</v>
      </c>
    </row>
    <row r="289" spans="1:26" x14ac:dyDescent="0.2">
      <c r="A289" s="3" t="s">
        <v>386</v>
      </c>
      <c r="B289" s="3" t="s">
        <v>628</v>
      </c>
      <c r="C289" s="3" t="s">
        <v>635</v>
      </c>
      <c r="D289" s="3" t="b">
        <v>0</v>
      </c>
      <c r="E289" s="3" t="b">
        <v>0</v>
      </c>
      <c r="F289" s="3">
        <f>IF(OR(Z289=TRUE,SUMIFS('Cashflow Projection'!$E$117:$E$149,'Cashflow Projection'!$D$117:$D$149,Sales!C289)=1),0,SUMIFS('Cashflow Projection'!$C$7:$C$23,'Cashflow Projection'!$B$7:$B$23,Sales!B289,'Cashflow Projection'!$A$7:$A$23,Sales!A289))</f>
        <v>0</v>
      </c>
      <c r="G289" s="4">
        <v>45523</v>
      </c>
      <c r="H289" s="4">
        <v>45532</v>
      </c>
      <c r="I289" s="3">
        <v>1649900</v>
      </c>
      <c r="J289" s="3">
        <v>215204.34782608689</v>
      </c>
      <c r="K289" s="3">
        <v>1434695.6521739131</v>
      </c>
      <c r="L289" s="3">
        <v>18502.080000000002</v>
      </c>
      <c r="M289" s="3">
        <v>1789</v>
      </c>
      <c r="N289" s="3">
        <v>8249.5</v>
      </c>
      <c r="O289" s="3">
        <v>82495</v>
      </c>
      <c r="P289" s="3">
        <v>19224.37</v>
      </c>
      <c r="Q289" s="3">
        <v>1519640.05</v>
      </c>
      <c r="R289" s="9">
        <f>IF($F289=1,((SUMIFS(Investors!$M:$M,Investors!$E:$E,Sales!$C289,Investors!$O:$O,FALSE)+SUMIFS(Investors!$S:$S,Investors!$E:$E,Sales!$C289,Investors!$O:$O,FALSE))*$F289)-SUMIFS('Investor Exit List'!$Q:$Q,'Investor Exit List'!$Y:$Y,1,'Investor Exit List'!$Z:$Z,"Release",'Investor Exit List'!$C:$C,Sales!$C289),(SUMIFS(Investors!$M:$M,Investors!$E:$E,Sales!$C289,Investors!$O:$O,FALSE)+SUMIFS(Investors!$S:$S,Investors!$E:$E,Sales!$C289,Investors!$O:$O,FALSE))*$F289)</f>
        <v>0</v>
      </c>
      <c r="S289" s="9">
        <f t="shared" si="13"/>
        <v>1519640.05</v>
      </c>
      <c r="T289" s="3" t="b">
        <v>0</v>
      </c>
      <c r="U289" s="4">
        <v>45565</v>
      </c>
      <c r="V289" s="9">
        <v>165231.00961506829</v>
      </c>
      <c r="W289" s="10">
        <f>IF(SUMIFS('Cashflow Projection'!$E$117:$E$149,'Cashflow Projection'!$D$117:$D$149,Sales!C289)=1,SUMIFS('Cashflow Projection'!$C$117:$C$149,'Cashflow Projection'!$D$117:$D$149,Sales!C289),+Sales!H289)</f>
        <v>45532</v>
      </c>
      <c r="X289" s="10">
        <f t="shared" si="14"/>
        <v>45565</v>
      </c>
      <c r="Y289" s="10">
        <f t="shared" si="15"/>
        <v>45596</v>
      </c>
      <c r="Z289" t="b">
        <v>0</v>
      </c>
    </row>
    <row r="290" spans="1:26" x14ac:dyDescent="0.2">
      <c r="A290" s="3" t="s">
        <v>386</v>
      </c>
      <c r="B290" s="3" t="s">
        <v>684</v>
      </c>
      <c r="C290" s="3" t="s">
        <v>683</v>
      </c>
      <c r="D290" s="3" t="b">
        <v>0</v>
      </c>
      <c r="E290" s="3" t="b">
        <v>0</v>
      </c>
      <c r="F290" s="3">
        <f>IF(OR(Z290=TRUE,SUMIFS('Cashflow Projection'!$E$117:$E$149,'Cashflow Projection'!$D$117:$D$149,Sales!C290)=1),0,SUMIFS('Cashflow Projection'!$C$7:$C$23,'Cashflow Projection'!$B$7:$B$23,Sales!B290,'Cashflow Projection'!$A$7:$A$23,Sales!A290))</f>
        <v>0</v>
      </c>
      <c r="G290" s="4">
        <v>45491</v>
      </c>
      <c r="H290" s="4">
        <v>45596</v>
      </c>
      <c r="I290" s="3">
        <v>1649900</v>
      </c>
      <c r="J290" s="3">
        <v>215204.34782608689</v>
      </c>
      <c r="K290" s="3">
        <v>1434695.6521739131</v>
      </c>
      <c r="L290" s="3">
        <v>18502.080000000002</v>
      </c>
      <c r="M290" s="3">
        <v>1789</v>
      </c>
      <c r="N290" s="3">
        <v>8249.5</v>
      </c>
      <c r="O290" s="3">
        <v>82495</v>
      </c>
      <c r="P290" s="3">
        <v>19224.37</v>
      </c>
      <c r="Q290" s="3">
        <v>1519640.05</v>
      </c>
      <c r="R290" s="9">
        <f>IF($F290=1,((SUMIFS(Investors!$M:$M,Investors!$E:$E,Sales!$C290,Investors!$O:$O,FALSE)+SUMIFS(Investors!$S:$S,Investors!$E:$E,Sales!$C290,Investors!$O:$O,FALSE))*$F290)-SUMIFS('Investor Exit List'!$Q:$Q,'Investor Exit List'!$Y:$Y,1,'Investor Exit List'!$Z:$Z,"Release",'Investor Exit List'!$C:$C,Sales!$C290),(SUMIFS(Investors!$M:$M,Investors!$E:$E,Sales!$C290,Investors!$O:$O,FALSE)+SUMIFS(Investors!$S:$S,Investors!$E:$E,Sales!$C290,Investors!$O:$O,FALSE))*$F290)</f>
        <v>0</v>
      </c>
      <c r="S290" s="9">
        <f t="shared" si="13"/>
        <v>1519640.05</v>
      </c>
      <c r="T290" s="3" t="b">
        <v>0</v>
      </c>
      <c r="U290" s="4">
        <v>45626</v>
      </c>
      <c r="V290" s="9">
        <v>215627.72123287641</v>
      </c>
      <c r="W290" s="10">
        <f>IF(SUMIFS('Cashflow Projection'!$E$117:$E$149,'Cashflow Projection'!$D$117:$D$149,Sales!C290)=1,SUMIFS('Cashflow Projection'!$C$117:$C$149,'Cashflow Projection'!$D$117:$D$149,Sales!C290),+Sales!H290)</f>
        <v>45596</v>
      </c>
      <c r="X290" s="10">
        <f t="shared" si="14"/>
        <v>45626</v>
      </c>
      <c r="Y290" s="10">
        <f t="shared" si="15"/>
        <v>45657</v>
      </c>
      <c r="Z290" t="b">
        <v>0</v>
      </c>
    </row>
  </sheetData>
  <autoFilter ref="A4:V290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072BA"/>
  </sheetPr>
  <dimension ref="A1:N101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2" width="30" customWidth="1"/>
    <col min="6" max="8" width="30" customWidth="1"/>
  </cols>
  <sheetData>
    <row r="1" spans="1:14" x14ac:dyDescent="0.2">
      <c r="A1" t="s">
        <v>1054</v>
      </c>
    </row>
    <row r="2" spans="1:14" x14ac:dyDescent="0.2">
      <c r="N2" s="1">
        <f>SUBTOTAL(9,N5:N101)</f>
        <v>1732060.6699999995</v>
      </c>
    </row>
    <row r="4" spans="1:14" x14ac:dyDescent="0.2">
      <c r="A4" s="2" t="s">
        <v>1055</v>
      </c>
      <c r="B4" s="2" t="s">
        <v>1056</v>
      </c>
      <c r="C4" s="2" t="s">
        <v>1057</v>
      </c>
      <c r="D4" s="2" t="s">
        <v>1058</v>
      </c>
      <c r="E4" s="2" t="s">
        <v>1059</v>
      </c>
      <c r="F4" s="2" t="s">
        <v>1060</v>
      </c>
      <c r="G4" s="2" t="s">
        <v>1061</v>
      </c>
      <c r="H4" s="2" t="s">
        <v>1062</v>
      </c>
      <c r="I4" s="2" t="s">
        <v>1063</v>
      </c>
      <c r="J4" s="2" t="s">
        <v>1064</v>
      </c>
      <c r="K4" s="2" t="s">
        <v>1065</v>
      </c>
      <c r="L4" s="2" t="s">
        <v>1066</v>
      </c>
      <c r="M4" s="2" t="s">
        <v>1067</v>
      </c>
      <c r="N4" s="2" t="s">
        <v>1068</v>
      </c>
    </row>
    <row r="5" spans="1:14" x14ac:dyDescent="0.2">
      <c r="A5" s="3" t="s">
        <v>1069</v>
      </c>
      <c r="B5" s="3" t="s">
        <v>1070</v>
      </c>
      <c r="C5" s="3">
        <v>0</v>
      </c>
      <c r="D5" s="3">
        <v>0</v>
      </c>
      <c r="E5" s="3">
        <v>213951.5</v>
      </c>
      <c r="F5" s="3">
        <v>0</v>
      </c>
      <c r="G5" s="3">
        <v>9078.59</v>
      </c>
      <c r="H5" s="3">
        <v>0</v>
      </c>
      <c r="I5" s="3">
        <v>0</v>
      </c>
      <c r="J5" s="3">
        <v>0</v>
      </c>
      <c r="K5" s="3">
        <v>1.08</v>
      </c>
      <c r="L5" s="3" t="s">
        <v>1071</v>
      </c>
      <c r="M5" s="3">
        <v>30819.25</v>
      </c>
      <c r="N5" s="3">
        <v>19239.419999999998</v>
      </c>
    </row>
    <row r="6" spans="1:14" x14ac:dyDescent="0.2">
      <c r="A6" s="3" t="s">
        <v>1072</v>
      </c>
      <c r="B6" s="3" t="s">
        <v>1073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700</v>
      </c>
      <c r="J6" s="3">
        <v>580</v>
      </c>
      <c r="K6" s="3">
        <v>0</v>
      </c>
      <c r="L6" s="3">
        <v>0</v>
      </c>
      <c r="M6" s="3">
        <v>0</v>
      </c>
      <c r="N6" s="3">
        <v>128</v>
      </c>
    </row>
    <row r="7" spans="1:14" x14ac:dyDescent="0.2">
      <c r="A7" s="3" t="s">
        <v>1074</v>
      </c>
      <c r="B7" s="3" t="s">
        <v>1075</v>
      </c>
      <c r="C7" s="3">
        <v>7583.63</v>
      </c>
      <c r="D7" s="3">
        <v>0</v>
      </c>
      <c r="E7" s="3">
        <v>0</v>
      </c>
      <c r="F7" s="3" t="s">
        <v>1076</v>
      </c>
      <c r="G7" s="3">
        <v>16566.560000000001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2104.2800000000002</v>
      </c>
    </row>
    <row r="8" spans="1:14" x14ac:dyDescent="0.2">
      <c r="A8" s="3" t="s">
        <v>1074</v>
      </c>
      <c r="B8" s="3" t="s">
        <v>1077</v>
      </c>
      <c r="C8" s="3">
        <v>0</v>
      </c>
      <c r="D8" s="3">
        <v>19.64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1.79</v>
      </c>
    </row>
    <row r="9" spans="1:14" x14ac:dyDescent="0.2">
      <c r="A9" s="3" t="s">
        <v>1072</v>
      </c>
      <c r="B9" s="3" t="s">
        <v>1078</v>
      </c>
      <c r="C9" s="3">
        <v>0</v>
      </c>
      <c r="D9" s="3">
        <v>6204.53</v>
      </c>
      <c r="E9" s="3">
        <v>2211.15</v>
      </c>
      <c r="F9" s="3">
        <v>0</v>
      </c>
      <c r="G9" s="3">
        <v>4390.6000000000004</v>
      </c>
      <c r="H9" s="3">
        <v>2085.79</v>
      </c>
      <c r="I9" s="3">
        <v>2063.15</v>
      </c>
      <c r="J9" s="3">
        <v>2089.86</v>
      </c>
      <c r="K9" s="3">
        <v>0</v>
      </c>
      <c r="L9" s="3">
        <v>4275.67</v>
      </c>
      <c r="M9" s="3">
        <v>1458.74</v>
      </c>
      <c r="N9" s="3">
        <v>2252.6799999999998</v>
      </c>
    </row>
    <row r="10" spans="1:14" x14ac:dyDescent="0.2">
      <c r="A10" s="3" t="s">
        <v>1072</v>
      </c>
      <c r="B10" s="3" t="s">
        <v>1079</v>
      </c>
      <c r="C10" s="3">
        <v>0</v>
      </c>
      <c r="D10" s="3">
        <v>0</v>
      </c>
      <c r="E10" s="3">
        <v>0</v>
      </c>
      <c r="F10" s="3">
        <v>0</v>
      </c>
      <c r="G10" s="3">
        <v>2300</v>
      </c>
      <c r="H10" s="3">
        <v>4025</v>
      </c>
      <c r="I10" s="3">
        <v>3450</v>
      </c>
      <c r="J10" s="3">
        <v>1200</v>
      </c>
      <c r="K10" s="3">
        <v>0</v>
      </c>
      <c r="L10" s="3">
        <v>0</v>
      </c>
      <c r="M10" s="3">
        <v>0</v>
      </c>
      <c r="N10" s="3">
        <v>997.73</v>
      </c>
    </row>
    <row r="11" spans="1:14" x14ac:dyDescent="0.2">
      <c r="A11" s="3" t="s">
        <v>1072</v>
      </c>
      <c r="B11" s="3" t="s">
        <v>1080</v>
      </c>
      <c r="C11" s="3">
        <v>0</v>
      </c>
      <c r="D11" s="3">
        <v>0</v>
      </c>
      <c r="E11" s="3">
        <v>1100</v>
      </c>
      <c r="F11" s="3">
        <v>950</v>
      </c>
      <c r="G11" s="3">
        <v>0</v>
      </c>
      <c r="H11" s="3">
        <v>0</v>
      </c>
      <c r="I11" s="3">
        <v>749</v>
      </c>
      <c r="J11" s="3">
        <v>0</v>
      </c>
      <c r="K11" s="3">
        <v>1999.13</v>
      </c>
      <c r="L11" s="3">
        <v>0</v>
      </c>
      <c r="M11" s="3">
        <v>1604.52</v>
      </c>
      <c r="N11" s="3">
        <v>582.05999999999995</v>
      </c>
    </row>
    <row r="12" spans="1:14" x14ac:dyDescent="0.2">
      <c r="A12" s="3" t="s">
        <v>1072</v>
      </c>
      <c r="B12" s="3" t="s">
        <v>1081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24242.76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2203.89</v>
      </c>
    </row>
    <row r="13" spans="1:14" x14ac:dyDescent="0.2">
      <c r="A13" s="3" t="s">
        <v>1069</v>
      </c>
      <c r="B13" s="3" t="s">
        <v>1082</v>
      </c>
      <c r="C13" s="3">
        <v>0</v>
      </c>
      <c r="D13" s="3">
        <v>2956.52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199.99</v>
      </c>
      <c r="N13" s="3">
        <v>286.95999999999998</v>
      </c>
    </row>
    <row r="14" spans="1:14" x14ac:dyDescent="0.2">
      <c r="A14" s="3" t="s">
        <v>1074</v>
      </c>
      <c r="B14" s="3" t="s">
        <v>1079</v>
      </c>
      <c r="C14" s="3">
        <v>0</v>
      </c>
      <c r="D14" s="3">
        <v>431.25</v>
      </c>
      <c r="E14" s="3">
        <v>0</v>
      </c>
      <c r="F14" s="3">
        <v>1500</v>
      </c>
      <c r="G14" s="3">
        <v>9750</v>
      </c>
      <c r="H14" s="3">
        <v>0</v>
      </c>
      <c r="I14" s="3">
        <v>7705</v>
      </c>
      <c r="J14" s="3">
        <v>1293.75</v>
      </c>
      <c r="K14" s="3">
        <v>5637.5</v>
      </c>
      <c r="L14" s="3">
        <v>0</v>
      </c>
      <c r="M14" s="3">
        <v>24975</v>
      </c>
      <c r="N14" s="3">
        <v>4662.95</v>
      </c>
    </row>
    <row r="15" spans="1:14" x14ac:dyDescent="0.2">
      <c r="A15" s="3" t="s">
        <v>1072</v>
      </c>
      <c r="B15" s="3" t="s">
        <v>1083</v>
      </c>
      <c r="C15" s="3">
        <v>8257.3700000000008</v>
      </c>
      <c r="D15" s="3">
        <v>9027.4699999999993</v>
      </c>
      <c r="E15" s="3">
        <v>989.75</v>
      </c>
      <c r="F15" s="3">
        <v>989.75</v>
      </c>
      <c r="G15" s="3">
        <v>989.75</v>
      </c>
      <c r="H15" s="3">
        <v>2871.04</v>
      </c>
      <c r="I15" s="3">
        <v>843.6</v>
      </c>
      <c r="J15" s="3">
        <v>843.6</v>
      </c>
      <c r="K15" s="3">
        <v>843.6</v>
      </c>
      <c r="L15" s="3">
        <v>843.6</v>
      </c>
      <c r="M15" s="3">
        <v>843.6</v>
      </c>
      <c r="N15" s="3">
        <v>2485.7399999999998</v>
      </c>
    </row>
    <row r="16" spans="1:14" x14ac:dyDescent="0.2">
      <c r="A16" s="3" t="s">
        <v>1072</v>
      </c>
      <c r="B16" s="3" t="s">
        <v>1084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295</v>
      </c>
      <c r="N16" s="3">
        <v>26.82</v>
      </c>
    </row>
    <row r="17" spans="1:14" x14ac:dyDescent="0.2">
      <c r="A17" s="3" t="s">
        <v>1072</v>
      </c>
      <c r="B17" s="3" t="s">
        <v>1085</v>
      </c>
      <c r="C17" s="3">
        <v>2245.7600000000002</v>
      </c>
      <c r="D17" s="3">
        <v>1798.31</v>
      </c>
      <c r="E17" s="3">
        <v>1423.87</v>
      </c>
      <c r="F17" s="3">
        <v>1734.61</v>
      </c>
      <c r="G17" s="3">
        <v>1574.96</v>
      </c>
      <c r="H17" s="3">
        <v>2073.8000000000002</v>
      </c>
      <c r="I17" s="3">
        <v>1918.65</v>
      </c>
      <c r="J17" s="3">
        <v>1821.46</v>
      </c>
      <c r="K17" s="3">
        <v>1869.9</v>
      </c>
      <c r="L17" s="3">
        <v>1777.27</v>
      </c>
      <c r="M17" s="3">
        <v>1931.46</v>
      </c>
      <c r="N17" s="3">
        <v>1833.64</v>
      </c>
    </row>
    <row r="18" spans="1:14" x14ac:dyDescent="0.2">
      <c r="A18" s="3" t="s">
        <v>1072</v>
      </c>
      <c r="B18" s="3" t="s">
        <v>1086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1069</v>
      </c>
      <c r="K18" s="3">
        <v>0</v>
      </c>
      <c r="L18" s="3">
        <v>0</v>
      </c>
      <c r="M18" s="3">
        <v>0</v>
      </c>
      <c r="N18" s="3">
        <v>97.18</v>
      </c>
    </row>
    <row r="19" spans="1:14" x14ac:dyDescent="0.2">
      <c r="A19" s="3" t="s">
        <v>1072</v>
      </c>
      <c r="B19" s="3" t="s">
        <v>1087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885</v>
      </c>
      <c r="K19" s="3">
        <v>0</v>
      </c>
      <c r="L19" s="3">
        <v>0</v>
      </c>
      <c r="M19" s="3">
        <v>712</v>
      </c>
      <c r="N19" s="3">
        <v>145.18</v>
      </c>
    </row>
    <row r="20" spans="1:14" x14ac:dyDescent="0.2">
      <c r="A20" s="3" t="s">
        <v>1072</v>
      </c>
      <c r="B20" s="3" t="s">
        <v>1088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11170</v>
      </c>
      <c r="K20" s="3">
        <v>0</v>
      </c>
      <c r="L20" s="3">
        <v>0</v>
      </c>
      <c r="M20" s="3">
        <v>0</v>
      </c>
      <c r="N20" s="3">
        <v>1015.45</v>
      </c>
    </row>
    <row r="21" spans="1:14" x14ac:dyDescent="0.2">
      <c r="A21" s="3" t="s">
        <v>1072</v>
      </c>
      <c r="B21" s="3" t="s">
        <v>1089</v>
      </c>
      <c r="C21" s="3">
        <v>0</v>
      </c>
      <c r="D21" s="3">
        <v>0</v>
      </c>
      <c r="E21" s="3">
        <v>0</v>
      </c>
      <c r="F21" s="3">
        <v>0</v>
      </c>
      <c r="G21" s="3">
        <v>245</v>
      </c>
      <c r="H21" s="3">
        <v>0</v>
      </c>
      <c r="I21" s="3">
        <v>0</v>
      </c>
      <c r="J21" s="3">
        <v>0</v>
      </c>
      <c r="K21" s="3">
        <v>86.09</v>
      </c>
      <c r="L21" s="3">
        <v>0</v>
      </c>
      <c r="M21" s="3">
        <v>0</v>
      </c>
      <c r="N21" s="3">
        <v>30.1</v>
      </c>
    </row>
    <row r="22" spans="1:14" x14ac:dyDescent="0.2">
      <c r="A22" s="3" t="s">
        <v>1072</v>
      </c>
      <c r="B22" s="3" t="s">
        <v>1090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5192.13</v>
      </c>
      <c r="L22" s="3">
        <v>0</v>
      </c>
      <c r="M22" s="3">
        <v>0</v>
      </c>
      <c r="N22" s="3">
        <v>472.01</v>
      </c>
    </row>
    <row r="23" spans="1:14" x14ac:dyDescent="0.2">
      <c r="A23" s="3" t="s">
        <v>1072</v>
      </c>
      <c r="B23" s="3" t="s">
        <v>1091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4498.72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408.97</v>
      </c>
    </row>
    <row r="24" spans="1:14" x14ac:dyDescent="0.2">
      <c r="A24" s="3" t="s">
        <v>1072</v>
      </c>
      <c r="B24" s="3" t="s">
        <v>1092</v>
      </c>
      <c r="C24" s="3">
        <v>2178</v>
      </c>
      <c r="D24" s="3">
        <v>1089</v>
      </c>
      <c r="E24" s="3">
        <v>1215.69</v>
      </c>
      <c r="F24" s="3">
        <v>847</v>
      </c>
      <c r="G24" s="3">
        <v>846.99</v>
      </c>
      <c r="H24" s="3">
        <v>847</v>
      </c>
      <c r="I24" s="3">
        <v>847</v>
      </c>
      <c r="J24" s="3">
        <v>847</v>
      </c>
      <c r="K24" s="3">
        <v>937.23</v>
      </c>
      <c r="L24" s="3">
        <v>803.5</v>
      </c>
      <c r="M24" s="3">
        <v>605</v>
      </c>
      <c r="N24" s="3">
        <v>1005.76</v>
      </c>
    </row>
    <row r="25" spans="1:14" x14ac:dyDescent="0.2">
      <c r="A25" s="3" t="s">
        <v>1072</v>
      </c>
      <c r="B25" s="3" t="s">
        <v>1093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10825.49</v>
      </c>
      <c r="N25" s="3">
        <v>984.14</v>
      </c>
    </row>
    <row r="26" spans="1:14" x14ac:dyDescent="0.2">
      <c r="A26" s="3" t="s">
        <v>1094</v>
      </c>
      <c r="B26" s="3" t="s">
        <v>1085</v>
      </c>
      <c r="C26" s="3">
        <v>219.64</v>
      </c>
      <c r="D26" s="3">
        <v>161.5</v>
      </c>
      <c r="E26" s="3">
        <v>165.89</v>
      </c>
      <c r="F26" s="3">
        <v>176.39</v>
      </c>
      <c r="G26" s="3">
        <v>140.02000000000001</v>
      </c>
      <c r="H26" s="3">
        <v>119.02</v>
      </c>
      <c r="I26" s="3">
        <v>356.08</v>
      </c>
      <c r="J26" s="3">
        <v>258.58999999999997</v>
      </c>
      <c r="K26" s="3">
        <v>246.22</v>
      </c>
      <c r="L26" s="3">
        <v>243.13</v>
      </c>
      <c r="M26" s="3">
        <v>108.92</v>
      </c>
      <c r="N26" s="3">
        <v>199.58</v>
      </c>
    </row>
    <row r="27" spans="1:14" x14ac:dyDescent="0.2">
      <c r="A27" s="3" t="s">
        <v>1072</v>
      </c>
      <c r="B27" s="3" t="s">
        <v>1095</v>
      </c>
      <c r="C27" s="3">
        <v>128868.17</v>
      </c>
      <c r="D27" s="3">
        <v>125097.01</v>
      </c>
      <c r="E27" s="3">
        <v>124297</v>
      </c>
      <c r="F27" s="3">
        <v>124297</v>
      </c>
      <c r="G27" s="3">
        <v>125697</v>
      </c>
      <c r="H27" s="3">
        <v>119697</v>
      </c>
      <c r="I27" s="3">
        <v>119527</v>
      </c>
      <c r="J27" s="3">
        <v>119527</v>
      </c>
      <c r="K27" s="3">
        <v>119527</v>
      </c>
      <c r="L27" s="3">
        <v>110452</v>
      </c>
      <c r="M27" s="3">
        <v>144016.70000000001</v>
      </c>
      <c r="N27" s="3">
        <v>123727.53</v>
      </c>
    </row>
    <row r="28" spans="1:14" x14ac:dyDescent="0.2">
      <c r="A28" s="3" t="s">
        <v>1072</v>
      </c>
      <c r="B28" s="3" t="s">
        <v>1096</v>
      </c>
      <c r="C28" s="3">
        <v>1188.71</v>
      </c>
      <c r="D28" s="3">
        <v>1188.69</v>
      </c>
      <c r="E28" s="3">
        <v>1188.7</v>
      </c>
      <c r="F28" s="3">
        <v>1188.71</v>
      </c>
      <c r="G28" s="3">
        <v>1188.69</v>
      </c>
      <c r="H28" s="3">
        <v>1188.7</v>
      </c>
      <c r="I28" s="3">
        <v>1188.71</v>
      </c>
      <c r="J28" s="3">
        <v>1188.69</v>
      </c>
      <c r="K28" s="3">
        <v>1188.7</v>
      </c>
      <c r="L28" s="3">
        <v>193.34</v>
      </c>
      <c r="M28" s="3">
        <v>193.33</v>
      </c>
      <c r="N28" s="3">
        <v>1007.72</v>
      </c>
    </row>
    <row r="29" spans="1:14" x14ac:dyDescent="0.2">
      <c r="A29" s="3" t="s">
        <v>1072</v>
      </c>
      <c r="B29" s="3" t="s">
        <v>1097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362</v>
      </c>
      <c r="M29" s="3">
        <v>0</v>
      </c>
      <c r="N29" s="3">
        <v>32.909999999999997</v>
      </c>
    </row>
    <row r="30" spans="1:14" x14ac:dyDescent="0.2">
      <c r="A30" s="3" t="s">
        <v>1072</v>
      </c>
      <c r="B30" s="3" t="s">
        <v>1098</v>
      </c>
      <c r="C30" s="3">
        <v>2233.3000000000002</v>
      </c>
      <c r="D30" s="3">
        <v>2401.59</v>
      </c>
      <c r="E30" s="3">
        <v>2280.91</v>
      </c>
      <c r="F30" s="3">
        <v>2304.8200000000002</v>
      </c>
      <c r="G30" s="3">
        <v>2745.32</v>
      </c>
      <c r="H30" s="3">
        <v>4215.07</v>
      </c>
      <c r="I30" s="3">
        <v>1459.35</v>
      </c>
      <c r="J30" s="3">
        <v>704.96</v>
      </c>
      <c r="K30" s="3">
        <v>2190.96</v>
      </c>
      <c r="L30" s="3">
        <v>1777.93</v>
      </c>
      <c r="M30" s="3">
        <v>1375.3</v>
      </c>
      <c r="N30" s="3">
        <v>2153.59</v>
      </c>
    </row>
    <row r="31" spans="1:14" x14ac:dyDescent="0.2">
      <c r="A31" s="3" t="s">
        <v>1072</v>
      </c>
      <c r="B31" s="3" t="s">
        <v>1099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3016</v>
      </c>
      <c r="I31" s="3">
        <v>2162.3200000000002</v>
      </c>
      <c r="J31" s="3">
        <v>8349.65</v>
      </c>
      <c r="K31" s="3">
        <v>0</v>
      </c>
      <c r="L31" s="3">
        <v>0</v>
      </c>
      <c r="M31" s="3">
        <v>0</v>
      </c>
      <c r="N31" s="3">
        <v>1229.82</v>
      </c>
    </row>
    <row r="32" spans="1:14" x14ac:dyDescent="0.2">
      <c r="A32" s="3" t="s">
        <v>1072</v>
      </c>
      <c r="B32" s="3" t="s">
        <v>1100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11566.33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1051.48</v>
      </c>
    </row>
    <row r="33" spans="1:14" x14ac:dyDescent="0.2">
      <c r="A33" s="3" t="s">
        <v>1069</v>
      </c>
      <c r="B33" s="3" t="s">
        <v>1101</v>
      </c>
      <c r="C33" s="3">
        <v>0</v>
      </c>
      <c r="D33" s="3">
        <v>0</v>
      </c>
      <c r="E33" s="3">
        <v>0</v>
      </c>
      <c r="F33" s="3">
        <v>36288.17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10690.2</v>
      </c>
      <c r="N33" s="3">
        <v>4270.76</v>
      </c>
    </row>
    <row r="34" spans="1:14" x14ac:dyDescent="0.2">
      <c r="A34" s="3" t="s">
        <v>1069</v>
      </c>
      <c r="B34" s="3" t="s">
        <v>1102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5282.68</v>
      </c>
      <c r="J34" s="3">
        <v>71583.149999999994</v>
      </c>
      <c r="K34" s="3">
        <v>0</v>
      </c>
      <c r="L34" s="3">
        <v>0</v>
      </c>
      <c r="M34" s="3">
        <v>0</v>
      </c>
      <c r="N34" s="3">
        <v>6987.8</v>
      </c>
    </row>
    <row r="35" spans="1:14" x14ac:dyDescent="0.2">
      <c r="A35" s="3" t="s">
        <v>1069</v>
      </c>
      <c r="B35" s="3" t="s">
        <v>1103</v>
      </c>
      <c r="C35" s="3">
        <v>0</v>
      </c>
      <c r="D35" s="3">
        <v>11793.8</v>
      </c>
      <c r="E35" s="3">
        <v>17979.75</v>
      </c>
      <c r="F35" s="3">
        <v>19033.8</v>
      </c>
      <c r="G35" s="3">
        <v>15149.62</v>
      </c>
      <c r="H35" s="3">
        <v>12954.16</v>
      </c>
      <c r="I35" s="3">
        <v>15190</v>
      </c>
      <c r="J35" s="3">
        <v>10523.82</v>
      </c>
      <c r="K35" s="3">
        <v>5264.82</v>
      </c>
      <c r="L35" s="3">
        <v>8404.2000000000007</v>
      </c>
      <c r="M35" s="3">
        <v>5169.95</v>
      </c>
      <c r="N35" s="3">
        <v>11042.17</v>
      </c>
    </row>
    <row r="36" spans="1:14" x14ac:dyDescent="0.2">
      <c r="A36" s="3" t="s">
        <v>1069</v>
      </c>
      <c r="B36" s="3" t="s">
        <v>1104</v>
      </c>
      <c r="C36" s="3">
        <v>0</v>
      </c>
      <c r="D36" s="3">
        <v>0</v>
      </c>
      <c r="E36" s="3">
        <v>7198.71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654.42999999999995</v>
      </c>
    </row>
    <row r="37" spans="1:14" x14ac:dyDescent="0.2">
      <c r="A37" s="3" t="s">
        <v>1069</v>
      </c>
      <c r="B37" s="3" t="s">
        <v>1105</v>
      </c>
      <c r="C37" s="3">
        <v>600</v>
      </c>
      <c r="D37" s="3">
        <v>600</v>
      </c>
      <c r="E37" s="3">
        <v>600</v>
      </c>
      <c r="F37" s="3">
        <v>600</v>
      </c>
      <c r="G37" s="3">
        <v>600</v>
      </c>
      <c r="H37" s="3">
        <v>600</v>
      </c>
      <c r="I37" s="3">
        <v>600</v>
      </c>
      <c r="J37" s="3">
        <v>600</v>
      </c>
      <c r="K37" s="3">
        <v>600</v>
      </c>
      <c r="L37" s="3">
        <v>600</v>
      </c>
      <c r="M37" s="3">
        <v>600</v>
      </c>
      <c r="N37" s="3">
        <v>600</v>
      </c>
    </row>
    <row r="38" spans="1:14" x14ac:dyDescent="0.2">
      <c r="A38" s="3" t="s">
        <v>1094</v>
      </c>
      <c r="B38" s="3" t="s">
        <v>1105</v>
      </c>
      <c r="C38" s="3">
        <v>600</v>
      </c>
      <c r="D38" s="3">
        <v>600</v>
      </c>
      <c r="E38" s="3">
        <v>600</v>
      </c>
      <c r="F38" s="3">
        <v>600</v>
      </c>
      <c r="G38" s="3">
        <v>600</v>
      </c>
      <c r="H38" s="3">
        <v>600</v>
      </c>
      <c r="I38" s="3">
        <v>600</v>
      </c>
      <c r="J38" s="3">
        <v>600</v>
      </c>
      <c r="K38" s="3">
        <v>600</v>
      </c>
      <c r="L38" s="3">
        <v>600</v>
      </c>
      <c r="M38" s="3">
        <v>600</v>
      </c>
      <c r="N38" s="3">
        <v>600</v>
      </c>
    </row>
    <row r="39" spans="1:14" x14ac:dyDescent="0.2">
      <c r="A39" s="3" t="s">
        <v>1072</v>
      </c>
      <c r="B39" s="3" t="s">
        <v>1106</v>
      </c>
      <c r="C39" s="3">
        <v>0</v>
      </c>
      <c r="D39" s="3">
        <v>0</v>
      </c>
      <c r="E39" s="3">
        <v>7400.09</v>
      </c>
      <c r="F39" s="3">
        <v>6675.2</v>
      </c>
      <c r="G39" s="3">
        <v>7040.33</v>
      </c>
      <c r="H39" s="3">
        <v>7399.44</v>
      </c>
      <c r="I39" s="3">
        <v>7214.2</v>
      </c>
      <c r="J39" s="3">
        <v>6082.97</v>
      </c>
      <c r="K39" s="3">
        <v>5058.34</v>
      </c>
      <c r="L39" s="3">
        <v>6676.08</v>
      </c>
      <c r="M39" s="3">
        <v>7428.07</v>
      </c>
      <c r="N39" s="3">
        <v>5543.16</v>
      </c>
    </row>
    <row r="40" spans="1:14" x14ac:dyDescent="0.2">
      <c r="A40" s="3" t="s">
        <v>1072</v>
      </c>
      <c r="B40" s="3" t="s">
        <v>1107</v>
      </c>
      <c r="C40" s="3">
        <v>5237.2299999999996</v>
      </c>
      <c r="D40" s="3">
        <v>5533.95</v>
      </c>
      <c r="E40" s="3">
        <v>5370.73</v>
      </c>
      <c r="F40" s="3">
        <v>5014.74</v>
      </c>
      <c r="G40" s="3">
        <v>4371.3500000000004</v>
      </c>
      <c r="H40" s="3">
        <v>4381.84</v>
      </c>
      <c r="I40" s="3">
        <v>4480.7700000000004</v>
      </c>
      <c r="J40" s="3">
        <v>4434.6400000000003</v>
      </c>
      <c r="K40" s="3">
        <v>3980.49</v>
      </c>
      <c r="L40" s="3">
        <v>3918.5</v>
      </c>
      <c r="M40" s="3">
        <v>3744.13</v>
      </c>
      <c r="N40" s="3">
        <v>4588.03</v>
      </c>
    </row>
    <row r="41" spans="1:14" x14ac:dyDescent="0.2">
      <c r="A41" s="3" t="s">
        <v>1072</v>
      </c>
      <c r="B41" s="3" t="s">
        <v>1108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4000</v>
      </c>
      <c r="J41" s="3">
        <v>0</v>
      </c>
      <c r="K41" s="3">
        <v>0</v>
      </c>
      <c r="L41" s="3">
        <v>0</v>
      </c>
      <c r="M41" s="3">
        <v>0</v>
      </c>
      <c r="N41" s="3">
        <v>363.64</v>
      </c>
    </row>
    <row r="42" spans="1:14" x14ac:dyDescent="0.2">
      <c r="A42" s="3" t="s">
        <v>1069</v>
      </c>
      <c r="B42" s="3" t="s">
        <v>1109</v>
      </c>
      <c r="C42" s="3" t="s">
        <v>1110</v>
      </c>
      <c r="D42" s="3">
        <v>971.22</v>
      </c>
      <c r="E42" s="3">
        <v>478.58</v>
      </c>
      <c r="F42" s="3">
        <v>47156.78</v>
      </c>
      <c r="G42" s="3">
        <v>1094.18</v>
      </c>
      <c r="H42" s="3">
        <v>0</v>
      </c>
      <c r="I42" s="3">
        <v>0</v>
      </c>
      <c r="J42" s="3">
        <v>0</v>
      </c>
      <c r="K42" s="3">
        <v>8832.24</v>
      </c>
      <c r="L42" s="3" t="s">
        <v>1111</v>
      </c>
      <c r="M42" s="3">
        <v>39349.03</v>
      </c>
      <c r="N42" s="3">
        <v>8493.86</v>
      </c>
    </row>
    <row r="43" spans="1:14" x14ac:dyDescent="0.2">
      <c r="A43" s="3" t="s">
        <v>1094</v>
      </c>
      <c r="B43" s="3" t="s">
        <v>1095</v>
      </c>
      <c r="C43" s="3">
        <v>42094.19</v>
      </c>
      <c r="D43" s="3">
        <v>40680</v>
      </c>
      <c r="E43" s="3">
        <v>40380</v>
      </c>
      <c r="F43" s="3">
        <v>40380</v>
      </c>
      <c r="G43" s="3">
        <v>42480</v>
      </c>
      <c r="H43" s="3">
        <v>40230</v>
      </c>
      <c r="I43" s="3">
        <v>39975</v>
      </c>
      <c r="J43" s="3">
        <v>39975</v>
      </c>
      <c r="K43" s="3">
        <v>39975</v>
      </c>
      <c r="L43" s="3">
        <v>49900</v>
      </c>
      <c r="M43" s="3">
        <v>61022.57</v>
      </c>
      <c r="N43" s="3">
        <v>43371.98</v>
      </c>
    </row>
    <row r="44" spans="1:14" x14ac:dyDescent="0.2">
      <c r="A44" s="3" t="s">
        <v>1094</v>
      </c>
      <c r="B44" s="3" t="s">
        <v>1075</v>
      </c>
      <c r="C44" s="3">
        <v>3297.62</v>
      </c>
      <c r="D44" s="3">
        <v>0</v>
      </c>
      <c r="E44" s="3">
        <v>0</v>
      </c>
      <c r="F44" s="3">
        <v>0</v>
      </c>
      <c r="G44" s="3">
        <v>4539.88</v>
      </c>
      <c r="H44" s="3">
        <v>0</v>
      </c>
      <c r="I44" s="3">
        <v>9269.25</v>
      </c>
      <c r="J44" s="3">
        <v>0</v>
      </c>
      <c r="K44" s="3">
        <v>15702.19</v>
      </c>
      <c r="L44" s="3">
        <v>0</v>
      </c>
      <c r="M44" s="3">
        <v>0</v>
      </c>
      <c r="N44" s="3">
        <v>2982.63</v>
      </c>
    </row>
    <row r="45" spans="1:14" x14ac:dyDescent="0.2">
      <c r="A45" s="3" t="s">
        <v>1072</v>
      </c>
      <c r="B45" s="3" t="s">
        <v>1112</v>
      </c>
      <c r="C45" s="3">
        <v>6732.42</v>
      </c>
      <c r="D45" s="3">
        <v>4891.29</v>
      </c>
      <c r="E45" s="3">
        <v>2706.92</v>
      </c>
      <c r="F45" s="3">
        <v>5021.88</v>
      </c>
      <c r="G45" s="3">
        <v>7557.38</v>
      </c>
      <c r="H45" s="3">
        <v>2648.22</v>
      </c>
      <c r="I45" s="3">
        <v>5699.68</v>
      </c>
      <c r="J45" s="3">
        <v>4327.12</v>
      </c>
      <c r="K45" s="3">
        <v>2190.86</v>
      </c>
      <c r="L45" s="3">
        <v>1173.9100000000001</v>
      </c>
      <c r="M45" s="3">
        <v>2299.13</v>
      </c>
      <c r="N45" s="3">
        <v>4113.53</v>
      </c>
    </row>
    <row r="46" spans="1:14" x14ac:dyDescent="0.2">
      <c r="A46" s="3" t="s">
        <v>1069</v>
      </c>
      <c r="B46" s="3" t="s">
        <v>1085</v>
      </c>
      <c r="C46" s="3">
        <v>399.76</v>
      </c>
      <c r="D46" s="3">
        <v>369.23</v>
      </c>
      <c r="E46" s="3">
        <v>398.2</v>
      </c>
      <c r="F46" s="3">
        <v>369.15</v>
      </c>
      <c r="G46" s="3">
        <v>256.55</v>
      </c>
      <c r="H46" s="3">
        <v>390.11</v>
      </c>
      <c r="I46" s="3">
        <v>644.16999999999996</v>
      </c>
      <c r="J46" s="3">
        <v>516.95000000000005</v>
      </c>
      <c r="K46" s="3">
        <v>449.38</v>
      </c>
      <c r="L46" s="3">
        <v>374.2</v>
      </c>
      <c r="M46" s="3">
        <v>582.98</v>
      </c>
      <c r="N46" s="3">
        <v>431.88</v>
      </c>
    </row>
    <row r="47" spans="1:14" x14ac:dyDescent="0.2">
      <c r="A47" s="3" t="s">
        <v>1072</v>
      </c>
      <c r="B47" s="3" t="s">
        <v>1113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3007.35</v>
      </c>
      <c r="L47" s="3">
        <v>7034</v>
      </c>
      <c r="M47" s="3">
        <v>5034</v>
      </c>
      <c r="N47" s="3">
        <v>1370.49</v>
      </c>
    </row>
    <row r="48" spans="1:14" x14ac:dyDescent="0.2">
      <c r="A48" s="3" t="s">
        <v>1072</v>
      </c>
      <c r="B48" s="3" t="s">
        <v>1114</v>
      </c>
      <c r="C48" s="3">
        <v>547.67999999999995</v>
      </c>
      <c r="D48" s="3">
        <v>547.67999999999995</v>
      </c>
      <c r="E48" s="3">
        <v>547.66999999999996</v>
      </c>
      <c r="F48" s="3">
        <v>547.67999999999995</v>
      </c>
      <c r="G48" s="3">
        <v>547.67999999999995</v>
      </c>
      <c r="H48" s="3">
        <v>547.66999999999996</v>
      </c>
      <c r="I48" s="3">
        <v>547.69000000000005</v>
      </c>
      <c r="J48" s="3">
        <v>547.66999999999996</v>
      </c>
      <c r="K48" s="3">
        <v>547.67999999999995</v>
      </c>
      <c r="L48" s="3">
        <v>547.66999999999996</v>
      </c>
      <c r="M48" s="3">
        <v>547.67999999999995</v>
      </c>
      <c r="N48" s="3">
        <v>547.67999999999995</v>
      </c>
    </row>
    <row r="49" spans="1:14" x14ac:dyDescent="0.2">
      <c r="A49" s="3" t="s">
        <v>1072</v>
      </c>
      <c r="B49" s="3" t="s">
        <v>1115</v>
      </c>
      <c r="C49" s="3">
        <v>4562.87</v>
      </c>
      <c r="D49" s="3">
        <v>4562.87</v>
      </c>
      <c r="E49" s="3">
        <v>4549.49</v>
      </c>
      <c r="F49" s="3">
        <v>4562.8599999999997</v>
      </c>
      <c r="G49" s="3">
        <v>3631.27</v>
      </c>
      <c r="H49" s="3">
        <v>3323.89</v>
      </c>
      <c r="I49" s="3">
        <v>3323.92</v>
      </c>
      <c r="J49" s="3">
        <v>3323.88</v>
      </c>
      <c r="K49" s="3">
        <v>3323.91</v>
      </c>
      <c r="L49" s="3">
        <v>3323.88</v>
      </c>
      <c r="M49" s="3">
        <v>3323.91</v>
      </c>
      <c r="N49" s="3">
        <v>3801.16</v>
      </c>
    </row>
    <row r="50" spans="1:14" x14ac:dyDescent="0.2">
      <c r="A50" s="3" t="s">
        <v>1069</v>
      </c>
      <c r="B50" s="3" t="s">
        <v>1116</v>
      </c>
      <c r="C50" s="3">
        <v>3292.17</v>
      </c>
      <c r="D50" s="3">
        <v>5105.18</v>
      </c>
      <c r="E50" s="3">
        <v>5862.1</v>
      </c>
      <c r="F50" s="3">
        <v>9670.93</v>
      </c>
      <c r="G50" s="3">
        <v>4142.54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2552.08</v>
      </c>
    </row>
    <row r="51" spans="1:14" x14ac:dyDescent="0.2">
      <c r="A51" s="3" t="s">
        <v>1069</v>
      </c>
      <c r="B51" s="3" t="s">
        <v>1097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20</v>
      </c>
      <c r="J51" s="3">
        <v>0</v>
      </c>
      <c r="K51" s="3">
        <v>0</v>
      </c>
      <c r="L51" s="3">
        <v>0</v>
      </c>
      <c r="M51" s="3">
        <v>0</v>
      </c>
      <c r="N51" s="3">
        <v>1.82</v>
      </c>
    </row>
    <row r="52" spans="1:14" x14ac:dyDescent="0.2">
      <c r="A52" s="3" t="s">
        <v>1069</v>
      </c>
      <c r="B52" s="3" t="s">
        <v>1075</v>
      </c>
      <c r="C52" s="3">
        <v>0</v>
      </c>
      <c r="D52" s="3">
        <v>0</v>
      </c>
      <c r="E52" s="3">
        <v>0</v>
      </c>
      <c r="F52" s="3">
        <v>900</v>
      </c>
      <c r="G52" s="3">
        <v>0</v>
      </c>
      <c r="H52" s="3">
        <v>0</v>
      </c>
      <c r="I52" s="3">
        <v>33647.279999999999</v>
      </c>
      <c r="J52" s="3">
        <v>0</v>
      </c>
      <c r="K52" s="3">
        <v>0</v>
      </c>
      <c r="L52" s="3">
        <v>0</v>
      </c>
      <c r="M52" s="3">
        <v>0</v>
      </c>
      <c r="N52" s="3">
        <v>3140.66</v>
      </c>
    </row>
    <row r="53" spans="1:14" x14ac:dyDescent="0.2">
      <c r="A53" s="3" t="s">
        <v>1074</v>
      </c>
      <c r="B53" s="3" t="s">
        <v>1117</v>
      </c>
      <c r="C53" s="3">
        <v>0</v>
      </c>
      <c r="D53" s="3">
        <v>0</v>
      </c>
      <c r="E53" s="3">
        <v>0</v>
      </c>
      <c r="F53" s="3">
        <v>0</v>
      </c>
      <c r="G53" s="3">
        <v>9967.1</v>
      </c>
      <c r="H53" s="3">
        <v>0</v>
      </c>
      <c r="I53" s="3">
        <v>4602</v>
      </c>
      <c r="J53" s="3">
        <v>0</v>
      </c>
      <c r="K53" s="3">
        <v>0</v>
      </c>
      <c r="L53" s="3">
        <v>0</v>
      </c>
      <c r="M53" s="3">
        <v>0</v>
      </c>
      <c r="N53" s="3">
        <v>1324.46</v>
      </c>
    </row>
    <row r="54" spans="1:14" x14ac:dyDescent="0.2">
      <c r="A54" s="3" t="s">
        <v>1074</v>
      </c>
      <c r="B54" s="3" t="s">
        <v>1118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18500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1681.82</v>
      </c>
    </row>
    <row r="55" spans="1:14" x14ac:dyDescent="0.2">
      <c r="A55" s="3" t="s">
        <v>1072</v>
      </c>
      <c r="B55" s="3" t="s">
        <v>1119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5202.88</v>
      </c>
      <c r="M55" s="3">
        <v>0</v>
      </c>
      <c r="N55" s="3">
        <v>472.99</v>
      </c>
    </row>
    <row r="56" spans="1:14" x14ac:dyDescent="0.2">
      <c r="A56" s="3" t="s">
        <v>1069</v>
      </c>
      <c r="B56" s="3" t="s">
        <v>1120</v>
      </c>
      <c r="C56" s="3">
        <v>4200</v>
      </c>
      <c r="D56" s="3">
        <v>0</v>
      </c>
      <c r="E56" s="3">
        <v>4200</v>
      </c>
      <c r="F56" s="3">
        <v>5700</v>
      </c>
      <c r="G56" s="3">
        <v>0</v>
      </c>
      <c r="H56" s="3">
        <v>0</v>
      </c>
      <c r="I56" s="3">
        <v>0</v>
      </c>
      <c r="J56" s="3">
        <v>4200</v>
      </c>
      <c r="K56" s="3">
        <v>4000</v>
      </c>
      <c r="L56" s="3">
        <v>4000</v>
      </c>
      <c r="M56" s="3">
        <v>0</v>
      </c>
      <c r="N56" s="3">
        <v>2390.91</v>
      </c>
    </row>
    <row r="57" spans="1:14" x14ac:dyDescent="0.2">
      <c r="A57" s="3" t="s">
        <v>1072</v>
      </c>
      <c r="B57" s="3" t="s">
        <v>1121</v>
      </c>
      <c r="C57" s="3">
        <v>31820</v>
      </c>
      <c r="D57" s="3">
        <v>31820</v>
      </c>
      <c r="E57" s="3">
        <v>31820</v>
      </c>
      <c r="F57" s="3">
        <v>29600</v>
      </c>
      <c r="G57" s="3">
        <v>29600</v>
      </c>
      <c r="H57" s="3">
        <v>29600</v>
      </c>
      <c r="I57" s="3">
        <v>29600</v>
      </c>
      <c r="J57" s="3">
        <v>29600</v>
      </c>
      <c r="K57" s="3">
        <v>29600</v>
      </c>
      <c r="L57" s="3">
        <v>29600</v>
      </c>
      <c r="M57" s="3">
        <v>29600</v>
      </c>
      <c r="N57" s="3">
        <v>30205.45</v>
      </c>
    </row>
    <row r="58" spans="1:14" x14ac:dyDescent="0.2">
      <c r="A58" s="3" t="s">
        <v>1072</v>
      </c>
      <c r="B58" s="3" t="s">
        <v>1122</v>
      </c>
      <c r="C58" s="3">
        <v>0</v>
      </c>
      <c r="D58" s="3">
        <v>0</v>
      </c>
      <c r="E58" s="3">
        <v>0</v>
      </c>
      <c r="F58" s="3">
        <v>31.3</v>
      </c>
      <c r="G58" s="3">
        <v>3637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333.48</v>
      </c>
    </row>
    <row r="59" spans="1:14" x14ac:dyDescent="0.2">
      <c r="A59" s="3" t="s">
        <v>1072</v>
      </c>
      <c r="B59" s="3" t="s">
        <v>1075</v>
      </c>
      <c r="C59" s="3">
        <v>0</v>
      </c>
      <c r="D59" s="3">
        <v>0</v>
      </c>
      <c r="E59" s="3">
        <v>599.97</v>
      </c>
      <c r="F59" s="3">
        <v>63.04</v>
      </c>
      <c r="G59" s="3">
        <v>0</v>
      </c>
      <c r="H59" s="3">
        <v>682.61</v>
      </c>
      <c r="I59" s="3">
        <v>5400</v>
      </c>
      <c r="J59" s="3">
        <v>155</v>
      </c>
      <c r="K59" s="3">
        <v>2121.6</v>
      </c>
      <c r="L59" s="3">
        <v>750</v>
      </c>
      <c r="M59" s="3">
        <v>6352.8</v>
      </c>
      <c r="N59" s="3">
        <v>1465.91</v>
      </c>
    </row>
    <row r="60" spans="1:14" x14ac:dyDescent="0.2">
      <c r="A60" s="3" t="s">
        <v>1074</v>
      </c>
      <c r="B60" s="3" t="s">
        <v>1120</v>
      </c>
      <c r="C60" s="3">
        <v>10500</v>
      </c>
      <c r="D60" s="3">
        <v>14250</v>
      </c>
      <c r="E60" s="3">
        <v>11250</v>
      </c>
      <c r="F60" s="3">
        <v>11750</v>
      </c>
      <c r="G60" s="3">
        <v>7250</v>
      </c>
      <c r="H60" s="3">
        <v>7250</v>
      </c>
      <c r="I60" s="3">
        <v>7250</v>
      </c>
      <c r="J60" s="3">
        <v>7250</v>
      </c>
      <c r="K60" s="3">
        <v>0</v>
      </c>
      <c r="L60" s="3">
        <v>0</v>
      </c>
      <c r="M60" s="3">
        <v>0</v>
      </c>
      <c r="N60" s="3">
        <v>6977.27</v>
      </c>
    </row>
    <row r="61" spans="1:14" x14ac:dyDescent="0.2">
      <c r="A61" s="3" t="s">
        <v>1072</v>
      </c>
      <c r="B61" s="3" t="s">
        <v>1123</v>
      </c>
      <c r="C61" s="3">
        <v>441360.94</v>
      </c>
      <c r="D61" s="3">
        <v>463088.48</v>
      </c>
      <c r="E61" s="3">
        <v>448756.2</v>
      </c>
      <c r="F61" s="3">
        <v>424105.1</v>
      </c>
      <c r="G61" s="3">
        <v>367762.35</v>
      </c>
      <c r="H61" s="3">
        <v>368859.45</v>
      </c>
      <c r="I61" s="3">
        <v>377867.45</v>
      </c>
      <c r="J61" s="3">
        <v>373109.3</v>
      </c>
      <c r="K61" s="3">
        <v>333418.53999999998</v>
      </c>
      <c r="L61" s="3">
        <v>327361.08</v>
      </c>
      <c r="M61" s="3">
        <v>311179.65999999997</v>
      </c>
      <c r="N61" s="3">
        <v>385169.87</v>
      </c>
    </row>
    <row r="62" spans="1:14" x14ac:dyDescent="0.2">
      <c r="A62" s="3" t="s">
        <v>1094</v>
      </c>
      <c r="B62" s="3" t="s">
        <v>1079</v>
      </c>
      <c r="C62" s="3">
        <v>0</v>
      </c>
      <c r="D62" s="3">
        <v>0</v>
      </c>
      <c r="E62" s="3">
        <v>415</v>
      </c>
      <c r="F62" s="3">
        <v>0</v>
      </c>
      <c r="G62" s="3">
        <v>0</v>
      </c>
      <c r="H62" s="3">
        <v>0</v>
      </c>
      <c r="I62" s="3">
        <v>0</v>
      </c>
      <c r="J62" s="3">
        <v>4180</v>
      </c>
      <c r="K62" s="3">
        <v>0</v>
      </c>
      <c r="L62" s="3">
        <v>0</v>
      </c>
      <c r="M62" s="3">
        <v>0</v>
      </c>
      <c r="N62" s="3">
        <v>417.73</v>
      </c>
    </row>
    <row r="63" spans="1:14" x14ac:dyDescent="0.2">
      <c r="A63" s="3" t="s">
        <v>1072</v>
      </c>
      <c r="B63" s="3" t="s">
        <v>1124</v>
      </c>
      <c r="C63" s="3">
        <v>2314.69</v>
      </c>
      <c r="D63" s="3">
        <v>1639.02</v>
      </c>
      <c r="E63" s="3">
        <v>1697.41</v>
      </c>
      <c r="F63" s="3">
        <v>2655.98</v>
      </c>
      <c r="G63" s="3">
        <v>3395.64</v>
      </c>
      <c r="H63" s="3">
        <v>14904.84</v>
      </c>
      <c r="I63" s="3">
        <v>4892.5600000000004</v>
      </c>
      <c r="J63" s="3">
        <v>2814.73</v>
      </c>
      <c r="K63" s="3">
        <v>2227.4</v>
      </c>
      <c r="L63" s="3">
        <v>244.98</v>
      </c>
      <c r="M63" s="3">
        <v>0</v>
      </c>
      <c r="N63" s="3">
        <v>3344.3</v>
      </c>
    </row>
    <row r="64" spans="1:14" x14ac:dyDescent="0.2">
      <c r="A64" s="3" t="s">
        <v>1072</v>
      </c>
      <c r="B64" s="3" t="s">
        <v>1125</v>
      </c>
      <c r="C64" s="3">
        <v>3004.75</v>
      </c>
      <c r="D64" s="3">
        <v>3179.47</v>
      </c>
      <c r="E64" s="3">
        <v>3093.33</v>
      </c>
      <c r="F64" s="3">
        <v>3028.4</v>
      </c>
      <c r="G64" s="3">
        <v>2385.0700000000002</v>
      </c>
      <c r="H64" s="3">
        <v>2396.0500000000002</v>
      </c>
      <c r="I64" s="3">
        <v>2495.21</v>
      </c>
      <c r="J64" s="3">
        <v>2442.38</v>
      </c>
      <c r="K64" s="3">
        <v>2059.1799999999998</v>
      </c>
      <c r="L64" s="3">
        <v>2003.44</v>
      </c>
      <c r="M64" s="3">
        <v>1920.62</v>
      </c>
      <c r="N64" s="3">
        <v>2546.17</v>
      </c>
    </row>
    <row r="65" spans="1:14" x14ac:dyDescent="0.2">
      <c r="A65" s="3" t="s">
        <v>1069</v>
      </c>
      <c r="B65" s="3" t="s">
        <v>1126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3050</v>
      </c>
      <c r="J65" s="3">
        <v>0</v>
      </c>
      <c r="K65" s="3">
        <v>0</v>
      </c>
      <c r="L65" s="3">
        <v>0</v>
      </c>
      <c r="M65" s="3">
        <v>0</v>
      </c>
      <c r="N65" s="3">
        <v>277.27</v>
      </c>
    </row>
    <row r="66" spans="1:14" x14ac:dyDescent="0.2">
      <c r="A66" s="3" t="s">
        <v>1069</v>
      </c>
      <c r="B66" s="3" t="s">
        <v>1127</v>
      </c>
      <c r="C66" s="3">
        <v>0</v>
      </c>
      <c r="D66" s="3">
        <v>0</v>
      </c>
      <c r="E66" s="3">
        <v>0</v>
      </c>
      <c r="F66" s="3">
        <v>526.32000000000005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47.85</v>
      </c>
    </row>
    <row r="67" spans="1:14" x14ac:dyDescent="0.2">
      <c r="A67" s="3" t="s">
        <v>1074</v>
      </c>
      <c r="B67" s="3" t="s">
        <v>1105</v>
      </c>
      <c r="C67" s="3">
        <v>0</v>
      </c>
      <c r="D67" s="3">
        <v>600</v>
      </c>
      <c r="E67" s="3">
        <v>600</v>
      </c>
      <c r="F67" s="3">
        <v>600</v>
      </c>
      <c r="G67" s="3">
        <v>600</v>
      </c>
      <c r="H67" s="3">
        <v>600</v>
      </c>
      <c r="I67" s="3">
        <v>600</v>
      </c>
      <c r="J67" s="3">
        <v>600</v>
      </c>
      <c r="K67" s="3">
        <v>600</v>
      </c>
      <c r="L67" s="3">
        <v>600</v>
      </c>
      <c r="M67" s="3">
        <v>600</v>
      </c>
      <c r="N67" s="3">
        <v>545.45000000000005</v>
      </c>
    </row>
    <row r="68" spans="1:14" x14ac:dyDescent="0.2">
      <c r="A68" s="3" t="s">
        <v>1094</v>
      </c>
      <c r="B68" s="3" t="s">
        <v>1103</v>
      </c>
      <c r="C68" s="3">
        <v>0</v>
      </c>
      <c r="D68" s="3">
        <v>0</v>
      </c>
      <c r="E68" s="3">
        <v>0</v>
      </c>
      <c r="F68" s="3">
        <v>0.77</v>
      </c>
      <c r="G68" s="3">
        <v>0</v>
      </c>
      <c r="H68" s="3">
        <v>3.41</v>
      </c>
      <c r="I68" s="3">
        <v>0</v>
      </c>
      <c r="J68" s="3">
        <v>0</v>
      </c>
      <c r="K68" s="3">
        <v>1.07</v>
      </c>
      <c r="L68" s="3">
        <v>1.1399999999999999</v>
      </c>
      <c r="M68" s="3">
        <v>1.03</v>
      </c>
      <c r="N68" s="3">
        <v>0.67</v>
      </c>
    </row>
    <row r="69" spans="1:14" x14ac:dyDescent="0.2">
      <c r="A69" s="3" t="s">
        <v>1094</v>
      </c>
      <c r="B69" s="3" t="s">
        <v>1128</v>
      </c>
      <c r="C69" s="3">
        <v>0</v>
      </c>
      <c r="D69" s="3">
        <v>102.75</v>
      </c>
      <c r="E69" s="3">
        <v>0</v>
      </c>
      <c r="F69" s="3">
        <v>0</v>
      </c>
      <c r="G69" s="3">
        <v>0</v>
      </c>
      <c r="H69" s="3">
        <v>0</v>
      </c>
      <c r="I69" s="3">
        <v>391.3</v>
      </c>
      <c r="J69" s="3">
        <v>1521.74</v>
      </c>
      <c r="K69" s="3">
        <v>0</v>
      </c>
      <c r="L69" s="3">
        <v>0</v>
      </c>
      <c r="M69" s="3">
        <v>0</v>
      </c>
      <c r="N69" s="3">
        <v>183.25</v>
      </c>
    </row>
    <row r="70" spans="1:14" x14ac:dyDescent="0.2">
      <c r="A70" s="3" t="s">
        <v>1072</v>
      </c>
      <c r="B70" s="3" t="s">
        <v>1129</v>
      </c>
      <c r="C70" s="3">
        <v>0</v>
      </c>
      <c r="D70" s="3">
        <v>747</v>
      </c>
      <c r="E70" s="3">
        <v>747</v>
      </c>
      <c r="F70" s="3">
        <v>747</v>
      </c>
      <c r="G70" s="3">
        <v>747</v>
      </c>
      <c r="H70" s="3">
        <v>747</v>
      </c>
      <c r="I70" s="3">
        <v>747</v>
      </c>
      <c r="J70" s="3">
        <v>747</v>
      </c>
      <c r="K70" s="3">
        <v>747</v>
      </c>
      <c r="L70" s="3">
        <v>747</v>
      </c>
      <c r="M70" s="3">
        <v>747</v>
      </c>
      <c r="N70" s="3">
        <v>679.09</v>
      </c>
    </row>
    <row r="71" spans="1:14" x14ac:dyDescent="0.2">
      <c r="A71" s="3" t="s">
        <v>1072</v>
      </c>
      <c r="B71" s="3" t="s">
        <v>1130</v>
      </c>
      <c r="C71" s="3">
        <v>3004.75</v>
      </c>
      <c r="D71" s="3">
        <v>3179.47</v>
      </c>
      <c r="E71" s="3">
        <v>3093.33</v>
      </c>
      <c r="F71" s="3">
        <v>3028.4</v>
      </c>
      <c r="G71" s="3">
        <v>2385.0700000000002</v>
      </c>
      <c r="H71" s="3">
        <v>2396.0500000000002</v>
      </c>
      <c r="I71" s="3">
        <v>2495.21</v>
      </c>
      <c r="J71" s="3">
        <v>2442.38</v>
      </c>
      <c r="K71" s="3">
        <v>2059.1799999999998</v>
      </c>
      <c r="L71" s="3">
        <v>2003.44</v>
      </c>
      <c r="M71" s="3">
        <v>1920.62</v>
      </c>
      <c r="N71" s="3">
        <v>2546.17</v>
      </c>
    </row>
    <row r="72" spans="1:14" x14ac:dyDescent="0.2">
      <c r="A72" s="3" t="s">
        <v>1069</v>
      </c>
      <c r="B72" s="3" t="s">
        <v>1118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10250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931.82</v>
      </c>
    </row>
    <row r="73" spans="1:14" x14ac:dyDescent="0.2">
      <c r="A73" s="3" t="s">
        <v>1069</v>
      </c>
      <c r="B73" s="3" t="s">
        <v>1131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39.47</v>
      </c>
      <c r="L73" s="3">
        <v>0</v>
      </c>
      <c r="M73" s="3">
        <v>0</v>
      </c>
      <c r="N73" s="3">
        <v>3.59</v>
      </c>
    </row>
    <row r="74" spans="1:14" x14ac:dyDescent="0.2">
      <c r="A74" s="3" t="s">
        <v>1069</v>
      </c>
      <c r="B74" s="3" t="s">
        <v>1132</v>
      </c>
      <c r="C74" s="3">
        <v>392914.3</v>
      </c>
      <c r="D74" s="3">
        <v>392914.3</v>
      </c>
      <c r="E74" s="3">
        <v>392914.3</v>
      </c>
      <c r="F74" s="3">
        <v>392914.3</v>
      </c>
      <c r="G74" s="3">
        <v>392914.3</v>
      </c>
      <c r="H74" s="3">
        <v>392914.3</v>
      </c>
      <c r="I74" s="3">
        <v>392914.3</v>
      </c>
      <c r="J74" s="3">
        <v>392914.3</v>
      </c>
      <c r="K74" s="3">
        <v>392914.3</v>
      </c>
      <c r="L74" s="3">
        <v>392914.3</v>
      </c>
      <c r="M74" s="3">
        <v>392914.3</v>
      </c>
      <c r="N74" s="3">
        <v>392914.3</v>
      </c>
    </row>
    <row r="75" spans="1:14" x14ac:dyDescent="0.2">
      <c r="A75" s="3" t="s">
        <v>1074</v>
      </c>
      <c r="B75" s="3" t="s">
        <v>1133</v>
      </c>
      <c r="C75" s="3">
        <v>0</v>
      </c>
      <c r="D75" s="3">
        <v>11879.1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1079.92</v>
      </c>
    </row>
    <row r="76" spans="1:14" x14ac:dyDescent="0.2">
      <c r="A76" s="3" t="s">
        <v>1074</v>
      </c>
      <c r="B76" s="3" t="s">
        <v>1134</v>
      </c>
      <c r="C76" s="3">
        <v>0</v>
      </c>
      <c r="D76" s="3">
        <v>66011.509999999995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6001.05</v>
      </c>
    </row>
    <row r="77" spans="1:14" x14ac:dyDescent="0.2">
      <c r="A77" s="3" t="s">
        <v>1072</v>
      </c>
      <c r="B77" s="3" t="s">
        <v>1135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26779.67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2434.52</v>
      </c>
    </row>
    <row r="78" spans="1:14" x14ac:dyDescent="0.2">
      <c r="A78" s="3" t="s">
        <v>1069</v>
      </c>
      <c r="B78" s="3" t="s">
        <v>1079</v>
      </c>
      <c r="C78" s="3">
        <v>0</v>
      </c>
      <c r="D78" s="3">
        <v>931.25</v>
      </c>
      <c r="E78" s="3">
        <v>7641.04</v>
      </c>
      <c r="F78" s="3">
        <v>500</v>
      </c>
      <c r="G78" s="3">
        <v>500</v>
      </c>
      <c r="H78" s="3">
        <v>5439.56</v>
      </c>
      <c r="I78" s="3">
        <v>26226.57</v>
      </c>
      <c r="J78" s="3">
        <v>39589.129999999997</v>
      </c>
      <c r="K78" s="3">
        <v>52232.03</v>
      </c>
      <c r="L78" s="3">
        <v>23300</v>
      </c>
      <c r="M78" s="3">
        <v>22554.76</v>
      </c>
      <c r="N78" s="3">
        <v>16264.94</v>
      </c>
    </row>
    <row r="79" spans="1:14" x14ac:dyDescent="0.2">
      <c r="A79" s="3" t="s">
        <v>1069</v>
      </c>
      <c r="B79" s="3" t="s">
        <v>1136</v>
      </c>
      <c r="C79" s="3">
        <v>68.37</v>
      </c>
      <c r="D79" s="3" t="s">
        <v>1137</v>
      </c>
      <c r="E79" s="3">
        <v>498.69</v>
      </c>
      <c r="F79" s="3">
        <v>12352.28</v>
      </c>
      <c r="G79" s="3">
        <v>833.84</v>
      </c>
      <c r="H79" s="3">
        <v>0</v>
      </c>
      <c r="I79" s="3">
        <v>0</v>
      </c>
      <c r="J79" s="3">
        <v>0</v>
      </c>
      <c r="K79" s="3">
        <v>2524.84</v>
      </c>
      <c r="L79" s="3" t="s">
        <v>1138</v>
      </c>
      <c r="M79" s="3">
        <v>11216.13</v>
      </c>
      <c r="N79" s="3">
        <v>2185.9499999999998</v>
      </c>
    </row>
    <row r="80" spans="1:14" x14ac:dyDescent="0.2">
      <c r="A80" s="3" t="s">
        <v>1069</v>
      </c>
      <c r="B80" s="3" t="s">
        <v>1095</v>
      </c>
      <c r="C80" s="3">
        <v>120475.57</v>
      </c>
      <c r="D80" s="3">
        <v>116233</v>
      </c>
      <c r="E80" s="3">
        <v>115333</v>
      </c>
      <c r="F80" s="3">
        <v>115333</v>
      </c>
      <c r="G80" s="3">
        <v>128833</v>
      </c>
      <c r="H80" s="3">
        <v>122083</v>
      </c>
      <c r="I80" s="3">
        <v>121658</v>
      </c>
      <c r="J80" s="3">
        <v>121658</v>
      </c>
      <c r="K80" s="3">
        <v>121658</v>
      </c>
      <c r="L80" s="3">
        <v>98308</v>
      </c>
      <c r="M80" s="3">
        <v>109218.57</v>
      </c>
      <c r="N80" s="3">
        <v>117344.65</v>
      </c>
    </row>
    <row r="81" spans="1:14" x14ac:dyDescent="0.2">
      <c r="A81" s="3" t="s">
        <v>1072</v>
      </c>
      <c r="B81" s="3" t="s">
        <v>1139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1011.6</v>
      </c>
      <c r="L81" s="3">
        <v>1775.25</v>
      </c>
      <c r="M81" s="3">
        <v>1775.25</v>
      </c>
      <c r="N81" s="3">
        <v>414.74</v>
      </c>
    </row>
    <row r="82" spans="1:14" x14ac:dyDescent="0.2">
      <c r="A82" s="3" t="s">
        <v>1072</v>
      </c>
      <c r="B82" s="3" t="s">
        <v>1140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4123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374.82</v>
      </c>
    </row>
    <row r="83" spans="1:14" x14ac:dyDescent="0.2">
      <c r="A83" s="3" t="s">
        <v>1072</v>
      </c>
      <c r="B83" s="3" t="s">
        <v>1141</v>
      </c>
      <c r="C83" s="3">
        <v>483.52</v>
      </c>
      <c r="D83" s="3">
        <v>0</v>
      </c>
      <c r="E83" s="3">
        <v>216.48</v>
      </c>
      <c r="F83" s="3">
        <v>0</v>
      </c>
      <c r="G83" s="3">
        <v>0</v>
      </c>
      <c r="H83" s="3">
        <v>0</v>
      </c>
      <c r="I83" s="3">
        <v>78.239999999999995</v>
      </c>
      <c r="J83" s="3">
        <v>0</v>
      </c>
      <c r="K83" s="3">
        <v>78.25</v>
      </c>
      <c r="L83" s="3">
        <v>0</v>
      </c>
      <c r="M83" s="3">
        <v>355.4</v>
      </c>
      <c r="N83" s="3">
        <v>110.17</v>
      </c>
    </row>
    <row r="84" spans="1:14" x14ac:dyDescent="0.2">
      <c r="A84" s="3" t="s">
        <v>1072</v>
      </c>
      <c r="B84" s="3" t="s">
        <v>1142</v>
      </c>
      <c r="C84" s="3">
        <v>3975</v>
      </c>
      <c r="D84" s="3">
        <v>3230</v>
      </c>
      <c r="E84" s="3">
        <v>3230</v>
      </c>
      <c r="F84" s="3">
        <v>3230</v>
      </c>
      <c r="G84" s="3">
        <v>6080</v>
      </c>
      <c r="H84" s="3">
        <v>5130</v>
      </c>
      <c r="I84" s="3">
        <v>3130</v>
      </c>
      <c r="J84" s="3">
        <v>4230</v>
      </c>
      <c r="K84" s="3">
        <v>3130</v>
      </c>
      <c r="L84" s="3">
        <v>2532</v>
      </c>
      <c r="M84" s="3">
        <v>5177</v>
      </c>
      <c r="N84" s="3">
        <v>3915.82</v>
      </c>
    </row>
    <row r="85" spans="1:14" x14ac:dyDescent="0.2">
      <c r="A85" s="3" t="s">
        <v>1072</v>
      </c>
      <c r="B85" s="3" t="s">
        <v>1143</v>
      </c>
      <c r="C85" s="3">
        <v>209433.39</v>
      </c>
      <c r="D85" s="3">
        <v>101779.19</v>
      </c>
      <c r="E85" s="3">
        <v>98374.47</v>
      </c>
      <c r="F85" s="3">
        <v>89188.15</v>
      </c>
      <c r="G85" s="3">
        <v>81838.63</v>
      </c>
      <c r="H85" s="3">
        <v>81778.720000000001</v>
      </c>
      <c r="I85" s="3">
        <v>82564.37</v>
      </c>
      <c r="J85" s="3">
        <v>82763.78</v>
      </c>
      <c r="K85" s="3">
        <v>77215.960000000006</v>
      </c>
      <c r="L85" s="3">
        <v>76990.11</v>
      </c>
      <c r="M85" s="3">
        <v>75818.38</v>
      </c>
      <c r="N85" s="3">
        <v>96158.65</v>
      </c>
    </row>
    <row r="86" spans="1:14" x14ac:dyDescent="0.2">
      <c r="A86" s="3" t="s">
        <v>1072</v>
      </c>
      <c r="B86" s="3" t="s">
        <v>1144</v>
      </c>
      <c r="C86" s="3">
        <v>2431.25</v>
      </c>
      <c r="D86" s="3">
        <v>0</v>
      </c>
      <c r="E86" s="3">
        <v>0</v>
      </c>
      <c r="F86" s="3">
        <v>7942.28</v>
      </c>
      <c r="G86" s="3">
        <v>3800</v>
      </c>
      <c r="H86" s="3">
        <v>9888.9599999999991</v>
      </c>
      <c r="I86" s="3">
        <v>2165.59</v>
      </c>
      <c r="J86" s="3">
        <v>4172.17</v>
      </c>
      <c r="K86" s="3">
        <v>607.83000000000004</v>
      </c>
      <c r="L86" s="3">
        <v>1600</v>
      </c>
      <c r="M86" s="3">
        <v>833.91</v>
      </c>
      <c r="N86" s="3">
        <v>3040.18</v>
      </c>
    </row>
    <row r="87" spans="1:14" x14ac:dyDescent="0.2">
      <c r="A87" s="3" t="s">
        <v>1069</v>
      </c>
      <c r="B87" s="3" t="s">
        <v>1145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 t="s">
        <v>1146</v>
      </c>
      <c r="L87" s="3">
        <v>24960</v>
      </c>
      <c r="M87" s="3">
        <v>0</v>
      </c>
      <c r="N87" s="3">
        <v>1134.55</v>
      </c>
    </row>
    <row r="88" spans="1:14" x14ac:dyDescent="0.2">
      <c r="A88" s="3" t="s">
        <v>1072</v>
      </c>
      <c r="B88" s="3" t="s">
        <v>1147</v>
      </c>
      <c r="C88" s="3">
        <v>0</v>
      </c>
      <c r="D88" s="3">
        <v>0</v>
      </c>
      <c r="E88" s="3">
        <v>1190.0999999999999</v>
      </c>
      <c r="F88" s="3">
        <v>2262.6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313.88</v>
      </c>
    </row>
    <row r="89" spans="1:14" x14ac:dyDescent="0.2">
      <c r="A89" s="3" t="s">
        <v>1072</v>
      </c>
      <c r="B89" s="3" t="s">
        <v>1148</v>
      </c>
      <c r="C89" s="3">
        <v>718.93</v>
      </c>
      <c r="D89" s="3">
        <v>718.93</v>
      </c>
      <c r="E89" s="3">
        <v>1437.86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261.43</v>
      </c>
    </row>
    <row r="90" spans="1:14" x14ac:dyDescent="0.2">
      <c r="A90" s="3" t="s">
        <v>1069</v>
      </c>
      <c r="B90" s="3" t="s">
        <v>1149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1620</v>
      </c>
      <c r="I90" s="3">
        <v>13404.96</v>
      </c>
      <c r="J90" s="3">
        <v>0</v>
      </c>
      <c r="K90" s="3">
        <v>0</v>
      </c>
      <c r="L90" s="3">
        <v>0</v>
      </c>
      <c r="M90" s="3">
        <v>0</v>
      </c>
      <c r="N90" s="3">
        <v>1365.91</v>
      </c>
    </row>
    <row r="91" spans="1:14" x14ac:dyDescent="0.2">
      <c r="A91" s="3" t="s">
        <v>1069</v>
      </c>
      <c r="B91" s="3" t="s">
        <v>1150</v>
      </c>
      <c r="C91" s="3">
        <v>0</v>
      </c>
      <c r="D91" s="3">
        <v>1119.77</v>
      </c>
      <c r="E91" s="3">
        <v>366.14</v>
      </c>
      <c r="F91" s="3">
        <v>366.14</v>
      </c>
      <c r="G91" s="3">
        <v>366.14</v>
      </c>
      <c r="H91" s="3">
        <v>366.14</v>
      </c>
      <c r="I91" s="3">
        <v>366.14</v>
      </c>
      <c r="J91" s="3">
        <v>366.14</v>
      </c>
      <c r="K91" s="3">
        <v>328.38</v>
      </c>
      <c r="L91" s="3">
        <v>328.38</v>
      </c>
      <c r="M91" s="3">
        <v>328.38</v>
      </c>
      <c r="N91" s="3">
        <v>391.07</v>
      </c>
    </row>
    <row r="92" spans="1:14" x14ac:dyDescent="0.2">
      <c r="A92" s="3" t="s">
        <v>1069</v>
      </c>
      <c r="B92" s="3" t="s">
        <v>1151</v>
      </c>
      <c r="C92" s="3">
        <v>314037.88</v>
      </c>
      <c r="D92" s="3">
        <v>314037.88</v>
      </c>
      <c r="E92" s="3">
        <v>314037.88</v>
      </c>
      <c r="F92" s="3">
        <v>314037.88</v>
      </c>
      <c r="G92" s="3">
        <v>314037.88</v>
      </c>
      <c r="H92" s="3">
        <v>314037.88</v>
      </c>
      <c r="I92" s="3">
        <v>314037.88</v>
      </c>
      <c r="J92" s="3">
        <v>314037.88</v>
      </c>
      <c r="K92" s="3">
        <v>314037.88</v>
      </c>
      <c r="L92" s="3">
        <v>314037.88</v>
      </c>
      <c r="M92" s="3">
        <v>314037.88</v>
      </c>
      <c r="N92" s="3">
        <v>314037.88</v>
      </c>
    </row>
    <row r="93" spans="1:14" x14ac:dyDescent="0.2">
      <c r="A93" s="3" t="s">
        <v>1074</v>
      </c>
      <c r="B93" s="3" t="s">
        <v>1152</v>
      </c>
      <c r="C93" s="3">
        <v>1773.44</v>
      </c>
      <c r="D93" s="3" t="s">
        <v>1153</v>
      </c>
      <c r="E93" s="3">
        <v>0</v>
      </c>
      <c r="F93" s="3">
        <v>0</v>
      </c>
      <c r="G93" s="3">
        <v>95314.44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441.87</v>
      </c>
    </row>
    <row r="94" spans="1:14" x14ac:dyDescent="0.2">
      <c r="A94" s="3" t="s">
        <v>1074</v>
      </c>
      <c r="B94" s="3" t="s">
        <v>1154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50000</v>
      </c>
      <c r="I94" s="3">
        <v>0</v>
      </c>
      <c r="J94" s="3">
        <v>350000</v>
      </c>
      <c r="K94" s="3">
        <v>0</v>
      </c>
      <c r="L94" s="3">
        <v>0</v>
      </c>
      <c r="M94" s="3">
        <v>0</v>
      </c>
      <c r="N94" s="3">
        <v>36363.64</v>
      </c>
    </row>
    <row r="95" spans="1:14" x14ac:dyDescent="0.2">
      <c r="A95" s="3" t="s">
        <v>1094</v>
      </c>
      <c r="B95" s="3" t="s">
        <v>1155</v>
      </c>
      <c r="C95" s="3">
        <v>0</v>
      </c>
      <c r="D95" s="3">
        <v>575</v>
      </c>
      <c r="E95" s="3">
        <v>0</v>
      </c>
      <c r="F95" s="3">
        <v>0</v>
      </c>
      <c r="G95" s="3">
        <v>0</v>
      </c>
      <c r="H95" s="3">
        <v>0</v>
      </c>
      <c r="I95" s="3">
        <v>575</v>
      </c>
      <c r="J95" s="3">
        <v>0</v>
      </c>
      <c r="K95" s="3">
        <v>2300</v>
      </c>
      <c r="L95" s="3">
        <v>0</v>
      </c>
      <c r="M95" s="3">
        <v>1437.5</v>
      </c>
      <c r="N95" s="3">
        <v>444.32</v>
      </c>
    </row>
    <row r="96" spans="1:14" x14ac:dyDescent="0.2">
      <c r="A96" s="3" t="s">
        <v>1094</v>
      </c>
      <c r="B96" s="3" t="s">
        <v>1156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10250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931.82</v>
      </c>
    </row>
    <row r="97" spans="1:14" x14ac:dyDescent="0.2">
      <c r="A97" s="3" t="s">
        <v>1072</v>
      </c>
      <c r="B97" s="3" t="s">
        <v>1157</v>
      </c>
      <c r="C97" s="3">
        <v>1463.16</v>
      </c>
      <c r="D97" s="3">
        <v>3281.84</v>
      </c>
      <c r="E97" s="3">
        <v>3911.97</v>
      </c>
      <c r="F97" s="3">
        <v>1789.91</v>
      </c>
      <c r="G97" s="3">
        <v>5244.4</v>
      </c>
      <c r="H97" s="3">
        <v>0</v>
      </c>
      <c r="I97" s="3">
        <v>4022.51</v>
      </c>
      <c r="J97" s="3">
        <v>3175.51</v>
      </c>
      <c r="K97" s="3">
        <v>4892.22</v>
      </c>
      <c r="L97" s="3">
        <v>7124.28</v>
      </c>
      <c r="M97" s="3">
        <v>5589.51</v>
      </c>
      <c r="N97" s="3">
        <v>3681.39</v>
      </c>
    </row>
    <row r="98" spans="1:14" x14ac:dyDescent="0.2">
      <c r="A98" s="3" t="s">
        <v>1072</v>
      </c>
      <c r="B98" s="3" t="s">
        <v>1104</v>
      </c>
      <c r="C98" s="3">
        <v>191.17</v>
      </c>
      <c r="D98" s="3">
        <v>191.17</v>
      </c>
      <c r="E98" s="3">
        <v>191.17</v>
      </c>
      <c r="F98" s="3">
        <v>191.17</v>
      </c>
      <c r="G98" s="3">
        <v>177.33</v>
      </c>
      <c r="H98" s="3">
        <v>177.33</v>
      </c>
      <c r="I98" s="3">
        <v>177.33</v>
      </c>
      <c r="J98" s="3">
        <v>177.33</v>
      </c>
      <c r="K98" s="3">
        <v>177.33</v>
      </c>
      <c r="L98" s="3">
        <v>177.33</v>
      </c>
      <c r="M98" s="3">
        <v>177.33</v>
      </c>
      <c r="N98" s="3">
        <v>182.36</v>
      </c>
    </row>
    <row r="99" spans="1:14" x14ac:dyDescent="0.2">
      <c r="A99" s="3" t="s">
        <v>1072</v>
      </c>
      <c r="B99" s="3" t="s">
        <v>1158</v>
      </c>
      <c r="C99" s="3">
        <v>600</v>
      </c>
      <c r="D99" s="3">
        <v>600</v>
      </c>
      <c r="E99" s="3">
        <v>600</v>
      </c>
      <c r="F99" s="3">
        <v>600</v>
      </c>
      <c r="G99" s="3">
        <v>600</v>
      </c>
      <c r="H99" s="3">
        <v>600</v>
      </c>
      <c r="I99" s="3">
        <v>600</v>
      </c>
      <c r="J99" s="3">
        <v>600</v>
      </c>
      <c r="K99" s="3">
        <v>600</v>
      </c>
      <c r="L99" s="3">
        <v>600</v>
      </c>
      <c r="M99" s="3">
        <v>600</v>
      </c>
      <c r="N99" s="3">
        <v>600</v>
      </c>
    </row>
    <row r="100" spans="1:14" x14ac:dyDescent="0.2">
      <c r="A100" s="3" t="s">
        <v>1069</v>
      </c>
      <c r="B100" s="3" t="s">
        <v>1159</v>
      </c>
      <c r="C100" s="3">
        <v>15043.78</v>
      </c>
      <c r="D100" s="3">
        <v>17021.080000000002</v>
      </c>
      <c r="E100" s="3">
        <v>12118.18</v>
      </c>
      <c r="F100" s="3">
        <v>12147.19</v>
      </c>
      <c r="G100" s="3">
        <v>13224.43</v>
      </c>
      <c r="H100" s="3">
        <v>10516.5</v>
      </c>
      <c r="I100" s="3">
        <v>10459.969999999999</v>
      </c>
      <c r="J100" s="3">
        <v>10741.66</v>
      </c>
      <c r="K100" s="3">
        <v>8823.9</v>
      </c>
      <c r="L100" s="3">
        <v>7350.33</v>
      </c>
      <c r="M100" s="3">
        <v>0</v>
      </c>
      <c r="N100" s="3">
        <v>10677</v>
      </c>
    </row>
    <row r="101" spans="1:14" x14ac:dyDescent="0.2">
      <c r="A101" s="3" t="s">
        <v>1074</v>
      </c>
      <c r="B101" s="3" t="s">
        <v>1160</v>
      </c>
      <c r="C101" s="3">
        <v>0</v>
      </c>
      <c r="D101" s="3">
        <v>0</v>
      </c>
      <c r="E101" s="3">
        <v>0</v>
      </c>
      <c r="F101" s="3">
        <v>17110</v>
      </c>
      <c r="G101" s="3">
        <v>745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1623.18</v>
      </c>
    </row>
  </sheetData>
  <autoFilter ref="A4:N10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072BA"/>
  </sheetPr>
  <dimension ref="A1:G7294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2" width="30" customWidth="1"/>
    <col min="6" max="8" width="30" customWidth="1"/>
  </cols>
  <sheetData>
    <row r="1" spans="1:7" x14ac:dyDescent="0.2">
      <c r="A1" t="s">
        <v>1161</v>
      </c>
    </row>
    <row r="2" spans="1:7" x14ac:dyDescent="0.2">
      <c r="F2" s="1">
        <f>SUBTOTAL(9,F5:F7294)</f>
        <v>-338077.40999999474</v>
      </c>
      <c r="G2" s="1">
        <f>SUBTOTAL(9,G5:G7294)</f>
        <v>62154472.80000034</v>
      </c>
    </row>
    <row r="4" spans="1:7" x14ac:dyDescent="0.2">
      <c r="A4" s="2" t="s">
        <v>1162</v>
      </c>
      <c r="B4" s="2" t="s">
        <v>1163</v>
      </c>
      <c r="C4" s="2" t="s">
        <v>4</v>
      </c>
      <c r="D4" s="2" t="s">
        <v>1164</v>
      </c>
      <c r="E4" s="2" t="s">
        <v>1165</v>
      </c>
      <c r="F4" s="2" t="s">
        <v>1166</v>
      </c>
      <c r="G4" s="2" t="s">
        <v>1167</v>
      </c>
    </row>
    <row r="5" spans="1:7" x14ac:dyDescent="0.2">
      <c r="A5" s="3" t="s">
        <v>1069</v>
      </c>
      <c r="B5" s="4">
        <v>44286</v>
      </c>
      <c r="C5" s="3" t="s">
        <v>1168</v>
      </c>
      <c r="D5" s="3" t="s">
        <v>1169</v>
      </c>
      <c r="E5" s="3" t="s">
        <v>1079</v>
      </c>
      <c r="F5" s="3">
        <v>5750</v>
      </c>
      <c r="G5" s="3">
        <v>5750</v>
      </c>
    </row>
    <row r="6" spans="1:7" x14ac:dyDescent="0.2">
      <c r="A6" s="3" t="s">
        <v>1069</v>
      </c>
      <c r="B6" s="4">
        <v>44286</v>
      </c>
      <c r="C6" s="3" t="s">
        <v>1168</v>
      </c>
      <c r="D6" s="3" t="s">
        <v>1170</v>
      </c>
      <c r="E6" s="3" t="s">
        <v>1171</v>
      </c>
      <c r="F6" s="3">
        <v>100</v>
      </c>
      <c r="G6" s="3">
        <v>100</v>
      </c>
    </row>
    <row r="7" spans="1:7" x14ac:dyDescent="0.2">
      <c r="A7" s="3" t="s">
        <v>1069</v>
      </c>
      <c r="B7" s="4">
        <v>44286</v>
      </c>
      <c r="C7" s="3" t="s">
        <v>1172</v>
      </c>
      <c r="D7" s="3" t="s">
        <v>1173</v>
      </c>
      <c r="E7" s="3" t="s">
        <v>1174</v>
      </c>
      <c r="F7" s="3">
        <v>-100</v>
      </c>
      <c r="G7" s="3">
        <v>-100</v>
      </c>
    </row>
    <row r="8" spans="1:7" x14ac:dyDescent="0.2">
      <c r="A8" s="3" t="s">
        <v>1069</v>
      </c>
      <c r="B8" s="4">
        <v>44286</v>
      </c>
      <c r="C8" s="3" t="s">
        <v>1175</v>
      </c>
      <c r="D8" s="3" t="s">
        <v>1176</v>
      </c>
      <c r="E8" s="3" t="s">
        <v>1177</v>
      </c>
      <c r="F8" s="3">
        <v>-300000</v>
      </c>
      <c r="G8" s="3">
        <v>-300000</v>
      </c>
    </row>
    <row r="9" spans="1:7" x14ac:dyDescent="0.2">
      <c r="A9" s="3" t="s">
        <v>1069</v>
      </c>
      <c r="B9" s="4">
        <v>44286</v>
      </c>
      <c r="C9" s="3" t="s">
        <v>1175</v>
      </c>
      <c r="D9" s="3" t="s">
        <v>1178</v>
      </c>
      <c r="E9" s="3" t="s">
        <v>1179</v>
      </c>
      <c r="F9" s="3">
        <v>30000</v>
      </c>
      <c r="G9" s="3">
        <v>30000</v>
      </c>
    </row>
    <row r="10" spans="1:7" x14ac:dyDescent="0.2">
      <c r="A10" s="3" t="s">
        <v>1069</v>
      </c>
      <c r="B10" s="4">
        <v>44286</v>
      </c>
      <c r="C10" s="3" t="s">
        <v>1180</v>
      </c>
      <c r="D10" s="3" t="s">
        <v>1181</v>
      </c>
      <c r="E10" s="3" t="s">
        <v>1182</v>
      </c>
      <c r="F10" s="3">
        <v>54000</v>
      </c>
      <c r="G10" s="3">
        <v>54000</v>
      </c>
    </row>
    <row r="11" spans="1:7" x14ac:dyDescent="0.2">
      <c r="A11" s="3" t="s">
        <v>1069</v>
      </c>
      <c r="B11" s="4">
        <v>44286</v>
      </c>
      <c r="C11" s="3" t="s">
        <v>1180</v>
      </c>
      <c r="D11" s="3" t="s">
        <v>1183</v>
      </c>
      <c r="E11" s="3" t="s">
        <v>1184</v>
      </c>
      <c r="F11" s="3">
        <v>23034.26</v>
      </c>
      <c r="G11" s="3">
        <v>23034.26</v>
      </c>
    </row>
    <row r="12" spans="1:7" x14ac:dyDescent="0.2">
      <c r="A12" s="3" t="s">
        <v>1069</v>
      </c>
      <c r="B12" s="4">
        <v>44286</v>
      </c>
      <c r="C12" s="3" t="s">
        <v>1180</v>
      </c>
      <c r="D12" s="3" t="s">
        <v>1185</v>
      </c>
      <c r="E12" s="3" t="s">
        <v>1186</v>
      </c>
      <c r="F12" s="3">
        <v>200000</v>
      </c>
      <c r="G12" s="3">
        <v>200000</v>
      </c>
    </row>
    <row r="13" spans="1:7" x14ac:dyDescent="0.2">
      <c r="A13" s="3" t="s">
        <v>1069</v>
      </c>
      <c r="B13" s="4">
        <v>44286</v>
      </c>
      <c r="C13" s="3" t="s">
        <v>1180</v>
      </c>
      <c r="D13" s="3" t="s">
        <v>1187</v>
      </c>
      <c r="E13" s="3" t="s">
        <v>1188</v>
      </c>
      <c r="F13" s="3">
        <v>7900</v>
      </c>
      <c r="G13" s="3">
        <v>7900</v>
      </c>
    </row>
    <row r="14" spans="1:7" x14ac:dyDescent="0.2">
      <c r="A14" s="3" t="s">
        <v>1069</v>
      </c>
      <c r="B14" s="4">
        <v>44286</v>
      </c>
      <c r="C14" s="3" t="s">
        <v>1180</v>
      </c>
      <c r="D14" s="3" t="s">
        <v>1189</v>
      </c>
      <c r="E14" s="3" t="s">
        <v>1190</v>
      </c>
      <c r="F14" s="3">
        <v>11150100</v>
      </c>
      <c r="G14" s="3">
        <v>25505236.609999999</v>
      </c>
    </row>
    <row r="15" spans="1:7" x14ac:dyDescent="0.2">
      <c r="A15" s="3" t="s">
        <v>1069</v>
      </c>
      <c r="B15" s="4">
        <v>44286</v>
      </c>
      <c r="C15" s="3" t="s">
        <v>1175</v>
      </c>
      <c r="D15" s="3" t="s">
        <v>1191</v>
      </c>
      <c r="E15" s="3" t="s">
        <v>1192</v>
      </c>
      <c r="F15" s="3">
        <v>-11182339.4</v>
      </c>
      <c r="G15" s="3">
        <v>-25537476.010000002</v>
      </c>
    </row>
    <row r="16" spans="1:7" x14ac:dyDescent="0.2">
      <c r="A16" s="3" t="s">
        <v>1069</v>
      </c>
      <c r="B16" s="4">
        <v>44286</v>
      </c>
      <c r="C16" s="3" t="s">
        <v>1175</v>
      </c>
      <c r="D16" s="3" t="s">
        <v>1193</v>
      </c>
      <c r="E16" s="3" t="s">
        <v>1194</v>
      </c>
      <c r="F16" s="3">
        <v>11555.14</v>
      </c>
      <c r="G16" s="3">
        <v>11555.14</v>
      </c>
    </row>
    <row r="17" spans="1:7" x14ac:dyDescent="0.2">
      <c r="A17" s="3" t="s">
        <v>1069</v>
      </c>
      <c r="B17" s="4">
        <v>44316</v>
      </c>
      <c r="C17" s="3" t="s">
        <v>1168</v>
      </c>
      <c r="D17" s="3" t="s">
        <v>1169</v>
      </c>
      <c r="E17" s="3" t="s">
        <v>1079</v>
      </c>
      <c r="F17" s="3">
        <v>0</v>
      </c>
      <c r="G17" s="3">
        <v>5750</v>
      </c>
    </row>
    <row r="18" spans="1:7" x14ac:dyDescent="0.2">
      <c r="A18" s="3" t="s">
        <v>1069</v>
      </c>
      <c r="B18" s="4">
        <v>44316</v>
      </c>
      <c r="C18" s="3" t="s">
        <v>1168</v>
      </c>
      <c r="D18" s="3" t="s">
        <v>1195</v>
      </c>
      <c r="E18" s="3" t="s">
        <v>1085</v>
      </c>
      <c r="F18" s="3">
        <v>140.21</v>
      </c>
      <c r="G18" s="3">
        <v>140.21</v>
      </c>
    </row>
    <row r="19" spans="1:7" x14ac:dyDescent="0.2">
      <c r="A19" s="3" t="s">
        <v>1069</v>
      </c>
      <c r="B19" s="4">
        <v>44316</v>
      </c>
      <c r="C19" s="3" t="s">
        <v>1168</v>
      </c>
      <c r="D19" s="3" t="s">
        <v>1196</v>
      </c>
      <c r="E19" s="3" t="s">
        <v>1131</v>
      </c>
      <c r="F19" s="3">
        <v>250</v>
      </c>
      <c r="G19" s="3">
        <v>250</v>
      </c>
    </row>
    <row r="20" spans="1:7" x14ac:dyDescent="0.2">
      <c r="A20" s="3" t="s">
        <v>1069</v>
      </c>
      <c r="B20" s="4">
        <v>44316</v>
      </c>
      <c r="C20" s="3" t="s">
        <v>1168</v>
      </c>
      <c r="D20" s="3" t="s">
        <v>1170</v>
      </c>
      <c r="E20" s="3" t="s">
        <v>1171</v>
      </c>
      <c r="F20" s="3">
        <v>0</v>
      </c>
      <c r="G20" s="3">
        <v>100</v>
      </c>
    </row>
    <row r="21" spans="1:7" x14ac:dyDescent="0.2">
      <c r="A21" s="3" t="s">
        <v>1069</v>
      </c>
      <c r="B21" s="4">
        <v>44316</v>
      </c>
      <c r="C21" s="3" t="s">
        <v>1172</v>
      </c>
      <c r="D21" s="3" t="s">
        <v>1173</v>
      </c>
      <c r="E21" s="3" t="s">
        <v>1174</v>
      </c>
      <c r="F21" s="3">
        <v>0</v>
      </c>
      <c r="G21" s="3">
        <v>-100</v>
      </c>
    </row>
    <row r="22" spans="1:7" x14ac:dyDescent="0.2">
      <c r="A22" s="3" t="s">
        <v>1069</v>
      </c>
      <c r="B22" s="4">
        <v>44316</v>
      </c>
      <c r="C22" s="3" t="s">
        <v>1175</v>
      </c>
      <c r="D22" s="3" t="s">
        <v>1176</v>
      </c>
      <c r="E22" s="3" t="s">
        <v>1177</v>
      </c>
      <c r="F22" s="3">
        <v>-15250</v>
      </c>
      <c r="G22" s="3">
        <v>-315250</v>
      </c>
    </row>
    <row r="23" spans="1:7" x14ac:dyDescent="0.2">
      <c r="A23" s="3" t="s">
        <v>1069</v>
      </c>
      <c r="B23" s="4">
        <v>44316</v>
      </c>
      <c r="C23" s="3" t="s">
        <v>1175</v>
      </c>
      <c r="D23" s="3" t="s">
        <v>1178</v>
      </c>
      <c r="E23" s="3" t="s">
        <v>1179</v>
      </c>
      <c r="F23" s="3">
        <v>0</v>
      </c>
      <c r="G23" s="3">
        <v>30000</v>
      </c>
    </row>
    <row r="24" spans="1:7" x14ac:dyDescent="0.2">
      <c r="A24" s="3" t="s">
        <v>1069</v>
      </c>
      <c r="B24" s="4">
        <v>44316</v>
      </c>
      <c r="C24" s="3" t="s">
        <v>1180</v>
      </c>
      <c r="D24" s="3" t="s">
        <v>1197</v>
      </c>
      <c r="E24" s="3" t="s">
        <v>1198</v>
      </c>
      <c r="F24" s="3">
        <v>20000</v>
      </c>
      <c r="G24" s="3">
        <v>20000</v>
      </c>
    </row>
    <row r="25" spans="1:7" x14ac:dyDescent="0.2">
      <c r="A25" s="3" t="s">
        <v>1069</v>
      </c>
      <c r="B25" s="4">
        <v>44316</v>
      </c>
      <c r="C25" s="3" t="s">
        <v>1180</v>
      </c>
      <c r="D25" s="3" t="s">
        <v>1181</v>
      </c>
      <c r="E25" s="3" t="s">
        <v>1182</v>
      </c>
      <c r="F25" s="3">
        <v>0</v>
      </c>
      <c r="G25" s="3">
        <v>54000</v>
      </c>
    </row>
    <row r="26" spans="1:7" x14ac:dyDescent="0.2">
      <c r="A26" s="3" t="s">
        <v>1069</v>
      </c>
      <c r="B26" s="4">
        <v>44316</v>
      </c>
      <c r="C26" s="3" t="s">
        <v>1180</v>
      </c>
      <c r="D26" s="3" t="s">
        <v>1199</v>
      </c>
      <c r="E26" s="3" t="s">
        <v>1200</v>
      </c>
      <c r="F26" s="3">
        <v>39000</v>
      </c>
      <c r="G26" s="3">
        <v>39000</v>
      </c>
    </row>
    <row r="27" spans="1:7" x14ac:dyDescent="0.2">
      <c r="A27" s="3" t="s">
        <v>1069</v>
      </c>
      <c r="B27" s="4">
        <v>44316</v>
      </c>
      <c r="C27" s="3" t="s">
        <v>1180</v>
      </c>
      <c r="D27" s="3" t="s">
        <v>1183</v>
      </c>
      <c r="E27" s="3" t="s">
        <v>1184</v>
      </c>
      <c r="F27" s="3">
        <v>0</v>
      </c>
      <c r="G27" s="3">
        <v>23034.26</v>
      </c>
    </row>
    <row r="28" spans="1:7" x14ac:dyDescent="0.2">
      <c r="A28" s="3" t="s">
        <v>1069</v>
      </c>
      <c r="B28" s="4">
        <v>44316</v>
      </c>
      <c r="C28" s="3" t="s">
        <v>1180</v>
      </c>
      <c r="D28" s="3" t="s">
        <v>1185</v>
      </c>
      <c r="E28" s="3" t="s">
        <v>1186</v>
      </c>
      <c r="F28" s="3">
        <v>0</v>
      </c>
      <c r="G28" s="3">
        <v>200000</v>
      </c>
    </row>
    <row r="29" spans="1:7" x14ac:dyDescent="0.2">
      <c r="A29" s="3" t="s">
        <v>1069</v>
      </c>
      <c r="B29" s="4">
        <v>44316</v>
      </c>
      <c r="C29" s="3" t="s">
        <v>1180</v>
      </c>
      <c r="D29" s="3" t="s">
        <v>1187</v>
      </c>
      <c r="E29" s="3" t="s">
        <v>1188</v>
      </c>
      <c r="F29" s="3">
        <v>484.79</v>
      </c>
      <c r="G29" s="3">
        <v>8384.7900000000009</v>
      </c>
    </row>
    <row r="30" spans="1:7" x14ac:dyDescent="0.2">
      <c r="A30" s="3" t="s">
        <v>1069</v>
      </c>
      <c r="B30" s="4">
        <v>44316</v>
      </c>
      <c r="C30" s="3" t="s">
        <v>1180</v>
      </c>
      <c r="D30" s="3" t="s">
        <v>1189</v>
      </c>
      <c r="E30" s="3" t="s">
        <v>1190</v>
      </c>
      <c r="F30" s="3">
        <v>2788000</v>
      </c>
      <c r="G30" s="3">
        <v>28293236.609999999</v>
      </c>
    </row>
    <row r="31" spans="1:7" x14ac:dyDescent="0.2">
      <c r="A31" s="3" t="s">
        <v>1069</v>
      </c>
      <c r="B31" s="4">
        <v>44316</v>
      </c>
      <c r="C31" s="3" t="s">
        <v>1175</v>
      </c>
      <c r="D31" s="3" t="s">
        <v>1191</v>
      </c>
      <c r="E31" s="3" t="s">
        <v>1192</v>
      </c>
      <c r="F31" s="3">
        <v>-2841475</v>
      </c>
      <c r="G31" s="3">
        <v>-28378951.010000002</v>
      </c>
    </row>
    <row r="32" spans="1:7" x14ac:dyDescent="0.2">
      <c r="A32" s="3" t="s">
        <v>1069</v>
      </c>
      <c r="B32" s="4">
        <v>44316</v>
      </c>
      <c r="C32" s="3" t="s">
        <v>1175</v>
      </c>
      <c r="D32" s="3" t="s">
        <v>1193</v>
      </c>
      <c r="E32" s="3" t="s">
        <v>1194</v>
      </c>
      <c r="F32" s="3">
        <v>8850</v>
      </c>
      <c r="G32" s="3">
        <v>20405.14</v>
      </c>
    </row>
    <row r="33" spans="1:7" x14ac:dyDescent="0.2">
      <c r="A33" s="3" t="s">
        <v>1069</v>
      </c>
      <c r="B33" s="4">
        <v>44347</v>
      </c>
      <c r="C33" s="3" t="s">
        <v>1168</v>
      </c>
      <c r="D33" s="3" t="s">
        <v>1169</v>
      </c>
      <c r="E33" s="3" t="s">
        <v>1079</v>
      </c>
      <c r="F33" s="3">
        <v>0</v>
      </c>
      <c r="G33" s="3">
        <v>5750</v>
      </c>
    </row>
    <row r="34" spans="1:7" x14ac:dyDescent="0.2">
      <c r="A34" s="3" t="s">
        <v>1069</v>
      </c>
      <c r="B34" s="4">
        <v>44347</v>
      </c>
      <c r="C34" s="3" t="s">
        <v>1168</v>
      </c>
      <c r="D34" s="3" t="s">
        <v>1195</v>
      </c>
      <c r="E34" s="3" t="s">
        <v>1085</v>
      </c>
      <c r="F34" s="3">
        <v>116.5</v>
      </c>
      <c r="G34" s="3">
        <v>256.70999999999998</v>
      </c>
    </row>
    <row r="35" spans="1:7" x14ac:dyDescent="0.2">
      <c r="A35" s="3" t="s">
        <v>1069</v>
      </c>
      <c r="B35" s="4">
        <v>44347</v>
      </c>
      <c r="C35" s="3" t="s">
        <v>1168</v>
      </c>
      <c r="D35" s="3" t="s">
        <v>1196</v>
      </c>
      <c r="E35" s="3" t="s">
        <v>1131</v>
      </c>
      <c r="F35" s="3">
        <v>0</v>
      </c>
      <c r="G35" s="3">
        <v>250</v>
      </c>
    </row>
    <row r="36" spans="1:7" x14ac:dyDescent="0.2">
      <c r="A36" s="3" t="s">
        <v>1069</v>
      </c>
      <c r="B36" s="4">
        <v>44347</v>
      </c>
      <c r="C36" s="3" t="s">
        <v>1168</v>
      </c>
      <c r="D36" s="3" t="s">
        <v>1201</v>
      </c>
      <c r="E36" s="3" t="s">
        <v>1112</v>
      </c>
      <c r="F36" s="3">
        <v>765</v>
      </c>
      <c r="G36" s="3">
        <v>765</v>
      </c>
    </row>
    <row r="37" spans="1:7" x14ac:dyDescent="0.2">
      <c r="A37" s="3" t="s">
        <v>1069</v>
      </c>
      <c r="B37" s="4">
        <v>44347</v>
      </c>
      <c r="C37" s="3" t="s">
        <v>1168</v>
      </c>
      <c r="D37" s="3" t="s">
        <v>1170</v>
      </c>
      <c r="E37" s="3" t="s">
        <v>1171</v>
      </c>
      <c r="F37" s="3">
        <v>0</v>
      </c>
      <c r="G37" s="3">
        <v>100</v>
      </c>
    </row>
    <row r="38" spans="1:7" x14ac:dyDescent="0.2">
      <c r="A38" s="3" t="s">
        <v>1069</v>
      </c>
      <c r="B38" s="4">
        <v>44347</v>
      </c>
      <c r="C38" s="3" t="s">
        <v>1172</v>
      </c>
      <c r="D38" s="3" t="s">
        <v>1173</v>
      </c>
      <c r="E38" s="3" t="s">
        <v>1174</v>
      </c>
      <c r="F38" s="3">
        <v>0</v>
      </c>
      <c r="G38" s="3">
        <v>-100</v>
      </c>
    </row>
    <row r="39" spans="1:7" x14ac:dyDescent="0.2">
      <c r="A39" s="3" t="s">
        <v>1069</v>
      </c>
      <c r="B39" s="4">
        <v>44347</v>
      </c>
      <c r="C39" s="3" t="s">
        <v>1175</v>
      </c>
      <c r="D39" s="3" t="s">
        <v>1176</v>
      </c>
      <c r="E39" s="3" t="s">
        <v>1177</v>
      </c>
      <c r="F39" s="3">
        <v>0</v>
      </c>
      <c r="G39" s="3">
        <v>-315250</v>
      </c>
    </row>
    <row r="40" spans="1:7" x14ac:dyDescent="0.2">
      <c r="A40" s="3" t="s">
        <v>1069</v>
      </c>
      <c r="B40" s="4">
        <v>44347</v>
      </c>
      <c r="C40" s="3" t="s">
        <v>1175</v>
      </c>
      <c r="D40" s="3" t="s">
        <v>1178</v>
      </c>
      <c r="E40" s="3" t="s">
        <v>1179</v>
      </c>
      <c r="F40" s="3">
        <v>0</v>
      </c>
      <c r="G40" s="3">
        <v>30000</v>
      </c>
    </row>
    <row r="41" spans="1:7" x14ac:dyDescent="0.2">
      <c r="A41" s="3" t="s">
        <v>1069</v>
      </c>
      <c r="B41" s="4">
        <v>44347</v>
      </c>
      <c r="C41" s="3" t="s">
        <v>1180</v>
      </c>
      <c r="D41" s="3" t="s">
        <v>1197</v>
      </c>
      <c r="E41" s="3" t="s">
        <v>1198</v>
      </c>
      <c r="F41" s="3">
        <v>0</v>
      </c>
      <c r="G41" s="3">
        <v>20000</v>
      </c>
    </row>
    <row r="42" spans="1:7" x14ac:dyDescent="0.2">
      <c r="A42" s="3" t="s">
        <v>1069</v>
      </c>
      <c r="B42" s="4">
        <v>44347</v>
      </c>
      <c r="C42" s="3" t="s">
        <v>1180</v>
      </c>
      <c r="D42" s="3" t="s">
        <v>1181</v>
      </c>
      <c r="E42" s="3" t="s">
        <v>1182</v>
      </c>
      <c r="F42" s="3">
        <v>0</v>
      </c>
      <c r="G42" s="3">
        <v>54000</v>
      </c>
    </row>
    <row r="43" spans="1:7" x14ac:dyDescent="0.2">
      <c r="A43" s="3" t="s">
        <v>1069</v>
      </c>
      <c r="B43" s="4">
        <v>44347</v>
      </c>
      <c r="C43" s="3" t="s">
        <v>1180</v>
      </c>
      <c r="D43" s="3" t="s">
        <v>1202</v>
      </c>
      <c r="E43" s="3" t="s">
        <v>1203</v>
      </c>
      <c r="F43" s="3">
        <v>4510</v>
      </c>
      <c r="G43" s="3">
        <v>4510</v>
      </c>
    </row>
    <row r="44" spans="1:7" x14ac:dyDescent="0.2">
      <c r="A44" s="3" t="s">
        <v>1069</v>
      </c>
      <c r="B44" s="4">
        <v>44347</v>
      </c>
      <c r="C44" s="3" t="s">
        <v>1180</v>
      </c>
      <c r="D44" s="3" t="s">
        <v>1204</v>
      </c>
      <c r="E44" s="3" t="s">
        <v>1205</v>
      </c>
      <c r="F44" s="3">
        <v>7500</v>
      </c>
      <c r="G44" s="3">
        <v>7500</v>
      </c>
    </row>
    <row r="45" spans="1:7" x14ac:dyDescent="0.2">
      <c r="A45" s="3" t="s">
        <v>1069</v>
      </c>
      <c r="B45" s="4">
        <v>44347</v>
      </c>
      <c r="C45" s="3" t="s">
        <v>1180</v>
      </c>
      <c r="D45" s="3" t="s">
        <v>1199</v>
      </c>
      <c r="E45" s="3" t="s">
        <v>1200</v>
      </c>
      <c r="F45" s="3">
        <v>0</v>
      </c>
      <c r="G45" s="3">
        <v>39000</v>
      </c>
    </row>
    <row r="46" spans="1:7" x14ac:dyDescent="0.2">
      <c r="A46" s="3" t="s">
        <v>1069</v>
      </c>
      <c r="B46" s="4">
        <v>44347</v>
      </c>
      <c r="C46" s="3" t="s">
        <v>1180</v>
      </c>
      <c r="D46" s="3" t="s">
        <v>1183</v>
      </c>
      <c r="E46" s="3" t="s">
        <v>1184</v>
      </c>
      <c r="F46" s="3">
        <v>0</v>
      </c>
      <c r="G46" s="3">
        <v>23034.26</v>
      </c>
    </row>
    <row r="47" spans="1:7" x14ac:dyDescent="0.2">
      <c r="A47" s="3" t="s">
        <v>1069</v>
      </c>
      <c r="B47" s="4">
        <v>44347</v>
      </c>
      <c r="C47" s="3" t="s">
        <v>1180</v>
      </c>
      <c r="D47" s="3" t="s">
        <v>1206</v>
      </c>
      <c r="E47" s="3" t="s">
        <v>1207</v>
      </c>
      <c r="F47" s="3">
        <v>123150</v>
      </c>
      <c r="G47" s="3">
        <v>123150</v>
      </c>
    </row>
    <row r="48" spans="1:7" x14ac:dyDescent="0.2">
      <c r="A48" s="3" t="s">
        <v>1069</v>
      </c>
      <c r="B48" s="4">
        <v>44347</v>
      </c>
      <c r="C48" s="3" t="s">
        <v>1180</v>
      </c>
      <c r="D48" s="3" t="s">
        <v>1208</v>
      </c>
      <c r="E48" s="3" t="s">
        <v>1209</v>
      </c>
      <c r="F48" s="3">
        <v>45000</v>
      </c>
      <c r="G48" s="3">
        <v>45000</v>
      </c>
    </row>
    <row r="49" spans="1:7" x14ac:dyDescent="0.2">
      <c r="A49" s="3" t="s">
        <v>1069</v>
      </c>
      <c r="B49" s="4">
        <v>44347</v>
      </c>
      <c r="C49" s="3" t="s">
        <v>1180</v>
      </c>
      <c r="D49" s="3" t="s">
        <v>1185</v>
      </c>
      <c r="E49" s="3" t="s">
        <v>1186</v>
      </c>
      <c r="F49" s="3">
        <v>0</v>
      </c>
      <c r="G49" s="3">
        <v>200000</v>
      </c>
    </row>
    <row r="50" spans="1:7" x14ac:dyDescent="0.2">
      <c r="A50" s="3" t="s">
        <v>1069</v>
      </c>
      <c r="B50" s="4">
        <v>44347</v>
      </c>
      <c r="C50" s="3" t="s">
        <v>1180</v>
      </c>
      <c r="D50" s="3" t="s">
        <v>1187</v>
      </c>
      <c r="E50" s="3" t="s">
        <v>1188</v>
      </c>
      <c r="F50" s="3">
        <v>-133.97</v>
      </c>
      <c r="G50" s="3">
        <v>8250.82</v>
      </c>
    </row>
    <row r="51" spans="1:7" x14ac:dyDescent="0.2">
      <c r="A51" s="3" t="s">
        <v>1069</v>
      </c>
      <c r="B51" s="4">
        <v>44347</v>
      </c>
      <c r="C51" s="3" t="s">
        <v>1180</v>
      </c>
      <c r="D51" s="3" t="s">
        <v>1189</v>
      </c>
      <c r="E51" s="3" t="s">
        <v>1190</v>
      </c>
      <c r="F51" s="3">
        <v>1100100</v>
      </c>
      <c r="G51" s="3">
        <v>29393336.609999999</v>
      </c>
    </row>
    <row r="52" spans="1:7" x14ac:dyDescent="0.2">
      <c r="A52" s="3" t="s">
        <v>1069</v>
      </c>
      <c r="B52" s="4">
        <v>44347</v>
      </c>
      <c r="C52" s="3" t="s">
        <v>1175</v>
      </c>
      <c r="D52" s="3" t="s">
        <v>1191</v>
      </c>
      <c r="E52" s="3" t="s">
        <v>1192</v>
      </c>
      <c r="F52" s="3">
        <v>-1288451.5</v>
      </c>
      <c r="G52" s="3">
        <v>-29667402.510000002</v>
      </c>
    </row>
    <row r="53" spans="1:7" x14ac:dyDescent="0.2">
      <c r="A53" s="3" t="s">
        <v>1069</v>
      </c>
      <c r="B53" s="4">
        <v>44347</v>
      </c>
      <c r="C53" s="3" t="s">
        <v>1175</v>
      </c>
      <c r="D53" s="3" t="s">
        <v>1193</v>
      </c>
      <c r="E53" s="3" t="s">
        <v>1194</v>
      </c>
      <c r="F53" s="3">
        <v>7443.97</v>
      </c>
      <c r="G53" s="3">
        <v>27849.11</v>
      </c>
    </row>
    <row r="54" spans="1:7" x14ac:dyDescent="0.2">
      <c r="A54" s="3" t="s">
        <v>1069</v>
      </c>
      <c r="B54" s="4">
        <v>44377</v>
      </c>
      <c r="C54" s="3" t="s">
        <v>1210</v>
      </c>
      <c r="D54" s="3" t="s">
        <v>1211</v>
      </c>
      <c r="E54" s="3" t="s">
        <v>1212</v>
      </c>
      <c r="F54" s="3">
        <v>-1245</v>
      </c>
      <c r="G54" s="3">
        <v>-1245</v>
      </c>
    </row>
    <row r="55" spans="1:7" x14ac:dyDescent="0.2">
      <c r="A55" s="3" t="s">
        <v>1069</v>
      </c>
      <c r="B55" s="4">
        <v>44377</v>
      </c>
      <c r="C55" s="3" t="s">
        <v>1168</v>
      </c>
      <c r="D55" s="3" t="s">
        <v>1169</v>
      </c>
      <c r="E55" s="3" t="s">
        <v>1079</v>
      </c>
      <c r="F55" s="3">
        <v>0</v>
      </c>
      <c r="G55" s="3">
        <v>5750</v>
      </c>
    </row>
    <row r="56" spans="1:7" x14ac:dyDescent="0.2">
      <c r="A56" s="3" t="s">
        <v>1069</v>
      </c>
      <c r="B56" s="4">
        <v>44377</v>
      </c>
      <c r="C56" s="3" t="s">
        <v>1168</v>
      </c>
      <c r="D56" s="3" t="s">
        <v>1195</v>
      </c>
      <c r="E56" s="3" t="s">
        <v>1085</v>
      </c>
      <c r="F56" s="3">
        <v>758.04</v>
      </c>
      <c r="G56" s="3">
        <v>1014.75</v>
      </c>
    </row>
    <row r="57" spans="1:7" x14ac:dyDescent="0.2">
      <c r="A57" s="3" t="s">
        <v>1069</v>
      </c>
      <c r="B57" s="4">
        <v>44377</v>
      </c>
      <c r="C57" s="3" t="s">
        <v>1168</v>
      </c>
      <c r="D57" s="3" t="s">
        <v>1196</v>
      </c>
      <c r="E57" s="3" t="s">
        <v>1131</v>
      </c>
      <c r="F57" s="3">
        <v>0</v>
      </c>
      <c r="G57" s="3">
        <v>250</v>
      </c>
    </row>
    <row r="58" spans="1:7" x14ac:dyDescent="0.2">
      <c r="A58" s="3" t="s">
        <v>1069</v>
      </c>
      <c r="B58" s="4">
        <v>44377</v>
      </c>
      <c r="C58" s="3" t="s">
        <v>1168</v>
      </c>
      <c r="D58" s="3" t="s">
        <v>1201</v>
      </c>
      <c r="E58" s="3" t="s">
        <v>1112</v>
      </c>
      <c r="F58" s="3">
        <v>0</v>
      </c>
      <c r="G58" s="3">
        <v>765</v>
      </c>
    </row>
    <row r="59" spans="1:7" x14ac:dyDescent="0.2">
      <c r="A59" s="3" t="s">
        <v>1069</v>
      </c>
      <c r="B59" s="4">
        <v>44377</v>
      </c>
      <c r="C59" s="3" t="s">
        <v>1168</v>
      </c>
      <c r="D59" s="3" t="s">
        <v>1170</v>
      </c>
      <c r="E59" s="3" t="s">
        <v>1171</v>
      </c>
      <c r="F59" s="3">
        <v>2000</v>
      </c>
      <c r="G59" s="3">
        <v>2100</v>
      </c>
    </row>
    <row r="60" spans="1:7" x14ac:dyDescent="0.2">
      <c r="A60" s="3" t="s">
        <v>1069</v>
      </c>
      <c r="B60" s="4">
        <v>44377</v>
      </c>
      <c r="C60" s="3" t="s">
        <v>1168</v>
      </c>
      <c r="D60" s="3" t="s">
        <v>1213</v>
      </c>
      <c r="E60" s="3" t="s">
        <v>1150</v>
      </c>
      <c r="F60" s="3">
        <v>1078.97</v>
      </c>
      <c r="G60" s="3">
        <v>1078.97</v>
      </c>
    </row>
    <row r="61" spans="1:7" x14ac:dyDescent="0.2">
      <c r="A61" s="3" t="s">
        <v>1069</v>
      </c>
      <c r="B61" s="4">
        <v>44377</v>
      </c>
      <c r="C61" s="3" t="s">
        <v>1172</v>
      </c>
      <c r="D61" s="3" t="s">
        <v>1173</v>
      </c>
      <c r="E61" s="3" t="s">
        <v>1174</v>
      </c>
      <c r="F61" s="3">
        <v>0</v>
      </c>
      <c r="G61" s="3">
        <v>-100</v>
      </c>
    </row>
    <row r="62" spans="1:7" x14ac:dyDescent="0.2">
      <c r="A62" s="3" t="s">
        <v>1069</v>
      </c>
      <c r="B62" s="4">
        <v>44377</v>
      </c>
      <c r="C62" s="3" t="s">
        <v>1175</v>
      </c>
      <c r="D62" s="3" t="s">
        <v>1176</v>
      </c>
      <c r="E62" s="3" t="s">
        <v>1177</v>
      </c>
      <c r="F62" s="3">
        <v>200000</v>
      </c>
      <c r="G62" s="3">
        <v>-115250</v>
      </c>
    </row>
    <row r="63" spans="1:7" x14ac:dyDescent="0.2">
      <c r="A63" s="3" t="s">
        <v>1069</v>
      </c>
      <c r="B63" s="4">
        <v>44377</v>
      </c>
      <c r="C63" s="3" t="s">
        <v>1175</v>
      </c>
      <c r="D63" s="3" t="s">
        <v>1178</v>
      </c>
      <c r="E63" s="3" t="s">
        <v>1179</v>
      </c>
      <c r="F63" s="3">
        <v>0</v>
      </c>
      <c r="G63" s="3">
        <v>30000</v>
      </c>
    </row>
    <row r="64" spans="1:7" x14ac:dyDescent="0.2">
      <c r="A64" s="3" t="s">
        <v>1069</v>
      </c>
      <c r="B64" s="4">
        <v>44377</v>
      </c>
      <c r="C64" s="3" t="s">
        <v>1180</v>
      </c>
      <c r="D64" s="3" t="s">
        <v>1214</v>
      </c>
      <c r="E64" s="3" t="s">
        <v>1215</v>
      </c>
      <c r="F64" s="3">
        <v>26200000</v>
      </c>
      <c r="G64" s="3">
        <v>26200000</v>
      </c>
    </row>
    <row r="65" spans="1:7" x14ac:dyDescent="0.2">
      <c r="A65" s="3" t="s">
        <v>1069</v>
      </c>
      <c r="B65" s="4">
        <v>44377</v>
      </c>
      <c r="C65" s="3" t="s">
        <v>1180</v>
      </c>
      <c r="D65" s="3" t="s">
        <v>1216</v>
      </c>
      <c r="E65" s="3" t="s">
        <v>1217</v>
      </c>
      <c r="F65" s="3">
        <v>68427</v>
      </c>
      <c r="G65" s="3">
        <v>68427</v>
      </c>
    </row>
    <row r="66" spans="1:7" x14ac:dyDescent="0.2">
      <c r="A66" s="3" t="s">
        <v>1069</v>
      </c>
      <c r="B66" s="4">
        <v>44377</v>
      </c>
      <c r="C66" s="3" t="s">
        <v>1180</v>
      </c>
      <c r="D66" s="3" t="s">
        <v>1218</v>
      </c>
      <c r="E66" s="3" t="s">
        <v>1219</v>
      </c>
      <c r="F66" s="3">
        <v>103812</v>
      </c>
      <c r="G66" s="3">
        <v>103812</v>
      </c>
    </row>
    <row r="67" spans="1:7" x14ac:dyDescent="0.2">
      <c r="A67" s="3" t="s">
        <v>1069</v>
      </c>
      <c r="B67" s="4">
        <v>44377</v>
      </c>
      <c r="C67" s="3" t="s">
        <v>1180</v>
      </c>
      <c r="D67" s="3" t="s">
        <v>1197</v>
      </c>
      <c r="E67" s="3" t="s">
        <v>1198</v>
      </c>
      <c r="F67" s="3">
        <v>100000</v>
      </c>
      <c r="G67" s="3">
        <v>120000</v>
      </c>
    </row>
    <row r="68" spans="1:7" x14ac:dyDescent="0.2">
      <c r="A68" s="3" t="s">
        <v>1069</v>
      </c>
      <c r="B68" s="4">
        <v>44377</v>
      </c>
      <c r="C68" s="3" t="s">
        <v>1180</v>
      </c>
      <c r="D68" s="3" t="s">
        <v>1181</v>
      </c>
      <c r="E68" s="3" t="s">
        <v>1182</v>
      </c>
      <c r="F68" s="3">
        <v>273000</v>
      </c>
      <c r="G68" s="3">
        <v>327000</v>
      </c>
    </row>
    <row r="69" spans="1:7" x14ac:dyDescent="0.2">
      <c r="A69" s="3" t="s">
        <v>1069</v>
      </c>
      <c r="B69" s="4">
        <v>44377</v>
      </c>
      <c r="C69" s="3" t="s">
        <v>1180</v>
      </c>
      <c r="D69" s="3" t="s">
        <v>1202</v>
      </c>
      <c r="E69" s="3" t="s">
        <v>1203</v>
      </c>
      <c r="F69" s="3">
        <v>0</v>
      </c>
      <c r="G69" s="3">
        <v>4510</v>
      </c>
    </row>
    <row r="70" spans="1:7" x14ac:dyDescent="0.2">
      <c r="A70" s="3" t="s">
        <v>1069</v>
      </c>
      <c r="B70" s="4">
        <v>44377</v>
      </c>
      <c r="C70" s="3" t="s">
        <v>1180</v>
      </c>
      <c r="D70" s="3" t="s">
        <v>1204</v>
      </c>
      <c r="E70" s="3" t="s">
        <v>1205</v>
      </c>
      <c r="F70" s="3">
        <v>0</v>
      </c>
      <c r="G70" s="3">
        <v>7500</v>
      </c>
    </row>
    <row r="71" spans="1:7" x14ac:dyDescent="0.2">
      <c r="A71" s="3" t="s">
        <v>1069</v>
      </c>
      <c r="B71" s="4">
        <v>44377</v>
      </c>
      <c r="C71" s="3" t="s">
        <v>1180</v>
      </c>
      <c r="D71" s="3" t="s">
        <v>1199</v>
      </c>
      <c r="E71" s="3" t="s">
        <v>1200</v>
      </c>
      <c r="F71" s="3">
        <v>0</v>
      </c>
      <c r="G71" s="3">
        <v>39000</v>
      </c>
    </row>
    <row r="72" spans="1:7" x14ac:dyDescent="0.2">
      <c r="A72" s="3" t="s">
        <v>1069</v>
      </c>
      <c r="B72" s="4">
        <v>44377</v>
      </c>
      <c r="C72" s="3" t="s">
        <v>1180</v>
      </c>
      <c r="D72" s="3" t="s">
        <v>1220</v>
      </c>
      <c r="E72" s="3" t="s">
        <v>1221</v>
      </c>
      <c r="F72" s="3">
        <v>15175</v>
      </c>
      <c r="G72" s="3">
        <v>15175</v>
      </c>
    </row>
    <row r="73" spans="1:7" x14ac:dyDescent="0.2">
      <c r="A73" s="3" t="s">
        <v>1069</v>
      </c>
      <c r="B73" s="4">
        <v>44377</v>
      </c>
      <c r="C73" s="3" t="s">
        <v>1180</v>
      </c>
      <c r="D73" s="3" t="s">
        <v>1183</v>
      </c>
      <c r="E73" s="3" t="s">
        <v>1184</v>
      </c>
      <c r="F73" s="3">
        <v>0</v>
      </c>
      <c r="G73" s="3">
        <v>23034.26</v>
      </c>
    </row>
    <row r="74" spans="1:7" x14ac:dyDescent="0.2">
      <c r="A74" s="3" t="s">
        <v>1069</v>
      </c>
      <c r="B74" s="4">
        <v>44377</v>
      </c>
      <c r="C74" s="3" t="s">
        <v>1180</v>
      </c>
      <c r="D74" s="3" t="s">
        <v>1222</v>
      </c>
      <c r="E74" s="3" t="s">
        <v>1223</v>
      </c>
      <c r="F74" s="3">
        <v>1363107.22</v>
      </c>
      <c r="G74" s="3">
        <v>1363107.22</v>
      </c>
    </row>
    <row r="75" spans="1:7" x14ac:dyDescent="0.2">
      <c r="A75" s="3" t="s">
        <v>1069</v>
      </c>
      <c r="B75" s="4">
        <v>44377</v>
      </c>
      <c r="C75" s="3" t="s">
        <v>1180</v>
      </c>
      <c r="D75" s="3" t="s">
        <v>1206</v>
      </c>
      <c r="E75" s="3" t="s">
        <v>1207</v>
      </c>
      <c r="F75" s="3">
        <v>0</v>
      </c>
      <c r="G75" s="3">
        <v>123150</v>
      </c>
    </row>
    <row r="76" spans="1:7" x14ac:dyDescent="0.2">
      <c r="A76" s="3" t="s">
        <v>1069</v>
      </c>
      <c r="B76" s="4">
        <v>44377</v>
      </c>
      <c r="C76" s="3" t="s">
        <v>1180</v>
      </c>
      <c r="D76" s="3" t="s">
        <v>1208</v>
      </c>
      <c r="E76" s="3" t="s">
        <v>1209</v>
      </c>
      <c r="F76" s="3">
        <v>0</v>
      </c>
      <c r="G76" s="3">
        <v>45000</v>
      </c>
    </row>
    <row r="77" spans="1:7" x14ac:dyDescent="0.2">
      <c r="A77" s="3" t="s">
        <v>1069</v>
      </c>
      <c r="B77" s="4">
        <v>44377</v>
      </c>
      <c r="C77" s="3" t="s">
        <v>1180</v>
      </c>
      <c r="D77" s="3" t="s">
        <v>1185</v>
      </c>
      <c r="E77" s="3" t="s">
        <v>1186</v>
      </c>
      <c r="F77" s="3">
        <v>-200000</v>
      </c>
      <c r="G77" s="3">
        <v>0</v>
      </c>
    </row>
    <row r="78" spans="1:7" x14ac:dyDescent="0.2">
      <c r="A78" s="3" t="s">
        <v>1069</v>
      </c>
      <c r="B78" s="4">
        <v>44377</v>
      </c>
      <c r="C78" s="3" t="s">
        <v>1180</v>
      </c>
      <c r="D78" s="3" t="s">
        <v>1187</v>
      </c>
      <c r="E78" s="3" t="s">
        <v>1188</v>
      </c>
      <c r="F78" s="3">
        <v>119999.73</v>
      </c>
      <c r="G78" s="3">
        <v>128250.55</v>
      </c>
    </row>
    <row r="79" spans="1:7" x14ac:dyDescent="0.2">
      <c r="A79" s="3" t="s">
        <v>1069</v>
      </c>
      <c r="B79" s="4">
        <v>44377</v>
      </c>
      <c r="C79" s="3" t="s">
        <v>1180</v>
      </c>
      <c r="D79" s="3" t="s">
        <v>1189</v>
      </c>
      <c r="E79" s="3" t="s">
        <v>1190</v>
      </c>
      <c r="F79" s="3">
        <v>-26644599.140000001</v>
      </c>
      <c r="G79" s="3">
        <v>2748737.47</v>
      </c>
    </row>
    <row r="80" spans="1:7" x14ac:dyDescent="0.2">
      <c r="A80" s="3" t="s">
        <v>1069</v>
      </c>
      <c r="B80" s="4">
        <v>44377</v>
      </c>
      <c r="C80" s="3" t="s">
        <v>1175</v>
      </c>
      <c r="D80" s="3" t="s">
        <v>1191</v>
      </c>
      <c r="E80" s="3" t="s">
        <v>1192</v>
      </c>
      <c r="F80" s="3">
        <v>-4888314.41</v>
      </c>
      <c r="G80" s="3">
        <v>-34555716.920000002</v>
      </c>
    </row>
    <row r="81" spans="1:7" x14ac:dyDescent="0.2">
      <c r="A81" s="3" t="s">
        <v>1069</v>
      </c>
      <c r="B81" s="4">
        <v>44377</v>
      </c>
      <c r="C81" s="3" t="s">
        <v>1175</v>
      </c>
      <c r="D81" s="3" t="s">
        <v>1193</v>
      </c>
      <c r="E81" s="3" t="s">
        <v>1194</v>
      </c>
      <c r="F81" s="3">
        <v>3286800.59</v>
      </c>
      <c r="G81" s="3">
        <v>3314649.7</v>
      </c>
    </row>
    <row r="82" spans="1:7" x14ac:dyDescent="0.2">
      <c r="A82" s="3" t="s">
        <v>1069</v>
      </c>
      <c r="B82" s="4">
        <v>44408</v>
      </c>
      <c r="C82" s="3" t="s">
        <v>1210</v>
      </c>
      <c r="D82" s="3" t="s">
        <v>1211</v>
      </c>
      <c r="E82" s="3" t="s">
        <v>1212</v>
      </c>
      <c r="F82" s="3">
        <v>0</v>
      </c>
      <c r="G82" s="3">
        <v>-1245</v>
      </c>
    </row>
    <row r="83" spans="1:7" x14ac:dyDescent="0.2">
      <c r="A83" s="3" t="s">
        <v>1069</v>
      </c>
      <c r="B83" s="4">
        <v>44408</v>
      </c>
      <c r="C83" s="3" t="s">
        <v>1210</v>
      </c>
      <c r="D83" s="3" t="s">
        <v>1224</v>
      </c>
      <c r="E83" s="3" t="s">
        <v>1225</v>
      </c>
      <c r="F83" s="3">
        <v>-149149.4</v>
      </c>
      <c r="G83" s="3">
        <v>-149149.4</v>
      </c>
    </row>
    <row r="84" spans="1:7" x14ac:dyDescent="0.2">
      <c r="A84" s="3" t="s">
        <v>1069</v>
      </c>
      <c r="B84" s="4">
        <v>44408</v>
      </c>
      <c r="C84" s="3" t="s">
        <v>1168</v>
      </c>
      <c r="D84" s="3" t="s">
        <v>1226</v>
      </c>
      <c r="E84" s="3" t="s">
        <v>1126</v>
      </c>
      <c r="F84" s="3">
        <v>100</v>
      </c>
      <c r="G84" s="3">
        <v>100</v>
      </c>
    </row>
    <row r="85" spans="1:7" x14ac:dyDescent="0.2">
      <c r="A85" s="3" t="s">
        <v>1069</v>
      </c>
      <c r="B85" s="4">
        <v>44408</v>
      </c>
      <c r="C85" s="3" t="s">
        <v>1168</v>
      </c>
      <c r="D85" s="3" t="s">
        <v>1169</v>
      </c>
      <c r="E85" s="3" t="s">
        <v>1079</v>
      </c>
      <c r="F85" s="3">
        <v>0</v>
      </c>
      <c r="G85" s="3">
        <v>5750</v>
      </c>
    </row>
    <row r="86" spans="1:7" x14ac:dyDescent="0.2">
      <c r="A86" s="3" t="s">
        <v>1069</v>
      </c>
      <c r="B86" s="4">
        <v>44408</v>
      </c>
      <c r="C86" s="3" t="s">
        <v>1168</v>
      </c>
      <c r="D86" s="3" t="s">
        <v>1195</v>
      </c>
      <c r="E86" s="3" t="s">
        <v>1085</v>
      </c>
      <c r="F86" s="3">
        <v>162.02000000000001</v>
      </c>
      <c r="G86" s="3">
        <v>1176.77</v>
      </c>
    </row>
    <row r="87" spans="1:7" x14ac:dyDescent="0.2">
      <c r="A87" s="3" t="s">
        <v>1069</v>
      </c>
      <c r="B87" s="4">
        <v>44408</v>
      </c>
      <c r="C87" s="3" t="s">
        <v>1168</v>
      </c>
      <c r="D87" s="3" t="s">
        <v>1227</v>
      </c>
      <c r="E87" s="3" t="s">
        <v>1228</v>
      </c>
      <c r="F87" s="3">
        <v>3000</v>
      </c>
      <c r="G87" s="3">
        <v>3000</v>
      </c>
    </row>
    <row r="88" spans="1:7" x14ac:dyDescent="0.2">
      <c r="A88" s="3" t="s">
        <v>1069</v>
      </c>
      <c r="B88" s="4">
        <v>44408</v>
      </c>
      <c r="C88" s="3" t="s">
        <v>1168</v>
      </c>
      <c r="D88" s="3" t="s">
        <v>1229</v>
      </c>
      <c r="E88" s="3" t="s">
        <v>1136</v>
      </c>
      <c r="F88" s="3">
        <v>3259.25</v>
      </c>
      <c r="G88" s="3">
        <v>3259.25</v>
      </c>
    </row>
    <row r="89" spans="1:7" x14ac:dyDescent="0.2">
      <c r="A89" s="3" t="s">
        <v>1069</v>
      </c>
      <c r="B89" s="4">
        <v>44408</v>
      </c>
      <c r="C89" s="3" t="s">
        <v>1168</v>
      </c>
      <c r="D89" s="3" t="s">
        <v>1230</v>
      </c>
      <c r="E89" s="3" t="s">
        <v>1109</v>
      </c>
      <c r="F89" s="3">
        <v>173.86</v>
      </c>
      <c r="G89" s="3">
        <v>173.86</v>
      </c>
    </row>
    <row r="90" spans="1:7" x14ac:dyDescent="0.2">
      <c r="A90" s="3" t="s">
        <v>1069</v>
      </c>
      <c r="B90" s="4">
        <v>44408</v>
      </c>
      <c r="C90" s="3" t="s">
        <v>1168</v>
      </c>
      <c r="D90" s="3" t="s">
        <v>1196</v>
      </c>
      <c r="E90" s="3" t="s">
        <v>1131</v>
      </c>
      <c r="F90" s="3">
        <v>0</v>
      </c>
      <c r="G90" s="3">
        <v>250</v>
      </c>
    </row>
    <row r="91" spans="1:7" x14ac:dyDescent="0.2">
      <c r="A91" s="3" t="s">
        <v>1069</v>
      </c>
      <c r="B91" s="4">
        <v>44408</v>
      </c>
      <c r="C91" s="3" t="s">
        <v>1168</v>
      </c>
      <c r="D91" s="3" t="s">
        <v>1201</v>
      </c>
      <c r="E91" s="3" t="s">
        <v>1112</v>
      </c>
      <c r="F91" s="3">
        <v>0</v>
      </c>
      <c r="G91" s="3">
        <v>765</v>
      </c>
    </row>
    <row r="92" spans="1:7" x14ac:dyDescent="0.2">
      <c r="A92" s="3" t="s">
        <v>1069</v>
      </c>
      <c r="B92" s="4">
        <v>44408</v>
      </c>
      <c r="C92" s="3" t="s">
        <v>1168</v>
      </c>
      <c r="D92" s="3" t="s">
        <v>1231</v>
      </c>
      <c r="E92" s="3" t="s">
        <v>1070</v>
      </c>
      <c r="F92" s="3">
        <v>5505.37</v>
      </c>
      <c r="G92" s="3">
        <v>5505.37</v>
      </c>
    </row>
    <row r="93" spans="1:7" x14ac:dyDescent="0.2">
      <c r="A93" s="3" t="s">
        <v>1069</v>
      </c>
      <c r="B93" s="4">
        <v>44408</v>
      </c>
      <c r="C93" s="3" t="s">
        <v>1168</v>
      </c>
      <c r="D93" s="3" t="s">
        <v>1170</v>
      </c>
      <c r="E93" s="3" t="s">
        <v>1171</v>
      </c>
      <c r="F93" s="3">
        <v>0</v>
      </c>
      <c r="G93" s="3">
        <v>2100</v>
      </c>
    </row>
    <row r="94" spans="1:7" x14ac:dyDescent="0.2">
      <c r="A94" s="3" t="s">
        <v>1069</v>
      </c>
      <c r="B94" s="4">
        <v>44408</v>
      </c>
      <c r="C94" s="3" t="s">
        <v>1168</v>
      </c>
      <c r="D94" s="3" t="s">
        <v>1213</v>
      </c>
      <c r="E94" s="3" t="s">
        <v>1150</v>
      </c>
      <c r="F94" s="3">
        <v>430.43</v>
      </c>
      <c r="G94" s="3">
        <v>1509.4</v>
      </c>
    </row>
    <row r="95" spans="1:7" x14ac:dyDescent="0.2">
      <c r="A95" s="3" t="s">
        <v>1069</v>
      </c>
      <c r="B95" s="4">
        <v>44408</v>
      </c>
      <c r="C95" s="3" t="s">
        <v>1168</v>
      </c>
      <c r="D95" s="3" t="s">
        <v>1232</v>
      </c>
      <c r="E95" s="3" t="s">
        <v>1105</v>
      </c>
      <c r="F95" s="3">
        <v>550</v>
      </c>
      <c r="G95" s="3">
        <v>550</v>
      </c>
    </row>
    <row r="96" spans="1:7" x14ac:dyDescent="0.2">
      <c r="A96" s="3" t="s">
        <v>1069</v>
      </c>
      <c r="B96" s="4">
        <v>44408</v>
      </c>
      <c r="C96" s="3" t="s">
        <v>1172</v>
      </c>
      <c r="D96" s="3" t="s">
        <v>1173</v>
      </c>
      <c r="E96" s="3" t="s">
        <v>1174</v>
      </c>
      <c r="F96" s="3">
        <v>0</v>
      </c>
      <c r="G96" s="3">
        <v>-100</v>
      </c>
    </row>
    <row r="97" spans="1:7" x14ac:dyDescent="0.2">
      <c r="A97" s="3" t="s">
        <v>1069</v>
      </c>
      <c r="B97" s="4">
        <v>44408</v>
      </c>
      <c r="C97" s="3" t="s">
        <v>1175</v>
      </c>
      <c r="D97" s="3" t="s">
        <v>1176</v>
      </c>
      <c r="E97" s="3" t="s">
        <v>1177</v>
      </c>
      <c r="F97" s="3">
        <v>115250</v>
      </c>
      <c r="G97" s="3">
        <v>0</v>
      </c>
    </row>
    <row r="98" spans="1:7" x14ac:dyDescent="0.2">
      <c r="A98" s="3" t="s">
        <v>1069</v>
      </c>
      <c r="B98" s="4">
        <v>44408</v>
      </c>
      <c r="C98" s="3" t="s">
        <v>1175</v>
      </c>
      <c r="D98" s="3" t="s">
        <v>1178</v>
      </c>
      <c r="E98" s="3" t="s">
        <v>1179</v>
      </c>
      <c r="F98" s="3">
        <v>80000</v>
      </c>
      <c r="G98" s="3">
        <v>110000</v>
      </c>
    </row>
    <row r="99" spans="1:7" x14ac:dyDescent="0.2">
      <c r="A99" s="3" t="s">
        <v>1069</v>
      </c>
      <c r="B99" s="4">
        <v>44408</v>
      </c>
      <c r="C99" s="3" t="s">
        <v>1175</v>
      </c>
      <c r="D99" s="3" t="s">
        <v>1233</v>
      </c>
      <c r="E99" s="3" t="s">
        <v>1234</v>
      </c>
      <c r="F99" s="3">
        <v>-28000</v>
      </c>
      <c r="G99" s="3">
        <v>-28000</v>
      </c>
    </row>
    <row r="100" spans="1:7" x14ac:dyDescent="0.2">
      <c r="A100" s="3" t="s">
        <v>1069</v>
      </c>
      <c r="B100" s="4">
        <v>44408</v>
      </c>
      <c r="C100" s="3" t="s">
        <v>1180</v>
      </c>
      <c r="D100" s="3" t="s">
        <v>1214</v>
      </c>
      <c r="E100" s="3" t="s">
        <v>1215</v>
      </c>
      <c r="F100" s="3">
        <v>0</v>
      </c>
      <c r="G100" s="3">
        <v>26200000</v>
      </c>
    </row>
    <row r="101" spans="1:7" x14ac:dyDescent="0.2">
      <c r="A101" s="3" t="s">
        <v>1069</v>
      </c>
      <c r="B101" s="4">
        <v>44408</v>
      </c>
      <c r="C101" s="3" t="s">
        <v>1180</v>
      </c>
      <c r="D101" s="3" t="s">
        <v>1216</v>
      </c>
      <c r="E101" s="3" t="s">
        <v>1217</v>
      </c>
      <c r="F101" s="3">
        <v>0</v>
      </c>
      <c r="G101" s="3">
        <v>68427</v>
      </c>
    </row>
    <row r="102" spans="1:7" x14ac:dyDescent="0.2">
      <c r="A102" s="3" t="s">
        <v>1069</v>
      </c>
      <c r="B102" s="4">
        <v>44408</v>
      </c>
      <c r="C102" s="3" t="s">
        <v>1180</v>
      </c>
      <c r="D102" s="3" t="s">
        <v>1218</v>
      </c>
      <c r="E102" s="3" t="s">
        <v>1219</v>
      </c>
      <c r="F102" s="3">
        <v>0</v>
      </c>
      <c r="G102" s="3">
        <v>103812</v>
      </c>
    </row>
    <row r="103" spans="1:7" x14ac:dyDescent="0.2">
      <c r="A103" s="3" t="s">
        <v>1069</v>
      </c>
      <c r="B103" s="4">
        <v>44408</v>
      </c>
      <c r="C103" s="3" t="s">
        <v>1180</v>
      </c>
      <c r="D103" s="3" t="s">
        <v>1197</v>
      </c>
      <c r="E103" s="3" t="s">
        <v>1198</v>
      </c>
      <c r="F103" s="3">
        <v>0</v>
      </c>
      <c r="G103" s="3">
        <v>120000</v>
      </c>
    </row>
    <row r="104" spans="1:7" x14ac:dyDescent="0.2">
      <c r="A104" s="3" t="s">
        <v>1069</v>
      </c>
      <c r="B104" s="4">
        <v>44408</v>
      </c>
      <c r="C104" s="3" t="s">
        <v>1180</v>
      </c>
      <c r="D104" s="3" t="s">
        <v>1181</v>
      </c>
      <c r="E104" s="3" t="s">
        <v>1182</v>
      </c>
      <c r="F104" s="3">
        <v>31500</v>
      </c>
      <c r="G104" s="3">
        <v>358500</v>
      </c>
    </row>
    <row r="105" spans="1:7" x14ac:dyDescent="0.2">
      <c r="A105" s="3" t="s">
        <v>1069</v>
      </c>
      <c r="B105" s="4">
        <v>44408</v>
      </c>
      <c r="C105" s="3" t="s">
        <v>1180</v>
      </c>
      <c r="D105" s="3" t="s">
        <v>1202</v>
      </c>
      <c r="E105" s="3" t="s">
        <v>1203</v>
      </c>
      <c r="F105" s="3">
        <v>0</v>
      </c>
      <c r="G105" s="3">
        <v>4510</v>
      </c>
    </row>
    <row r="106" spans="1:7" x14ac:dyDescent="0.2">
      <c r="A106" s="3" t="s">
        <v>1069</v>
      </c>
      <c r="B106" s="4">
        <v>44408</v>
      </c>
      <c r="C106" s="3" t="s">
        <v>1180</v>
      </c>
      <c r="D106" s="3" t="s">
        <v>1204</v>
      </c>
      <c r="E106" s="3" t="s">
        <v>1205</v>
      </c>
      <c r="F106" s="3">
        <v>0</v>
      </c>
      <c r="G106" s="3">
        <v>7500</v>
      </c>
    </row>
    <row r="107" spans="1:7" x14ac:dyDescent="0.2">
      <c r="A107" s="3" t="s">
        <v>1069</v>
      </c>
      <c r="B107" s="4">
        <v>44408</v>
      </c>
      <c r="C107" s="3" t="s">
        <v>1180</v>
      </c>
      <c r="D107" s="3" t="s">
        <v>1199</v>
      </c>
      <c r="E107" s="3" t="s">
        <v>1200</v>
      </c>
      <c r="F107" s="3">
        <v>0</v>
      </c>
      <c r="G107" s="3">
        <v>39000</v>
      </c>
    </row>
    <row r="108" spans="1:7" x14ac:dyDescent="0.2">
      <c r="A108" s="3" t="s">
        <v>1069</v>
      </c>
      <c r="B108" s="4">
        <v>44408</v>
      </c>
      <c r="C108" s="3" t="s">
        <v>1180</v>
      </c>
      <c r="D108" s="3" t="s">
        <v>1220</v>
      </c>
      <c r="E108" s="3" t="s">
        <v>1221</v>
      </c>
      <c r="F108" s="3">
        <v>0</v>
      </c>
      <c r="G108" s="3">
        <v>15175</v>
      </c>
    </row>
    <row r="109" spans="1:7" x14ac:dyDescent="0.2">
      <c r="A109" s="3" t="s">
        <v>1069</v>
      </c>
      <c r="B109" s="4">
        <v>44408</v>
      </c>
      <c r="C109" s="3" t="s">
        <v>1180</v>
      </c>
      <c r="D109" s="3" t="s">
        <v>1183</v>
      </c>
      <c r="E109" s="3" t="s">
        <v>1184</v>
      </c>
      <c r="F109" s="3">
        <v>0</v>
      </c>
      <c r="G109" s="3">
        <v>23034.26</v>
      </c>
    </row>
    <row r="110" spans="1:7" x14ac:dyDescent="0.2">
      <c r="A110" s="3" t="s">
        <v>1069</v>
      </c>
      <c r="B110" s="4">
        <v>44408</v>
      </c>
      <c r="C110" s="3" t="s">
        <v>1180</v>
      </c>
      <c r="D110" s="3" t="s">
        <v>1222</v>
      </c>
      <c r="E110" s="3" t="s">
        <v>1223</v>
      </c>
      <c r="F110" s="3">
        <v>0</v>
      </c>
      <c r="G110" s="3">
        <v>1363107.22</v>
      </c>
    </row>
    <row r="111" spans="1:7" x14ac:dyDescent="0.2">
      <c r="A111" s="3" t="s">
        <v>1069</v>
      </c>
      <c r="B111" s="4">
        <v>44408</v>
      </c>
      <c r="C111" s="3" t="s">
        <v>1180</v>
      </c>
      <c r="D111" s="3" t="s">
        <v>1235</v>
      </c>
      <c r="E111" s="3" t="s">
        <v>1236</v>
      </c>
      <c r="F111" s="3">
        <v>782608.07</v>
      </c>
      <c r="G111" s="3">
        <v>782608.07</v>
      </c>
    </row>
    <row r="112" spans="1:7" x14ac:dyDescent="0.2">
      <c r="A112" s="3" t="s">
        <v>1069</v>
      </c>
      <c r="B112" s="4">
        <v>44408</v>
      </c>
      <c r="C112" s="3" t="s">
        <v>1180</v>
      </c>
      <c r="D112" s="3" t="s">
        <v>1206</v>
      </c>
      <c r="E112" s="3" t="s">
        <v>1207</v>
      </c>
      <c r="F112" s="3">
        <v>0</v>
      </c>
      <c r="G112" s="3">
        <v>123150</v>
      </c>
    </row>
    <row r="113" spans="1:7" x14ac:dyDescent="0.2">
      <c r="A113" s="3" t="s">
        <v>1069</v>
      </c>
      <c r="B113" s="4">
        <v>44408</v>
      </c>
      <c r="C113" s="3" t="s">
        <v>1180</v>
      </c>
      <c r="D113" s="3" t="s">
        <v>1208</v>
      </c>
      <c r="E113" s="3" t="s">
        <v>1209</v>
      </c>
      <c r="F113" s="3">
        <v>0</v>
      </c>
      <c r="G113" s="3">
        <v>45000</v>
      </c>
    </row>
    <row r="114" spans="1:7" x14ac:dyDescent="0.2">
      <c r="A114" s="3" t="s">
        <v>1069</v>
      </c>
      <c r="B114" s="4">
        <v>44408</v>
      </c>
      <c r="C114" s="3" t="s">
        <v>1180</v>
      </c>
      <c r="D114" s="3" t="s">
        <v>1187</v>
      </c>
      <c r="E114" s="3" t="s">
        <v>1188</v>
      </c>
      <c r="F114" s="3">
        <v>-125105.31</v>
      </c>
      <c r="G114" s="3">
        <v>3145.24</v>
      </c>
    </row>
    <row r="115" spans="1:7" x14ac:dyDescent="0.2">
      <c r="A115" s="3" t="s">
        <v>1069</v>
      </c>
      <c r="B115" s="4">
        <v>44408</v>
      </c>
      <c r="C115" s="3" t="s">
        <v>1180</v>
      </c>
      <c r="D115" s="3" t="s">
        <v>1189</v>
      </c>
      <c r="E115" s="3" t="s">
        <v>1190</v>
      </c>
      <c r="F115" s="3">
        <v>-2748737.47</v>
      </c>
      <c r="G115" s="3">
        <v>0</v>
      </c>
    </row>
    <row r="116" spans="1:7" x14ac:dyDescent="0.2">
      <c r="A116" s="3" t="s">
        <v>1069</v>
      </c>
      <c r="B116" s="4">
        <v>44408</v>
      </c>
      <c r="C116" s="3" t="s">
        <v>1175</v>
      </c>
      <c r="D116" s="3" t="s">
        <v>1191</v>
      </c>
      <c r="E116" s="3" t="s">
        <v>1192</v>
      </c>
      <c r="F116" s="3">
        <v>1905695.63</v>
      </c>
      <c r="G116" s="3">
        <v>-32650021.289999999</v>
      </c>
    </row>
    <row r="117" spans="1:7" x14ac:dyDescent="0.2">
      <c r="A117" s="3" t="s">
        <v>1069</v>
      </c>
      <c r="B117" s="4">
        <v>44408</v>
      </c>
      <c r="C117" s="3" t="s">
        <v>1175</v>
      </c>
      <c r="D117" s="3" t="s">
        <v>1237</v>
      </c>
      <c r="E117" s="3" t="s">
        <v>1238</v>
      </c>
      <c r="F117" s="3">
        <v>-430.43</v>
      </c>
      <c r="G117" s="3">
        <v>-430.43</v>
      </c>
    </row>
    <row r="118" spans="1:7" x14ac:dyDescent="0.2">
      <c r="A118" s="3" t="s">
        <v>1069</v>
      </c>
      <c r="B118" s="4">
        <v>44408</v>
      </c>
      <c r="C118" s="3" t="s">
        <v>1175</v>
      </c>
      <c r="D118" s="3" t="s">
        <v>1193</v>
      </c>
      <c r="E118" s="3" t="s">
        <v>1194</v>
      </c>
      <c r="F118" s="3">
        <v>123187.98</v>
      </c>
      <c r="G118" s="3">
        <v>3437837.68</v>
      </c>
    </row>
    <row r="119" spans="1:7" x14ac:dyDescent="0.2">
      <c r="A119" s="3" t="s">
        <v>1069</v>
      </c>
      <c r="B119" s="4">
        <v>44439</v>
      </c>
      <c r="C119" s="3" t="s">
        <v>1210</v>
      </c>
      <c r="D119" s="3" t="s">
        <v>1239</v>
      </c>
      <c r="E119" s="3" t="s">
        <v>1240</v>
      </c>
      <c r="F119" s="3">
        <v>-1000000</v>
      </c>
      <c r="G119" s="3">
        <v>-1000000</v>
      </c>
    </row>
    <row r="120" spans="1:7" x14ac:dyDescent="0.2">
      <c r="A120" s="3" t="s">
        <v>1069</v>
      </c>
      <c r="B120" s="4">
        <v>44439</v>
      </c>
      <c r="C120" s="3" t="s">
        <v>1210</v>
      </c>
      <c r="D120" s="3" t="s">
        <v>1211</v>
      </c>
      <c r="E120" s="3" t="s">
        <v>1212</v>
      </c>
      <c r="F120" s="3">
        <v>0</v>
      </c>
      <c r="G120" s="3">
        <v>-1245</v>
      </c>
    </row>
    <row r="121" spans="1:7" x14ac:dyDescent="0.2">
      <c r="A121" s="3" t="s">
        <v>1069</v>
      </c>
      <c r="B121" s="4">
        <v>44439</v>
      </c>
      <c r="C121" s="3" t="s">
        <v>1210</v>
      </c>
      <c r="D121" s="3" t="s">
        <v>1224</v>
      </c>
      <c r="E121" s="3" t="s">
        <v>1225</v>
      </c>
      <c r="F121" s="3">
        <v>0</v>
      </c>
      <c r="G121" s="3">
        <v>-149149.4</v>
      </c>
    </row>
    <row r="122" spans="1:7" x14ac:dyDescent="0.2">
      <c r="A122" s="3" t="s">
        <v>1069</v>
      </c>
      <c r="B122" s="4">
        <v>44439</v>
      </c>
      <c r="C122" s="3" t="s">
        <v>1168</v>
      </c>
      <c r="D122" s="3" t="s">
        <v>1226</v>
      </c>
      <c r="E122" s="3" t="s">
        <v>1126</v>
      </c>
      <c r="F122" s="3">
        <v>0</v>
      </c>
      <c r="G122" s="3">
        <v>100</v>
      </c>
    </row>
    <row r="123" spans="1:7" x14ac:dyDescent="0.2">
      <c r="A123" s="3" t="s">
        <v>1069</v>
      </c>
      <c r="B123" s="4">
        <v>44439</v>
      </c>
      <c r="C123" s="3" t="s">
        <v>1168</v>
      </c>
      <c r="D123" s="3" t="s">
        <v>1169</v>
      </c>
      <c r="E123" s="3" t="s">
        <v>1079</v>
      </c>
      <c r="F123" s="3">
        <v>1020</v>
      </c>
      <c r="G123" s="3">
        <v>6770</v>
      </c>
    </row>
    <row r="124" spans="1:7" x14ac:dyDescent="0.2">
      <c r="A124" s="3" t="s">
        <v>1069</v>
      </c>
      <c r="B124" s="4">
        <v>44439</v>
      </c>
      <c r="C124" s="3" t="s">
        <v>1168</v>
      </c>
      <c r="D124" s="3" t="s">
        <v>1195</v>
      </c>
      <c r="E124" s="3" t="s">
        <v>1085</v>
      </c>
      <c r="F124" s="3">
        <v>295.94</v>
      </c>
      <c r="G124" s="3">
        <v>1472.71</v>
      </c>
    </row>
    <row r="125" spans="1:7" x14ac:dyDescent="0.2">
      <c r="A125" s="3" t="s">
        <v>1069</v>
      </c>
      <c r="B125" s="4">
        <v>44439</v>
      </c>
      <c r="C125" s="3" t="s">
        <v>1168</v>
      </c>
      <c r="D125" s="3" t="s">
        <v>1227</v>
      </c>
      <c r="E125" s="3" t="s">
        <v>1228</v>
      </c>
      <c r="F125" s="3">
        <v>0</v>
      </c>
      <c r="G125" s="3">
        <v>3000</v>
      </c>
    </row>
    <row r="126" spans="1:7" x14ac:dyDescent="0.2">
      <c r="A126" s="3" t="s">
        <v>1069</v>
      </c>
      <c r="B126" s="4">
        <v>44439</v>
      </c>
      <c r="C126" s="3" t="s">
        <v>1168</v>
      </c>
      <c r="D126" s="3" t="s">
        <v>1229</v>
      </c>
      <c r="E126" s="3" t="s">
        <v>1136</v>
      </c>
      <c r="F126" s="3">
        <v>2700.55</v>
      </c>
      <c r="G126" s="3">
        <v>5959.8</v>
      </c>
    </row>
    <row r="127" spans="1:7" x14ac:dyDescent="0.2">
      <c r="A127" s="3" t="s">
        <v>1069</v>
      </c>
      <c r="B127" s="4">
        <v>44439</v>
      </c>
      <c r="C127" s="3" t="s">
        <v>1168</v>
      </c>
      <c r="D127" s="3" t="s">
        <v>1230</v>
      </c>
      <c r="E127" s="3" t="s">
        <v>1109</v>
      </c>
      <c r="F127" s="3">
        <v>316.95999999999998</v>
      </c>
      <c r="G127" s="3">
        <v>490.82</v>
      </c>
    </row>
    <row r="128" spans="1:7" x14ac:dyDescent="0.2">
      <c r="A128" s="3" t="s">
        <v>1069</v>
      </c>
      <c r="B128" s="4">
        <v>44439</v>
      </c>
      <c r="C128" s="3" t="s">
        <v>1168</v>
      </c>
      <c r="D128" s="3" t="s">
        <v>1196</v>
      </c>
      <c r="E128" s="3" t="s">
        <v>1131</v>
      </c>
      <c r="F128" s="3">
        <v>0</v>
      </c>
      <c r="G128" s="3">
        <v>250</v>
      </c>
    </row>
    <row r="129" spans="1:7" x14ac:dyDescent="0.2">
      <c r="A129" s="3" t="s">
        <v>1069</v>
      </c>
      <c r="B129" s="4">
        <v>44439</v>
      </c>
      <c r="C129" s="3" t="s">
        <v>1168</v>
      </c>
      <c r="D129" s="3" t="s">
        <v>1201</v>
      </c>
      <c r="E129" s="3" t="s">
        <v>1112</v>
      </c>
      <c r="F129" s="3">
        <v>0</v>
      </c>
      <c r="G129" s="3">
        <v>765</v>
      </c>
    </row>
    <row r="130" spans="1:7" x14ac:dyDescent="0.2">
      <c r="A130" s="3" t="s">
        <v>1069</v>
      </c>
      <c r="B130" s="4">
        <v>44439</v>
      </c>
      <c r="C130" s="3" t="s">
        <v>1168</v>
      </c>
      <c r="D130" s="3" t="s">
        <v>1231</v>
      </c>
      <c r="E130" s="3" t="s">
        <v>1070</v>
      </c>
      <c r="F130" s="3">
        <v>3374.65</v>
      </c>
      <c r="G130" s="3">
        <v>8880.02</v>
      </c>
    </row>
    <row r="131" spans="1:7" x14ac:dyDescent="0.2">
      <c r="A131" s="3" t="s">
        <v>1069</v>
      </c>
      <c r="B131" s="4">
        <v>44439</v>
      </c>
      <c r="C131" s="3" t="s">
        <v>1168</v>
      </c>
      <c r="D131" s="3" t="s">
        <v>1170</v>
      </c>
      <c r="E131" s="3" t="s">
        <v>1171</v>
      </c>
      <c r="F131" s="3">
        <v>0</v>
      </c>
      <c r="G131" s="3">
        <v>2100</v>
      </c>
    </row>
    <row r="132" spans="1:7" x14ac:dyDescent="0.2">
      <c r="A132" s="3" t="s">
        <v>1069</v>
      </c>
      <c r="B132" s="4">
        <v>44439</v>
      </c>
      <c r="C132" s="3" t="s">
        <v>1168</v>
      </c>
      <c r="D132" s="3" t="s">
        <v>1213</v>
      </c>
      <c r="E132" s="3" t="s">
        <v>1150</v>
      </c>
      <c r="F132" s="3">
        <v>-430.43</v>
      </c>
      <c r="G132" s="3">
        <v>1078.97</v>
      </c>
    </row>
    <row r="133" spans="1:7" x14ac:dyDescent="0.2">
      <c r="A133" s="3" t="s">
        <v>1069</v>
      </c>
      <c r="B133" s="4">
        <v>44439</v>
      </c>
      <c r="C133" s="3" t="s">
        <v>1168</v>
      </c>
      <c r="D133" s="3" t="s">
        <v>1232</v>
      </c>
      <c r="E133" s="3" t="s">
        <v>1105</v>
      </c>
      <c r="F133" s="3">
        <v>550</v>
      </c>
      <c r="G133" s="3">
        <v>1100</v>
      </c>
    </row>
    <row r="134" spans="1:7" x14ac:dyDescent="0.2">
      <c r="A134" s="3" t="s">
        <v>1069</v>
      </c>
      <c r="B134" s="4">
        <v>44439</v>
      </c>
      <c r="C134" s="3" t="s">
        <v>1172</v>
      </c>
      <c r="D134" s="3" t="s">
        <v>1173</v>
      </c>
      <c r="E134" s="3" t="s">
        <v>1174</v>
      </c>
      <c r="F134" s="3">
        <v>0</v>
      </c>
      <c r="G134" s="3">
        <v>-100</v>
      </c>
    </row>
    <row r="135" spans="1:7" x14ac:dyDescent="0.2">
      <c r="A135" s="3" t="s">
        <v>1069</v>
      </c>
      <c r="B135" s="4">
        <v>44439</v>
      </c>
      <c r="C135" s="3" t="s">
        <v>1180</v>
      </c>
      <c r="D135" s="3" t="s">
        <v>1241</v>
      </c>
      <c r="E135" s="3" t="s">
        <v>1242</v>
      </c>
      <c r="F135" s="3">
        <v>1000000</v>
      </c>
      <c r="G135" s="3">
        <v>1000000</v>
      </c>
    </row>
    <row r="136" spans="1:7" x14ac:dyDescent="0.2">
      <c r="A136" s="3" t="s">
        <v>1069</v>
      </c>
      <c r="B136" s="4">
        <v>44439</v>
      </c>
      <c r="C136" s="3" t="s">
        <v>1175</v>
      </c>
      <c r="D136" s="3" t="s">
        <v>1178</v>
      </c>
      <c r="E136" s="3" t="s">
        <v>1179</v>
      </c>
      <c r="F136" s="3">
        <v>-110000</v>
      </c>
      <c r="G136" s="3">
        <v>0</v>
      </c>
    </row>
    <row r="137" spans="1:7" x14ac:dyDescent="0.2">
      <c r="A137" s="3" t="s">
        <v>1069</v>
      </c>
      <c r="B137" s="4">
        <v>44439</v>
      </c>
      <c r="C137" s="3" t="s">
        <v>1175</v>
      </c>
      <c r="D137" s="3" t="s">
        <v>1233</v>
      </c>
      <c r="E137" s="3" t="s">
        <v>1234</v>
      </c>
      <c r="F137" s="3">
        <v>0</v>
      </c>
      <c r="G137" s="3">
        <v>-28000</v>
      </c>
    </row>
    <row r="138" spans="1:7" x14ac:dyDescent="0.2">
      <c r="A138" s="3" t="s">
        <v>1069</v>
      </c>
      <c r="B138" s="4">
        <v>44439</v>
      </c>
      <c r="C138" s="3" t="s">
        <v>1180</v>
      </c>
      <c r="D138" s="3" t="s">
        <v>1214</v>
      </c>
      <c r="E138" s="3" t="s">
        <v>1215</v>
      </c>
      <c r="F138" s="3">
        <v>0</v>
      </c>
      <c r="G138" s="3">
        <v>26200000</v>
      </c>
    </row>
    <row r="139" spans="1:7" x14ac:dyDescent="0.2">
      <c r="A139" s="3" t="s">
        <v>1069</v>
      </c>
      <c r="B139" s="4">
        <v>44439</v>
      </c>
      <c r="C139" s="3" t="s">
        <v>1180</v>
      </c>
      <c r="D139" s="3" t="s">
        <v>1216</v>
      </c>
      <c r="E139" s="3" t="s">
        <v>1217</v>
      </c>
      <c r="F139" s="3">
        <v>0</v>
      </c>
      <c r="G139" s="3">
        <v>68427</v>
      </c>
    </row>
    <row r="140" spans="1:7" x14ac:dyDescent="0.2">
      <c r="A140" s="3" t="s">
        <v>1069</v>
      </c>
      <c r="B140" s="4">
        <v>44439</v>
      </c>
      <c r="C140" s="3" t="s">
        <v>1180</v>
      </c>
      <c r="D140" s="3" t="s">
        <v>1218</v>
      </c>
      <c r="E140" s="3" t="s">
        <v>1219</v>
      </c>
      <c r="F140" s="3">
        <v>0</v>
      </c>
      <c r="G140" s="3">
        <v>103812</v>
      </c>
    </row>
    <row r="141" spans="1:7" x14ac:dyDescent="0.2">
      <c r="A141" s="3" t="s">
        <v>1069</v>
      </c>
      <c r="B141" s="4">
        <v>44439</v>
      </c>
      <c r="C141" s="3" t="s">
        <v>1180</v>
      </c>
      <c r="D141" s="3" t="s">
        <v>1197</v>
      </c>
      <c r="E141" s="3" t="s">
        <v>1198</v>
      </c>
      <c r="F141" s="3">
        <v>0</v>
      </c>
      <c r="G141" s="3">
        <v>120000</v>
      </c>
    </row>
    <row r="142" spans="1:7" x14ac:dyDescent="0.2">
      <c r="A142" s="3" t="s">
        <v>1069</v>
      </c>
      <c r="B142" s="4">
        <v>44439</v>
      </c>
      <c r="C142" s="3" t="s">
        <v>1180</v>
      </c>
      <c r="D142" s="3" t="s">
        <v>1181</v>
      </c>
      <c r="E142" s="3" t="s">
        <v>1182</v>
      </c>
      <c r="F142" s="3">
        <v>31500</v>
      </c>
      <c r="G142" s="3">
        <v>390000</v>
      </c>
    </row>
    <row r="143" spans="1:7" x14ac:dyDescent="0.2">
      <c r="A143" s="3" t="s">
        <v>1069</v>
      </c>
      <c r="B143" s="4">
        <v>44439</v>
      </c>
      <c r="C143" s="3" t="s">
        <v>1180</v>
      </c>
      <c r="D143" s="3" t="s">
        <v>1202</v>
      </c>
      <c r="E143" s="3" t="s">
        <v>1203</v>
      </c>
      <c r="F143" s="3">
        <v>0</v>
      </c>
      <c r="G143" s="3">
        <v>4510</v>
      </c>
    </row>
    <row r="144" spans="1:7" x14ac:dyDescent="0.2">
      <c r="A144" s="3" t="s">
        <v>1069</v>
      </c>
      <c r="B144" s="4">
        <v>44439</v>
      </c>
      <c r="C144" s="3" t="s">
        <v>1180</v>
      </c>
      <c r="D144" s="3" t="s">
        <v>1204</v>
      </c>
      <c r="E144" s="3" t="s">
        <v>1205</v>
      </c>
      <c r="F144" s="3">
        <v>0</v>
      </c>
      <c r="G144" s="3">
        <v>7500</v>
      </c>
    </row>
    <row r="145" spans="1:7" x14ac:dyDescent="0.2">
      <c r="A145" s="3" t="s">
        <v>1069</v>
      </c>
      <c r="B145" s="4">
        <v>44439</v>
      </c>
      <c r="C145" s="3" t="s">
        <v>1180</v>
      </c>
      <c r="D145" s="3" t="s">
        <v>1199</v>
      </c>
      <c r="E145" s="3" t="s">
        <v>1200</v>
      </c>
      <c r="F145" s="3">
        <v>0</v>
      </c>
      <c r="G145" s="3">
        <v>39000</v>
      </c>
    </row>
    <row r="146" spans="1:7" x14ac:dyDescent="0.2">
      <c r="A146" s="3" t="s">
        <v>1069</v>
      </c>
      <c r="B146" s="4">
        <v>44439</v>
      </c>
      <c r="C146" s="3" t="s">
        <v>1180</v>
      </c>
      <c r="D146" s="3" t="s">
        <v>1220</v>
      </c>
      <c r="E146" s="3" t="s">
        <v>1221</v>
      </c>
      <c r="F146" s="3">
        <v>0</v>
      </c>
      <c r="G146" s="3">
        <v>15175</v>
      </c>
    </row>
    <row r="147" spans="1:7" x14ac:dyDescent="0.2">
      <c r="A147" s="3" t="s">
        <v>1069</v>
      </c>
      <c r="B147" s="4">
        <v>44439</v>
      </c>
      <c r="C147" s="3" t="s">
        <v>1180</v>
      </c>
      <c r="D147" s="3" t="s">
        <v>1183</v>
      </c>
      <c r="E147" s="3" t="s">
        <v>1184</v>
      </c>
      <c r="F147" s="3">
        <v>0</v>
      </c>
      <c r="G147" s="3">
        <v>23034.26</v>
      </c>
    </row>
    <row r="148" spans="1:7" x14ac:dyDescent="0.2">
      <c r="A148" s="3" t="s">
        <v>1069</v>
      </c>
      <c r="B148" s="4">
        <v>44439</v>
      </c>
      <c r="C148" s="3" t="s">
        <v>1180</v>
      </c>
      <c r="D148" s="3" t="s">
        <v>1222</v>
      </c>
      <c r="E148" s="3" t="s">
        <v>1223</v>
      </c>
      <c r="F148" s="3">
        <v>0</v>
      </c>
      <c r="G148" s="3">
        <v>1363107.22</v>
      </c>
    </row>
    <row r="149" spans="1:7" x14ac:dyDescent="0.2">
      <c r="A149" s="3" t="s">
        <v>1069</v>
      </c>
      <c r="B149" s="4">
        <v>44439</v>
      </c>
      <c r="C149" s="3" t="s">
        <v>1180</v>
      </c>
      <c r="D149" s="3" t="s">
        <v>1235</v>
      </c>
      <c r="E149" s="3" t="s">
        <v>1236</v>
      </c>
      <c r="F149" s="3">
        <v>0</v>
      </c>
      <c r="G149" s="3">
        <v>782608.07</v>
      </c>
    </row>
    <row r="150" spans="1:7" x14ac:dyDescent="0.2">
      <c r="A150" s="3" t="s">
        <v>1069</v>
      </c>
      <c r="B150" s="4">
        <v>44439</v>
      </c>
      <c r="C150" s="3" t="s">
        <v>1180</v>
      </c>
      <c r="D150" s="3" t="s">
        <v>1206</v>
      </c>
      <c r="E150" s="3" t="s">
        <v>1207</v>
      </c>
      <c r="F150" s="3">
        <v>0</v>
      </c>
      <c r="G150" s="3">
        <v>123150</v>
      </c>
    </row>
    <row r="151" spans="1:7" x14ac:dyDescent="0.2">
      <c r="A151" s="3" t="s">
        <v>1069</v>
      </c>
      <c r="B151" s="4">
        <v>44439</v>
      </c>
      <c r="C151" s="3" t="s">
        <v>1180</v>
      </c>
      <c r="D151" s="3" t="s">
        <v>1208</v>
      </c>
      <c r="E151" s="3" t="s">
        <v>1209</v>
      </c>
      <c r="F151" s="3">
        <v>0</v>
      </c>
      <c r="G151" s="3">
        <v>45000</v>
      </c>
    </row>
    <row r="152" spans="1:7" x14ac:dyDescent="0.2">
      <c r="A152" s="3" t="s">
        <v>1069</v>
      </c>
      <c r="B152" s="4">
        <v>44439</v>
      </c>
      <c r="C152" s="3" t="s">
        <v>1180</v>
      </c>
      <c r="D152" s="3" t="s">
        <v>1187</v>
      </c>
      <c r="E152" s="3" t="s">
        <v>1188</v>
      </c>
      <c r="F152" s="3">
        <v>85046.94</v>
      </c>
      <c r="G152" s="3">
        <v>88192.18</v>
      </c>
    </row>
    <row r="153" spans="1:7" x14ac:dyDescent="0.2">
      <c r="A153" s="3" t="s">
        <v>1069</v>
      </c>
      <c r="B153" s="4">
        <v>44439</v>
      </c>
      <c r="C153" s="3" t="s">
        <v>1180</v>
      </c>
      <c r="D153" s="3" t="s">
        <v>1243</v>
      </c>
      <c r="E153" s="3" t="s">
        <v>1244</v>
      </c>
      <c r="F153" s="3">
        <v>500</v>
      </c>
      <c r="G153" s="3">
        <v>500</v>
      </c>
    </row>
    <row r="154" spans="1:7" x14ac:dyDescent="0.2">
      <c r="A154" s="3" t="s">
        <v>1069</v>
      </c>
      <c r="B154" s="4">
        <v>44439</v>
      </c>
      <c r="C154" s="3" t="s">
        <v>1180</v>
      </c>
      <c r="D154" s="3" t="s">
        <v>1245</v>
      </c>
      <c r="E154" s="3" t="s">
        <v>1246</v>
      </c>
      <c r="F154" s="3">
        <v>1000500</v>
      </c>
      <c r="G154" s="3">
        <v>1000500</v>
      </c>
    </row>
    <row r="155" spans="1:7" x14ac:dyDescent="0.2">
      <c r="A155" s="3" t="s">
        <v>1069</v>
      </c>
      <c r="B155" s="4">
        <v>44439</v>
      </c>
      <c r="C155" s="3" t="s">
        <v>1175</v>
      </c>
      <c r="D155" s="3" t="s">
        <v>1191</v>
      </c>
      <c r="E155" s="3" t="s">
        <v>1192</v>
      </c>
      <c r="F155" s="3">
        <v>-1000704.4</v>
      </c>
      <c r="G155" s="3">
        <v>-33650725.689999998</v>
      </c>
    </row>
    <row r="156" spans="1:7" x14ac:dyDescent="0.2">
      <c r="A156" s="3" t="s">
        <v>1069</v>
      </c>
      <c r="B156" s="4">
        <v>44439</v>
      </c>
      <c r="C156" s="3" t="s">
        <v>1175</v>
      </c>
      <c r="D156" s="3" t="s">
        <v>1237</v>
      </c>
      <c r="E156" s="3" t="s">
        <v>1238</v>
      </c>
      <c r="F156" s="3">
        <v>430.43</v>
      </c>
      <c r="G156" s="3">
        <v>0</v>
      </c>
    </row>
    <row r="157" spans="1:7" x14ac:dyDescent="0.2">
      <c r="A157" s="3" t="s">
        <v>1069</v>
      </c>
      <c r="B157" s="4">
        <v>44439</v>
      </c>
      <c r="C157" s="3" t="s">
        <v>1175</v>
      </c>
      <c r="D157" s="3" t="s">
        <v>1193</v>
      </c>
      <c r="E157" s="3" t="s">
        <v>1194</v>
      </c>
      <c r="F157" s="3">
        <v>-15100.64</v>
      </c>
      <c r="G157" s="3">
        <v>3422737.04</v>
      </c>
    </row>
    <row r="158" spans="1:7" x14ac:dyDescent="0.2">
      <c r="A158" s="3" t="s">
        <v>1069</v>
      </c>
      <c r="B158" s="4">
        <v>44469</v>
      </c>
      <c r="C158" s="3" t="s">
        <v>1210</v>
      </c>
      <c r="D158" s="3" t="s">
        <v>1239</v>
      </c>
      <c r="E158" s="3" t="s">
        <v>1240</v>
      </c>
      <c r="F158" s="3">
        <v>-20976776.449999999</v>
      </c>
      <c r="G158" s="3">
        <v>-21976776.449999999</v>
      </c>
    </row>
    <row r="159" spans="1:7" x14ac:dyDescent="0.2">
      <c r="A159" s="3" t="s">
        <v>1069</v>
      </c>
      <c r="B159" s="4">
        <v>44469</v>
      </c>
      <c r="C159" s="3" t="s">
        <v>1168</v>
      </c>
      <c r="D159" s="3" t="s">
        <v>1247</v>
      </c>
      <c r="E159" s="3" t="s">
        <v>1248</v>
      </c>
      <c r="F159" s="3">
        <v>3380</v>
      </c>
      <c r="G159" s="3">
        <v>3380</v>
      </c>
    </row>
    <row r="160" spans="1:7" x14ac:dyDescent="0.2">
      <c r="A160" s="3" t="s">
        <v>1069</v>
      </c>
      <c r="B160" s="4">
        <v>44469</v>
      </c>
      <c r="C160" s="3" t="s">
        <v>1210</v>
      </c>
      <c r="D160" s="3" t="s">
        <v>1211</v>
      </c>
      <c r="E160" s="3" t="s">
        <v>1212</v>
      </c>
      <c r="F160" s="3">
        <v>0</v>
      </c>
      <c r="G160" s="3">
        <v>-1245</v>
      </c>
    </row>
    <row r="161" spans="1:7" x14ac:dyDescent="0.2">
      <c r="A161" s="3" t="s">
        <v>1069</v>
      </c>
      <c r="B161" s="4">
        <v>44469</v>
      </c>
      <c r="C161" s="3" t="s">
        <v>1210</v>
      </c>
      <c r="D161" s="3" t="s">
        <v>1224</v>
      </c>
      <c r="E161" s="3" t="s">
        <v>1225</v>
      </c>
      <c r="F161" s="3">
        <v>0</v>
      </c>
      <c r="G161" s="3">
        <v>-149149.4</v>
      </c>
    </row>
    <row r="162" spans="1:7" x14ac:dyDescent="0.2">
      <c r="A162" s="3" t="s">
        <v>1069</v>
      </c>
      <c r="B162" s="4">
        <v>44469</v>
      </c>
      <c r="C162" s="3" t="s">
        <v>1210</v>
      </c>
      <c r="D162" s="3" t="s">
        <v>1249</v>
      </c>
      <c r="E162" s="3" t="s">
        <v>1250</v>
      </c>
      <c r="F162" s="3">
        <v>-6154.84</v>
      </c>
      <c r="G162" s="3">
        <v>-6154.84</v>
      </c>
    </row>
    <row r="163" spans="1:7" x14ac:dyDescent="0.2">
      <c r="A163" s="3" t="s">
        <v>1069</v>
      </c>
      <c r="B163" s="4">
        <v>44469</v>
      </c>
      <c r="C163" s="3" t="s">
        <v>1168</v>
      </c>
      <c r="D163" s="3" t="s">
        <v>1226</v>
      </c>
      <c r="E163" s="3" t="s">
        <v>1126</v>
      </c>
      <c r="F163" s="3">
        <v>0</v>
      </c>
      <c r="G163" s="3">
        <v>100</v>
      </c>
    </row>
    <row r="164" spans="1:7" x14ac:dyDescent="0.2">
      <c r="A164" s="3" t="s">
        <v>1069</v>
      </c>
      <c r="B164" s="4">
        <v>44469</v>
      </c>
      <c r="C164" s="3" t="s">
        <v>1168</v>
      </c>
      <c r="D164" s="3" t="s">
        <v>1169</v>
      </c>
      <c r="E164" s="3" t="s">
        <v>1079</v>
      </c>
      <c r="F164" s="3">
        <v>3224.52</v>
      </c>
      <c r="G164" s="3">
        <v>9994.52</v>
      </c>
    </row>
    <row r="165" spans="1:7" x14ac:dyDescent="0.2">
      <c r="A165" s="3" t="s">
        <v>1069</v>
      </c>
      <c r="B165" s="4">
        <v>44469</v>
      </c>
      <c r="C165" s="3" t="s">
        <v>1168</v>
      </c>
      <c r="D165" s="3" t="s">
        <v>1195</v>
      </c>
      <c r="E165" s="3" t="s">
        <v>1085</v>
      </c>
      <c r="F165" s="3">
        <v>303.01</v>
      </c>
      <c r="G165" s="3">
        <v>1775.72</v>
      </c>
    </row>
    <row r="166" spans="1:7" x14ac:dyDescent="0.2">
      <c r="A166" s="3" t="s">
        <v>1069</v>
      </c>
      <c r="B166" s="4">
        <v>44469</v>
      </c>
      <c r="C166" s="3" t="s">
        <v>1168</v>
      </c>
      <c r="D166" s="3" t="s">
        <v>1227</v>
      </c>
      <c r="E166" s="3" t="s">
        <v>1228</v>
      </c>
      <c r="F166" s="3">
        <v>0</v>
      </c>
      <c r="G166" s="3">
        <v>3000</v>
      </c>
    </row>
    <row r="167" spans="1:7" x14ac:dyDescent="0.2">
      <c r="A167" s="3" t="s">
        <v>1069</v>
      </c>
      <c r="B167" s="4">
        <v>44469</v>
      </c>
      <c r="C167" s="3" t="s">
        <v>1168</v>
      </c>
      <c r="D167" s="3" t="s">
        <v>1251</v>
      </c>
      <c r="E167" s="3" t="s">
        <v>1095</v>
      </c>
      <c r="F167" s="3">
        <v>67385</v>
      </c>
      <c r="G167" s="3">
        <v>67385</v>
      </c>
    </row>
    <row r="168" spans="1:7" x14ac:dyDescent="0.2">
      <c r="A168" s="3" t="s">
        <v>1069</v>
      </c>
      <c r="B168" s="4">
        <v>44469</v>
      </c>
      <c r="C168" s="3" t="s">
        <v>1168</v>
      </c>
      <c r="D168" s="3" t="s">
        <v>1252</v>
      </c>
      <c r="E168" s="3" t="s">
        <v>1120</v>
      </c>
      <c r="F168" s="3">
        <v>5940</v>
      </c>
      <c r="G168" s="3">
        <v>5940</v>
      </c>
    </row>
    <row r="169" spans="1:7" x14ac:dyDescent="0.2">
      <c r="A169" s="3" t="s">
        <v>1069</v>
      </c>
      <c r="B169" s="4">
        <v>44469</v>
      </c>
      <c r="C169" s="3" t="s">
        <v>1168</v>
      </c>
      <c r="D169" s="3" t="s">
        <v>1229</v>
      </c>
      <c r="E169" s="3" t="s">
        <v>1136</v>
      </c>
      <c r="F169" s="3">
        <v>2300.8200000000002</v>
      </c>
      <c r="G169" s="3">
        <v>8260.6200000000008</v>
      </c>
    </row>
    <row r="170" spans="1:7" x14ac:dyDescent="0.2">
      <c r="A170" s="3" t="s">
        <v>1069</v>
      </c>
      <c r="B170" s="4">
        <v>44469</v>
      </c>
      <c r="C170" s="3" t="s">
        <v>1168</v>
      </c>
      <c r="D170" s="3" t="s">
        <v>1230</v>
      </c>
      <c r="E170" s="3" t="s">
        <v>1109</v>
      </c>
      <c r="F170" s="3">
        <v>544.08000000000004</v>
      </c>
      <c r="G170" s="3">
        <v>1034.9000000000001</v>
      </c>
    </row>
    <row r="171" spans="1:7" x14ac:dyDescent="0.2">
      <c r="A171" s="3" t="s">
        <v>1069</v>
      </c>
      <c r="B171" s="4">
        <v>44469</v>
      </c>
      <c r="C171" s="3" t="s">
        <v>1168</v>
      </c>
      <c r="D171" s="3" t="s">
        <v>1196</v>
      </c>
      <c r="E171" s="3" t="s">
        <v>1131</v>
      </c>
      <c r="F171" s="3">
        <v>0</v>
      </c>
      <c r="G171" s="3">
        <v>250</v>
      </c>
    </row>
    <row r="172" spans="1:7" x14ac:dyDescent="0.2">
      <c r="A172" s="3" t="s">
        <v>1069</v>
      </c>
      <c r="B172" s="4">
        <v>44469</v>
      </c>
      <c r="C172" s="3" t="s">
        <v>1168</v>
      </c>
      <c r="D172" s="3" t="s">
        <v>1253</v>
      </c>
      <c r="E172" s="3" t="s">
        <v>1103</v>
      </c>
      <c r="F172" s="3">
        <v>18131.87</v>
      </c>
      <c r="G172" s="3">
        <v>18131.87</v>
      </c>
    </row>
    <row r="173" spans="1:7" x14ac:dyDescent="0.2">
      <c r="A173" s="3" t="s">
        <v>1069</v>
      </c>
      <c r="B173" s="4">
        <v>44469</v>
      </c>
      <c r="C173" s="3" t="s">
        <v>1168</v>
      </c>
      <c r="D173" s="3" t="s">
        <v>1201</v>
      </c>
      <c r="E173" s="3" t="s">
        <v>1112</v>
      </c>
      <c r="F173" s="3">
        <v>0</v>
      </c>
      <c r="G173" s="3">
        <v>765</v>
      </c>
    </row>
    <row r="174" spans="1:7" x14ac:dyDescent="0.2">
      <c r="A174" s="3" t="s">
        <v>1069</v>
      </c>
      <c r="B174" s="4">
        <v>44469</v>
      </c>
      <c r="C174" s="3" t="s">
        <v>1168</v>
      </c>
      <c r="D174" s="3" t="s">
        <v>1231</v>
      </c>
      <c r="E174" s="3" t="s">
        <v>1070</v>
      </c>
      <c r="F174" s="3">
        <v>3067.87</v>
      </c>
      <c r="G174" s="3">
        <v>11947.89</v>
      </c>
    </row>
    <row r="175" spans="1:7" x14ac:dyDescent="0.2">
      <c r="A175" s="3" t="s">
        <v>1069</v>
      </c>
      <c r="B175" s="4">
        <v>44469</v>
      </c>
      <c r="C175" s="3" t="s">
        <v>1168</v>
      </c>
      <c r="D175" s="3" t="s">
        <v>1254</v>
      </c>
      <c r="E175" s="3" t="s">
        <v>1075</v>
      </c>
      <c r="F175" s="3">
        <v>250</v>
      </c>
      <c r="G175" s="3">
        <v>250</v>
      </c>
    </row>
    <row r="176" spans="1:7" x14ac:dyDescent="0.2">
      <c r="A176" s="3" t="s">
        <v>1069</v>
      </c>
      <c r="B176" s="4">
        <v>44469</v>
      </c>
      <c r="C176" s="3" t="s">
        <v>1168</v>
      </c>
      <c r="D176" s="3" t="s">
        <v>1170</v>
      </c>
      <c r="E176" s="3" t="s">
        <v>1171</v>
      </c>
      <c r="F176" s="3">
        <v>14900</v>
      </c>
      <c r="G176" s="3">
        <v>17000</v>
      </c>
    </row>
    <row r="177" spans="1:7" x14ac:dyDescent="0.2">
      <c r="A177" s="3" t="s">
        <v>1069</v>
      </c>
      <c r="B177" s="4">
        <v>44469</v>
      </c>
      <c r="C177" s="3" t="s">
        <v>1168</v>
      </c>
      <c r="D177" s="3" t="s">
        <v>1213</v>
      </c>
      <c r="E177" s="3" t="s">
        <v>1150</v>
      </c>
      <c r="F177" s="3">
        <v>278.26</v>
      </c>
      <c r="G177" s="3">
        <v>1357.23</v>
      </c>
    </row>
    <row r="178" spans="1:7" x14ac:dyDescent="0.2">
      <c r="A178" s="3" t="s">
        <v>1069</v>
      </c>
      <c r="B178" s="4">
        <v>44469</v>
      </c>
      <c r="C178" s="3" t="s">
        <v>1168</v>
      </c>
      <c r="D178" s="3" t="s">
        <v>1232</v>
      </c>
      <c r="E178" s="3" t="s">
        <v>1105</v>
      </c>
      <c r="F178" s="3">
        <v>550</v>
      </c>
      <c r="G178" s="3">
        <v>1650</v>
      </c>
    </row>
    <row r="179" spans="1:7" x14ac:dyDescent="0.2">
      <c r="A179" s="3" t="s">
        <v>1069</v>
      </c>
      <c r="B179" s="4">
        <v>44469</v>
      </c>
      <c r="C179" s="3" t="s">
        <v>1172</v>
      </c>
      <c r="D179" s="3" t="s">
        <v>1173</v>
      </c>
      <c r="E179" s="3" t="s">
        <v>1174</v>
      </c>
      <c r="F179" s="3">
        <v>0</v>
      </c>
      <c r="G179" s="3">
        <v>-100</v>
      </c>
    </row>
    <row r="180" spans="1:7" x14ac:dyDescent="0.2">
      <c r="A180" s="3" t="s">
        <v>1069</v>
      </c>
      <c r="B180" s="4">
        <v>44469</v>
      </c>
      <c r="C180" s="3" t="s">
        <v>1180</v>
      </c>
      <c r="D180" s="3" t="s">
        <v>1241</v>
      </c>
      <c r="E180" s="3" t="s">
        <v>1242</v>
      </c>
      <c r="F180" s="3">
        <v>20976776.449999999</v>
      </c>
      <c r="G180" s="3">
        <v>21976776.449999999</v>
      </c>
    </row>
    <row r="181" spans="1:7" x14ac:dyDescent="0.2">
      <c r="A181" s="3" t="s">
        <v>1069</v>
      </c>
      <c r="B181" s="4">
        <v>44469</v>
      </c>
      <c r="C181" s="3" t="s">
        <v>1175</v>
      </c>
      <c r="D181" s="3" t="s">
        <v>1176</v>
      </c>
      <c r="E181" s="3" t="s">
        <v>1177</v>
      </c>
      <c r="F181" s="3">
        <v>-14900</v>
      </c>
      <c r="G181" s="3">
        <v>-14900</v>
      </c>
    </row>
    <row r="182" spans="1:7" x14ac:dyDescent="0.2">
      <c r="A182" s="3" t="s">
        <v>1069</v>
      </c>
      <c r="B182" s="4">
        <v>44469</v>
      </c>
      <c r="C182" s="3" t="s">
        <v>1175</v>
      </c>
      <c r="D182" s="3" t="s">
        <v>1178</v>
      </c>
      <c r="E182" s="3" t="s">
        <v>1179</v>
      </c>
      <c r="F182" s="3">
        <v>18850</v>
      </c>
      <c r="G182" s="3">
        <v>18850</v>
      </c>
    </row>
    <row r="183" spans="1:7" x14ac:dyDescent="0.2">
      <c r="A183" s="3" t="s">
        <v>1069</v>
      </c>
      <c r="B183" s="4">
        <v>44469</v>
      </c>
      <c r="C183" s="3" t="s">
        <v>1175</v>
      </c>
      <c r="D183" s="3" t="s">
        <v>1233</v>
      </c>
      <c r="E183" s="3" t="s">
        <v>1234</v>
      </c>
      <c r="F183" s="3">
        <v>-2600</v>
      </c>
      <c r="G183" s="3">
        <v>-30600</v>
      </c>
    </row>
    <row r="184" spans="1:7" x14ac:dyDescent="0.2">
      <c r="A184" s="3" t="s">
        <v>1069</v>
      </c>
      <c r="B184" s="4">
        <v>44469</v>
      </c>
      <c r="C184" s="3" t="s">
        <v>1175</v>
      </c>
      <c r="D184" s="3" t="s">
        <v>1255</v>
      </c>
      <c r="E184" s="3" t="s">
        <v>1256</v>
      </c>
      <c r="F184" s="3">
        <v>-3635</v>
      </c>
      <c r="G184" s="3">
        <v>-3635</v>
      </c>
    </row>
    <row r="185" spans="1:7" x14ac:dyDescent="0.2">
      <c r="A185" s="3" t="s">
        <v>1069</v>
      </c>
      <c r="B185" s="4">
        <v>44469</v>
      </c>
      <c r="C185" s="3" t="s">
        <v>1180</v>
      </c>
      <c r="D185" s="3" t="s">
        <v>1214</v>
      </c>
      <c r="E185" s="3" t="s">
        <v>1215</v>
      </c>
      <c r="F185" s="3">
        <v>0</v>
      </c>
      <c r="G185" s="3">
        <v>26200000</v>
      </c>
    </row>
    <row r="186" spans="1:7" x14ac:dyDescent="0.2">
      <c r="A186" s="3" t="s">
        <v>1069</v>
      </c>
      <c r="B186" s="4">
        <v>44469</v>
      </c>
      <c r="C186" s="3" t="s">
        <v>1180</v>
      </c>
      <c r="D186" s="3" t="s">
        <v>1216</v>
      </c>
      <c r="E186" s="3" t="s">
        <v>1217</v>
      </c>
      <c r="F186" s="3">
        <v>0</v>
      </c>
      <c r="G186" s="3">
        <v>68427</v>
      </c>
    </row>
    <row r="187" spans="1:7" x14ac:dyDescent="0.2">
      <c r="A187" s="3" t="s">
        <v>1069</v>
      </c>
      <c r="B187" s="4">
        <v>44469</v>
      </c>
      <c r="C187" s="3" t="s">
        <v>1180</v>
      </c>
      <c r="D187" s="3" t="s">
        <v>1218</v>
      </c>
      <c r="E187" s="3" t="s">
        <v>1219</v>
      </c>
      <c r="F187" s="3">
        <v>0</v>
      </c>
      <c r="G187" s="3">
        <v>103812</v>
      </c>
    </row>
    <row r="188" spans="1:7" x14ac:dyDescent="0.2">
      <c r="A188" s="3" t="s">
        <v>1069</v>
      </c>
      <c r="B188" s="4">
        <v>44469</v>
      </c>
      <c r="C188" s="3" t="s">
        <v>1180</v>
      </c>
      <c r="D188" s="3" t="s">
        <v>1197</v>
      </c>
      <c r="E188" s="3" t="s">
        <v>1198</v>
      </c>
      <c r="F188" s="3">
        <v>0</v>
      </c>
      <c r="G188" s="3">
        <v>120000</v>
      </c>
    </row>
    <row r="189" spans="1:7" x14ac:dyDescent="0.2">
      <c r="A189" s="3" t="s">
        <v>1069</v>
      </c>
      <c r="B189" s="4">
        <v>44469</v>
      </c>
      <c r="C189" s="3" t="s">
        <v>1180</v>
      </c>
      <c r="D189" s="3" t="s">
        <v>1181</v>
      </c>
      <c r="E189" s="3" t="s">
        <v>1182</v>
      </c>
      <c r="F189" s="3">
        <v>31500</v>
      </c>
      <c r="G189" s="3">
        <v>421500</v>
      </c>
    </row>
    <row r="190" spans="1:7" x14ac:dyDescent="0.2">
      <c r="A190" s="3" t="s">
        <v>1069</v>
      </c>
      <c r="B190" s="4">
        <v>44469</v>
      </c>
      <c r="C190" s="3" t="s">
        <v>1180</v>
      </c>
      <c r="D190" s="3" t="s">
        <v>1202</v>
      </c>
      <c r="E190" s="3" t="s">
        <v>1203</v>
      </c>
      <c r="F190" s="3">
        <v>0</v>
      </c>
      <c r="G190" s="3">
        <v>4510</v>
      </c>
    </row>
    <row r="191" spans="1:7" x14ac:dyDescent="0.2">
      <c r="A191" s="3" t="s">
        <v>1069</v>
      </c>
      <c r="B191" s="4">
        <v>44469</v>
      </c>
      <c r="C191" s="3" t="s">
        <v>1180</v>
      </c>
      <c r="D191" s="3" t="s">
        <v>1204</v>
      </c>
      <c r="E191" s="3" t="s">
        <v>1205</v>
      </c>
      <c r="F191" s="3">
        <v>0</v>
      </c>
      <c r="G191" s="3">
        <v>7500</v>
      </c>
    </row>
    <row r="192" spans="1:7" x14ac:dyDescent="0.2">
      <c r="A192" s="3" t="s">
        <v>1069</v>
      </c>
      <c r="B192" s="4">
        <v>44469</v>
      </c>
      <c r="C192" s="3" t="s">
        <v>1180</v>
      </c>
      <c r="D192" s="3" t="s">
        <v>1199</v>
      </c>
      <c r="E192" s="3" t="s">
        <v>1200</v>
      </c>
      <c r="F192" s="3">
        <v>0</v>
      </c>
      <c r="G192" s="3">
        <v>39000</v>
      </c>
    </row>
    <row r="193" spans="1:7" x14ac:dyDescent="0.2">
      <c r="A193" s="3" t="s">
        <v>1069</v>
      </c>
      <c r="B193" s="4">
        <v>44469</v>
      </c>
      <c r="C193" s="3" t="s">
        <v>1180</v>
      </c>
      <c r="D193" s="3" t="s">
        <v>1220</v>
      </c>
      <c r="E193" s="3" t="s">
        <v>1221</v>
      </c>
      <c r="F193" s="3">
        <v>0</v>
      </c>
      <c r="G193" s="3">
        <v>15175</v>
      </c>
    </row>
    <row r="194" spans="1:7" x14ac:dyDescent="0.2">
      <c r="A194" s="3" t="s">
        <v>1069</v>
      </c>
      <c r="B194" s="4">
        <v>44469</v>
      </c>
      <c r="C194" s="3" t="s">
        <v>1180</v>
      </c>
      <c r="D194" s="3" t="s">
        <v>1183</v>
      </c>
      <c r="E194" s="3" t="s">
        <v>1184</v>
      </c>
      <c r="F194" s="3">
        <v>0</v>
      </c>
      <c r="G194" s="3">
        <v>23034.26</v>
      </c>
    </row>
    <row r="195" spans="1:7" x14ac:dyDescent="0.2">
      <c r="A195" s="3" t="s">
        <v>1069</v>
      </c>
      <c r="B195" s="4">
        <v>44469</v>
      </c>
      <c r="C195" s="3" t="s">
        <v>1180</v>
      </c>
      <c r="D195" s="3" t="s">
        <v>1222</v>
      </c>
      <c r="E195" s="3" t="s">
        <v>1223</v>
      </c>
      <c r="F195" s="3">
        <v>0</v>
      </c>
      <c r="G195" s="3">
        <v>1363107.22</v>
      </c>
    </row>
    <row r="196" spans="1:7" x14ac:dyDescent="0.2">
      <c r="A196" s="3" t="s">
        <v>1069</v>
      </c>
      <c r="B196" s="4">
        <v>44469</v>
      </c>
      <c r="C196" s="3" t="s">
        <v>1180</v>
      </c>
      <c r="D196" s="3" t="s">
        <v>1235</v>
      </c>
      <c r="E196" s="3" t="s">
        <v>1236</v>
      </c>
      <c r="F196" s="3">
        <v>0</v>
      </c>
      <c r="G196" s="3">
        <v>782608.07</v>
      </c>
    </row>
    <row r="197" spans="1:7" x14ac:dyDescent="0.2">
      <c r="A197" s="3" t="s">
        <v>1069</v>
      </c>
      <c r="B197" s="4">
        <v>44469</v>
      </c>
      <c r="C197" s="3" t="s">
        <v>1180</v>
      </c>
      <c r="D197" s="3" t="s">
        <v>1206</v>
      </c>
      <c r="E197" s="3" t="s">
        <v>1207</v>
      </c>
      <c r="F197" s="3">
        <v>6400</v>
      </c>
      <c r="G197" s="3">
        <v>129550</v>
      </c>
    </row>
    <row r="198" spans="1:7" x14ac:dyDescent="0.2">
      <c r="A198" s="3" t="s">
        <v>1069</v>
      </c>
      <c r="B198" s="4">
        <v>44469</v>
      </c>
      <c r="C198" s="3" t="s">
        <v>1180</v>
      </c>
      <c r="D198" s="3" t="s">
        <v>1208</v>
      </c>
      <c r="E198" s="3" t="s">
        <v>1209</v>
      </c>
      <c r="F198" s="3">
        <v>0</v>
      </c>
      <c r="G198" s="3">
        <v>45000</v>
      </c>
    </row>
    <row r="199" spans="1:7" x14ac:dyDescent="0.2">
      <c r="A199" s="3" t="s">
        <v>1069</v>
      </c>
      <c r="B199" s="4">
        <v>44469</v>
      </c>
      <c r="C199" s="3" t="s">
        <v>1180</v>
      </c>
      <c r="D199" s="3" t="s">
        <v>1257</v>
      </c>
      <c r="E199" s="3" t="s">
        <v>1258</v>
      </c>
      <c r="F199" s="3">
        <v>300000</v>
      </c>
      <c r="G199" s="3">
        <v>300000</v>
      </c>
    </row>
    <row r="200" spans="1:7" x14ac:dyDescent="0.2">
      <c r="A200" s="3" t="s">
        <v>1069</v>
      </c>
      <c r="B200" s="4">
        <v>44469</v>
      </c>
      <c r="C200" s="3" t="s">
        <v>1180</v>
      </c>
      <c r="D200" s="3" t="s">
        <v>1187</v>
      </c>
      <c r="E200" s="3" t="s">
        <v>1188</v>
      </c>
      <c r="F200" s="3">
        <v>-86186.02</v>
      </c>
      <c r="G200" s="3">
        <v>2006.16</v>
      </c>
    </row>
    <row r="201" spans="1:7" x14ac:dyDescent="0.2">
      <c r="A201" s="3" t="s">
        <v>1069</v>
      </c>
      <c r="B201" s="4">
        <v>44469</v>
      </c>
      <c r="C201" s="3" t="s">
        <v>1180</v>
      </c>
      <c r="D201" s="3" t="s">
        <v>1243</v>
      </c>
      <c r="E201" s="3" t="s">
        <v>1244</v>
      </c>
      <c r="F201" s="3">
        <v>-5.27</v>
      </c>
      <c r="G201" s="3">
        <v>494.73</v>
      </c>
    </row>
    <row r="202" spans="1:7" x14ac:dyDescent="0.2">
      <c r="A202" s="3" t="s">
        <v>1069</v>
      </c>
      <c r="B202" s="4">
        <v>44469</v>
      </c>
      <c r="C202" s="3" t="s">
        <v>1180</v>
      </c>
      <c r="D202" s="3" t="s">
        <v>1245</v>
      </c>
      <c r="E202" s="3" t="s">
        <v>1246</v>
      </c>
      <c r="F202" s="3">
        <v>2785308.45</v>
      </c>
      <c r="G202" s="3">
        <v>3785808.45</v>
      </c>
    </row>
    <row r="203" spans="1:7" x14ac:dyDescent="0.2">
      <c r="A203" s="3" t="s">
        <v>1069</v>
      </c>
      <c r="B203" s="4">
        <v>44469</v>
      </c>
      <c r="C203" s="3" t="s">
        <v>1175</v>
      </c>
      <c r="D203" s="3" t="s">
        <v>1191</v>
      </c>
      <c r="E203" s="3" t="s">
        <v>1192</v>
      </c>
      <c r="F203" s="3">
        <v>-3159208.64</v>
      </c>
      <c r="G203" s="3">
        <v>-36809934.329999998</v>
      </c>
    </row>
    <row r="204" spans="1:7" x14ac:dyDescent="0.2">
      <c r="A204" s="3" t="s">
        <v>1069</v>
      </c>
      <c r="B204" s="4">
        <v>44469</v>
      </c>
      <c r="C204" s="3" t="s">
        <v>1175</v>
      </c>
      <c r="D204" s="3" t="s">
        <v>1193</v>
      </c>
      <c r="E204" s="3" t="s">
        <v>1194</v>
      </c>
      <c r="F204" s="3">
        <v>10375.89</v>
      </c>
      <c r="G204" s="3">
        <v>3433112.93</v>
      </c>
    </row>
    <row r="205" spans="1:7" x14ac:dyDescent="0.2">
      <c r="A205" s="3" t="s">
        <v>1069</v>
      </c>
      <c r="B205" s="4">
        <v>44500</v>
      </c>
      <c r="C205" s="3" t="s">
        <v>1210</v>
      </c>
      <c r="D205" s="3" t="s">
        <v>1239</v>
      </c>
      <c r="E205" s="3" t="s">
        <v>1240</v>
      </c>
      <c r="F205" s="3">
        <v>2263732.77</v>
      </c>
      <c r="G205" s="3">
        <v>-19713043.68</v>
      </c>
    </row>
    <row r="206" spans="1:7" x14ac:dyDescent="0.2">
      <c r="A206" s="3" t="s">
        <v>1069</v>
      </c>
      <c r="B206" s="4">
        <v>44500</v>
      </c>
      <c r="C206" s="3" t="s">
        <v>1168</v>
      </c>
      <c r="D206" s="3" t="s">
        <v>1247</v>
      </c>
      <c r="E206" s="3" t="s">
        <v>1248</v>
      </c>
      <c r="F206" s="3">
        <v>2850</v>
      </c>
      <c r="G206" s="3">
        <v>6230</v>
      </c>
    </row>
    <row r="207" spans="1:7" x14ac:dyDescent="0.2">
      <c r="A207" s="3" t="s">
        <v>1069</v>
      </c>
      <c r="B207" s="4">
        <v>44500</v>
      </c>
      <c r="C207" s="3" t="s">
        <v>1210</v>
      </c>
      <c r="D207" s="3" t="s">
        <v>1211</v>
      </c>
      <c r="E207" s="3" t="s">
        <v>1212</v>
      </c>
      <c r="F207" s="3">
        <v>0</v>
      </c>
      <c r="G207" s="3">
        <v>-1245</v>
      </c>
    </row>
    <row r="208" spans="1:7" x14ac:dyDescent="0.2">
      <c r="A208" s="3" t="s">
        <v>1069</v>
      </c>
      <c r="B208" s="4">
        <v>44500</v>
      </c>
      <c r="C208" s="3" t="s">
        <v>1210</v>
      </c>
      <c r="D208" s="3" t="s">
        <v>1224</v>
      </c>
      <c r="E208" s="3" t="s">
        <v>1225</v>
      </c>
      <c r="F208" s="3">
        <v>0</v>
      </c>
      <c r="G208" s="3">
        <v>-149149.4</v>
      </c>
    </row>
    <row r="209" spans="1:7" x14ac:dyDescent="0.2">
      <c r="A209" s="3" t="s">
        <v>1069</v>
      </c>
      <c r="B209" s="4">
        <v>44500</v>
      </c>
      <c r="C209" s="3" t="s">
        <v>1210</v>
      </c>
      <c r="D209" s="3" t="s">
        <v>1249</v>
      </c>
      <c r="E209" s="3" t="s">
        <v>1250</v>
      </c>
      <c r="F209" s="3">
        <v>-34679.269999999997</v>
      </c>
      <c r="G209" s="3">
        <v>-40834.11</v>
      </c>
    </row>
    <row r="210" spans="1:7" x14ac:dyDescent="0.2">
      <c r="A210" s="3" t="s">
        <v>1069</v>
      </c>
      <c r="B210" s="4">
        <v>44500</v>
      </c>
      <c r="C210" s="3" t="s">
        <v>1168</v>
      </c>
      <c r="D210" s="3" t="s">
        <v>1226</v>
      </c>
      <c r="E210" s="3" t="s">
        <v>1126</v>
      </c>
      <c r="F210" s="3">
        <v>0</v>
      </c>
      <c r="G210" s="3">
        <v>100</v>
      </c>
    </row>
    <row r="211" spans="1:7" x14ac:dyDescent="0.2">
      <c r="A211" s="3" t="s">
        <v>1069</v>
      </c>
      <c r="B211" s="4">
        <v>44500</v>
      </c>
      <c r="C211" s="3" t="s">
        <v>1168</v>
      </c>
      <c r="D211" s="3" t="s">
        <v>1169</v>
      </c>
      <c r="E211" s="3" t="s">
        <v>1079</v>
      </c>
      <c r="F211" s="3">
        <v>36211</v>
      </c>
      <c r="G211" s="3">
        <v>46205.52</v>
      </c>
    </row>
    <row r="212" spans="1:7" x14ac:dyDescent="0.2">
      <c r="A212" s="3" t="s">
        <v>1069</v>
      </c>
      <c r="B212" s="4">
        <v>44500</v>
      </c>
      <c r="C212" s="3" t="s">
        <v>1168</v>
      </c>
      <c r="D212" s="3" t="s">
        <v>1195</v>
      </c>
      <c r="E212" s="3" t="s">
        <v>1085</v>
      </c>
      <c r="F212" s="3">
        <v>411.55</v>
      </c>
      <c r="G212" s="3">
        <v>2187.27</v>
      </c>
    </row>
    <row r="213" spans="1:7" x14ac:dyDescent="0.2">
      <c r="A213" s="3" t="s">
        <v>1069</v>
      </c>
      <c r="B213" s="4">
        <v>44500</v>
      </c>
      <c r="C213" s="3" t="s">
        <v>1168</v>
      </c>
      <c r="D213" s="3" t="s">
        <v>1227</v>
      </c>
      <c r="E213" s="3" t="s">
        <v>1228</v>
      </c>
      <c r="F213" s="3">
        <v>0</v>
      </c>
      <c r="G213" s="3">
        <v>3000</v>
      </c>
    </row>
    <row r="214" spans="1:7" x14ac:dyDescent="0.2">
      <c r="A214" s="3" t="s">
        <v>1069</v>
      </c>
      <c r="B214" s="4">
        <v>44500</v>
      </c>
      <c r="C214" s="3" t="s">
        <v>1168</v>
      </c>
      <c r="D214" s="3" t="s">
        <v>1251</v>
      </c>
      <c r="E214" s="3" t="s">
        <v>1095</v>
      </c>
      <c r="F214" s="3">
        <v>73220.73</v>
      </c>
      <c r="G214" s="3">
        <v>140605.73000000001</v>
      </c>
    </row>
    <row r="215" spans="1:7" x14ac:dyDescent="0.2">
      <c r="A215" s="3" t="s">
        <v>1069</v>
      </c>
      <c r="B215" s="4">
        <v>44500</v>
      </c>
      <c r="C215" s="3" t="s">
        <v>1168</v>
      </c>
      <c r="D215" s="3" t="s">
        <v>1252</v>
      </c>
      <c r="E215" s="3" t="s">
        <v>1120</v>
      </c>
      <c r="F215" s="3">
        <v>7568</v>
      </c>
      <c r="G215" s="3">
        <v>13508</v>
      </c>
    </row>
    <row r="216" spans="1:7" x14ac:dyDescent="0.2">
      <c r="A216" s="3" t="s">
        <v>1069</v>
      </c>
      <c r="B216" s="4">
        <v>44500</v>
      </c>
      <c r="C216" s="3" t="s">
        <v>1168</v>
      </c>
      <c r="D216" s="3" t="s">
        <v>1229</v>
      </c>
      <c r="E216" s="3" t="s">
        <v>1136</v>
      </c>
      <c r="F216" s="3">
        <v>2325.02</v>
      </c>
      <c r="G216" s="3">
        <v>10585.64</v>
      </c>
    </row>
    <row r="217" spans="1:7" x14ac:dyDescent="0.2">
      <c r="A217" s="3" t="s">
        <v>1069</v>
      </c>
      <c r="B217" s="4">
        <v>44500</v>
      </c>
      <c r="C217" s="3" t="s">
        <v>1168</v>
      </c>
      <c r="D217" s="3" t="s">
        <v>1230</v>
      </c>
      <c r="E217" s="3" t="s">
        <v>1109</v>
      </c>
      <c r="F217" s="3">
        <v>345.35</v>
      </c>
      <c r="G217" s="3">
        <v>1380.25</v>
      </c>
    </row>
    <row r="218" spans="1:7" x14ac:dyDescent="0.2">
      <c r="A218" s="3" t="s">
        <v>1069</v>
      </c>
      <c r="B218" s="4">
        <v>44500</v>
      </c>
      <c r="C218" s="3" t="s">
        <v>1168</v>
      </c>
      <c r="D218" s="3" t="s">
        <v>1196</v>
      </c>
      <c r="E218" s="3" t="s">
        <v>1131</v>
      </c>
      <c r="F218" s="3">
        <v>0</v>
      </c>
      <c r="G218" s="3">
        <v>250</v>
      </c>
    </row>
    <row r="219" spans="1:7" x14ac:dyDescent="0.2">
      <c r="A219" s="3" t="s">
        <v>1069</v>
      </c>
      <c r="B219" s="4">
        <v>44500</v>
      </c>
      <c r="C219" s="3" t="s">
        <v>1168</v>
      </c>
      <c r="D219" s="3" t="s">
        <v>1253</v>
      </c>
      <c r="E219" s="3" t="s">
        <v>1103</v>
      </c>
      <c r="F219" s="3">
        <v>51075.43</v>
      </c>
      <c r="G219" s="3">
        <v>69207.3</v>
      </c>
    </row>
    <row r="220" spans="1:7" x14ac:dyDescent="0.2">
      <c r="A220" s="3" t="s">
        <v>1069</v>
      </c>
      <c r="B220" s="4">
        <v>44500</v>
      </c>
      <c r="C220" s="3" t="s">
        <v>1168</v>
      </c>
      <c r="D220" s="3" t="s">
        <v>1201</v>
      </c>
      <c r="E220" s="3" t="s">
        <v>1112</v>
      </c>
      <c r="F220" s="3">
        <v>0</v>
      </c>
      <c r="G220" s="3">
        <v>765</v>
      </c>
    </row>
    <row r="221" spans="1:7" x14ac:dyDescent="0.2">
      <c r="A221" s="3" t="s">
        <v>1069</v>
      </c>
      <c r="B221" s="4">
        <v>44500</v>
      </c>
      <c r="C221" s="3" t="s">
        <v>1168</v>
      </c>
      <c r="D221" s="3" t="s">
        <v>1231</v>
      </c>
      <c r="E221" s="3" t="s">
        <v>1070</v>
      </c>
      <c r="F221" s="3">
        <v>2965.61</v>
      </c>
      <c r="G221" s="3">
        <v>14913.5</v>
      </c>
    </row>
    <row r="222" spans="1:7" x14ac:dyDescent="0.2">
      <c r="A222" s="3" t="s">
        <v>1069</v>
      </c>
      <c r="B222" s="4">
        <v>44500</v>
      </c>
      <c r="C222" s="3" t="s">
        <v>1168</v>
      </c>
      <c r="D222" s="3" t="s">
        <v>1254</v>
      </c>
      <c r="E222" s="3" t="s">
        <v>1075</v>
      </c>
      <c r="F222" s="3">
        <v>0</v>
      </c>
      <c r="G222" s="3">
        <v>250</v>
      </c>
    </row>
    <row r="223" spans="1:7" x14ac:dyDescent="0.2">
      <c r="A223" s="3" t="s">
        <v>1069</v>
      </c>
      <c r="B223" s="4">
        <v>44500</v>
      </c>
      <c r="C223" s="3" t="s">
        <v>1168</v>
      </c>
      <c r="D223" s="3" t="s">
        <v>1170</v>
      </c>
      <c r="E223" s="3" t="s">
        <v>1171</v>
      </c>
      <c r="F223" s="3">
        <v>0</v>
      </c>
      <c r="G223" s="3">
        <v>17000</v>
      </c>
    </row>
    <row r="224" spans="1:7" x14ac:dyDescent="0.2">
      <c r="A224" s="3" t="s">
        <v>1069</v>
      </c>
      <c r="B224" s="4">
        <v>44500</v>
      </c>
      <c r="C224" s="3" t="s">
        <v>1168</v>
      </c>
      <c r="D224" s="3" t="s">
        <v>1213</v>
      </c>
      <c r="E224" s="3" t="s">
        <v>1150</v>
      </c>
      <c r="F224" s="3">
        <v>1095.26</v>
      </c>
      <c r="G224" s="3">
        <v>2452.4899999999998</v>
      </c>
    </row>
    <row r="225" spans="1:7" x14ac:dyDescent="0.2">
      <c r="A225" s="3" t="s">
        <v>1069</v>
      </c>
      <c r="B225" s="4">
        <v>44500</v>
      </c>
      <c r="C225" s="3" t="s">
        <v>1168</v>
      </c>
      <c r="D225" s="3" t="s">
        <v>1232</v>
      </c>
      <c r="E225" s="3" t="s">
        <v>1105</v>
      </c>
      <c r="F225" s="3">
        <v>550</v>
      </c>
      <c r="G225" s="3">
        <v>2200</v>
      </c>
    </row>
    <row r="226" spans="1:7" x14ac:dyDescent="0.2">
      <c r="A226" s="3" t="s">
        <v>1069</v>
      </c>
      <c r="B226" s="4">
        <v>44500</v>
      </c>
      <c r="C226" s="3" t="s">
        <v>1172</v>
      </c>
      <c r="D226" s="3" t="s">
        <v>1173</v>
      </c>
      <c r="E226" s="3" t="s">
        <v>1174</v>
      </c>
      <c r="F226" s="3">
        <v>0</v>
      </c>
      <c r="G226" s="3">
        <v>-100</v>
      </c>
    </row>
    <row r="227" spans="1:7" x14ac:dyDescent="0.2">
      <c r="A227" s="3" t="s">
        <v>1069</v>
      </c>
      <c r="B227" s="4">
        <v>44500</v>
      </c>
      <c r="C227" s="3" t="s">
        <v>1180</v>
      </c>
      <c r="D227" s="3" t="s">
        <v>1241</v>
      </c>
      <c r="E227" s="3" t="s">
        <v>1242</v>
      </c>
      <c r="F227" s="3">
        <v>-2263732.77</v>
      </c>
      <c r="G227" s="3">
        <v>19713043.68</v>
      </c>
    </row>
    <row r="228" spans="1:7" x14ac:dyDescent="0.2">
      <c r="A228" s="3" t="s">
        <v>1069</v>
      </c>
      <c r="B228" s="4">
        <v>44500</v>
      </c>
      <c r="C228" s="3" t="s">
        <v>1175</v>
      </c>
      <c r="D228" s="3" t="s">
        <v>1176</v>
      </c>
      <c r="E228" s="3" t="s">
        <v>1177</v>
      </c>
      <c r="F228" s="3">
        <v>0</v>
      </c>
      <c r="G228" s="3">
        <v>-14900</v>
      </c>
    </row>
    <row r="229" spans="1:7" x14ac:dyDescent="0.2">
      <c r="A229" s="3" t="s">
        <v>1069</v>
      </c>
      <c r="B229" s="4">
        <v>44500</v>
      </c>
      <c r="C229" s="3" t="s">
        <v>1175</v>
      </c>
      <c r="D229" s="3" t="s">
        <v>1178</v>
      </c>
      <c r="E229" s="3" t="s">
        <v>1179</v>
      </c>
      <c r="F229" s="3">
        <v>324000</v>
      </c>
      <c r="G229" s="3">
        <v>342850</v>
      </c>
    </row>
    <row r="230" spans="1:7" x14ac:dyDescent="0.2">
      <c r="A230" s="3" t="s">
        <v>1069</v>
      </c>
      <c r="B230" s="4">
        <v>44500</v>
      </c>
      <c r="C230" s="3" t="s">
        <v>1175</v>
      </c>
      <c r="D230" s="3" t="s">
        <v>1233</v>
      </c>
      <c r="E230" s="3" t="s">
        <v>1234</v>
      </c>
      <c r="F230" s="3">
        <v>-10000</v>
      </c>
      <c r="G230" s="3">
        <v>-40600</v>
      </c>
    </row>
    <row r="231" spans="1:7" x14ac:dyDescent="0.2">
      <c r="A231" s="3" t="s">
        <v>1069</v>
      </c>
      <c r="B231" s="4">
        <v>44500</v>
      </c>
      <c r="C231" s="3" t="s">
        <v>1175</v>
      </c>
      <c r="D231" s="3" t="s">
        <v>1255</v>
      </c>
      <c r="E231" s="3" t="s">
        <v>1256</v>
      </c>
      <c r="F231" s="3">
        <v>0</v>
      </c>
      <c r="G231" s="3">
        <v>-3635</v>
      </c>
    </row>
    <row r="232" spans="1:7" x14ac:dyDescent="0.2">
      <c r="A232" s="3" t="s">
        <v>1069</v>
      </c>
      <c r="B232" s="4">
        <v>44500</v>
      </c>
      <c r="C232" s="3" t="s">
        <v>1180</v>
      </c>
      <c r="D232" s="3" t="s">
        <v>1214</v>
      </c>
      <c r="E232" s="3" t="s">
        <v>1215</v>
      </c>
      <c r="F232" s="3">
        <v>0</v>
      </c>
      <c r="G232" s="3">
        <v>26200000</v>
      </c>
    </row>
    <row r="233" spans="1:7" x14ac:dyDescent="0.2">
      <c r="A233" s="3" t="s">
        <v>1069</v>
      </c>
      <c r="B233" s="4">
        <v>44500</v>
      </c>
      <c r="C233" s="3" t="s">
        <v>1180</v>
      </c>
      <c r="D233" s="3" t="s">
        <v>1216</v>
      </c>
      <c r="E233" s="3" t="s">
        <v>1217</v>
      </c>
      <c r="F233" s="3">
        <v>0</v>
      </c>
      <c r="G233" s="3">
        <v>68427</v>
      </c>
    </row>
    <row r="234" spans="1:7" x14ac:dyDescent="0.2">
      <c r="A234" s="3" t="s">
        <v>1069</v>
      </c>
      <c r="B234" s="4">
        <v>44500</v>
      </c>
      <c r="C234" s="3" t="s">
        <v>1180</v>
      </c>
      <c r="D234" s="3" t="s">
        <v>1218</v>
      </c>
      <c r="E234" s="3" t="s">
        <v>1219</v>
      </c>
      <c r="F234" s="3">
        <v>0</v>
      </c>
      <c r="G234" s="3">
        <v>103812</v>
      </c>
    </row>
    <row r="235" spans="1:7" x14ac:dyDescent="0.2">
      <c r="A235" s="3" t="s">
        <v>1069</v>
      </c>
      <c r="B235" s="4">
        <v>44500</v>
      </c>
      <c r="C235" s="3" t="s">
        <v>1180</v>
      </c>
      <c r="D235" s="3" t="s">
        <v>1197</v>
      </c>
      <c r="E235" s="3" t="s">
        <v>1198</v>
      </c>
      <c r="F235" s="3">
        <v>7000</v>
      </c>
      <c r="G235" s="3">
        <v>127000</v>
      </c>
    </row>
    <row r="236" spans="1:7" x14ac:dyDescent="0.2">
      <c r="A236" s="3" t="s">
        <v>1069</v>
      </c>
      <c r="B236" s="4">
        <v>44500</v>
      </c>
      <c r="C236" s="3" t="s">
        <v>1180</v>
      </c>
      <c r="D236" s="3" t="s">
        <v>1181</v>
      </c>
      <c r="E236" s="3" t="s">
        <v>1182</v>
      </c>
      <c r="F236" s="3">
        <v>2034735</v>
      </c>
      <c r="G236" s="3">
        <v>2456235</v>
      </c>
    </row>
    <row r="237" spans="1:7" x14ac:dyDescent="0.2">
      <c r="A237" s="3" t="s">
        <v>1069</v>
      </c>
      <c r="B237" s="4">
        <v>44500</v>
      </c>
      <c r="C237" s="3" t="s">
        <v>1180</v>
      </c>
      <c r="D237" s="3" t="s">
        <v>1202</v>
      </c>
      <c r="E237" s="3" t="s">
        <v>1203</v>
      </c>
      <c r="F237" s="3">
        <v>0</v>
      </c>
      <c r="G237" s="3">
        <v>4510</v>
      </c>
    </row>
    <row r="238" spans="1:7" x14ac:dyDescent="0.2">
      <c r="A238" s="3" t="s">
        <v>1069</v>
      </c>
      <c r="B238" s="4">
        <v>44500</v>
      </c>
      <c r="C238" s="3" t="s">
        <v>1180</v>
      </c>
      <c r="D238" s="3" t="s">
        <v>1204</v>
      </c>
      <c r="E238" s="3" t="s">
        <v>1205</v>
      </c>
      <c r="F238" s="3">
        <v>0</v>
      </c>
      <c r="G238" s="3">
        <v>7500</v>
      </c>
    </row>
    <row r="239" spans="1:7" x14ac:dyDescent="0.2">
      <c r="A239" s="3" t="s">
        <v>1069</v>
      </c>
      <c r="B239" s="4">
        <v>44500</v>
      </c>
      <c r="C239" s="3" t="s">
        <v>1180</v>
      </c>
      <c r="D239" s="3" t="s">
        <v>1199</v>
      </c>
      <c r="E239" s="3" t="s">
        <v>1200</v>
      </c>
      <c r="F239" s="3">
        <v>0</v>
      </c>
      <c r="G239" s="3">
        <v>39000</v>
      </c>
    </row>
    <row r="240" spans="1:7" x14ac:dyDescent="0.2">
      <c r="A240" s="3" t="s">
        <v>1069</v>
      </c>
      <c r="B240" s="4">
        <v>44500</v>
      </c>
      <c r="C240" s="3" t="s">
        <v>1180</v>
      </c>
      <c r="D240" s="3" t="s">
        <v>1220</v>
      </c>
      <c r="E240" s="3" t="s">
        <v>1221</v>
      </c>
      <c r="F240" s="3">
        <v>0</v>
      </c>
      <c r="G240" s="3">
        <v>15175</v>
      </c>
    </row>
    <row r="241" spans="1:7" x14ac:dyDescent="0.2">
      <c r="A241" s="3" t="s">
        <v>1069</v>
      </c>
      <c r="B241" s="4">
        <v>44500</v>
      </c>
      <c r="C241" s="3" t="s">
        <v>1180</v>
      </c>
      <c r="D241" s="3" t="s">
        <v>1183</v>
      </c>
      <c r="E241" s="3" t="s">
        <v>1184</v>
      </c>
      <c r="F241" s="3">
        <v>0</v>
      </c>
      <c r="G241" s="3">
        <v>23034.26</v>
      </c>
    </row>
    <row r="242" spans="1:7" x14ac:dyDescent="0.2">
      <c r="A242" s="3" t="s">
        <v>1069</v>
      </c>
      <c r="B242" s="4">
        <v>44500</v>
      </c>
      <c r="C242" s="3" t="s">
        <v>1180</v>
      </c>
      <c r="D242" s="3" t="s">
        <v>1222</v>
      </c>
      <c r="E242" s="3" t="s">
        <v>1223</v>
      </c>
      <c r="F242" s="3">
        <v>191997.77</v>
      </c>
      <c r="G242" s="3">
        <v>1555104.99</v>
      </c>
    </row>
    <row r="243" spans="1:7" x14ac:dyDescent="0.2">
      <c r="A243" s="3" t="s">
        <v>1069</v>
      </c>
      <c r="B243" s="4">
        <v>44500</v>
      </c>
      <c r="C243" s="3" t="s">
        <v>1180</v>
      </c>
      <c r="D243" s="3" t="s">
        <v>1235</v>
      </c>
      <c r="E243" s="3" t="s">
        <v>1236</v>
      </c>
      <c r="F243" s="3">
        <v>0</v>
      </c>
      <c r="G243" s="3">
        <v>782608.07</v>
      </c>
    </row>
    <row r="244" spans="1:7" x14ac:dyDescent="0.2">
      <c r="A244" s="3" t="s">
        <v>1069</v>
      </c>
      <c r="B244" s="4">
        <v>44500</v>
      </c>
      <c r="C244" s="3" t="s">
        <v>1180</v>
      </c>
      <c r="D244" s="3" t="s">
        <v>1206</v>
      </c>
      <c r="E244" s="3" t="s">
        <v>1207</v>
      </c>
      <c r="F244" s="3">
        <v>0</v>
      </c>
      <c r="G244" s="3">
        <v>129550</v>
      </c>
    </row>
    <row r="245" spans="1:7" x14ac:dyDescent="0.2">
      <c r="A245" s="3" t="s">
        <v>1069</v>
      </c>
      <c r="B245" s="4">
        <v>44500</v>
      </c>
      <c r="C245" s="3" t="s">
        <v>1180</v>
      </c>
      <c r="D245" s="3" t="s">
        <v>1208</v>
      </c>
      <c r="E245" s="3" t="s">
        <v>1209</v>
      </c>
      <c r="F245" s="3">
        <v>0</v>
      </c>
      <c r="G245" s="3">
        <v>45000</v>
      </c>
    </row>
    <row r="246" spans="1:7" x14ac:dyDescent="0.2">
      <c r="A246" s="3" t="s">
        <v>1069</v>
      </c>
      <c r="B246" s="4">
        <v>44500</v>
      </c>
      <c r="C246" s="3" t="s">
        <v>1180</v>
      </c>
      <c r="D246" s="3" t="s">
        <v>1259</v>
      </c>
      <c r="E246" s="3" t="s">
        <v>1260</v>
      </c>
      <c r="F246" s="3">
        <v>30000</v>
      </c>
      <c r="G246" s="3">
        <v>30000</v>
      </c>
    </row>
    <row r="247" spans="1:7" x14ac:dyDescent="0.2">
      <c r="A247" s="3" t="s">
        <v>1069</v>
      </c>
      <c r="B247" s="4">
        <v>44500</v>
      </c>
      <c r="C247" s="3" t="s">
        <v>1180</v>
      </c>
      <c r="D247" s="3" t="s">
        <v>1257</v>
      </c>
      <c r="E247" s="3" t="s">
        <v>1258</v>
      </c>
      <c r="F247" s="3">
        <v>0</v>
      </c>
      <c r="G247" s="3">
        <v>300000</v>
      </c>
    </row>
    <row r="248" spans="1:7" x14ac:dyDescent="0.2">
      <c r="A248" s="3" t="s">
        <v>1069</v>
      </c>
      <c r="B248" s="4">
        <v>44500</v>
      </c>
      <c r="C248" s="3" t="s">
        <v>1180</v>
      </c>
      <c r="D248" s="3" t="s">
        <v>1187</v>
      </c>
      <c r="E248" s="3" t="s">
        <v>1188</v>
      </c>
      <c r="F248" s="3">
        <v>58528.480000000003</v>
      </c>
      <c r="G248" s="3">
        <v>60534.64</v>
      </c>
    </row>
    <row r="249" spans="1:7" x14ac:dyDescent="0.2">
      <c r="A249" s="3" t="s">
        <v>1069</v>
      </c>
      <c r="B249" s="4">
        <v>44500</v>
      </c>
      <c r="C249" s="3" t="s">
        <v>1180</v>
      </c>
      <c r="D249" s="3" t="s">
        <v>1243</v>
      </c>
      <c r="E249" s="3" t="s">
        <v>1244</v>
      </c>
      <c r="F249" s="3">
        <v>389512.35</v>
      </c>
      <c r="G249" s="3">
        <v>390007.08</v>
      </c>
    </row>
    <row r="250" spans="1:7" x14ac:dyDescent="0.2">
      <c r="A250" s="3" t="s">
        <v>1069</v>
      </c>
      <c r="B250" s="4">
        <v>44500</v>
      </c>
      <c r="C250" s="3" t="s">
        <v>1180</v>
      </c>
      <c r="D250" s="3" t="s">
        <v>1245</v>
      </c>
      <c r="E250" s="3" t="s">
        <v>1246</v>
      </c>
      <c r="F250" s="3">
        <v>8736430.1799999997</v>
      </c>
      <c r="G250" s="3">
        <v>12522238.630000001</v>
      </c>
    </row>
    <row r="251" spans="1:7" x14ac:dyDescent="0.2">
      <c r="A251" s="3" t="s">
        <v>1069</v>
      </c>
      <c r="B251" s="4">
        <v>44500</v>
      </c>
      <c r="C251" s="3" t="s">
        <v>1175</v>
      </c>
      <c r="D251" s="3" t="s">
        <v>1191</v>
      </c>
      <c r="E251" s="3" t="s">
        <v>1192</v>
      </c>
      <c r="F251" s="3">
        <v>-8843754.0299999993</v>
      </c>
      <c r="G251" s="3">
        <v>-45653688.359999999</v>
      </c>
    </row>
    <row r="252" spans="1:7" x14ac:dyDescent="0.2">
      <c r="A252" s="3" t="s">
        <v>1069</v>
      </c>
      <c r="B252" s="4">
        <v>44500</v>
      </c>
      <c r="C252" s="3" t="s">
        <v>1175</v>
      </c>
      <c r="D252" s="3" t="s">
        <v>1193</v>
      </c>
      <c r="E252" s="3" t="s">
        <v>1194</v>
      </c>
      <c r="F252" s="3">
        <v>-3062388.43</v>
      </c>
      <c r="G252" s="3">
        <v>370724.5</v>
      </c>
    </row>
    <row r="253" spans="1:7" x14ac:dyDescent="0.2">
      <c r="A253" s="3" t="s">
        <v>1069</v>
      </c>
      <c r="B253" s="4">
        <v>44530</v>
      </c>
      <c r="C253" s="3" t="s">
        <v>1210</v>
      </c>
      <c r="D253" s="3" t="s">
        <v>1239</v>
      </c>
      <c r="E253" s="3" t="s">
        <v>1240</v>
      </c>
      <c r="F253" s="3">
        <v>0</v>
      </c>
      <c r="G253" s="3">
        <v>-19713043.68</v>
      </c>
    </row>
    <row r="254" spans="1:7" x14ac:dyDescent="0.2">
      <c r="A254" s="3" t="s">
        <v>1069</v>
      </c>
      <c r="B254" s="4">
        <v>44530</v>
      </c>
      <c r="C254" s="3" t="s">
        <v>1168</v>
      </c>
      <c r="D254" s="3" t="s">
        <v>1247</v>
      </c>
      <c r="E254" s="3" t="s">
        <v>1248</v>
      </c>
      <c r="F254" s="3">
        <v>2084</v>
      </c>
      <c r="G254" s="3">
        <v>8314</v>
      </c>
    </row>
    <row r="255" spans="1:7" x14ac:dyDescent="0.2">
      <c r="A255" s="3" t="s">
        <v>1069</v>
      </c>
      <c r="B255" s="4">
        <v>44530</v>
      </c>
      <c r="C255" s="3" t="s">
        <v>1210</v>
      </c>
      <c r="D255" s="3" t="s">
        <v>1211</v>
      </c>
      <c r="E255" s="3" t="s">
        <v>1212</v>
      </c>
      <c r="F255" s="3">
        <v>0</v>
      </c>
      <c r="G255" s="3">
        <v>-1245</v>
      </c>
    </row>
    <row r="256" spans="1:7" x14ac:dyDescent="0.2">
      <c r="A256" s="3" t="s">
        <v>1069</v>
      </c>
      <c r="B256" s="4">
        <v>44530</v>
      </c>
      <c r="C256" s="3" t="s">
        <v>1210</v>
      </c>
      <c r="D256" s="3" t="s">
        <v>1224</v>
      </c>
      <c r="E256" s="3" t="s">
        <v>1225</v>
      </c>
      <c r="F256" s="3">
        <v>0</v>
      </c>
      <c r="G256" s="3">
        <v>-149149.4</v>
      </c>
    </row>
    <row r="257" spans="1:7" x14ac:dyDescent="0.2">
      <c r="A257" s="3" t="s">
        <v>1069</v>
      </c>
      <c r="B257" s="4">
        <v>44530</v>
      </c>
      <c r="C257" s="3" t="s">
        <v>1210</v>
      </c>
      <c r="D257" s="3" t="s">
        <v>1249</v>
      </c>
      <c r="E257" s="3" t="s">
        <v>1250</v>
      </c>
      <c r="F257" s="3">
        <v>-39490.480000000003</v>
      </c>
      <c r="G257" s="3">
        <v>-80324.59</v>
      </c>
    </row>
    <row r="258" spans="1:7" x14ac:dyDescent="0.2">
      <c r="A258" s="3" t="s">
        <v>1069</v>
      </c>
      <c r="B258" s="4">
        <v>44530</v>
      </c>
      <c r="C258" s="3" t="s">
        <v>1168</v>
      </c>
      <c r="D258" s="3" t="s">
        <v>1226</v>
      </c>
      <c r="E258" s="3" t="s">
        <v>1126</v>
      </c>
      <c r="F258" s="3">
        <v>0</v>
      </c>
      <c r="G258" s="3">
        <v>100</v>
      </c>
    </row>
    <row r="259" spans="1:7" x14ac:dyDescent="0.2">
      <c r="A259" s="3" t="s">
        <v>1069</v>
      </c>
      <c r="B259" s="4">
        <v>44530</v>
      </c>
      <c r="C259" s="3" t="s">
        <v>1168</v>
      </c>
      <c r="D259" s="3" t="s">
        <v>1169</v>
      </c>
      <c r="E259" s="3" t="s">
        <v>1079</v>
      </c>
      <c r="F259" s="3">
        <v>15319.5</v>
      </c>
      <c r="G259" s="3">
        <v>61525.02</v>
      </c>
    </row>
    <row r="260" spans="1:7" x14ac:dyDescent="0.2">
      <c r="A260" s="3" t="s">
        <v>1069</v>
      </c>
      <c r="B260" s="4">
        <v>44530</v>
      </c>
      <c r="C260" s="3" t="s">
        <v>1168</v>
      </c>
      <c r="D260" s="3" t="s">
        <v>1261</v>
      </c>
      <c r="E260" s="3" t="s">
        <v>1145</v>
      </c>
      <c r="F260" s="3">
        <v>32400</v>
      </c>
      <c r="G260" s="3">
        <v>32400</v>
      </c>
    </row>
    <row r="261" spans="1:7" x14ac:dyDescent="0.2">
      <c r="A261" s="3" t="s">
        <v>1069</v>
      </c>
      <c r="B261" s="4">
        <v>44530</v>
      </c>
      <c r="C261" s="3" t="s">
        <v>1168</v>
      </c>
      <c r="D261" s="3" t="s">
        <v>1195</v>
      </c>
      <c r="E261" s="3" t="s">
        <v>1085</v>
      </c>
      <c r="F261" s="3">
        <v>530.11</v>
      </c>
      <c r="G261" s="3">
        <v>2717.38</v>
      </c>
    </row>
    <row r="262" spans="1:7" x14ac:dyDescent="0.2">
      <c r="A262" s="3" t="s">
        <v>1069</v>
      </c>
      <c r="B262" s="4">
        <v>44530</v>
      </c>
      <c r="C262" s="3" t="s">
        <v>1168</v>
      </c>
      <c r="D262" s="3" t="s">
        <v>1227</v>
      </c>
      <c r="E262" s="3" t="s">
        <v>1228</v>
      </c>
      <c r="F262" s="3">
        <v>0</v>
      </c>
      <c r="G262" s="3">
        <v>3000</v>
      </c>
    </row>
    <row r="263" spans="1:7" x14ac:dyDescent="0.2">
      <c r="A263" s="3" t="s">
        <v>1069</v>
      </c>
      <c r="B263" s="4">
        <v>44530</v>
      </c>
      <c r="C263" s="3" t="s">
        <v>1168</v>
      </c>
      <c r="D263" s="3" t="s">
        <v>1251</v>
      </c>
      <c r="E263" s="3" t="s">
        <v>1095</v>
      </c>
      <c r="F263" s="3">
        <v>73960</v>
      </c>
      <c r="G263" s="3">
        <v>214565.73</v>
      </c>
    </row>
    <row r="264" spans="1:7" x14ac:dyDescent="0.2">
      <c r="A264" s="3" t="s">
        <v>1069</v>
      </c>
      <c r="B264" s="4">
        <v>44530</v>
      </c>
      <c r="C264" s="3" t="s">
        <v>1168</v>
      </c>
      <c r="D264" s="3" t="s">
        <v>1252</v>
      </c>
      <c r="E264" s="3" t="s">
        <v>1120</v>
      </c>
      <c r="F264" s="3">
        <v>0</v>
      </c>
      <c r="G264" s="3">
        <v>13508</v>
      </c>
    </row>
    <row r="265" spans="1:7" x14ac:dyDescent="0.2">
      <c r="A265" s="3" t="s">
        <v>1069</v>
      </c>
      <c r="B265" s="4">
        <v>44530</v>
      </c>
      <c r="C265" s="3" t="s">
        <v>1168</v>
      </c>
      <c r="D265" s="3" t="s">
        <v>1229</v>
      </c>
      <c r="E265" s="3" t="s">
        <v>1136</v>
      </c>
      <c r="F265" s="3">
        <v>2508.88</v>
      </c>
      <c r="G265" s="3">
        <v>13094.52</v>
      </c>
    </row>
    <row r="266" spans="1:7" x14ac:dyDescent="0.2">
      <c r="A266" s="3" t="s">
        <v>1069</v>
      </c>
      <c r="B266" s="4">
        <v>44530</v>
      </c>
      <c r="C266" s="3" t="s">
        <v>1168</v>
      </c>
      <c r="D266" s="3" t="s">
        <v>1230</v>
      </c>
      <c r="E266" s="3" t="s">
        <v>1109</v>
      </c>
      <c r="F266" s="3">
        <v>402.13</v>
      </c>
      <c r="G266" s="3">
        <v>1782.38</v>
      </c>
    </row>
    <row r="267" spans="1:7" x14ac:dyDescent="0.2">
      <c r="A267" s="3" t="s">
        <v>1069</v>
      </c>
      <c r="B267" s="4">
        <v>44530</v>
      </c>
      <c r="C267" s="3" t="s">
        <v>1168</v>
      </c>
      <c r="D267" s="3" t="s">
        <v>1196</v>
      </c>
      <c r="E267" s="3" t="s">
        <v>1131</v>
      </c>
      <c r="F267" s="3">
        <v>0</v>
      </c>
      <c r="G267" s="3">
        <v>250</v>
      </c>
    </row>
    <row r="268" spans="1:7" x14ac:dyDescent="0.2">
      <c r="A268" s="3" t="s">
        <v>1069</v>
      </c>
      <c r="B268" s="4">
        <v>44530</v>
      </c>
      <c r="C268" s="3" t="s">
        <v>1168</v>
      </c>
      <c r="D268" s="3" t="s">
        <v>1253</v>
      </c>
      <c r="E268" s="3" t="s">
        <v>1103</v>
      </c>
      <c r="F268" s="3">
        <v>9753.08</v>
      </c>
      <c r="G268" s="3">
        <v>78960.38</v>
      </c>
    </row>
    <row r="269" spans="1:7" x14ac:dyDescent="0.2">
      <c r="A269" s="3" t="s">
        <v>1069</v>
      </c>
      <c r="B269" s="4">
        <v>44530</v>
      </c>
      <c r="C269" s="3" t="s">
        <v>1168</v>
      </c>
      <c r="D269" s="3" t="s">
        <v>1201</v>
      </c>
      <c r="E269" s="3" t="s">
        <v>1112</v>
      </c>
      <c r="F269" s="3">
        <v>0</v>
      </c>
      <c r="G269" s="3">
        <v>765</v>
      </c>
    </row>
    <row r="270" spans="1:7" x14ac:dyDescent="0.2">
      <c r="A270" s="3" t="s">
        <v>1069</v>
      </c>
      <c r="B270" s="4">
        <v>44530</v>
      </c>
      <c r="C270" s="3" t="s">
        <v>1168</v>
      </c>
      <c r="D270" s="3" t="s">
        <v>1231</v>
      </c>
      <c r="E270" s="3" t="s">
        <v>1070</v>
      </c>
      <c r="F270" s="3">
        <v>2965.61</v>
      </c>
      <c r="G270" s="3">
        <v>17879.11</v>
      </c>
    </row>
    <row r="271" spans="1:7" x14ac:dyDescent="0.2">
      <c r="A271" s="3" t="s">
        <v>1069</v>
      </c>
      <c r="B271" s="4">
        <v>44530</v>
      </c>
      <c r="C271" s="3" t="s">
        <v>1168</v>
      </c>
      <c r="D271" s="3" t="s">
        <v>1254</v>
      </c>
      <c r="E271" s="3" t="s">
        <v>1075</v>
      </c>
      <c r="F271" s="3">
        <v>0</v>
      </c>
      <c r="G271" s="3">
        <v>250</v>
      </c>
    </row>
    <row r="272" spans="1:7" x14ac:dyDescent="0.2">
      <c r="A272" s="3" t="s">
        <v>1069</v>
      </c>
      <c r="B272" s="4">
        <v>44530</v>
      </c>
      <c r="C272" s="3" t="s">
        <v>1168</v>
      </c>
      <c r="D272" s="3" t="s">
        <v>1170</v>
      </c>
      <c r="E272" s="3" t="s">
        <v>1171</v>
      </c>
      <c r="F272" s="3">
        <v>0</v>
      </c>
      <c r="G272" s="3">
        <v>17000</v>
      </c>
    </row>
    <row r="273" spans="1:7" x14ac:dyDescent="0.2">
      <c r="A273" s="3" t="s">
        <v>1069</v>
      </c>
      <c r="B273" s="4">
        <v>44530</v>
      </c>
      <c r="C273" s="3" t="s">
        <v>1168</v>
      </c>
      <c r="D273" s="3" t="s">
        <v>1213</v>
      </c>
      <c r="E273" s="3" t="s">
        <v>1150</v>
      </c>
      <c r="F273" s="3">
        <v>783.26</v>
      </c>
      <c r="G273" s="3">
        <v>3235.75</v>
      </c>
    </row>
    <row r="274" spans="1:7" x14ac:dyDescent="0.2">
      <c r="A274" s="3" t="s">
        <v>1069</v>
      </c>
      <c r="B274" s="4">
        <v>44530</v>
      </c>
      <c r="C274" s="3" t="s">
        <v>1168</v>
      </c>
      <c r="D274" s="3" t="s">
        <v>1232</v>
      </c>
      <c r="E274" s="3" t="s">
        <v>1105</v>
      </c>
      <c r="F274" s="3">
        <v>600</v>
      </c>
      <c r="G274" s="3">
        <v>2800</v>
      </c>
    </row>
    <row r="275" spans="1:7" x14ac:dyDescent="0.2">
      <c r="A275" s="3" t="s">
        <v>1069</v>
      </c>
      <c r="B275" s="4">
        <v>44530</v>
      </c>
      <c r="C275" s="3" t="s">
        <v>1168</v>
      </c>
      <c r="D275" s="3" t="s">
        <v>1262</v>
      </c>
      <c r="E275" s="3" t="s">
        <v>1127</v>
      </c>
      <c r="F275" s="3">
        <v>1271.93</v>
      </c>
      <c r="G275" s="3">
        <v>1271.93</v>
      </c>
    </row>
    <row r="276" spans="1:7" x14ac:dyDescent="0.2">
      <c r="A276" s="3" t="s">
        <v>1069</v>
      </c>
      <c r="B276" s="4">
        <v>44530</v>
      </c>
      <c r="C276" s="3" t="s">
        <v>1172</v>
      </c>
      <c r="D276" s="3" t="s">
        <v>1173</v>
      </c>
      <c r="E276" s="3" t="s">
        <v>1174</v>
      </c>
      <c r="F276" s="3">
        <v>0</v>
      </c>
      <c r="G276" s="3">
        <v>-100</v>
      </c>
    </row>
    <row r="277" spans="1:7" x14ac:dyDescent="0.2">
      <c r="A277" s="3" t="s">
        <v>1069</v>
      </c>
      <c r="B277" s="4">
        <v>44530</v>
      </c>
      <c r="C277" s="3" t="s">
        <v>1180</v>
      </c>
      <c r="D277" s="3" t="s">
        <v>1241</v>
      </c>
      <c r="E277" s="3" t="s">
        <v>1242</v>
      </c>
      <c r="F277" s="3">
        <v>0</v>
      </c>
      <c r="G277" s="3">
        <v>19713043.68</v>
      </c>
    </row>
    <row r="278" spans="1:7" x14ac:dyDescent="0.2">
      <c r="A278" s="3" t="s">
        <v>1069</v>
      </c>
      <c r="B278" s="4">
        <v>44530</v>
      </c>
      <c r="C278" s="3" t="s">
        <v>1175</v>
      </c>
      <c r="D278" s="3" t="s">
        <v>1176</v>
      </c>
      <c r="E278" s="3" t="s">
        <v>1177</v>
      </c>
      <c r="F278" s="3">
        <v>8069</v>
      </c>
      <c r="G278" s="3">
        <v>-6831</v>
      </c>
    </row>
    <row r="279" spans="1:7" x14ac:dyDescent="0.2">
      <c r="A279" s="3" t="s">
        <v>1069</v>
      </c>
      <c r="B279" s="4">
        <v>44530</v>
      </c>
      <c r="C279" s="3" t="s">
        <v>1175</v>
      </c>
      <c r="D279" s="3" t="s">
        <v>1178</v>
      </c>
      <c r="E279" s="3" t="s">
        <v>1179</v>
      </c>
      <c r="F279" s="3">
        <v>-238850</v>
      </c>
      <c r="G279" s="3">
        <v>104000</v>
      </c>
    </row>
    <row r="280" spans="1:7" x14ac:dyDescent="0.2">
      <c r="A280" s="3" t="s">
        <v>1069</v>
      </c>
      <c r="B280" s="4">
        <v>44530</v>
      </c>
      <c r="C280" s="3" t="s">
        <v>1175</v>
      </c>
      <c r="D280" s="3" t="s">
        <v>1233</v>
      </c>
      <c r="E280" s="3" t="s">
        <v>1234</v>
      </c>
      <c r="F280" s="3">
        <v>40600</v>
      </c>
      <c r="G280" s="3">
        <v>0</v>
      </c>
    </row>
    <row r="281" spans="1:7" x14ac:dyDescent="0.2">
      <c r="A281" s="3" t="s">
        <v>1069</v>
      </c>
      <c r="B281" s="4">
        <v>44530</v>
      </c>
      <c r="C281" s="3" t="s">
        <v>1175</v>
      </c>
      <c r="D281" s="3" t="s">
        <v>1255</v>
      </c>
      <c r="E281" s="3" t="s">
        <v>1256</v>
      </c>
      <c r="F281" s="3">
        <v>3635</v>
      </c>
      <c r="G281" s="3">
        <v>0</v>
      </c>
    </row>
    <row r="282" spans="1:7" x14ac:dyDescent="0.2">
      <c r="A282" s="3" t="s">
        <v>1069</v>
      </c>
      <c r="B282" s="4">
        <v>44530</v>
      </c>
      <c r="C282" s="3" t="s">
        <v>1180</v>
      </c>
      <c r="D282" s="3" t="s">
        <v>1214</v>
      </c>
      <c r="E282" s="3" t="s">
        <v>1215</v>
      </c>
      <c r="F282" s="3">
        <v>0</v>
      </c>
      <c r="G282" s="3">
        <v>26200000</v>
      </c>
    </row>
    <row r="283" spans="1:7" x14ac:dyDescent="0.2">
      <c r="A283" s="3" t="s">
        <v>1069</v>
      </c>
      <c r="B283" s="4">
        <v>44530</v>
      </c>
      <c r="C283" s="3" t="s">
        <v>1180</v>
      </c>
      <c r="D283" s="3" t="s">
        <v>1216</v>
      </c>
      <c r="E283" s="3" t="s">
        <v>1217</v>
      </c>
      <c r="F283" s="3">
        <v>0</v>
      </c>
      <c r="G283" s="3">
        <v>68427</v>
      </c>
    </row>
    <row r="284" spans="1:7" x14ac:dyDescent="0.2">
      <c r="A284" s="3" t="s">
        <v>1069</v>
      </c>
      <c r="B284" s="4">
        <v>44530</v>
      </c>
      <c r="C284" s="3" t="s">
        <v>1180</v>
      </c>
      <c r="D284" s="3" t="s">
        <v>1218</v>
      </c>
      <c r="E284" s="3" t="s">
        <v>1219</v>
      </c>
      <c r="F284" s="3">
        <v>0</v>
      </c>
      <c r="G284" s="3">
        <v>103812</v>
      </c>
    </row>
    <row r="285" spans="1:7" x14ac:dyDescent="0.2">
      <c r="A285" s="3" t="s">
        <v>1069</v>
      </c>
      <c r="B285" s="4">
        <v>44530</v>
      </c>
      <c r="C285" s="3" t="s">
        <v>1180</v>
      </c>
      <c r="D285" s="3" t="s">
        <v>1197</v>
      </c>
      <c r="E285" s="3" t="s">
        <v>1198</v>
      </c>
      <c r="F285" s="3">
        <v>10000</v>
      </c>
      <c r="G285" s="3">
        <v>137000</v>
      </c>
    </row>
    <row r="286" spans="1:7" x14ac:dyDescent="0.2">
      <c r="A286" s="3" t="s">
        <v>1069</v>
      </c>
      <c r="B286" s="4">
        <v>44530</v>
      </c>
      <c r="C286" s="3" t="s">
        <v>1180</v>
      </c>
      <c r="D286" s="3" t="s">
        <v>1181</v>
      </c>
      <c r="E286" s="3" t="s">
        <v>1182</v>
      </c>
      <c r="F286" s="3">
        <v>31500</v>
      </c>
      <c r="G286" s="3">
        <v>2487735</v>
      </c>
    </row>
    <row r="287" spans="1:7" x14ac:dyDescent="0.2">
      <c r="A287" s="3" t="s">
        <v>1069</v>
      </c>
      <c r="B287" s="4">
        <v>44530</v>
      </c>
      <c r="C287" s="3" t="s">
        <v>1180</v>
      </c>
      <c r="D287" s="3" t="s">
        <v>1263</v>
      </c>
      <c r="E287" s="3" t="s">
        <v>1264</v>
      </c>
      <c r="F287" s="3">
        <v>13807.78</v>
      </c>
      <c r="G287" s="3">
        <v>13807.78</v>
      </c>
    </row>
    <row r="288" spans="1:7" x14ac:dyDescent="0.2">
      <c r="A288" s="3" t="s">
        <v>1069</v>
      </c>
      <c r="B288" s="4">
        <v>44530</v>
      </c>
      <c r="C288" s="3" t="s">
        <v>1180</v>
      </c>
      <c r="D288" s="3" t="s">
        <v>1202</v>
      </c>
      <c r="E288" s="3" t="s">
        <v>1203</v>
      </c>
      <c r="F288" s="3">
        <v>0</v>
      </c>
      <c r="G288" s="3">
        <v>4510</v>
      </c>
    </row>
    <row r="289" spans="1:7" x14ac:dyDescent="0.2">
      <c r="A289" s="3" t="s">
        <v>1069</v>
      </c>
      <c r="B289" s="4">
        <v>44530</v>
      </c>
      <c r="C289" s="3" t="s">
        <v>1180</v>
      </c>
      <c r="D289" s="3" t="s">
        <v>1204</v>
      </c>
      <c r="E289" s="3" t="s">
        <v>1205</v>
      </c>
      <c r="F289" s="3">
        <v>0</v>
      </c>
      <c r="G289" s="3">
        <v>7500</v>
      </c>
    </row>
    <row r="290" spans="1:7" x14ac:dyDescent="0.2">
      <c r="A290" s="3" t="s">
        <v>1069</v>
      </c>
      <c r="B290" s="4">
        <v>44530</v>
      </c>
      <c r="C290" s="3" t="s">
        <v>1180</v>
      </c>
      <c r="D290" s="3" t="s">
        <v>1199</v>
      </c>
      <c r="E290" s="3" t="s">
        <v>1200</v>
      </c>
      <c r="F290" s="3">
        <v>28400</v>
      </c>
      <c r="G290" s="3">
        <v>67400</v>
      </c>
    </row>
    <row r="291" spans="1:7" x14ac:dyDescent="0.2">
      <c r="A291" s="3" t="s">
        <v>1069</v>
      </c>
      <c r="B291" s="4">
        <v>44530</v>
      </c>
      <c r="C291" s="3" t="s">
        <v>1180</v>
      </c>
      <c r="D291" s="3" t="s">
        <v>1220</v>
      </c>
      <c r="E291" s="3" t="s">
        <v>1221</v>
      </c>
      <c r="F291" s="3">
        <v>0</v>
      </c>
      <c r="G291" s="3">
        <v>15175</v>
      </c>
    </row>
    <row r="292" spans="1:7" x14ac:dyDescent="0.2">
      <c r="A292" s="3" t="s">
        <v>1069</v>
      </c>
      <c r="B292" s="4">
        <v>44530</v>
      </c>
      <c r="C292" s="3" t="s">
        <v>1180</v>
      </c>
      <c r="D292" s="3" t="s">
        <v>1183</v>
      </c>
      <c r="E292" s="3" t="s">
        <v>1184</v>
      </c>
      <c r="F292" s="3">
        <v>0</v>
      </c>
      <c r="G292" s="3">
        <v>23034.26</v>
      </c>
    </row>
    <row r="293" spans="1:7" x14ac:dyDescent="0.2">
      <c r="A293" s="3" t="s">
        <v>1069</v>
      </c>
      <c r="B293" s="4">
        <v>44530</v>
      </c>
      <c r="C293" s="3" t="s">
        <v>1180</v>
      </c>
      <c r="D293" s="3" t="s">
        <v>1222</v>
      </c>
      <c r="E293" s="3" t="s">
        <v>1223</v>
      </c>
      <c r="F293" s="3">
        <v>0</v>
      </c>
      <c r="G293" s="3">
        <v>1555104.99</v>
      </c>
    </row>
    <row r="294" spans="1:7" x14ac:dyDescent="0.2">
      <c r="A294" s="3" t="s">
        <v>1069</v>
      </c>
      <c r="B294" s="4">
        <v>44530</v>
      </c>
      <c r="C294" s="3" t="s">
        <v>1180</v>
      </c>
      <c r="D294" s="3" t="s">
        <v>1235</v>
      </c>
      <c r="E294" s="3" t="s">
        <v>1236</v>
      </c>
      <c r="F294" s="3">
        <v>0</v>
      </c>
      <c r="G294" s="3">
        <v>782608.07</v>
      </c>
    </row>
    <row r="295" spans="1:7" x14ac:dyDescent="0.2">
      <c r="A295" s="3" t="s">
        <v>1069</v>
      </c>
      <c r="B295" s="4">
        <v>44530</v>
      </c>
      <c r="C295" s="3" t="s">
        <v>1180</v>
      </c>
      <c r="D295" s="3" t="s">
        <v>1206</v>
      </c>
      <c r="E295" s="3" t="s">
        <v>1207</v>
      </c>
      <c r="F295" s="3">
        <v>0</v>
      </c>
      <c r="G295" s="3">
        <v>129550</v>
      </c>
    </row>
    <row r="296" spans="1:7" x14ac:dyDescent="0.2">
      <c r="A296" s="3" t="s">
        <v>1069</v>
      </c>
      <c r="B296" s="4">
        <v>44530</v>
      </c>
      <c r="C296" s="3" t="s">
        <v>1180</v>
      </c>
      <c r="D296" s="3" t="s">
        <v>1208</v>
      </c>
      <c r="E296" s="3" t="s">
        <v>1209</v>
      </c>
      <c r="F296" s="3">
        <v>0</v>
      </c>
      <c r="G296" s="3">
        <v>45000</v>
      </c>
    </row>
    <row r="297" spans="1:7" x14ac:dyDescent="0.2">
      <c r="A297" s="3" t="s">
        <v>1069</v>
      </c>
      <c r="B297" s="4">
        <v>44530</v>
      </c>
      <c r="C297" s="3" t="s">
        <v>1180</v>
      </c>
      <c r="D297" s="3" t="s">
        <v>1259</v>
      </c>
      <c r="E297" s="3" t="s">
        <v>1260</v>
      </c>
      <c r="F297" s="3">
        <v>6000</v>
      </c>
      <c r="G297" s="3">
        <v>36000</v>
      </c>
    </row>
    <row r="298" spans="1:7" x14ac:dyDescent="0.2">
      <c r="A298" s="3" t="s">
        <v>1069</v>
      </c>
      <c r="B298" s="4">
        <v>44530</v>
      </c>
      <c r="C298" s="3" t="s">
        <v>1180</v>
      </c>
      <c r="D298" s="3" t="s">
        <v>1265</v>
      </c>
      <c r="E298" s="3" t="s">
        <v>1266</v>
      </c>
      <c r="F298" s="3">
        <v>523470.88</v>
      </c>
      <c r="G298" s="3">
        <v>523470.88</v>
      </c>
    </row>
    <row r="299" spans="1:7" x14ac:dyDescent="0.2">
      <c r="A299" s="3" t="s">
        <v>1069</v>
      </c>
      <c r="B299" s="4">
        <v>44530</v>
      </c>
      <c r="C299" s="3" t="s">
        <v>1180</v>
      </c>
      <c r="D299" s="3" t="s">
        <v>1257</v>
      </c>
      <c r="E299" s="3" t="s">
        <v>1258</v>
      </c>
      <c r="F299" s="3">
        <v>0</v>
      </c>
      <c r="G299" s="3">
        <v>300000</v>
      </c>
    </row>
    <row r="300" spans="1:7" x14ac:dyDescent="0.2">
      <c r="A300" s="3" t="s">
        <v>1069</v>
      </c>
      <c r="B300" s="4">
        <v>44530</v>
      </c>
      <c r="C300" s="3" t="s">
        <v>1180</v>
      </c>
      <c r="D300" s="3" t="s">
        <v>1187</v>
      </c>
      <c r="E300" s="3" t="s">
        <v>1188</v>
      </c>
      <c r="F300" s="3">
        <v>-56268.09</v>
      </c>
      <c r="G300" s="3">
        <v>4266.55</v>
      </c>
    </row>
    <row r="301" spans="1:7" x14ac:dyDescent="0.2">
      <c r="A301" s="3" t="s">
        <v>1069</v>
      </c>
      <c r="B301" s="4">
        <v>44530</v>
      </c>
      <c r="C301" s="3" t="s">
        <v>1180</v>
      </c>
      <c r="D301" s="3" t="s">
        <v>1243</v>
      </c>
      <c r="E301" s="3" t="s">
        <v>1244</v>
      </c>
      <c r="F301" s="3">
        <v>-389000</v>
      </c>
      <c r="G301" s="3">
        <v>1007.08</v>
      </c>
    </row>
    <row r="302" spans="1:7" x14ac:dyDescent="0.2">
      <c r="A302" s="3" t="s">
        <v>1069</v>
      </c>
      <c r="B302" s="4">
        <v>44530</v>
      </c>
      <c r="C302" s="3" t="s">
        <v>1180</v>
      </c>
      <c r="D302" s="3" t="s">
        <v>1245</v>
      </c>
      <c r="E302" s="3" t="s">
        <v>1246</v>
      </c>
      <c r="F302" s="3">
        <v>328274.44</v>
      </c>
      <c r="G302" s="3">
        <v>12850513.07</v>
      </c>
    </row>
    <row r="303" spans="1:7" x14ac:dyDescent="0.2">
      <c r="A303" s="3" t="s">
        <v>1069</v>
      </c>
      <c r="B303" s="4">
        <v>44530</v>
      </c>
      <c r="C303" s="3" t="s">
        <v>1175</v>
      </c>
      <c r="D303" s="3" t="s">
        <v>1191</v>
      </c>
      <c r="E303" s="3" t="s">
        <v>1192</v>
      </c>
      <c r="F303" s="3">
        <v>-522932.04</v>
      </c>
      <c r="G303" s="3">
        <v>-46176620.399999999</v>
      </c>
    </row>
    <row r="304" spans="1:7" x14ac:dyDescent="0.2">
      <c r="A304" s="3" t="s">
        <v>1069</v>
      </c>
      <c r="B304" s="4">
        <v>44530</v>
      </c>
      <c r="C304" s="3" t="s">
        <v>1175</v>
      </c>
      <c r="D304" s="3" t="s">
        <v>1193</v>
      </c>
      <c r="E304" s="3" t="s">
        <v>1194</v>
      </c>
      <c r="F304" s="3">
        <v>110205.01</v>
      </c>
      <c r="G304" s="3">
        <v>480929.51</v>
      </c>
    </row>
    <row r="305" spans="1:7" x14ac:dyDescent="0.2">
      <c r="A305" s="3" t="s">
        <v>1072</v>
      </c>
      <c r="B305" s="4">
        <v>44561</v>
      </c>
      <c r="C305" s="3" t="s">
        <v>1210</v>
      </c>
      <c r="D305" s="3" t="s">
        <v>1267</v>
      </c>
      <c r="E305" s="3" t="s">
        <v>1268</v>
      </c>
      <c r="F305" s="3">
        <v>-3010475.91</v>
      </c>
      <c r="G305" s="3">
        <v>-14286286.439999999</v>
      </c>
    </row>
    <row r="306" spans="1:7" x14ac:dyDescent="0.2">
      <c r="A306" s="3" t="s">
        <v>1072</v>
      </c>
      <c r="B306" s="4">
        <v>44561</v>
      </c>
      <c r="C306" s="3" t="s">
        <v>1210</v>
      </c>
      <c r="D306" s="3" t="s">
        <v>1269</v>
      </c>
      <c r="E306" s="3" t="s">
        <v>1270</v>
      </c>
      <c r="F306" s="3">
        <v>-349420.17</v>
      </c>
      <c r="G306" s="3">
        <v>-1810031.5</v>
      </c>
    </row>
    <row r="307" spans="1:7" x14ac:dyDescent="0.2">
      <c r="A307" s="3" t="s">
        <v>1072</v>
      </c>
      <c r="B307" s="4">
        <v>44561</v>
      </c>
      <c r="C307" s="3" t="s">
        <v>1210</v>
      </c>
      <c r="D307" s="3" t="s">
        <v>1271</v>
      </c>
      <c r="E307" s="3" t="s">
        <v>1272</v>
      </c>
      <c r="F307" s="3">
        <v>0</v>
      </c>
      <c r="G307" s="3">
        <v>387.08</v>
      </c>
    </row>
    <row r="308" spans="1:7" x14ac:dyDescent="0.2">
      <c r="A308" s="3" t="s">
        <v>1072</v>
      </c>
      <c r="B308" s="4">
        <v>44561</v>
      </c>
      <c r="C308" s="3" t="s">
        <v>1210</v>
      </c>
      <c r="D308" s="3" t="s">
        <v>1273</v>
      </c>
      <c r="E308" s="3" t="s">
        <v>1274</v>
      </c>
      <c r="F308" s="3">
        <v>-3490.94</v>
      </c>
      <c r="G308" s="3">
        <v>-3490.94</v>
      </c>
    </row>
    <row r="309" spans="1:7" x14ac:dyDescent="0.2">
      <c r="A309" s="3" t="s">
        <v>1069</v>
      </c>
      <c r="B309" s="4">
        <v>44561</v>
      </c>
      <c r="C309" s="3" t="s">
        <v>1210</v>
      </c>
      <c r="D309" s="3" t="s">
        <v>1239</v>
      </c>
      <c r="E309" s="3" t="s">
        <v>1240</v>
      </c>
      <c r="F309" s="3">
        <v>0</v>
      </c>
      <c r="G309" s="3">
        <v>-19713043.68</v>
      </c>
    </row>
    <row r="310" spans="1:7" x14ac:dyDescent="0.2">
      <c r="A310" s="3" t="s">
        <v>1069</v>
      </c>
      <c r="B310" s="4">
        <v>44561</v>
      </c>
      <c r="C310" s="3" t="s">
        <v>1168</v>
      </c>
      <c r="D310" s="3" t="s">
        <v>1247</v>
      </c>
      <c r="E310" s="3" t="s">
        <v>1248</v>
      </c>
      <c r="F310" s="3">
        <v>1500</v>
      </c>
      <c r="G310" s="3">
        <v>9814</v>
      </c>
    </row>
    <row r="311" spans="1:7" x14ac:dyDescent="0.2">
      <c r="A311" s="3" t="s">
        <v>1072</v>
      </c>
      <c r="B311" s="4">
        <v>44561</v>
      </c>
      <c r="C311" s="3" t="s">
        <v>1168</v>
      </c>
      <c r="D311" s="3" t="s">
        <v>1275</v>
      </c>
      <c r="E311" s="3" t="s">
        <v>1276</v>
      </c>
      <c r="F311" s="3">
        <v>0</v>
      </c>
      <c r="G311" s="3">
        <v>1207.3499999999999</v>
      </c>
    </row>
    <row r="312" spans="1:7" x14ac:dyDescent="0.2">
      <c r="A312" s="3" t="s">
        <v>1072</v>
      </c>
      <c r="B312" s="4">
        <v>44561</v>
      </c>
      <c r="C312" s="3" t="s">
        <v>1168</v>
      </c>
      <c r="D312" s="3" t="s">
        <v>1277</v>
      </c>
      <c r="E312" s="3" t="s">
        <v>1278</v>
      </c>
      <c r="F312" s="3">
        <v>0</v>
      </c>
      <c r="G312" s="3">
        <v>4850</v>
      </c>
    </row>
    <row r="313" spans="1:7" x14ac:dyDescent="0.2">
      <c r="A313" s="3" t="s">
        <v>1072</v>
      </c>
      <c r="B313" s="4">
        <v>44561</v>
      </c>
      <c r="C313" s="3" t="s">
        <v>1168</v>
      </c>
      <c r="D313" s="3" t="s">
        <v>1279</v>
      </c>
      <c r="E313" s="3" t="s">
        <v>1280</v>
      </c>
      <c r="F313" s="3">
        <v>0</v>
      </c>
      <c r="G313" s="3">
        <v>3900</v>
      </c>
    </row>
    <row r="314" spans="1:7" x14ac:dyDescent="0.2">
      <c r="A314" s="3" t="s">
        <v>1072</v>
      </c>
      <c r="B314" s="4">
        <v>44561</v>
      </c>
      <c r="C314" s="3" t="s">
        <v>1168</v>
      </c>
      <c r="D314" s="3" t="s">
        <v>1281</v>
      </c>
      <c r="E314" s="3" t="s">
        <v>1282</v>
      </c>
      <c r="F314" s="3">
        <v>3119929.81</v>
      </c>
      <c r="G314" s="3">
        <v>12375159.27</v>
      </c>
    </row>
    <row r="315" spans="1:7" x14ac:dyDescent="0.2">
      <c r="A315" s="3" t="s">
        <v>1072</v>
      </c>
      <c r="B315" s="4">
        <v>44561</v>
      </c>
      <c r="C315" s="3" t="s">
        <v>1168</v>
      </c>
      <c r="D315" s="3" t="s">
        <v>1283</v>
      </c>
      <c r="E315" s="3" t="s">
        <v>1284</v>
      </c>
      <c r="F315" s="3">
        <v>22772.6</v>
      </c>
      <c r="G315" s="3">
        <v>238521.7</v>
      </c>
    </row>
    <row r="316" spans="1:7" x14ac:dyDescent="0.2">
      <c r="A316" s="3" t="s">
        <v>1072</v>
      </c>
      <c r="B316" s="4">
        <v>44561</v>
      </c>
      <c r="C316" s="3" t="s">
        <v>1168</v>
      </c>
      <c r="D316" s="3" t="s">
        <v>1285</v>
      </c>
      <c r="E316" s="3" t="s">
        <v>1286</v>
      </c>
      <c r="F316" s="3">
        <v>2867.09</v>
      </c>
      <c r="G316" s="3">
        <v>14335.46</v>
      </c>
    </row>
    <row r="317" spans="1:7" x14ac:dyDescent="0.2">
      <c r="A317" s="3" t="s">
        <v>1072</v>
      </c>
      <c r="B317" s="4">
        <v>44561</v>
      </c>
      <c r="C317" s="3" t="s">
        <v>1168</v>
      </c>
      <c r="D317" s="3" t="s">
        <v>1287</v>
      </c>
      <c r="E317" s="3" t="s">
        <v>1288</v>
      </c>
      <c r="F317" s="3">
        <v>103.13</v>
      </c>
      <c r="G317" s="3">
        <v>620.09</v>
      </c>
    </row>
    <row r="318" spans="1:7" x14ac:dyDescent="0.2">
      <c r="A318" s="3" t="s">
        <v>1072</v>
      </c>
      <c r="B318" s="4">
        <v>44561</v>
      </c>
      <c r="C318" s="3" t="s">
        <v>1168</v>
      </c>
      <c r="D318" s="3" t="s">
        <v>1289</v>
      </c>
      <c r="E318" s="3" t="s">
        <v>1290</v>
      </c>
      <c r="F318" s="3">
        <v>11000</v>
      </c>
      <c r="G318" s="3">
        <v>38500</v>
      </c>
    </row>
    <row r="319" spans="1:7" x14ac:dyDescent="0.2">
      <c r="A319" s="3" t="s">
        <v>1072</v>
      </c>
      <c r="B319" s="4">
        <v>44561</v>
      </c>
      <c r="C319" s="3" t="s">
        <v>1168</v>
      </c>
      <c r="D319" s="3" t="s">
        <v>1291</v>
      </c>
      <c r="E319" s="3" t="s">
        <v>1292</v>
      </c>
      <c r="F319" s="3">
        <v>4000</v>
      </c>
      <c r="G319" s="3">
        <v>25938.36</v>
      </c>
    </row>
    <row r="320" spans="1:7" x14ac:dyDescent="0.2">
      <c r="A320" s="3" t="s">
        <v>1072</v>
      </c>
      <c r="B320" s="4">
        <v>44561</v>
      </c>
      <c r="C320" s="3" t="s">
        <v>1168</v>
      </c>
      <c r="D320" s="3" t="s">
        <v>1293</v>
      </c>
      <c r="E320" s="3" t="s">
        <v>1294</v>
      </c>
      <c r="F320" s="3">
        <v>0</v>
      </c>
      <c r="G320" s="3">
        <v>13844.89</v>
      </c>
    </row>
    <row r="321" spans="1:7" x14ac:dyDescent="0.2">
      <c r="A321" s="3" t="s">
        <v>1072</v>
      </c>
      <c r="B321" s="4">
        <v>44561</v>
      </c>
      <c r="C321" s="3" t="s">
        <v>1168</v>
      </c>
      <c r="D321" s="3" t="s">
        <v>1295</v>
      </c>
      <c r="E321" s="3" t="s">
        <v>1296</v>
      </c>
      <c r="F321" s="3">
        <v>15000</v>
      </c>
      <c r="G321" s="3">
        <v>15000</v>
      </c>
    </row>
    <row r="322" spans="1:7" x14ac:dyDescent="0.2">
      <c r="A322" s="3" t="s">
        <v>1072</v>
      </c>
      <c r="B322" s="4">
        <v>44561</v>
      </c>
      <c r="C322" s="3" t="s">
        <v>1168</v>
      </c>
      <c r="D322" s="3" t="s">
        <v>1297</v>
      </c>
      <c r="E322" s="3" t="s">
        <v>1298</v>
      </c>
      <c r="F322" s="3">
        <v>0</v>
      </c>
      <c r="G322" s="3">
        <v>691.29</v>
      </c>
    </row>
    <row r="323" spans="1:7" x14ac:dyDescent="0.2">
      <c r="A323" s="3" t="s">
        <v>1072</v>
      </c>
      <c r="B323" s="4">
        <v>44561</v>
      </c>
      <c r="C323" s="3" t="s">
        <v>1168</v>
      </c>
      <c r="D323" s="3" t="s">
        <v>1299</v>
      </c>
      <c r="E323" s="3" t="s">
        <v>1300</v>
      </c>
      <c r="F323" s="3">
        <v>5037</v>
      </c>
      <c r="G323" s="3">
        <v>18193.21</v>
      </c>
    </row>
    <row r="324" spans="1:7" x14ac:dyDescent="0.2">
      <c r="A324" s="3" t="s">
        <v>1072</v>
      </c>
      <c r="B324" s="4">
        <v>44561</v>
      </c>
      <c r="C324" s="3" t="s">
        <v>1168</v>
      </c>
      <c r="D324" s="3" t="s">
        <v>1301</v>
      </c>
      <c r="E324" s="3" t="s">
        <v>1302</v>
      </c>
      <c r="F324" s="3">
        <v>1973.42</v>
      </c>
      <c r="G324" s="3">
        <v>4363.3599999999997</v>
      </c>
    </row>
    <row r="325" spans="1:7" x14ac:dyDescent="0.2">
      <c r="A325" s="3" t="s">
        <v>1072</v>
      </c>
      <c r="B325" s="4">
        <v>44561</v>
      </c>
      <c r="C325" s="3" t="s">
        <v>1168</v>
      </c>
      <c r="D325" s="3" t="s">
        <v>1303</v>
      </c>
      <c r="E325" s="3" t="s">
        <v>1304</v>
      </c>
      <c r="F325" s="3">
        <v>8330</v>
      </c>
      <c r="G325" s="3">
        <v>22570</v>
      </c>
    </row>
    <row r="326" spans="1:7" x14ac:dyDescent="0.2">
      <c r="A326" s="3" t="s">
        <v>1072</v>
      </c>
      <c r="B326" s="4">
        <v>44561</v>
      </c>
      <c r="C326" s="3" t="s">
        <v>1168</v>
      </c>
      <c r="D326" s="3" t="s">
        <v>1305</v>
      </c>
      <c r="E326" s="3" t="s">
        <v>1306</v>
      </c>
      <c r="F326" s="3">
        <v>0</v>
      </c>
      <c r="G326" s="3">
        <v>24889.96</v>
      </c>
    </row>
    <row r="327" spans="1:7" x14ac:dyDescent="0.2">
      <c r="A327" s="3" t="s">
        <v>1072</v>
      </c>
      <c r="B327" s="4">
        <v>44561</v>
      </c>
      <c r="C327" s="3" t="s">
        <v>1168</v>
      </c>
      <c r="D327" s="3" t="s">
        <v>1307</v>
      </c>
      <c r="E327" s="3" t="s">
        <v>1308</v>
      </c>
      <c r="F327" s="3">
        <v>0</v>
      </c>
      <c r="G327" s="3">
        <v>2783.31</v>
      </c>
    </row>
    <row r="328" spans="1:7" x14ac:dyDescent="0.2">
      <c r="A328" s="3" t="s">
        <v>1072</v>
      </c>
      <c r="B328" s="4">
        <v>44561</v>
      </c>
      <c r="C328" s="3" t="s">
        <v>1168</v>
      </c>
      <c r="D328" s="3" t="s">
        <v>1309</v>
      </c>
      <c r="E328" s="3" t="s">
        <v>1310</v>
      </c>
      <c r="F328" s="3">
        <v>2140</v>
      </c>
      <c r="G328" s="3">
        <v>15997.39</v>
      </c>
    </row>
    <row r="329" spans="1:7" x14ac:dyDescent="0.2">
      <c r="A329" s="3" t="s">
        <v>1072</v>
      </c>
      <c r="B329" s="4">
        <v>44561</v>
      </c>
      <c r="C329" s="3" t="s">
        <v>1168</v>
      </c>
      <c r="D329" s="3" t="s">
        <v>1311</v>
      </c>
      <c r="E329" s="3" t="s">
        <v>1312</v>
      </c>
      <c r="F329" s="3">
        <v>450</v>
      </c>
      <c r="G329" s="3">
        <v>450</v>
      </c>
    </row>
    <row r="330" spans="1:7" x14ac:dyDescent="0.2">
      <c r="A330" s="3" t="s">
        <v>1072</v>
      </c>
      <c r="B330" s="4">
        <v>44561</v>
      </c>
      <c r="C330" s="3" t="s">
        <v>1168</v>
      </c>
      <c r="D330" s="3" t="s">
        <v>1313</v>
      </c>
      <c r="E330" s="3" t="s">
        <v>1314</v>
      </c>
      <c r="F330" s="3">
        <v>0</v>
      </c>
      <c r="G330" s="3">
        <v>1450</v>
      </c>
    </row>
    <row r="331" spans="1:7" x14ac:dyDescent="0.2">
      <c r="A331" s="3" t="s">
        <v>1072</v>
      </c>
      <c r="B331" s="4">
        <v>44561</v>
      </c>
      <c r="C331" s="3" t="s">
        <v>1168</v>
      </c>
      <c r="D331" s="3" t="s">
        <v>1315</v>
      </c>
      <c r="E331" s="3" t="s">
        <v>1316</v>
      </c>
      <c r="F331" s="3">
        <v>0</v>
      </c>
      <c r="G331" s="3">
        <v>30.43</v>
      </c>
    </row>
    <row r="332" spans="1:7" x14ac:dyDescent="0.2">
      <c r="A332" s="3" t="s">
        <v>1072</v>
      </c>
      <c r="B332" s="4">
        <v>44561</v>
      </c>
      <c r="C332" s="3" t="s">
        <v>1168</v>
      </c>
      <c r="D332" s="3" t="s">
        <v>1317</v>
      </c>
      <c r="E332" s="3" t="s">
        <v>1318</v>
      </c>
      <c r="F332" s="3">
        <v>1092.26</v>
      </c>
      <c r="G332" s="3">
        <v>1973.83</v>
      </c>
    </row>
    <row r="333" spans="1:7" x14ac:dyDescent="0.2">
      <c r="A333" s="3" t="s">
        <v>1072</v>
      </c>
      <c r="B333" s="4">
        <v>44561</v>
      </c>
      <c r="C333" s="3" t="s">
        <v>1210</v>
      </c>
      <c r="D333" s="3" t="s">
        <v>1319</v>
      </c>
      <c r="E333" s="3" t="s">
        <v>1320</v>
      </c>
      <c r="F333" s="3">
        <v>0</v>
      </c>
      <c r="G333" s="3">
        <v>4.3600000000000003</v>
      </c>
    </row>
    <row r="334" spans="1:7" x14ac:dyDescent="0.2">
      <c r="A334" s="3" t="s">
        <v>1072</v>
      </c>
      <c r="B334" s="4">
        <v>44561</v>
      </c>
      <c r="C334" s="3" t="s">
        <v>1168</v>
      </c>
      <c r="D334" s="3" t="s">
        <v>1321</v>
      </c>
      <c r="E334" s="3" t="s">
        <v>1322</v>
      </c>
      <c r="F334" s="3">
        <v>0</v>
      </c>
      <c r="G334" s="3">
        <v>83.48</v>
      </c>
    </row>
    <row r="335" spans="1:7" x14ac:dyDescent="0.2">
      <c r="A335" s="3" t="s">
        <v>1072</v>
      </c>
      <c r="B335" s="4">
        <v>44561</v>
      </c>
      <c r="C335" s="3" t="s">
        <v>1210</v>
      </c>
      <c r="D335" s="3" t="s">
        <v>1323</v>
      </c>
      <c r="E335" s="3" t="s">
        <v>1324</v>
      </c>
      <c r="F335" s="3">
        <v>-5.86</v>
      </c>
      <c r="G335" s="3">
        <v>-5.86</v>
      </c>
    </row>
    <row r="336" spans="1:7" x14ac:dyDescent="0.2">
      <c r="A336" s="3" t="s">
        <v>1069</v>
      </c>
      <c r="B336" s="4">
        <v>44561</v>
      </c>
      <c r="C336" s="3" t="s">
        <v>1210</v>
      </c>
      <c r="D336" s="3" t="s">
        <v>1211</v>
      </c>
      <c r="E336" s="3" t="s">
        <v>1212</v>
      </c>
      <c r="F336" s="3">
        <v>0</v>
      </c>
      <c r="G336" s="3">
        <v>-1245</v>
      </c>
    </row>
    <row r="337" spans="1:7" x14ac:dyDescent="0.2">
      <c r="A337" s="3" t="s">
        <v>1069</v>
      </c>
      <c r="B337" s="4">
        <v>44561</v>
      </c>
      <c r="C337" s="3" t="s">
        <v>1210</v>
      </c>
      <c r="D337" s="3" t="s">
        <v>1224</v>
      </c>
      <c r="E337" s="3" t="s">
        <v>1225</v>
      </c>
      <c r="F337" s="3">
        <v>0</v>
      </c>
      <c r="G337" s="3">
        <v>-149149.4</v>
      </c>
    </row>
    <row r="338" spans="1:7" x14ac:dyDescent="0.2">
      <c r="A338" s="3" t="s">
        <v>1069</v>
      </c>
      <c r="B338" s="4">
        <v>44561</v>
      </c>
      <c r="C338" s="3" t="s">
        <v>1210</v>
      </c>
      <c r="D338" s="3" t="s">
        <v>1249</v>
      </c>
      <c r="E338" s="3" t="s">
        <v>1250</v>
      </c>
      <c r="F338" s="3">
        <v>-35000.800000000003</v>
      </c>
      <c r="G338" s="3">
        <v>-115325.39</v>
      </c>
    </row>
    <row r="339" spans="1:7" x14ac:dyDescent="0.2">
      <c r="A339" s="3" t="s">
        <v>1069</v>
      </c>
      <c r="B339" s="4">
        <v>44561</v>
      </c>
      <c r="C339" s="3" t="s">
        <v>1168</v>
      </c>
      <c r="D339" s="3" t="s">
        <v>1226</v>
      </c>
      <c r="E339" s="3" t="s">
        <v>1126</v>
      </c>
      <c r="F339" s="3">
        <v>0</v>
      </c>
      <c r="G339" s="3">
        <v>100</v>
      </c>
    </row>
    <row r="340" spans="1:7" x14ac:dyDescent="0.2">
      <c r="A340" s="3" t="s">
        <v>1072</v>
      </c>
      <c r="B340" s="4">
        <v>44561</v>
      </c>
      <c r="C340" s="3" t="s">
        <v>1168</v>
      </c>
      <c r="D340" s="3" t="s">
        <v>1325</v>
      </c>
      <c r="E340" s="3" t="s">
        <v>1073</v>
      </c>
      <c r="F340" s="3">
        <v>0</v>
      </c>
      <c r="G340" s="3">
        <v>2215</v>
      </c>
    </row>
    <row r="341" spans="1:7" x14ac:dyDescent="0.2">
      <c r="A341" s="3" t="s">
        <v>1072</v>
      </c>
      <c r="B341" s="4">
        <v>44561</v>
      </c>
      <c r="C341" s="3" t="s">
        <v>1168</v>
      </c>
      <c r="D341" s="3" t="s">
        <v>1326</v>
      </c>
      <c r="E341" s="3" t="s">
        <v>1088</v>
      </c>
      <c r="F341" s="3">
        <v>0</v>
      </c>
      <c r="G341" s="3">
        <v>4125</v>
      </c>
    </row>
    <row r="342" spans="1:7" x14ac:dyDescent="0.2">
      <c r="A342" s="3" t="s">
        <v>1072</v>
      </c>
      <c r="B342" s="4">
        <v>44561</v>
      </c>
      <c r="C342" s="3" t="s">
        <v>1168</v>
      </c>
      <c r="D342" s="3" t="s">
        <v>1327</v>
      </c>
      <c r="E342" s="3" t="s">
        <v>1328</v>
      </c>
      <c r="F342" s="3">
        <v>0</v>
      </c>
      <c r="G342" s="3">
        <v>5575</v>
      </c>
    </row>
    <row r="343" spans="1:7" x14ac:dyDescent="0.2">
      <c r="A343" s="3" t="s">
        <v>1072</v>
      </c>
      <c r="B343" s="4">
        <v>44561</v>
      </c>
      <c r="C343" s="3" t="s">
        <v>1168</v>
      </c>
      <c r="D343" s="3" t="s">
        <v>1329</v>
      </c>
      <c r="E343" s="3" t="s">
        <v>1330</v>
      </c>
      <c r="F343" s="3">
        <v>0</v>
      </c>
      <c r="G343" s="3">
        <v>107300</v>
      </c>
    </row>
    <row r="344" spans="1:7" x14ac:dyDescent="0.2">
      <c r="A344" s="3" t="s">
        <v>1072</v>
      </c>
      <c r="B344" s="4">
        <v>44561</v>
      </c>
      <c r="C344" s="3" t="s">
        <v>1168</v>
      </c>
      <c r="D344" s="3" t="s">
        <v>1331</v>
      </c>
      <c r="E344" s="3" t="s">
        <v>1332</v>
      </c>
      <c r="F344" s="3">
        <v>747.5</v>
      </c>
      <c r="G344" s="3">
        <v>1847.5</v>
      </c>
    </row>
    <row r="345" spans="1:7" x14ac:dyDescent="0.2">
      <c r="A345" s="3" t="s">
        <v>1072</v>
      </c>
      <c r="B345" s="4">
        <v>44561</v>
      </c>
      <c r="C345" s="3" t="s">
        <v>1168</v>
      </c>
      <c r="D345" s="3" t="s">
        <v>1333</v>
      </c>
      <c r="E345" s="3" t="s">
        <v>1334</v>
      </c>
      <c r="F345" s="3">
        <v>0</v>
      </c>
      <c r="G345" s="3">
        <v>51000</v>
      </c>
    </row>
    <row r="346" spans="1:7" x14ac:dyDescent="0.2">
      <c r="A346" s="3" t="s">
        <v>1072</v>
      </c>
      <c r="B346" s="4">
        <v>44561</v>
      </c>
      <c r="C346" s="3" t="s">
        <v>1168</v>
      </c>
      <c r="D346" s="3" t="s">
        <v>1335</v>
      </c>
      <c r="E346" s="3" t="s">
        <v>1336</v>
      </c>
      <c r="F346" s="3">
        <v>0</v>
      </c>
      <c r="G346" s="3">
        <v>190600</v>
      </c>
    </row>
    <row r="347" spans="1:7" x14ac:dyDescent="0.2">
      <c r="A347" s="3" t="s">
        <v>1072</v>
      </c>
      <c r="B347" s="4">
        <v>44561</v>
      </c>
      <c r="C347" s="3" t="s">
        <v>1168</v>
      </c>
      <c r="D347" s="3" t="s">
        <v>1337</v>
      </c>
      <c r="E347" s="3" t="s">
        <v>1338</v>
      </c>
      <c r="F347" s="3">
        <v>0</v>
      </c>
      <c r="G347" s="3">
        <v>3502.5</v>
      </c>
    </row>
    <row r="348" spans="1:7" x14ac:dyDescent="0.2">
      <c r="A348" s="3" t="s">
        <v>1072</v>
      </c>
      <c r="B348" s="4">
        <v>44561</v>
      </c>
      <c r="C348" s="3" t="s">
        <v>1168</v>
      </c>
      <c r="D348" s="3" t="s">
        <v>1169</v>
      </c>
      <c r="E348" s="3" t="s">
        <v>1079</v>
      </c>
      <c r="F348" s="3">
        <v>0</v>
      </c>
      <c r="G348" s="3">
        <v>13699</v>
      </c>
    </row>
    <row r="349" spans="1:7" x14ac:dyDescent="0.2">
      <c r="A349" s="3" t="s">
        <v>1069</v>
      </c>
      <c r="B349" s="4">
        <v>44561</v>
      </c>
      <c r="C349" s="3" t="s">
        <v>1168</v>
      </c>
      <c r="D349" s="3" t="s">
        <v>1169</v>
      </c>
      <c r="E349" s="3" t="s">
        <v>1079</v>
      </c>
      <c r="F349" s="3">
        <v>1845</v>
      </c>
      <c r="G349" s="3">
        <v>63370.02</v>
      </c>
    </row>
    <row r="350" spans="1:7" x14ac:dyDescent="0.2">
      <c r="A350" s="3" t="s">
        <v>1069</v>
      </c>
      <c r="B350" s="4">
        <v>44561</v>
      </c>
      <c r="C350" s="3" t="s">
        <v>1168</v>
      </c>
      <c r="D350" s="3" t="s">
        <v>1261</v>
      </c>
      <c r="E350" s="3" t="s">
        <v>1145</v>
      </c>
      <c r="F350" s="3">
        <v>10800</v>
      </c>
      <c r="G350" s="3">
        <v>43200</v>
      </c>
    </row>
    <row r="351" spans="1:7" x14ac:dyDescent="0.2">
      <c r="A351" s="3" t="s">
        <v>1072</v>
      </c>
      <c r="B351" s="4">
        <v>44561</v>
      </c>
      <c r="C351" s="3" t="s">
        <v>1168</v>
      </c>
      <c r="D351" s="3" t="s">
        <v>1339</v>
      </c>
      <c r="E351" s="3" t="s">
        <v>1087</v>
      </c>
      <c r="F351" s="3">
        <v>0</v>
      </c>
      <c r="G351" s="3">
        <v>4597</v>
      </c>
    </row>
    <row r="352" spans="1:7" x14ac:dyDescent="0.2">
      <c r="A352" s="3" t="s">
        <v>1072</v>
      </c>
      <c r="B352" s="4">
        <v>44561</v>
      </c>
      <c r="C352" s="3" t="s">
        <v>1168</v>
      </c>
      <c r="D352" s="3" t="s">
        <v>1195</v>
      </c>
      <c r="E352" s="3" t="s">
        <v>1085</v>
      </c>
      <c r="F352" s="3">
        <v>1921.17</v>
      </c>
      <c r="G352" s="3">
        <v>9157.61</v>
      </c>
    </row>
    <row r="353" spans="1:7" x14ac:dyDescent="0.2">
      <c r="A353" s="3" t="s">
        <v>1069</v>
      </c>
      <c r="B353" s="4">
        <v>44561</v>
      </c>
      <c r="C353" s="3" t="s">
        <v>1168</v>
      </c>
      <c r="D353" s="3" t="s">
        <v>1195</v>
      </c>
      <c r="E353" s="3" t="s">
        <v>1085</v>
      </c>
      <c r="F353" s="3">
        <v>530.11</v>
      </c>
      <c r="G353" s="3">
        <v>3247.49</v>
      </c>
    </row>
    <row r="354" spans="1:7" x14ac:dyDescent="0.2">
      <c r="A354" s="3" t="s">
        <v>1072</v>
      </c>
      <c r="B354" s="4">
        <v>44561</v>
      </c>
      <c r="C354" s="3" t="s">
        <v>1168</v>
      </c>
      <c r="D354" s="3" t="s">
        <v>1340</v>
      </c>
      <c r="E354" s="3" t="s">
        <v>1141</v>
      </c>
      <c r="F354" s="3">
        <v>1289.1300000000001</v>
      </c>
      <c r="G354" s="3">
        <v>7667.9</v>
      </c>
    </row>
    <row r="355" spans="1:7" x14ac:dyDescent="0.2">
      <c r="A355" s="3" t="s">
        <v>1072</v>
      </c>
      <c r="B355" s="4">
        <v>44561</v>
      </c>
      <c r="C355" s="3" t="s">
        <v>1168</v>
      </c>
      <c r="D355" s="3" t="s">
        <v>1341</v>
      </c>
      <c r="E355" s="3" t="s">
        <v>1135</v>
      </c>
      <c r="F355" s="3">
        <v>729.11</v>
      </c>
      <c r="G355" s="3">
        <v>5607.95</v>
      </c>
    </row>
    <row r="356" spans="1:7" x14ac:dyDescent="0.2">
      <c r="A356" s="3" t="s">
        <v>1072</v>
      </c>
      <c r="B356" s="4">
        <v>44561</v>
      </c>
      <c r="C356" s="3" t="s">
        <v>1168</v>
      </c>
      <c r="D356" s="3" t="s">
        <v>1342</v>
      </c>
      <c r="E356" s="3" t="s">
        <v>1080</v>
      </c>
      <c r="F356" s="3">
        <v>1564.21</v>
      </c>
      <c r="G356" s="3">
        <v>7367.69</v>
      </c>
    </row>
    <row r="357" spans="1:7" x14ac:dyDescent="0.2">
      <c r="A357" s="3" t="s">
        <v>1069</v>
      </c>
      <c r="B357" s="4">
        <v>44561</v>
      </c>
      <c r="C357" s="3" t="s">
        <v>1168</v>
      </c>
      <c r="D357" s="3" t="s">
        <v>1227</v>
      </c>
      <c r="E357" s="3" t="s">
        <v>1228</v>
      </c>
      <c r="F357" s="3">
        <v>0</v>
      </c>
      <c r="G357" s="3">
        <v>3000</v>
      </c>
    </row>
    <row r="358" spans="1:7" x14ac:dyDescent="0.2">
      <c r="A358" s="3" t="s">
        <v>1072</v>
      </c>
      <c r="B358" s="4">
        <v>44561</v>
      </c>
      <c r="C358" s="3" t="s">
        <v>1168</v>
      </c>
      <c r="D358" s="3" t="s">
        <v>1343</v>
      </c>
      <c r="E358" s="3" t="s">
        <v>1344</v>
      </c>
      <c r="F358" s="3">
        <v>0</v>
      </c>
      <c r="G358" s="3">
        <v>2250</v>
      </c>
    </row>
    <row r="359" spans="1:7" x14ac:dyDescent="0.2">
      <c r="A359" s="3" t="s">
        <v>1069</v>
      </c>
      <c r="B359" s="4">
        <v>44561</v>
      </c>
      <c r="C359" s="3" t="s">
        <v>1168</v>
      </c>
      <c r="D359" s="3" t="s">
        <v>1251</v>
      </c>
      <c r="E359" s="3" t="s">
        <v>1095</v>
      </c>
      <c r="F359" s="3">
        <v>76348.100000000006</v>
      </c>
      <c r="G359" s="3">
        <v>290913.83</v>
      </c>
    </row>
    <row r="360" spans="1:7" x14ac:dyDescent="0.2">
      <c r="A360" s="3" t="s">
        <v>1072</v>
      </c>
      <c r="B360" s="4">
        <v>44561</v>
      </c>
      <c r="C360" s="3" t="s">
        <v>1168</v>
      </c>
      <c r="D360" s="3" t="s">
        <v>1251</v>
      </c>
      <c r="E360" s="3" t="s">
        <v>1345</v>
      </c>
      <c r="F360" s="3">
        <v>32000</v>
      </c>
      <c r="G360" s="3">
        <v>320000</v>
      </c>
    </row>
    <row r="361" spans="1:7" x14ac:dyDescent="0.2">
      <c r="A361" s="3" t="s">
        <v>1072</v>
      </c>
      <c r="B361" s="4">
        <v>44561</v>
      </c>
      <c r="C361" s="3" t="s">
        <v>1168</v>
      </c>
      <c r="D361" s="3" t="s">
        <v>1346</v>
      </c>
      <c r="E361" s="3" t="s">
        <v>1347</v>
      </c>
      <c r="F361" s="3">
        <v>0</v>
      </c>
      <c r="G361" s="3">
        <v>42899.25</v>
      </c>
    </row>
    <row r="362" spans="1:7" x14ac:dyDescent="0.2">
      <c r="A362" s="3" t="s">
        <v>1072</v>
      </c>
      <c r="B362" s="4">
        <v>44561</v>
      </c>
      <c r="C362" s="3" t="s">
        <v>1168</v>
      </c>
      <c r="D362" s="3" t="s">
        <v>1348</v>
      </c>
      <c r="E362" s="3" t="s">
        <v>1095</v>
      </c>
      <c r="F362" s="3">
        <v>112659.12</v>
      </c>
      <c r="G362" s="3">
        <v>341986.31</v>
      </c>
    </row>
    <row r="363" spans="1:7" x14ac:dyDescent="0.2">
      <c r="A363" s="3" t="s">
        <v>1069</v>
      </c>
      <c r="B363" s="4">
        <v>44561</v>
      </c>
      <c r="C363" s="3" t="s">
        <v>1168</v>
      </c>
      <c r="D363" s="3" t="s">
        <v>1252</v>
      </c>
      <c r="E363" s="3" t="s">
        <v>1120</v>
      </c>
      <c r="F363" s="3">
        <v>17184.490000000002</v>
      </c>
      <c r="G363" s="3">
        <v>30692.49</v>
      </c>
    </row>
    <row r="364" spans="1:7" x14ac:dyDescent="0.2">
      <c r="A364" s="3" t="s">
        <v>1072</v>
      </c>
      <c r="B364" s="4">
        <v>44561</v>
      </c>
      <c r="C364" s="3" t="s">
        <v>1168</v>
      </c>
      <c r="D364" s="3" t="s">
        <v>1349</v>
      </c>
      <c r="E364" s="3" t="s">
        <v>1089</v>
      </c>
      <c r="F364" s="3">
        <v>0</v>
      </c>
      <c r="G364" s="3">
        <v>165.83</v>
      </c>
    </row>
    <row r="365" spans="1:7" x14ac:dyDescent="0.2">
      <c r="A365" s="3" t="s">
        <v>1072</v>
      </c>
      <c r="B365" s="4">
        <v>44561</v>
      </c>
      <c r="C365" s="3" t="s">
        <v>1168</v>
      </c>
      <c r="D365" s="3" t="s">
        <v>1350</v>
      </c>
      <c r="E365" s="3" t="s">
        <v>1115</v>
      </c>
      <c r="F365" s="3">
        <v>1092.24</v>
      </c>
      <c r="G365" s="3">
        <v>3252.55</v>
      </c>
    </row>
    <row r="366" spans="1:7" x14ac:dyDescent="0.2">
      <c r="A366" s="3" t="s">
        <v>1072</v>
      </c>
      <c r="B366" s="4">
        <v>44561</v>
      </c>
      <c r="C366" s="3" t="s">
        <v>1168</v>
      </c>
      <c r="D366" s="3" t="s">
        <v>1351</v>
      </c>
      <c r="E366" s="3" t="s">
        <v>1096</v>
      </c>
      <c r="F366" s="3">
        <v>193.33</v>
      </c>
      <c r="G366" s="3">
        <v>580</v>
      </c>
    </row>
    <row r="367" spans="1:7" x14ac:dyDescent="0.2">
      <c r="A367" s="3" t="s">
        <v>1069</v>
      </c>
      <c r="B367" s="4">
        <v>44561</v>
      </c>
      <c r="C367" s="3" t="s">
        <v>1168</v>
      </c>
      <c r="D367" s="3" t="s">
        <v>1229</v>
      </c>
      <c r="E367" s="3" t="s">
        <v>1136</v>
      </c>
      <c r="F367" s="3">
        <v>2543.5</v>
      </c>
      <c r="G367" s="3">
        <v>15638.02</v>
      </c>
    </row>
    <row r="368" spans="1:7" x14ac:dyDescent="0.2">
      <c r="A368" s="3" t="s">
        <v>1072</v>
      </c>
      <c r="B368" s="4">
        <v>44561</v>
      </c>
      <c r="C368" s="3" t="s">
        <v>1168</v>
      </c>
      <c r="D368" s="3" t="s">
        <v>1229</v>
      </c>
      <c r="E368" s="3" t="s">
        <v>1106</v>
      </c>
      <c r="F368" s="3">
        <v>4932</v>
      </c>
      <c r="G368" s="3">
        <v>26108.31</v>
      </c>
    </row>
    <row r="369" spans="1:7" x14ac:dyDescent="0.2">
      <c r="A369" s="3" t="s">
        <v>1069</v>
      </c>
      <c r="B369" s="4">
        <v>44561</v>
      </c>
      <c r="C369" s="3" t="s">
        <v>1168</v>
      </c>
      <c r="D369" s="3" t="s">
        <v>1230</v>
      </c>
      <c r="E369" s="3" t="s">
        <v>1109</v>
      </c>
      <c r="F369" s="3">
        <v>458.9</v>
      </c>
      <c r="G369" s="3">
        <v>2241.2800000000002</v>
      </c>
    </row>
    <row r="370" spans="1:7" x14ac:dyDescent="0.2">
      <c r="A370" s="3" t="s">
        <v>1072</v>
      </c>
      <c r="B370" s="4">
        <v>44561</v>
      </c>
      <c r="C370" s="3" t="s">
        <v>1168</v>
      </c>
      <c r="D370" s="3" t="s">
        <v>1196</v>
      </c>
      <c r="E370" s="3" t="s">
        <v>1131</v>
      </c>
      <c r="F370" s="3">
        <v>589.41</v>
      </c>
      <c r="G370" s="3">
        <v>9260.35</v>
      </c>
    </row>
    <row r="371" spans="1:7" x14ac:dyDescent="0.2">
      <c r="A371" s="3" t="s">
        <v>1069</v>
      </c>
      <c r="B371" s="4">
        <v>44561</v>
      </c>
      <c r="C371" s="3" t="s">
        <v>1168</v>
      </c>
      <c r="D371" s="3" t="s">
        <v>1196</v>
      </c>
      <c r="E371" s="3" t="s">
        <v>1131</v>
      </c>
      <c r="F371" s="3">
        <v>0</v>
      </c>
      <c r="G371" s="3">
        <v>250</v>
      </c>
    </row>
    <row r="372" spans="1:7" x14ac:dyDescent="0.2">
      <c r="A372" s="3" t="s">
        <v>1072</v>
      </c>
      <c r="B372" s="4">
        <v>44561</v>
      </c>
      <c r="C372" s="3" t="s">
        <v>1168</v>
      </c>
      <c r="D372" s="3" t="s">
        <v>1352</v>
      </c>
      <c r="E372" s="3" t="s">
        <v>1353</v>
      </c>
      <c r="F372" s="3">
        <v>0</v>
      </c>
      <c r="G372" s="3">
        <v>4742.88</v>
      </c>
    </row>
    <row r="373" spans="1:7" x14ac:dyDescent="0.2">
      <c r="A373" s="3" t="s">
        <v>1072</v>
      </c>
      <c r="B373" s="4">
        <v>44561</v>
      </c>
      <c r="C373" s="3" t="s">
        <v>1168</v>
      </c>
      <c r="D373" s="3" t="s">
        <v>1354</v>
      </c>
      <c r="E373" s="3" t="s">
        <v>1078</v>
      </c>
      <c r="F373" s="3">
        <v>1992.68</v>
      </c>
      <c r="G373" s="3">
        <v>11136.62</v>
      </c>
    </row>
    <row r="374" spans="1:7" x14ac:dyDescent="0.2">
      <c r="A374" s="3" t="s">
        <v>1072</v>
      </c>
      <c r="B374" s="4">
        <v>44561</v>
      </c>
      <c r="C374" s="3" t="s">
        <v>1168</v>
      </c>
      <c r="D374" s="3" t="s">
        <v>1355</v>
      </c>
      <c r="E374" s="3" t="s">
        <v>1356</v>
      </c>
      <c r="F374" s="3">
        <v>0</v>
      </c>
      <c r="G374" s="3">
        <v>2280.69</v>
      </c>
    </row>
    <row r="375" spans="1:7" x14ac:dyDescent="0.2">
      <c r="A375" s="3" t="s">
        <v>1069</v>
      </c>
      <c r="B375" s="4">
        <v>44561</v>
      </c>
      <c r="C375" s="3" t="s">
        <v>1168</v>
      </c>
      <c r="D375" s="3" t="s">
        <v>1253</v>
      </c>
      <c r="E375" s="3" t="s">
        <v>1103</v>
      </c>
      <c r="F375" s="3">
        <v>4700.8599999999997</v>
      </c>
      <c r="G375" s="3">
        <v>83661.240000000005</v>
      </c>
    </row>
    <row r="376" spans="1:7" x14ac:dyDescent="0.2">
      <c r="A376" s="3" t="s">
        <v>1072</v>
      </c>
      <c r="B376" s="4">
        <v>44561</v>
      </c>
      <c r="C376" s="3" t="s">
        <v>1168</v>
      </c>
      <c r="D376" s="3" t="s">
        <v>1357</v>
      </c>
      <c r="E376" s="3" t="s">
        <v>1157</v>
      </c>
      <c r="F376" s="3">
        <v>0</v>
      </c>
      <c r="G376" s="3">
        <v>500</v>
      </c>
    </row>
    <row r="377" spans="1:7" x14ac:dyDescent="0.2">
      <c r="A377" s="3" t="s">
        <v>1072</v>
      </c>
      <c r="B377" s="4">
        <v>44561</v>
      </c>
      <c r="C377" s="3" t="s">
        <v>1168</v>
      </c>
      <c r="D377" s="3" t="s">
        <v>1358</v>
      </c>
      <c r="E377" s="3" t="s">
        <v>1122</v>
      </c>
      <c r="F377" s="3">
        <v>0</v>
      </c>
      <c r="G377" s="3">
        <v>1000</v>
      </c>
    </row>
    <row r="378" spans="1:7" x14ac:dyDescent="0.2">
      <c r="A378" s="3" t="s">
        <v>1072</v>
      </c>
      <c r="B378" s="4">
        <v>44561</v>
      </c>
      <c r="C378" s="3" t="s">
        <v>1168</v>
      </c>
      <c r="D378" s="3" t="s">
        <v>1359</v>
      </c>
      <c r="E378" s="3" t="s">
        <v>1086</v>
      </c>
      <c r="F378" s="3">
        <v>0</v>
      </c>
      <c r="G378" s="3">
        <v>2277</v>
      </c>
    </row>
    <row r="379" spans="1:7" x14ac:dyDescent="0.2">
      <c r="A379" s="3" t="s">
        <v>1072</v>
      </c>
      <c r="B379" s="4">
        <v>44561</v>
      </c>
      <c r="C379" s="3" t="s">
        <v>1168</v>
      </c>
      <c r="D379" s="3" t="s">
        <v>1201</v>
      </c>
      <c r="E379" s="3" t="s">
        <v>1112</v>
      </c>
      <c r="F379" s="3">
        <v>1642.6</v>
      </c>
      <c r="G379" s="3">
        <v>13353.44</v>
      </c>
    </row>
    <row r="380" spans="1:7" x14ac:dyDescent="0.2">
      <c r="A380" s="3" t="s">
        <v>1069</v>
      </c>
      <c r="B380" s="4">
        <v>44561</v>
      </c>
      <c r="C380" s="3" t="s">
        <v>1168</v>
      </c>
      <c r="D380" s="3" t="s">
        <v>1201</v>
      </c>
      <c r="E380" s="3" t="s">
        <v>1112</v>
      </c>
      <c r="F380" s="3">
        <v>0</v>
      </c>
      <c r="G380" s="3">
        <v>765</v>
      </c>
    </row>
    <row r="381" spans="1:7" x14ac:dyDescent="0.2">
      <c r="A381" s="3" t="s">
        <v>1072</v>
      </c>
      <c r="B381" s="4">
        <v>44561</v>
      </c>
      <c r="C381" s="3" t="s">
        <v>1168</v>
      </c>
      <c r="D381" s="3" t="s">
        <v>1360</v>
      </c>
      <c r="E381" s="3" t="s">
        <v>1098</v>
      </c>
      <c r="F381" s="3">
        <v>631.41999999999996</v>
      </c>
      <c r="G381" s="3">
        <v>631.41999999999996</v>
      </c>
    </row>
    <row r="382" spans="1:7" x14ac:dyDescent="0.2">
      <c r="A382" s="3" t="s">
        <v>1072</v>
      </c>
      <c r="B382" s="4">
        <v>44561</v>
      </c>
      <c r="C382" s="3" t="s">
        <v>1168</v>
      </c>
      <c r="D382" s="3" t="s">
        <v>1361</v>
      </c>
      <c r="E382" s="3" t="s">
        <v>1121</v>
      </c>
      <c r="F382" s="3">
        <v>28087.5</v>
      </c>
      <c r="G382" s="3">
        <v>111364.67</v>
      </c>
    </row>
    <row r="383" spans="1:7" x14ac:dyDescent="0.2">
      <c r="A383" s="3" t="s">
        <v>1072</v>
      </c>
      <c r="B383" s="4">
        <v>44561</v>
      </c>
      <c r="C383" s="3" t="s">
        <v>1168</v>
      </c>
      <c r="D383" s="3" t="s">
        <v>1231</v>
      </c>
      <c r="E383" s="3" t="s">
        <v>1083</v>
      </c>
      <c r="F383" s="3">
        <v>843.6</v>
      </c>
      <c r="G383" s="3">
        <v>3529.28</v>
      </c>
    </row>
    <row r="384" spans="1:7" x14ac:dyDescent="0.2">
      <c r="A384" s="3" t="s">
        <v>1069</v>
      </c>
      <c r="B384" s="4">
        <v>44561</v>
      </c>
      <c r="C384" s="3" t="s">
        <v>1168</v>
      </c>
      <c r="D384" s="3" t="s">
        <v>1231</v>
      </c>
      <c r="E384" s="3" t="s">
        <v>1070</v>
      </c>
      <c r="F384" s="3">
        <v>3476.93</v>
      </c>
      <c r="G384" s="3">
        <v>21356.04</v>
      </c>
    </row>
    <row r="385" spans="1:7" x14ac:dyDescent="0.2">
      <c r="A385" s="3" t="s">
        <v>1072</v>
      </c>
      <c r="B385" s="4">
        <v>44561</v>
      </c>
      <c r="C385" s="3" t="s">
        <v>1168</v>
      </c>
      <c r="D385" s="3" t="s">
        <v>1254</v>
      </c>
      <c r="E385" s="3" t="s">
        <v>1075</v>
      </c>
      <c r="F385" s="3">
        <v>2034.78</v>
      </c>
      <c r="G385" s="3">
        <v>102654.83</v>
      </c>
    </row>
    <row r="386" spans="1:7" x14ac:dyDescent="0.2">
      <c r="A386" s="3" t="s">
        <v>1069</v>
      </c>
      <c r="B386" s="4">
        <v>44561</v>
      </c>
      <c r="C386" s="3" t="s">
        <v>1168</v>
      </c>
      <c r="D386" s="3" t="s">
        <v>1254</v>
      </c>
      <c r="E386" s="3" t="s">
        <v>1075</v>
      </c>
      <c r="F386" s="3">
        <v>0</v>
      </c>
      <c r="G386" s="3">
        <v>250</v>
      </c>
    </row>
    <row r="387" spans="1:7" x14ac:dyDescent="0.2">
      <c r="A387" s="3" t="s">
        <v>1072</v>
      </c>
      <c r="B387" s="4">
        <v>44561</v>
      </c>
      <c r="C387" s="3" t="s">
        <v>1168</v>
      </c>
      <c r="D387" s="3" t="s">
        <v>1362</v>
      </c>
      <c r="E387" s="3" t="s">
        <v>1123</v>
      </c>
      <c r="F387" s="3">
        <v>127924.7</v>
      </c>
      <c r="G387" s="3">
        <v>1343394.84</v>
      </c>
    </row>
    <row r="388" spans="1:7" x14ac:dyDescent="0.2">
      <c r="A388" s="3" t="s">
        <v>1072</v>
      </c>
      <c r="B388" s="4">
        <v>44561</v>
      </c>
      <c r="C388" s="3" t="s">
        <v>1168</v>
      </c>
      <c r="D388" s="3" t="s">
        <v>1363</v>
      </c>
      <c r="E388" s="3" t="s">
        <v>1364</v>
      </c>
      <c r="F388" s="3">
        <v>0</v>
      </c>
      <c r="G388" s="3">
        <v>35500</v>
      </c>
    </row>
    <row r="389" spans="1:7" x14ac:dyDescent="0.2">
      <c r="A389" s="3" t="s">
        <v>1072</v>
      </c>
      <c r="B389" s="4">
        <v>44561</v>
      </c>
      <c r="C389" s="3" t="s">
        <v>1168</v>
      </c>
      <c r="D389" s="3" t="s">
        <v>1365</v>
      </c>
      <c r="E389" s="3" t="s">
        <v>1090</v>
      </c>
      <c r="F389" s="3">
        <v>0</v>
      </c>
      <c r="G389" s="3">
        <v>1063.2</v>
      </c>
    </row>
    <row r="390" spans="1:7" x14ac:dyDescent="0.2">
      <c r="A390" s="3" t="s">
        <v>1069</v>
      </c>
      <c r="B390" s="4">
        <v>44561</v>
      </c>
      <c r="C390" s="3" t="s">
        <v>1168</v>
      </c>
      <c r="D390" s="3" t="s">
        <v>1170</v>
      </c>
      <c r="E390" s="3" t="s">
        <v>1171</v>
      </c>
      <c r="F390" s="3">
        <v>0</v>
      </c>
      <c r="G390" s="3">
        <v>17000</v>
      </c>
    </row>
    <row r="391" spans="1:7" x14ac:dyDescent="0.2">
      <c r="A391" s="3" t="s">
        <v>1072</v>
      </c>
      <c r="B391" s="4">
        <v>44561</v>
      </c>
      <c r="C391" s="3" t="s">
        <v>1168</v>
      </c>
      <c r="D391" s="3" t="s">
        <v>1366</v>
      </c>
      <c r="E391" s="3" t="s">
        <v>1144</v>
      </c>
      <c r="F391" s="3">
        <v>7477.39</v>
      </c>
      <c r="G391" s="3">
        <v>15151.27</v>
      </c>
    </row>
    <row r="392" spans="1:7" x14ac:dyDescent="0.2">
      <c r="A392" s="3" t="s">
        <v>1069</v>
      </c>
      <c r="B392" s="4">
        <v>44561</v>
      </c>
      <c r="C392" s="3" t="s">
        <v>1168</v>
      </c>
      <c r="D392" s="3" t="s">
        <v>1213</v>
      </c>
      <c r="E392" s="3" t="s">
        <v>1150</v>
      </c>
      <c r="F392" s="3">
        <v>600.04</v>
      </c>
      <c r="G392" s="3">
        <v>3835.79</v>
      </c>
    </row>
    <row r="393" spans="1:7" x14ac:dyDescent="0.2">
      <c r="A393" s="3" t="s">
        <v>1072</v>
      </c>
      <c r="B393" s="4">
        <v>44561</v>
      </c>
      <c r="C393" s="3" t="s">
        <v>1168</v>
      </c>
      <c r="D393" s="3" t="s">
        <v>1367</v>
      </c>
      <c r="E393" s="3" t="s">
        <v>1147</v>
      </c>
      <c r="F393" s="3">
        <v>0</v>
      </c>
      <c r="G393" s="3">
        <v>2000</v>
      </c>
    </row>
    <row r="394" spans="1:7" x14ac:dyDescent="0.2">
      <c r="A394" s="3" t="s">
        <v>1072</v>
      </c>
      <c r="B394" s="4">
        <v>44561</v>
      </c>
      <c r="C394" s="3" t="s">
        <v>1168</v>
      </c>
      <c r="D394" s="3" t="s">
        <v>1368</v>
      </c>
      <c r="E394" s="3" t="s">
        <v>1124</v>
      </c>
      <c r="F394" s="3">
        <v>7584.19</v>
      </c>
      <c r="G394" s="3">
        <v>30283.96</v>
      </c>
    </row>
    <row r="395" spans="1:7" x14ac:dyDescent="0.2">
      <c r="A395" s="3" t="s">
        <v>1072</v>
      </c>
      <c r="B395" s="4">
        <v>44561</v>
      </c>
      <c r="C395" s="3" t="s">
        <v>1168</v>
      </c>
      <c r="D395" s="3" t="s">
        <v>1369</v>
      </c>
      <c r="E395" s="3" t="s">
        <v>1099</v>
      </c>
      <c r="F395" s="3">
        <v>0</v>
      </c>
      <c r="G395" s="3">
        <v>526.32000000000005</v>
      </c>
    </row>
    <row r="396" spans="1:7" x14ac:dyDescent="0.2">
      <c r="A396" s="3" t="s">
        <v>1072</v>
      </c>
      <c r="B396" s="4">
        <v>44561</v>
      </c>
      <c r="C396" s="3" t="s">
        <v>1168</v>
      </c>
      <c r="D396" s="3" t="s">
        <v>1370</v>
      </c>
      <c r="E396" s="3" t="s">
        <v>1129</v>
      </c>
      <c r="F396" s="3">
        <v>459</v>
      </c>
      <c r="G396" s="3">
        <v>2754</v>
      </c>
    </row>
    <row r="397" spans="1:7" x14ac:dyDescent="0.2">
      <c r="A397" s="3" t="s">
        <v>1072</v>
      </c>
      <c r="B397" s="4">
        <v>44561</v>
      </c>
      <c r="C397" s="3" t="s">
        <v>1168</v>
      </c>
      <c r="D397" s="3" t="s">
        <v>1371</v>
      </c>
      <c r="E397" s="3" t="s">
        <v>1093</v>
      </c>
      <c r="F397" s="3">
        <v>0</v>
      </c>
      <c r="G397" s="3">
        <v>9463.01</v>
      </c>
    </row>
    <row r="398" spans="1:7" x14ac:dyDescent="0.2">
      <c r="A398" s="3" t="s">
        <v>1072</v>
      </c>
      <c r="B398" s="4">
        <v>44561</v>
      </c>
      <c r="C398" s="3" t="s">
        <v>1168</v>
      </c>
      <c r="D398" s="3" t="s">
        <v>1372</v>
      </c>
      <c r="E398" s="3" t="s">
        <v>1158</v>
      </c>
      <c r="F398" s="3">
        <v>600</v>
      </c>
      <c r="G398" s="3">
        <v>7500</v>
      </c>
    </row>
    <row r="399" spans="1:7" x14ac:dyDescent="0.2">
      <c r="A399" s="3" t="s">
        <v>1072</v>
      </c>
      <c r="B399" s="4">
        <v>44561</v>
      </c>
      <c r="C399" s="3" t="s">
        <v>1168</v>
      </c>
      <c r="D399" s="3" t="s">
        <v>1373</v>
      </c>
      <c r="E399" s="3" t="s">
        <v>1092</v>
      </c>
      <c r="F399" s="3">
        <v>363</v>
      </c>
      <c r="G399" s="3">
        <v>1713.41</v>
      </c>
    </row>
    <row r="400" spans="1:7" x14ac:dyDescent="0.2">
      <c r="A400" s="3" t="s">
        <v>1069</v>
      </c>
      <c r="B400" s="4">
        <v>44561</v>
      </c>
      <c r="C400" s="3" t="s">
        <v>1168</v>
      </c>
      <c r="D400" s="3" t="s">
        <v>1232</v>
      </c>
      <c r="E400" s="3" t="s">
        <v>1105</v>
      </c>
      <c r="F400" s="3">
        <v>600</v>
      </c>
      <c r="G400" s="3">
        <v>3400</v>
      </c>
    </row>
    <row r="401" spans="1:7" x14ac:dyDescent="0.2">
      <c r="A401" s="3" t="s">
        <v>1069</v>
      </c>
      <c r="B401" s="4">
        <v>44561</v>
      </c>
      <c r="C401" s="3" t="s">
        <v>1168</v>
      </c>
      <c r="D401" s="3" t="s">
        <v>1262</v>
      </c>
      <c r="E401" s="3" t="s">
        <v>1127</v>
      </c>
      <c r="F401" s="3">
        <v>0</v>
      </c>
      <c r="G401" s="3">
        <v>1271.93</v>
      </c>
    </row>
    <row r="402" spans="1:7" x14ac:dyDescent="0.2">
      <c r="A402" s="3" t="s">
        <v>1072</v>
      </c>
      <c r="B402" s="4">
        <v>44561</v>
      </c>
      <c r="C402" s="3" t="s">
        <v>1168</v>
      </c>
      <c r="D402" s="3" t="s">
        <v>1374</v>
      </c>
      <c r="E402" s="3" t="s">
        <v>1108</v>
      </c>
      <c r="F402" s="3">
        <v>0</v>
      </c>
      <c r="G402" s="3">
        <v>450</v>
      </c>
    </row>
    <row r="403" spans="1:7" x14ac:dyDescent="0.2">
      <c r="A403" s="3" t="s">
        <v>1072</v>
      </c>
      <c r="B403" s="4">
        <v>44561</v>
      </c>
      <c r="C403" s="3" t="s">
        <v>1168</v>
      </c>
      <c r="D403" s="3" t="s">
        <v>1375</v>
      </c>
      <c r="E403" s="3" t="s">
        <v>1100</v>
      </c>
      <c r="F403" s="3">
        <v>0</v>
      </c>
      <c r="G403" s="3">
        <v>10273.56</v>
      </c>
    </row>
    <row r="404" spans="1:7" x14ac:dyDescent="0.2">
      <c r="A404" s="3" t="s">
        <v>1072</v>
      </c>
      <c r="B404" s="4">
        <v>44561</v>
      </c>
      <c r="C404" s="3" t="s">
        <v>1168</v>
      </c>
      <c r="D404" s="3" t="s">
        <v>1376</v>
      </c>
      <c r="E404" s="3" t="s">
        <v>1377</v>
      </c>
      <c r="F404" s="3">
        <v>0</v>
      </c>
      <c r="G404" s="3">
        <v>1275</v>
      </c>
    </row>
    <row r="405" spans="1:7" x14ac:dyDescent="0.2">
      <c r="A405" s="3" t="s">
        <v>1072</v>
      </c>
      <c r="B405" s="4">
        <v>44561</v>
      </c>
      <c r="C405" s="3" t="s">
        <v>1168</v>
      </c>
      <c r="D405" s="3" t="s">
        <v>1378</v>
      </c>
      <c r="E405" s="3" t="s">
        <v>1143</v>
      </c>
      <c r="F405" s="3">
        <v>28578.68</v>
      </c>
      <c r="G405" s="3">
        <v>352731.15</v>
      </c>
    </row>
    <row r="406" spans="1:7" x14ac:dyDescent="0.2">
      <c r="A406" s="3" t="s">
        <v>1072</v>
      </c>
      <c r="B406" s="4">
        <v>44561</v>
      </c>
      <c r="C406" s="3" t="s">
        <v>1168</v>
      </c>
      <c r="D406" s="3" t="s">
        <v>1379</v>
      </c>
      <c r="E406" s="3" t="s">
        <v>1107</v>
      </c>
      <c r="F406" s="3">
        <v>1480.87</v>
      </c>
      <c r="G406" s="3">
        <v>16456.73</v>
      </c>
    </row>
    <row r="407" spans="1:7" x14ac:dyDescent="0.2">
      <c r="A407" s="3" t="s">
        <v>1072</v>
      </c>
      <c r="B407" s="4">
        <v>44561</v>
      </c>
      <c r="C407" s="3" t="s">
        <v>1168</v>
      </c>
      <c r="D407" s="3" t="s">
        <v>1380</v>
      </c>
      <c r="E407" s="3" t="s">
        <v>1125</v>
      </c>
      <c r="F407" s="3">
        <v>784.39</v>
      </c>
      <c r="G407" s="3">
        <v>8932.77</v>
      </c>
    </row>
    <row r="408" spans="1:7" x14ac:dyDescent="0.2">
      <c r="A408" s="3" t="s">
        <v>1072</v>
      </c>
      <c r="B408" s="4">
        <v>44561</v>
      </c>
      <c r="C408" s="3" t="s">
        <v>1168</v>
      </c>
      <c r="D408" s="3" t="s">
        <v>1381</v>
      </c>
      <c r="E408" s="3" t="s">
        <v>1130</v>
      </c>
      <c r="F408" s="3">
        <v>784.39</v>
      </c>
      <c r="G408" s="3">
        <v>5660.93</v>
      </c>
    </row>
    <row r="409" spans="1:7" x14ac:dyDescent="0.2">
      <c r="A409" s="3" t="s">
        <v>1069</v>
      </c>
      <c r="B409" s="4">
        <v>44561</v>
      </c>
      <c r="C409" s="3" t="s">
        <v>1172</v>
      </c>
      <c r="D409" s="3" t="s">
        <v>1173</v>
      </c>
      <c r="E409" s="3" t="s">
        <v>1174</v>
      </c>
      <c r="F409" s="3">
        <v>0</v>
      </c>
      <c r="G409" s="3">
        <v>-100</v>
      </c>
    </row>
    <row r="410" spans="1:7" x14ac:dyDescent="0.2">
      <c r="A410" s="3" t="s">
        <v>1072</v>
      </c>
      <c r="B410" s="4">
        <v>44561</v>
      </c>
      <c r="C410" s="3" t="s">
        <v>1172</v>
      </c>
      <c r="D410" s="3" t="s">
        <v>1382</v>
      </c>
      <c r="E410" s="3" t="s">
        <v>1383</v>
      </c>
      <c r="F410" s="3">
        <v>0</v>
      </c>
      <c r="G410" s="3">
        <v>-120</v>
      </c>
    </row>
    <row r="411" spans="1:7" x14ac:dyDescent="0.2">
      <c r="A411" s="3" t="s">
        <v>1072</v>
      </c>
      <c r="B411" s="4">
        <v>44561</v>
      </c>
      <c r="C411" s="3" t="s">
        <v>1172</v>
      </c>
      <c r="D411" s="3" t="s">
        <v>1384</v>
      </c>
      <c r="E411" s="3" t="s">
        <v>1385</v>
      </c>
      <c r="F411" s="3">
        <v>0</v>
      </c>
      <c r="G411" s="3">
        <v>698664.99</v>
      </c>
    </row>
    <row r="412" spans="1:7" x14ac:dyDescent="0.2">
      <c r="A412" s="3" t="s">
        <v>1069</v>
      </c>
      <c r="B412" s="4">
        <v>44561</v>
      </c>
      <c r="C412" s="3" t="s">
        <v>1180</v>
      </c>
      <c r="D412" s="3" t="s">
        <v>1241</v>
      </c>
      <c r="E412" s="3" t="s">
        <v>1242</v>
      </c>
      <c r="F412" s="3">
        <v>0</v>
      </c>
      <c r="G412" s="3">
        <v>19713043.68</v>
      </c>
    </row>
    <row r="413" spans="1:7" x14ac:dyDescent="0.2">
      <c r="A413" s="3" t="s">
        <v>1072</v>
      </c>
      <c r="B413" s="4">
        <v>44561</v>
      </c>
      <c r="C413" s="3" t="s">
        <v>1180</v>
      </c>
      <c r="D413" s="3" t="s">
        <v>1386</v>
      </c>
      <c r="E413" s="3" t="s">
        <v>1387</v>
      </c>
      <c r="F413" s="3">
        <v>0</v>
      </c>
      <c r="G413" s="3">
        <v>-38862.46</v>
      </c>
    </row>
    <row r="414" spans="1:7" x14ac:dyDescent="0.2">
      <c r="A414" s="3" t="s">
        <v>1072</v>
      </c>
      <c r="B414" s="4">
        <v>44561</v>
      </c>
      <c r="C414" s="3" t="s">
        <v>1180</v>
      </c>
      <c r="D414" s="3" t="s">
        <v>1388</v>
      </c>
      <c r="E414" s="3" t="s">
        <v>1389</v>
      </c>
      <c r="F414" s="3">
        <v>0</v>
      </c>
      <c r="G414" s="3">
        <v>4342.5</v>
      </c>
    </row>
    <row r="415" spans="1:7" x14ac:dyDescent="0.2">
      <c r="A415" s="3" t="s">
        <v>1072</v>
      </c>
      <c r="B415" s="4">
        <v>44561</v>
      </c>
      <c r="C415" s="3" t="s">
        <v>1180</v>
      </c>
      <c r="D415" s="3" t="s">
        <v>1390</v>
      </c>
      <c r="E415" s="3" t="s">
        <v>1391</v>
      </c>
      <c r="F415" s="3">
        <v>100066.26</v>
      </c>
      <c r="G415" s="3">
        <v>-60000</v>
      </c>
    </row>
    <row r="416" spans="1:7" x14ac:dyDescent="0.2">
      <c r="A416" s="3" t="s">
        <v>1072</v>
      </c>
      <c r="B416" s="4">
        <v>44561</v>
      </c>
      <c r="C416" s="3" t="s">
        <v>1180</v>
      </c>
      <c r="D416" s="3" t="s">
        <v>1392</v>
      </c>
      <c r="E416" s="3" t="s">
        <v>1393</v>
      </c>
      <c r="F416" s="3">
        <v>0</v>
      </c>
      <c r="G416" s="3">
        <v>-29796.99</v>
      </c>
    </row>
    <row r="417" spans="1:7" x14ac:dyDescent="0.2">
      <c r="A417" s="3" t="s">
        <v>1072</v>
      </c>
      <c r="B417" s="4">
        <v>44561</v>
      </c>
      <c r="C417" s="3" t="s">
        <v>1180</v>
      </c>
      <c r="D417" s="3" t="s">
        <v>1394</v>
      </c>
      <c r="E417" s="3" t="s">
        <v>1256</v>
      </c>
      <c r="F417" s="3">
        <v>600</v>
      </c>
      <c r="G417" s="3">
        <v>-33800</v>
      </c>
    </row>
    <row r="418" spans="1:7" x14ac:dyDescent="0.2">
      <c r="A418" s="3" t="s">
        <v>1072</v>
      </c>
      <c r="B418" s="4">
        <v>44561</v>
      </c>
      <c r="C418" s="3" t="s">
        <v>1180</v>
      </c>
      <c r="D418" s="3" t="s">
        <v>1395</v>
      </c>
      <c r="E418" s="3" t="s">
        <v>1396</v>
      </c>
      <c r="F418" s="3">
        <v>54000</v>
      </c>
      <c r="G418" s="3">
        <v>-50000</v>
      </c>
    </row>
    <row r="419" spans="1:7" x14ac:dyDescent="0.2">
      <c r="A419" s="3" t="s">
        <v>1072</v>
      </c>
      <c r="B419" s="4">
        <v>44561</v>
      </c>
      <c r="C419" s="3" t="s">
        <v>1180</v>
      </c>
      <c r="D419" s="3" t="s">
        <v>1397</v>
      </c>
      <c r="E419" s="3" t="s">
        <v>1398</v>
      </c>
      <c r="F419" s="3">
        <v>600</v>
      </c>
      <c r="G419" s="3">
        <v>-3800</v>
      </c>
    </row>
    <row r="420" spans="1:7" x14ac:dyDescent="0.2">
      <c r="A420" s="3" t="s">
        <v>1072</v>
      </c>
      <c r="B420" s="4">
        <v>44561</v>
      </c>
      <c r="C420" s="3" t="s">
        <v>1180</v>
      </c>
      <c r="D420" s="3" t="s">
        <v>1399</v>
      </c>
      <c r="E420" s="3" t="s">
        <v>1400</v>
      </c>
      <c r="F420" s="3">
        <v>-35000</v>
      </c>
      <c r="G420" s="3">
        <v>-49000</v>
      </c>
    </row>
    <row r="421" spans="1:7" x14ac:dyDescent="0.2">
      <c r="A421" s="3" t="s">
        <v>1069</v>
      </c>
      <c r="B421" s="4">
        <v>44561</v>
      </c>
      <c r="C421" s="3" t="s">
        <v>1175</v>
      </c>
      <c r="D421" s="3" t="s">
        <v>1176</v>
      </c>
      <c r="E421" s="3" t="s">
        <v>1177</v>
      </c>
      <c r="F421" s="3">
        <v>6831</v>
      </c>
      <c r="G421" s="3">
        <v>0</v>
      </c>
    </row>
    <row r="422" spans="1:7" x14ac:dyDescent="0.2">
      <c r="A422" s="3" t="s">
        <v>1069</v>
      </c>
      <c r="B422" s="4">
        <v>44561</v>
      </c>
      <c r="C422" s="3" t="s">
        <v>1175</v>
      </c>
      <c r="D422" s="3" t="s">
        <v>1178</v>
      </c>
      <c r="E422" s="3" t="s">
        <v>1179</v>
      </c>
      <c r="F422" s="3">
        <v>-54000</v>
      </c>
      <c r="G422" s="3">
        <v>50000</v>
      </c>
    </row>
    <row r="423" spans="1:7" x14ac:dyDescent="0.2">
      <c r="A423" s="3" t="s">
        <v>1072</v>
      </c>
      <c r="B423" s="4">
        <v>44561</v>
      </c>
      <c r="C423" s="3" t="s">
        <v>1180</v>
      </c>
      <c r="D423" s="3" t="s">
        <v>1401</v>
      </c>
      <c r="E423" s="3" t="s">
        <v>1402</v>
      </c>
      <c r="F423" s="3">
        <v>-726</v>
      </c>
      <c r="G423" s="3">
        <v>0</v>
      </c>
    </row>
    <row r="424" spans="1:7" x14ac:dyDescent="0.2">
      <c r="A424" s="3" t="s">
        <v>1072</v>
      </c>
      <c r="B424" s="4">
        <v>44561</v>
      </c>
      <c r="C424" s="3" t="s">
        <v>1180</v>
      </c>
      <c r="D424" s="3" t="s">
        <v>1403</v>
      </c>
      <c r="E424" s="3" t="s">
        <v>1404</v>
      </c>
      <c r="F424" s="3">
        <v>120.05</v>
      </c>
      <c r="G424" s="3">
        <v>120.05</v>
      </c>
    </row>
    <row r="425" spans="1:7" x14ac:dyDescent="0.2">
      <c r="A425" s="3" t="s">
        <v>1072</v>
      </c>
      <c r="B425" s="4">
        <v>44561</v>
      </c>
      <c r="C425" s="3" t="s">
        <v>1175</v>
      </c>
      <c r="D425" s="3" t="s">
        <v>1405</v>
      </c>
      <c r="E425" s="3" t="s">
        <v>1406</v>
      </c>
      <c r="F425" s="3">
        <v>10368.280000000001</v>
      </c>
      <c r="G425" s="3">
        <v>5557.44</v>
      </c>
    </row>
    <row r="426" spans="1:7" x14ac:dyDescent="0.2">
      <c r="A426" s="3" t="s">
        <v>1072</v>
      </c>
      <c r="B426" s="4">
        <v>44561</v>
      </c>
      <c r="C426" s="3" t="s">
        <v>1175</v>
      </c>
      <c r="D426" s="3" t="s">
        <v>1407</v>
      </c>
      <c r="E426" s="3" t="s">
        <v>1408</v>
      </c>
      <c r="F426" s="3">
        <v>0</v>
      </c>
      <c r="G426" s="3">
        <v>-62160</v>
      </c>
    </row>
    <row r="427" spans="1:7" x14ac:dyDescent="0.2">
      <c r="A427" s="3" t="s">
        <v>1072</v>
      </c>
      <c r="B427" s="4">
        <v>44561</v>
      </c>
      <c r="C427" s="3" t="s">
        <v>1180</v>
      </c>
      <c r="D427" s="3" t="s">
        <v>1409</v>
      </c>
      <c r="E427" s="3" t="s">
        <v>1410</v>
      </c>
      <c r="F427" s="3">
        <v>0</v>
      </c>
      <c r="G427" s="3">
        <v>216064.1</v>
      </c>
    </row>
    <row r="428" spans="1:7" x14ac:dyDescent="0.2">
      <c r="A428" s="3" t="s">
        <v>1072</v>
      </c>
      <c r="B428" s="4">
        <v>44561</v>
      </c>
      <c r="C428" s="3" t="s">
        <v>1180</v>
      </c>
      <c r="D428" s="3" t="s">
        <v>1411</v>
      </c>
      <c r="E428" s="3" t="s">
        <v>1412</v>
      </c>
      <c r="F428" s="3">
        <v>0</v>
      </c>
      <c r="G428" s="3">
        <v>-133240</v>
      </c>
    </row>
    <row r="429" spans="1:7" x14ac:dyDescent="0.2">
      <c r="A429" s="3" t="s">
        <v>1072</v>
      </c>
      <c r="B429" s="4">
        <v>44561</v>
      </c>
      <c r="C429" s="3" t="s">
        <v>1180</v>
      </c>
      <c r="D429" s="3" t="s">
        <v>1413</v>
      </c>
      <c r="E429" s="3" t="s">
        <v>1414</v>
      </c>
      <c r="F429" s="3">
        <v>0</v>
      </c>
      <c r="G429" s="3">
        <v>53450.87</v>
      </c>
    </row>
    <row r="430" spans="1:7" x14ac:dyDescent="0.2">
      <c r="A430" s="3" t="s">
        <v>1072</v>
      </c>
      <c r="B430" s="4">
        <v>44561</v>
      </c>
      <c r="C430" s="3" t="s">
        <v>1180</v>
      </c>
      <c r="D430" s="3" t="s">
        <v>1415</v>
      </c>
      <c r="E430" s="3" t="s">
        <v>1416</v>
      </c>
      <c r="F430" s="3">
        <v>-1092.24</v>
      </c>
      <c r="G430" s="3">
        <v>-17381.55</v>
      </c>
    </row>
    <row r="431" spans="1:7" x14ac:dyDescent="0.2">
      <c r="A431" s="3" t="s">
        <v>1072</v>
      </c>
      <c r="B431" s="4">
        <v>44561</v>
      </c>
      <c r="C431" s="3" t="s">
        <v>1180</v>
      </c>
      <c r="D431" s="3" t="s">
        <v>1417</v>
      </c>
      <c r="E431" s="3" t="s">
        <v>1418</v>
      </c>
      <c r="F431" s="3">
        <v>0</v>
      </c>
      <c r="G431" s="3">
        <v>11600</v>
      </c>
    </row>
    <row r="432" spans="1:7" x14ac:dyDescent="0.2">
      <c r="A432" s="3" t="s">
        <v>1072</v>
      </c>
      <c r="B432" s="4">
        <v>44561</v>
      </c>
      <c r="C432" s="3" t="s">
        <v>1180</v>
      </c>
      <c r="D432" s="3" t="s">
        <v>1419</v>
      </c>
      <c r="E432" s="3" t="s">
        <v>1420</v>
      </c>
      <c r="F432" s="3">
        <v>-193.33</v>
      </c>
      <c r="G432" s="3">
        <v>-580</v>
      </c>
    </row>
    <row r="433" spans="1:7" x14ac:dyDescent="0.2">
      <c r="A433" s="3" t="s">
        <v>1069</v>
      </c>
      <c r="B433" s="4">
        <v>44561</v>
      </c>
      <c r="C433" s="3" t="s">
        <v>1180</v>
      </c>
      <c r="D433" s="3" t="s">
        <v>1421</v>
      </c>
      <c r="E433" s="3" t="s">
        <v>1422</v>
      </c>
      <c r="F433" s="3">
        <v>261841.5</v>
      </c>
      <c r="G433" s="3">
        <v>261841.5</v>
      </c>
    </row>
    <row r="434" spans="1:7" x14ac:dyDescent="0.2">
      <c r="A434" s="3" t="s">
        <v>1069</v>
      </c>
      <c r="B434" s="4">
        <v>44561</v>
      </c>
      <c r="C434" s="3" t="s">
        <v>1180</v>
      </c>
      <c r="D434" s="3" t="s">
        <v>1214</v>
      </c>
      <c r="E434" s="3" t="s">
        <v>1215</v>
      </c>
      <c r="F434" s="3">
        <v>0</v>
      </c>
      <c r="G434" s="3">
        <v>26200000</v>
      </c>
    </row>
    <row r="435" spans="1:7" x14ac:dyDescent="0.2">
      <c r="A435" s="3" t="s">
        <v>1069</v>
      </c>
      <c r="B435" s="4">
        <v>44561</v>
      </c>
      <c r="C435" s="3" t="s">
        <v>1180</v>
      </c>
      <c r="D435" s="3" t="s">
        <v>1216</v>
      </c>
      <c r="E435" s="3" t="s">
        <v>1217</v>
      </c>
      <c r="F435" s="3">
        <v>0</v>
      </c>
      <c r="G435" s="3">
        <v>68427</v>
      </c>
    </row>
    <row r="436" spans="1:7" x14ac:dyDescent="0.2">
      <c r="A436" s="3" t="s">
        <v>1069</v>
      </c>
      <c r="B436" s="4">
        <v>44561</v>
      </c>
      <c r="C436" s="3" t="s">
        <v>1180</v>
      </c>
      <c r="D436" s="3" t="s">
        <v>1218</v>
      </c>
      <c r="E436" s="3" t="s">
        <v>1219</v>
      </c>
      <c r="F436" s="3">
        <v>0</v>
      </c>
      <c r="G436" s="3">
        <v>103812</v>
      </c>
    </row>
    <row r="437" spans="1:7" x14ac:dyDescent="0.2">
      <c r="A437" s="3" t="s">
        <v>1069</v>
      </c>
      <c r="B437" s="4">
        <v>44561</v>
      </c>
      <c r="C437" s="3" t="s">
        <v>1180</v>
      </c>
      <c r="D437" s="3" t="s">
        <v>1197</v>
      </c>
      <c r="E437" s="3" t="s">
        <v>1198</v>
      </c>
      <c r="F437" s="3">
        <v>5000</v>
      </c>
      <c r="G437" s="3">
        <v>142000</v>
      </c>
    </row>
    <row r="438" spans="1:7" x14ac:dyDescent="0.2">
      <c r="A438" s="3" t="s">
        <v>1069</v>
      </c>
      <c r="B438" s="4">
        <v>44561</v>
      </c>
      <c r="C438" s="3" t="s">
        <v>1180</v>
      </c>
      <c r="D438" s="3" t="s">
        <v>1181</v>
      </c>
      <c r="E438" s="3" t="s">
        <v>1182</v>
      </c>
      <c r="F438" s="3">
        <v>2565181.5</v>
      </c>
      <c r="G438" s="3">
        <v>5052916.5</v>
      </c>
    </row>
    <row r="439" spans="1:7" x14ac:dyDescent="0.2">
      <c r="A439" s="3" t="s">
        <v>1069</v>
      </c>
      <c r="B439" s="4">
        <v>44561</v>
      </c>
      <c r="C439" s="3" t="s">
        <v>1180</v>
      </c>
      <c r="D439" s="3" t="s">
        <v>1263</v>
      </c>
      <c r="E439" s="3" t="s">
        <v>1264</v>
      </c>
      <c r="F439" s="3">
        <v>0</v>
      </c>
      <c r="G439" s="3">
        <v>13807.78</v>
      </c>
    </row>
    <row r="440" spans="1:7" x14ac:dyDescent="0.2">
      <c r="A440" s="3" t="s">
        <v>1069</v>
      </c>
      <c r="B440" s="4">
        <v>44561</v>
      </c>
      <c r="C440" s="3" t="s">
        <v>1180</v>
      </c>
      <c r="D440" s="3" t="s">
        <v>1202</v>
      </c>
      <c r="E440" s="3" t="s">
        <v>1203</v>
      </c>
      <c r="F440" s="3">
        <v>0</v>
      </c>
      <c r="G440" s="3">
        <v>4510</v>
      </c>
    </row>
    <row r="441" spans="1:7" x14ac:dyDescent="0.2">
      <c r="A441" s="3" t="s">
        <v>1069</v>
      </c>
      <c r="B441" s="4">
        <v>44561</v>
      </c>
      <c r="C441" s="3" t="s">
        <v>1180</v>
      </c>
      <c r="D441" s="3" t="s">
        <v>1204</v>
      </c>
      <c r="E441" s="3" t="s">
        <v>1205</v>
      </c>
      <c r="F441" s="3">
        <v>0</v>
      </c>
      <c r="G441" s="3">
        <v>7500</v>
      </c>
    </row>
    <row r="442" spans="1:7" x14ac:dyDescent="0.2">
      <c r="A442" s="3" t="s">
        <v>1069</v>
      </c>
      <c r="B442" s="4">
        <v>44561</v>
      </c>
      <c r="C442" s="3" t="s">
        <v>1180</v>
      </c>
      <c r="D442" s="3" t="s">
        <v>1199</v>
      </c>
      <c r="E442" s="3" t="s">
        <v>1200</v>
      </c>
      <c r="F442" s="3">
        <v>0</v>
      </c>
      <c r="G442" s="3">
        <v>67400</v>
      </c>
    </row>
    <row r="443" spans="1:7" x14ac:dyDescent="0.2">
      <c r="A443" s="3" t="s">
        <v>1069</v>
      </c>
      <c r="B443" s="4">
        <v>44561</v>
      </c>
      <c r="C443" s="3" t="s">
        <v>1180</v>
      </c>
      <c r="D443" s="3" t="s">
        <v>1220</v>
      </c>
      <c r="E443" s="3" t="s">
        <v>1221</v>
      </c>
      <c r="F443" s="3">
        <v>0</v>
      </c>
      <c r="G443" s="3">
        <v>15175</v>
      </c>
    </row>
    <row r="444" spans="1:7" x14ac:dyDescent="0.2">
      <c r="A444" s="3" t="s">
        <v>1069</v>
      </c>
      <c r="B444" s="4">
        <v>44561</v>
      </c>
      <c r="C444" s="3" t="s">
        <v>1180</v>
      </c>
      <c r="D444" s="3" t="s">
        <v>1183</v>
      </c>
      <c r="E444" s="3" t="s">
        <v>1184</v>
      </c>
      <c r="F444" s="3">
        <v>0</v>
      </c>
      <c r="G444" s="3">
        <v>23034.26</v>
      </c>
    </row>
    <row r="445" spans="1:7" x14ac:dyDescent="0.2">
      <c r="A445" s="3" t="s">
        <v>1069</v>
      </c>
      <c r="B445" s="4">
        <v>44561</v>
      </c>
      <c r="C445" s="3" t="s">
        <v>1180</v>
      </c>
      <c r="D445" s="3" t="s">
        <v>1222</v>
      </c>
      <c r="E445" s="3" t="s">
        <v>1223</v>
      </c>
      <c r="F445" s="3">
        <v>257612.85</v>
      </c>
      <c r="G445" s="3">
        <v>1812717.84</v>
      </c>
    </row>
    <row r="446" spans="1:7" x14ac:dyDescent="0.2">
      <c r="A446" s="3" t="s">
        <v>1069</v>
      </c>
      <c r="B446" s="4">
        <v>44561</v>
      </c>
      <c r="C446" s="3" t="s">
        <v>1180</v>
      </c>
      <c r="D446" s="3" t="s">
        <v>1235</v>
      </c>
      <c r="E446" s="3" t="s">
        <v>1236</v>
      </c>
      <c r="F446" s="3">
        <v>0</v>
      </c>
      <c r="G446" s="3">
        <v>782608.07</v>
      </c>
    </row>
    <row r="447" spans="1:7" x14ac:dyDescent="0.2">
      <c r="A447" s="3" t="s">
        <v>1069</v>
      </c>
      <c r="B447" s="4">
        <v>44561</v>
      </c>
      <c r="C447" s="3" t="s">
        <v>1180</v>
      </c>
      <c r="D447" s="3" t="s">
        <v>1206</v>
      </c>
      <c r="E447" s="3" t="s">
        <v>1207</v>
      </c>
      <c r="F447" s="3">
        <v>0</v>
      </c>
      <c r="G447" s="3">
        <v>129550</v>
      </c>
    </row>
    <row r="448" spans="1:7" x14ac:dyDescent="0.2">
      <c r="A448" s="3" t="s">
        <v>1069</v>
      </c>
      <c r="B448" s="4">
        <v>44561</v>
      </c>
      <c r="C448" s="3" t="s">
        <v>1180</v>
      </c>
      <c r="D448" s="3" t="s">
        <v>1208</v>
      </c>
      <c r="E448" s="3" t="s">
        <v>1209</v>
      </c>
      <c r="F448" s="3">
        <v>0</v>
      </c>
      <c r="G448" s="3">
        <v>45000</v>
      </c>
    </row>
    <row r="449" spans="1:7" x14ac:dyDescent="0.2">
      <c r="A449" s="3" t="s">
        <v>1069</v>
      </c>
      <c r="B449" s="4">
        <v>44561</v>
      </c>
      <c r="C449" s="3" t="s">
        <v>1180</v>
      </c>
      <c r="D449" s="3" t="s">
        <v>1259</v>
      </c>
      <c r="E449" s="3" t="s">
        <v>1260</v>
      </c>
      <c r="F449" s="3">
        <v>6000</v>
      </c>
      <c r="G449" s="3">
        <v>42000</v>
      </c>
    </row>
    <row r="450" spans="1:7" x14ac:dyDescent="0.2">
      <c r="A450" s="3" t="s">
        <v>1069</v>
      </c>
      <c r="B450" s="4">
        <v>44561</v>
      </c>
      <c r="C450" s="3" t="s">
        <v>1180</v>
      </c>
      <c r="D450" s="3" t="s">
        <v>1265</v>
      </c>
      <c r="E450" s="3" t="s">
        <v>1266</v>
      </c>
      <c r="F450" s="3">
        <v>55341.39</v>
      </c>
      <c r="G450" s="3">
        <v>578812.27</v>
      </c>
    </row>
    <row r="451" spans="1:7" x14ac:dyDescent="0.2">
      <c r="A451" s="3" t="s">
        <v>1069</v>
      </c>
      <c r="B451" s="4">
        <v>44561</v>
      </c>
      <c r="C451" s="3" t="s">
        <v>1180</v>
      </c>
      <c r="D451" s="3" t="s">
        <v>1423</v>
      </c>
      <c r="E451" s="3" t="s">
        <v>1424</v>
      </c>
      <c r="F451" s="3">
        <v>320067.65999999997</v>
      </c>
      <c r="G451" s="3">
        <v>320067.65999999997</v>
      </c>
    </row>
    <row r="452" spans="1:7" x14ac:dyDescent="0.2">
      <c r="A452" s="3" t="s">
        <v>1072</v>
      </c>
      <c r="B452" s="4">
        <v>44561</v>
      </c>
      <c r="C452" s="3" t="s">
        <v>1180</v>
      </c>
      <c r="D452" s="3" t="s">
        <v>1425</v>
      </c>
      <c r="E452" s="3" t="s">
        <v>1426</v>
      </c>
      <c r="F452" s="3">
        <v>0</v>
      </c>
      <c r="G452" s="3">
        <v>6875.45</v>
      </c>
    </row>
    <row r="453" spans="1:7" x14ac:dyDescent="0.2">
      <c r="A453" s="3" t="s">
        <v>1072</v>
      </c>
      <c r="B453" s="4">
        <v>44561</v>
      </c>
      <c r="C453" s="3" t="s">
        <v>1180</v>
      </c>
      <c r="D453" s="3" t="s">
        <v>1427</v>
      </c>
      <c r="E453" s="3" t="s">
        <v>1428</v>
      </c>
      <c r="F453" s="3">
        <v>-1631119.5</v>
      </c>
      <c r="G453" s="3">
        <v>1523361.67</v>
      </c>
    </row>
    <row r="454" spans="1:7" x14ac:dyDescent="0.2">
      <c r="A454" s="3" t="s">
        <v>1072</v>
      </c>
      <c r="B454" s="4">
        <v>44561</v>
      </c>
      <c r="C454" s="3" t="s">
        <v>1180</v>
      </c>
      <c r="D454" s="3" t="s">
        <v>1429</v>
      </c>
      <c r="E454" s="3" t="s">
        <v>1430</v>
      </c>
      <c r="F454" s="3">
        <v>-2867.09</v>
      </c>
      <c r="G454" s="3">
        <v>20069.66</v>
      </c>
    </row>
    <row r="455" spans="1:7" x14ac:dyDescent="0.2">
      <c r="A455" s="3" t="s">
        <v>1069</v>
      </c>
      <c r="B455" s="4">
        <v>44561</v>
      </c>
      <c r="C455" s="3" t="s">
        <v>1180</v>
      </c>
      <c r="D455" s="3" t="s">
        <v>1257</v>
      </c>
      <c r="E455" s="3" t="s">
        <v>1258</v>
      </c>
      <c r="F455" s="3">
        <v>0</v>
      </c>
      <c r="G455" s="3">
        <v>300000</v>
      </c>
    </row>
    <row r="456" spans="1:7" x14ac:dyDescent="0.2">
      <c r="A456" s="3" t="s">
        <v>1072</v>
      </c>
      <c r="B456" s="4">
        <v>44561</v>
      </c>
      <c r="C456" s="3" t="s">
        <v>1180</v>
      </c>
      <c r="D456" s="3" t="s">
        <v>1431</v>
      </c>
      <c r="E456" s="3" t="s">
        <v>1432</v>
      </c>
      <c r="F456" s="3">
        <v>-129</v>
      </c>
      <c r="G456" s="3">
        <v>0</v>
      </c>
    </row>
    <row r="457" spans="1:7" x14ac:dyDescent="0.2">
      <c r="A457" s="3" t="s">
        <v>1069</v>
      </c>
      <c r="B457" s="4">
        <v>44561</v>
      </c>
      <c r="C457" s="3" t="s">
        <v>1180</v>
      </c>
      <c r="D457" s="3" t="s">
        <v>1187</v>
      </c>
      <c r="E457" s="3" t="s">
        <v>1188</v>
      </c>
      <c r="F457" s="3">
        <v>41819.65</v>
      </c>
      <c r="G457" s="3">
        <v>46086.2</v>
      </c>
    </row>
    <row r="458" spans="1:7" x14ac:dyDescent="0.2">
      <c r="A458" s="3" t="s">
        <v>1072</v>
      </c>
      <c r="B458" s="4">
        <v>44561</v>
      </c>
      <c r="C458" s="3" t="s">
        <v>1180</v>
      </c>
      <c r="D458" s="3" t="s">
        <v>1187</v>
      </c>
      <c r="E458" s="3" t="s">
        <v>1433</v>
      </c>
      <c r="F458" s="3">
        <v>11634.4</v>
      </c>
      <c r="G458" s="3">
        <v>39603.9</v>
      </c>
    </row>
    <row r="459" spans="1:7" x14ac:dyDescent="0.2">
      <c r="A459" s="3" t="s">
        <v>1072</v>
      </c>
      <c r="B459" s="4">
        <v>44561</v>
      </c>
      <c r="C459" s="3" t="s">
        <v>1180</v>
      </c>
      <c r="D459" s="3" t="s">
        <v>1189</v>
      </c>
      <c r="E459" s="3" t="s">
        <v>1434</v>
      </c>
      <c r="F459" s="3">
        <v>-665</v>
      </c>
      <c r="G459" s="3">
        <v>46.7</v>
      </c>
    </row>
    <row r="460" spans="1:7" x14ac:dyDescent="0.2">
      <c r="A460" s="3" t="s">
        <v>1072</v>
      </c>
      <c r="B460" s="4">
        <v>44561</v>
      </c>
      <c r="C460" s="3" t="s">
        <v>1180</v>
      </c>
      <c r="D460" s="3" t="s">
        <v>1435</v>
      </c>
      <c r="E460" s="3" t="s">
        <v>1436</v>
      </c>
      <c r="F460" s="3">
        <v>5.86</v>
      </c>
      <c r="G460" s="3">
        <v>505.86</v>
      </c>
    </row>
    <row r="461" spans="1:7" x14ac:dyDescent="0.2">
      <c r="A461" s="3" t="s">
        <v>1069</v>
      </c>
      <c r="B461" s="4">
        <v>44561</v>
      </c>
      <c r="C461" s="3" t="s">
        <v>1180</v>
      </c>
      <c r="D461" s="3" t="s">
        <v>1243</v>
      </c>
      <c r="E461" s="3" t="s">
        <v>1244</v>
      </c>
      <c r="F461" s="3">
        <v>-227.23</v>
      </c>
      <c r="G461" s="3">
        <v>779.85</v>
      </c>
    </row>
    <row r="462" spans="1:7" x14ac:dyDescent="0.2">
      <c r="A462" s="3" t="s">
        <v>1069</v>
      </c>
      <c r="B462" s="4">
        <v>44561</v>
      </c>
      <c r="C462" s="3" t="s">
        <v>1180</v>
      </c>
      <c r="D462" s="3" t="s">
        <v>1245</v>
      </c>
      <c r="E462" s="3" t="s">
        <v>1246</v>
      </c>
      <c r="F462" s="3">
        <v>-3670177.96</v>
      </c>
      <c r="G462" s="3">
        <v>9180335.1099999994</v>
      </c>
    </row>
    <row r="463" spans="1:7" x14ac:dyDescent="0.2">
      <c r="A463" s="3" t="s">
        <v>1072</v>
      </c>
      <c r="B463" s="4">
        <v>44561</v>
      </c>
      <c r="C463" s="3" t="s">
        <v>1175</v>
      </c>
      <c r="D463" s="3" t="s">
        <v>1437</v>
      </c>
      <c r="E463" s="3" t="s">
        <v>1438</v>
      </c>
      <c r="F463" s="3">
        <v>0.01</v>
      </c>
      <c r="G463" s="3">
        <v>-0.02</v>
      </c>
    </row>
    <row r="464" spans="1:7" x14ac:dyDescent="0.2">
      <c r="A464" s="3" t="s">
        <v>1069</v>
      </c>
      <c r="B464" s="4">
        <v>44561</v>
      </c>
      <c r="C464" s="3" t="s">
        <v>1175</v>
      </c>
      <c r="D464" s="3" t="s">
        <v>1437</v>
      </c>
      <c r="E464" s="3" t="s">
        <v>1438</v>
      </c>
      <c r="F464" s="3">
        <v>0.01</v>
      </c>
      <c r="G464" s="3">
        <v>0.01</v>
      </c>
    </row>
    <row r="465" spans="1:7" x14ac:dyDescent="0.2">
      <c r="A465" s="3" t="s">
        <v>1072</v>
      </c>
      <c r="B465" s="4">
        <v>44561</v>
      </c>
      <c r="C465" s="3" t="s">
        <v>1175</v>
      </c>
      <c r="D465" s="3" t="s">
        <v>1191</v>
      </c>
      <c r="E465" s="3" t="s">
        <v>1192</v>
      </c>
      <c r="F465" s="3">
        <v>1443494.23</v>
      </c>
      <c r="G465" s="3">
        <v>-1373786.79</v>
      </c>
    </row>
    <row r="466" spans="1:7" x14ac:dyDescent="0.2">
      <c r="A466" s="3" t="s">
        <v>1069</v>
      </c>
      <c r="B466" s="4">
        <v>44561</v>
      </c>
      <c r="C466" s="3" t="s">
        <v>1175</v>
      </c>
      <c r="D466" s="3" t="s">
        <v>1191</v>
      </c>
      <c r="E466" s="3" t="s">
        <v>1192</v>
      </c>
      <c r="F466" s="3">
        <v>-379322.93</v>
      </c>
      <c r="G466" s="3">
        <v>-46555943.329999998</v>
      </c>
    </row>
    <row r="467" spans="1:7" x14ac:dyDescent="0.2">
      <c r="A467" s="3" t="s">
        <v>1072</v>
      </c>
      <c r="B467" s="4">
        <v>44561</v>
      </c>
      <c r="C467" s="3" t="s">
        <v>1175</v>
      </c>
      <c r="D467" s="3" t="s">
        <v>1439</v>
      </c>
      <c r="E467" s="3" t="s">
        <v>1440</v>
      </c>
      <c r="F467" s="3">
        <v>0</v>
      </c>
      <c r="G467" s="3">
        <v>3000</v>
      </c>
    </row>
    <row r="468" spans="1:7" x14ac:dyDescent="0.2">
      <c r="A468" s="3" t="s">
        <v>1072</v>
      </c>
      <c r="B468" s="4">
        <v>44561</v>
      </c>
      <c r="C468" s="3" t="s">
        <v>1175</v>
      </c>
      <c r="D468" s="3" t="s">
        <v>1441</v>
      </c>
      <c r="E468" s="3" t="s">
        <v>1442</v>
      </c>
      <c r="F468" s="3">
        <v>1933.03</v>
      </c>
      <c r="G468" s="3">
        <v>-31628.33</v>
      </c>
    </row>
    <row r="469" spans="1:7" x14ac:dyDescent="0.2">
      <c r="A469" s="3" t="s">
        <v>1072</v>
      </c>
      <c r="B469" s="4">
        <v>44561</v>
      </c>
      <c r="C469" s="3" t="s">
        <v>1175</v>
      </c>
      <c r="D469" s="3" t="s">
        <v>1193</v>
      </c>
      <c r="E469" s="3" t="s">
        <v>1443</v>
      </c>
      <c r="F469" s="3">
        <v>-151318.79999999999</v>
      </c>
      <c r="G469" s="3">
        <v>-691896.02</v>
      </c>
    </row>
    <row r="470" spans="1:7" x14ac:dyDescent="0.2">
      <c r="A470" s="3" t="s">
        <v>1069</v>
      </c>
      <c r="B470" s="4">
        <v>44561</v>
      </c>
      <c r="C470" s="3" t="s">
        <v>1175</v>
      </c>
      <c r="D470" s="3" t="s">
        <v>1193</v>
      </c>
      <c r="E470" s="3" t="s">
        <v>1194</v>
      </c>
      <c r="F470" s="3">
        <v>498445.43</v>
      </c>
      <c r="G470" s="3">
        <v>979374.94</v>
      </c>
    </row>
    <row r="471" spans="1:7" x14ac:dyDescent="0.2">
      <c r="A471" s="3" t="s">
        <v>1072</v>
      </c>
      <c r="B471" s="4">
        <v>44561</v>
      </c>
      <c r="C471" s="3" t="s">
        <v>1175</v>
      </c>
      <c r="D471" s="3" t="s">
        <v>1444</v>
      </c>
      <c r="E471" s="3" t="s">
        <v>1445</v>
      </c>
      <c r="F471" s="3">
        <v>0</v>
      </c>
      <c r="G471" s="3">
        <v>7748.15</v>
      </c>
    </row>
    <row r="472" spans="1:7" x14ac:dyDescent="0.2">
      <c r="A472" s="3" t="s">
        <v>1072</v>
      </c>
      <c r="B472" s="4">
        <v>44561</v>
      </c>
      <c r="C472" s="3" t="s">
        <v>1175</v>
      </c>
      <c r="D472" s="3" t="s">
        <v>1446</v>
      </c>
      <c r="E472" s="3" t="s">
        <v>1447</v>
      </c>
      <c r="F472" s="3">
        <v>0</v>
      </c>
      <c r="G472" s="3">
        <v>-254.99</v>
      </c>
    </row>
    <row r="473" spans="1:7" x14ac:dyDescent="0.2">
      <c r="A473" s="3" t="s">
        <v>1072</v>
      </c>
      <c r="B473" s="4">
        <v>44592</v>
      </c>
      <c r="C473" s="3" t="s">
        <v>1210</v>
      </c>
      <c r="D473" s="3" t="s">
        <v>1448</v>
      </c>
      <c r="E473" s="3" t="s">
        <v>1449</v>
      </c>
      <c r="F473" s="3">
        <v>-73913.039999999994</v>
      </c>
      <c r="G473" s="3">
        <v>-73913.039999999994</v>
      </c>
    </row>
    <row r="474" spans="1:7" x14ac:dyDescent="0.2">
      <c r="A474" s="3" t="s">
        <v>1072</v>
      </c>
      <c r="B474" s="4">
        <v>44592</v>
      </c>
      <c r="C474" s="3" t="s">
        <v>1210</v>
      </c>
      <c r="D474" s="3" t="s">
        <v>1267</v>
      </c>
      <c r="E474" s="3" t="s">
        <v>1268</v>
      </c>
      <c r="F474" s="3">
        <v>-613551.63</v>
      </c>
      <c r="G474" s="3">
        <v>-14899838.07</v>
      </c>
    </row>
    <row r="475" spans="1:7" x14ac:dyDescent="0.2">
      <c r="A475" s="3" t="s">
        <v>1072</v>
      </c>
      <c r="B475" s="4">
        <v>44592</v>
      </c>
      <c r="C475" s="3" t="s">
        <v>1210</v>
      </c>
      <c r="D475" s="3" t="s">
        <v>1269</v>
      </c>
      <c r="E475" s="3" t="s">
        <v>1270</v>
      </c>
      <c r="F475" s="3">
        <v>-672512.24</v>
      </c>
      <c r="G475" s="3">
        <v>-2482543.7400000002</v>
      </c>
    </row>
    <row r="476" spans="1:7" x14ac:dyDescent="0.2">
      <c r="A476" s="3" t="s">
        <v>1072</v>
      </c>
      <c r="B476" s="4">
        <v>44592</v>
      </c>
      <c r="C476" s="3" t="s">
        <v>1210</v>
      </c>
      <c r="D476" s="3" t="s">
        <v>1271</v>
      </c>
      <c r="E476" s="3" t="s">
        <v>1272</v>
      </c>
      <c r="F476" s="3">
        <v>0</v>
      </c>
      <c r="G476" s="3">
        <v>387.08</v>
      </c>
    </row>
    <row r="477" spans="1:7" x14ac:dyDescent="0.2">
      <c r="A477" s="3" t="s">
        <v>1072</v>
      </c>
      <c r="B477" s="4">
        <v>44592</v>
      </c>
      <c r="C477" s="3" t="s">
        <v>1210</v>
      </c>
      <c r="D477" s="3" t="s">
        <v>1273</v>
      </c>
      <c r="E477" s="3" t="s">
        <v>1274</v>
      </c>
      <c r="F477" s="3">
        <v>-3490.94</v>
      </c>
      <c r="G477" s="3">
        <v>-6981.88</v>
      </c>
    </row>
    <row r="478" spans="1:7" x14ac:dyDescent="0.2">
      <c r="A478" s="3" t="s">
        <v>1069</v>
      </c>
      <c r="B478" s="4">
        <v>44592</v>
      </c>
      <c r="C478" s="3" t="s">
        <v>1210</v>
      </c>
      <c r="D478" s="3" t="s">
        <v>1239</v>
      </c>
      <c r="E478" s="3" t="s">
        <v>1240</v>
      </c>
      <c r="F478" s="3">
        <v>0</v>
      </c>
      <c r="G478" s="3">
        <v>-19713043.68</v>
      </c>
    </row>
    <row r="479" spans="1:7" x14ac:dyDescent="0.2">
      <c r="A479" s="3" t="s">
        <v>1069</v>
      </c>
      <c r="B479" s="4">
        <v>44592</v>
      </c>
      <c r="C479" s="3" t="s">
        <v>1168</v>
      </c>
      <c r="D479" s="3" t="s">
        <v>1247</v>
      </c>
      <c r="E479" s="3" t="s">
        <v>1248</v>
      </c>
      <c r="F479" s="3">
        <v>0</v>
      </c>
      <c r="G479" s="3">
        <v>9814</v>
      </c>
    </row>
    <row r="480" spans="1:7" x14ac:dyDescent="0.2">
      <c r="A480" s="3" t="s">
        <v>1072</v>
      </c>
      <c r="B480" s="4">
        <v>44592</v>
      </c>
      <c r="C480" s="3" t="s">
        <v>1168</v>
      </c>
      <c r="D480" s="3" t="s">
        <v>1275</v>
      </c>
      <c r="E480" s="3" t="s">
        <v>1276</v>
      </c>
      <c r="F480" s="3">
        <v>0</v>
      </c>
      <c r="G480" s="3">
        <v>1207.3499999999999</v>
      </c>
    </row>
    <row r="481" spans="1:7" x14ac:dyDescent="0.2">
      <c r="A481" s="3" t="s">
        <v>1072</v>
      </c>
      <c r="B481" s="4">
        <v>44592</v>
      </c>
      <c r="C481" s="3" t="s">
        <v>1168</v>
      </c>
      <c r="D481" s="3" t="s">
        <v>1277</v>
      </c>
      <c r="E481" s="3" t="s">
        <v>1278</v>
      </c>
      <c r="F481" s="3">
        <v>0</v>
      </c>
      <c r="G481" s="3">
        <v>4850</v>
      </c>
    </row>
    <row r="482" spans="1:7" x14ac:dyDescent="0.2">
      <c r="A482" s="3" t="s">
        <v>1072</v>
      </c>
      <c r="B482" s="4">
        <v>44592</v>
      </c>
      <c r="C482" s="3" t="s">
        <v>1168</v>
      </c>
      <c r="D482" s="3" t="s">
        <v>1279</v>
      </c>
      <c r="E482" s="3" t="s">
        <v>1280</v>
      </c>
      <c r="F482" s="3">
        <v>0</v>
      </c>
      <c r="G482" s="3">
        <v>3900</v>
      </c>
    </row>
    <row r="483" spans="1:7" x14ac:dyDescent="0.2">
      <c r="A483" s="3" t="s">
        <v>1072</v>
      </c>
      <c r="B483" s="4">
        <v>44592</v>
      </c>
      <c r="C483" s="3" t="s">
        <v>1168</v>
      </c>
      <c r="D483" s="3" t="s">
        <v>1281</v>
      </c>
      <c r="E483" s="3" t="s">
        <v>1282</v>
      </c>
      <c r="F483" s="3">
        <v>893690.02</v>
      </c>
      <c r="G483" s="3">
        <v>13268849.289999999</v>
      </c>
    </row>
    <row r="484" spans="1:7" x14ac:dyDescent="0.2">
      <c r="A484" s="3" t="s">
        <v>1072</v>
      </c>
      <c r="B484" s="4">
        <v>44592</v>
      </c>
      <c r="C484" s="3" t="s">
        <v>1168</v>
      </c>
      <c r="D484" s="3" t="s">
        <v>1283</v>
      </c>
      <c r="E484" s="3" t="s">
        <v>1284</v>
      </c>
      <c r="F484" s="3">
        <v>111056.9</v>
      </c>
      <c r="G484" s="3">
        <v>349578.6</v>
      </c>
    </row>
    <row r="485" spans="1:7" x14ac:dyDescent="0.2">
      <c r="A485" s="3" t="s">
        <v>1072</v>
      </c>
      <c r="B485" s="4">
        <v>44592</v>
      </c>
      <c r="C485" s="3" t="s">
        <v>1168</v>
      </c>
      <c r="D485" s="3" t="s">
        <v>1285</v>
      </c>
      <c r="E485" s="3" t="s">
        <v>1286</v>
      </c>
      <c r="F485" s="3">
        <v>2867.09</v>
      </c>
      <c r="G485" s="3">
        <v>17202.55</v>
      </c>
    </row>
    <row r="486" spans="1:7" x14ac:dyDescent="0.2">
      <c r="A486" s="3" t="s">
        <v>1072</v>
      </c>
      <c r="B486" s="4">
        <v>44592</v>
      </c>
      <c r="C486" s="3" t="s">
        <v>1168</v>
      </c>
      <c r="D486" s="3" t="s">
        <v>1287</v>
      </c>
      <c r="E486" s="3" t="s">
        <v>1288</v>
      </c>
      <c r="F486" s="3">
        <v>208.35</v>
      </c>
      <c r="G486" s="3">
        <v>828.44</v>
      </c>
    </row>
    <row r="487" spans="1:7" x14ac:dyDescent="0.2">
      <c r="A487" s="3" t="s">
        <v>1072</v>
      </c>
      <c r="B487" s="4">
        <v>44592</v>
      </c>
      <c r="C487" s="3" t="s">
        <v>1168</v>
      </c>
      <c r="D487" s="3" t="s">
        <v>1289</v>
      </c>
      <c r="E487" s="3" t="s">
        <v>1290</v>
      </c>
      <c r="F487" s="3">
        <v>11000</v>
      </c>
      <c r="G487" s="3">
        <v>49500</v>
      </c>
    </row>
    <row r="488" spans="1:7" x14ac:dyDescent="0.2">
      <c r="A488" s="3" t="s">
        <v>1072</v>
      </c>
      <c r="B488" s="4">
        <v>44592</v>
      </c>
      <c r="C488" s="3" t="s">
        <v>1168</v>
      </c>
      <c r="D488" s="3" t="s">
        <v>1291</v>
      </c>
      <c r="E488" s="3" t="s">
        <v>1292</v>
      </c>
      <c r="F488" s="3">
        <v>9235</v>
      </c>
      <c r="G488" s="3">
        <v>35173.360000000001</v>
      </c>
    </row>
    <row r="489" spans="1:7" x14ac:dyDescent="0.2">
      <c r="A489" s="3" t="s">
        <v>1072</v>
      </c>
      <c r="B489" s="4">
        <v>44592</v>
      </c>
      <c r="C489" s="3" t="s">
        <v>1168</v>
      </c>
      <c r="D489" s="3" t="s">
        <v>1293</v>
      </c>
      <c r="E489" s="3" t="s">
        <v>1294</v>
      </c>
      <c r="F489" s="3">
        <v>0</v>
      </c>
      <c r="G489" s="3">
        <v>13844.89</v>
      </c>
    </row>
    <row r="490" spans="1:7" x14ac:dyDescent="0.2">
      <c r="A490" s="3" t="s">
        <v>1072</v>
      </c>
      <c r="B490" s="4">
        <v>44592</v>
      </c>
      <c r="C490" s="3" t="s">
        <v>1168</v>
      </c>
      <c r="D490" s="3" t="s">
        <v>1295</v>
      </c>
      <c r="E490" s="3" t="s">
        <v>1296</v>
      </c>
      <c r="F490" s="3">
        <v>0</v>
      </c>
      <c r="G490" s="3">
        <v>15000</v>
      </c>
    </row>
    <row r="491" spans="1:7" x14ac:dyDescent="0.2">
      <c r="A491" s="3" t="s">
        <v>1072</v>
      </c>
      <c r="B491" s="4">
        <v>44592</v>
      </c>
      <c r="C491" s="3" t="s">
        <v>1168</v>
      </c>
      <c r="D491" s="3" t="s">
        <v>1297</v>
      </c>
      <c r="E491" s="3" t="s">
        <v>1298</v>
      </c>
      <c r="F491" s="3">
        <v>0</v>
      </c>
      <c r="G491" s="3">
        <v>691.29</v>
      </c>
    </row>
    <row r="492" spans="1:7" x14ac:dyDescent="0.2">
      <c r="A492" s="3" t="s">
        <v>1072</v>
      </c>
      <c r="B492" s="4">
        <v>44592</v>
      </c>
      <c r="C492" s="3" t="s">
        <v>1168</v>
      </c>
      <c r="D492" s="3" t="s">
        <v>1299</v>
      </c>
      <c r="E492" s="3" t="s">
        <v>1300</v>
      </c>
      <c r="F492" s="3">
        <v>2724.51</v>
      </c>
      <c r="G492" s="3">
        <v>20917.72</v>
      </c>
    </row>
    <row r="493" spans="1:7" x14ac:dyDescent="0.2">
      <c r="A493" s="3" t="s">
        <v>1072</v>
      </c>
      <c r="B493" s="4">
        <v>44592</v>
      </c>
      <c r="C493" s="3" t="s">
        <v>1168</v>
      </c>
      <c r="D493" s="3" t="s">
        <v>1301</v>
      </c>
      <c r="E493" s="3" t="s">
        <v>1302</v>
      </c>
      <c r="F493" s="3">
        <v>1973.85</v>
      </c>
      <c r="G493" s="3">
        <v>6337.21</v>
      </c>
    </row>
    <row r="494" spans="1:7" x14ac:dyDescent="0.2">
      <c r="A494" s="3" t="s">
        <v>1072</v>
      </c>
      <c r="B494" s="4">
        <v>44592</v>
      </c>
      <c r="C494" s="3" t="s">
        <v>1168</v>
      </c>
      <c r="D494" s="3" t="s">
        <v>1303</v>
      </c>
      <c r="E494" s="3" t="s">
        <v>1304</v>
      </c>
      <c r="F494" s="3">
        <v>2250</v>
      </c>
      <c r="G494" s="3">
        <v>24820</v>
      </c>
    </row>
    <row r="495" spans="1:7" x14ac:dyDescent="0.2">
      <c r="A495" s="3" t="s">
        <v>1072</v>
      </c>
      <c r="B495" s="4">
        <v>44592</v>
      </c>
      <c r="C495" s="3" t="s">
        <v>1168</v>
      </c>
      <c r="D495" s="3" t="s">
        <v>1305</v>
      </c>
      <c r="E495" s="3" t="s">
        <v>1306</v>
      </c>
      <c r="F495" s="3">
        <v>0</v>
      </c>
      <c r="G495" s="3">
        <v>24889.96</v>
      </c>
    </row>
    <row r="496" spans="1:7" x14ac:dyDescent="0.2">
      <c r="A496" s="3" t="s">
        <v>1072</v>
      </c>
      <c r="B496" s="4">
        <v>44592</v>
      </c>
      <c r="C496" s="3" t="s">
        <v>1168</v>
      </c>
      <c r="D496" s="3" t="s">
        <v>1307</v>
      </c>
      <c r="E496" s="3" t="s">
        <v>1308</v>
      </c>
      <c r="F496" s="3">
        <v>0</v>
      </c>
      <c r="G496" s="3">
        <v>2783.31</v>
      </c>
    </row>
    <row r="497" spans="1:7" x14ac:dyDescent="0.2">
      <c r="A497" s="3" t="s">
        <v>1072</v>
      </c>
      <c r="B497" s="4">
        <v>44592</v>
      </c>
      <c r="C497" s="3" t="s">
        <v>1168</v>
      </c>
      <c r="D497" s="3" t="s">
        <v>1309</v>
      </c>
      <c r="E497" s="3" t="s">
        <v>1310</v>
      </c>
      <c r="F497" s="3">
        <v>0</v>
      </c>
      <c r="G497" s="3">
        <v>15997.39</v>
      </c>
    </row>
    <row r="498" spans="1:7" x14ac:dyDescent="0.2">
      <c r="A498" s="3" t="s">
        <v>1072</v>
      </c>
      <c r="B498" s="4">
        <v>44592</v>
      </c>
      <c r="C498" s="3" t="s">
        <v>1168</v>
      </c>
      <c r="D498" s="3" t="s">
        <v>1311</v>
      </c>
      <c r="E498" s="3" t="s">
        <v>1312</v>
      </c>
      <c r="F498" s="3">
        <v>0</v>
      </c>
      <c r="G498" s="3">
        <v>450</v>
      </c>
    </row>
    <row r="499" spans="1:7" x14ac:dyDescent="0.2">
      <c r="A499" s="3" t="s">
        <v>1072</v>
      </c>
      <c r="B499" s="4">
        <v>44592</v>
      </c>
      <c r="C499" s="3" t="s">
        <v>1168</v>
      </c>
      <c r="D499" s="3" t="s">
        <v>1313</v>
      </c>
      <c r="E499" s="3" t="s">
        <v>1314</v>
      </c>
      <c r="F499" s="3">
        <v>2500</v>
      </c>
      <c r="G499" s="3">
        <v>3950</v>
      </c>
    </row>
    <row r="500" spans="1:7" x14ac:dyDescent="0.2">
      <c r="A500" s="3" t="s">
        <v>1072</v>
      </c>
      <c r="B500" s="4">
        <v>44592</v>
      </c>
      <c r="C500" s="3" t="s">
        <v>1168</v>
      </c>
      <c r="D500" s="3" t="s">
        <v>1315</v>
      </c>
      <c r="E500" s="3" t="s">
        <v>1316</v>
      </c>
      <c r="F500" s="3">
        <v>869.57</v>
      </c>
      <c r="G500" s="3">
        <v>900</v>
      </c>
    </row>
    <row r="501" spans="1:7" x14ac:dyDescent="0.2">
      <c r="A501" s="3" t="s">
        <v>1072</v>
      </c>
      <c r="B501" s="4">
        <v>44592</v>
      </c>
      <c r="C501" s="3" t="s">
        <v>1168</v>
      </c>
      <c r="D501" s="3" t="s">
        <v>1317</v>
      </c>
      <c r="E501" s="3" t="s">
        <v>1318</v>
      </c>
      <c r="F501" s="3">
        <v>259.95999999999998</v>
      </c>
      <c r="G501" s="3">
        <v>2233.79</v>
      </c>
    </row>
    <row r="502" spans="1:7" x14ac:dyDescent="0.2">
      <c r="A502" s="3" t="s">
        <v>1072</v>
      </c>
      <c r="B502" s="4">
        <v>44592</v>
      </c>
      <c r="C502" s="3" t="s">
        <v>1168</v>
      </c>
      <c r="D502" s="3" t="s">
        <v>1450</v>
      </c>
      <c r="E502" s="3" t="s">
        <v>1451</v>
      </c>
      <c r="F502" s="3">
        <v>29451.51</v>
      </c>
      <c r="G502" s="3">
        <v>29451.51</v>
      </c>
    </row>
    <row r="503" spans="1:7" x14ac:dyDescent="0.2">
      <c r="A503" s="3" t="s">
        <v>1072</v>
      </c>
      <c r="B503" s="4">
        <v>44592</v>
      </c>
      <c r="C503" s="3" t="s">
        <v>1168</v>
      </c>
      <c r="D503" s="3" t="s">
        <v>1452</v>
      </c>
      <c r="E503" s="3" t="s">
        <v>1453</v>
      </c>
      <c r="F503" s="3">
        <v>24818.27</v>
      </c>
      <c r="G503" s="3">
        <v>24818.27</v>
      </c>
    </row>
    <row r="504" spans="1:7" x14ac:dyDescent="0.2">
      <c r="A504" s="3" t="s">
        <v>1072</v>
      </c>
      <c r="B504" s="4">
        <v>44592</v>
      </c>
      <c r="C504" s="3" t="s">
        <v>1168</v>
      </c>
      <c r="D504" s="3" t="s">
        <v>1454</v>
      </c>
      <c r="E504" s="3" t="s">
        <v>1455</v>
      </c>
      <c r="F504" s="3">
        <v>3185.16</v>
      </c>
      <c r="G504" s="3">
        <v>3185.16</v>
      </c>
    </row>
    <row r="505" spans="1:7" x14ac:dyDescent="0.2">
      <c r="A505" s="3" t="s">
        <v>1072</v>
      </c>
      <c r="B505" s="4">
        <v>44592</v>
      </c>
      <c r="C505" s="3" t="s">
        <v>1210</v>
      </c>
      <c r="D505" s="3" t="s">
        <v>1319</v>
      </c>
      <c r="E505" s="3" t="s">
        <v>1320</v>
      </c>
      <c r="F505" s="3">
        <v>0</v>
      </c>
      <c r="G505" s="3">
        <v>4.3600000000000003</v>
      </c>
    </row>
    <row r="506" spans="1:7" x14ac:dyDescent="0.2">
      <c r="A506" s="3" t="s">
        <v>1072</v>
      </c>
      <c r="B506" s="4">
        <v>44592</v>
      </c>
      <c r="C506" s="3" t="s">
        <v>1168</v>
      </c>
      <c r="D506" s="3" t="s">
        <v>1321</v>
      </c>
      <c r="E506" s="3" t="s">
        <v>1322</v>
      </c>
      <c r="F506" s="3">
        <v>0</v>
      </c>
      <c r="G506" s="3">
        <v>83.48</v>
      </c>
    </row>
    <row r="507" spans="1:7" x14ac:dyDescent="0.2">
      <c r="A507" s="3" t="s">
        <v>1072</v>
      </c>
      <c r="B507" s="4">
        <v>44592</v>
      </c>
      <c r="C507" s="3" t="s">
        <v>1210</v>
      </c>
      <c r="D507" s="3" t="s">
        <v>1323</v>
      </c>
      <c r="E507" s="3" t="s">
        <v>1324</v>
      </c>
      <c r="F507" s="3">
        <v>-1.98</v>
      </c>
      <c r="G507" s="3">
        <v>-7.84</v>
      </c>
    </row>
    <row r="508" spans="1:7" x14ac:dyDescent="0.2">
      <c r="A508" s="3" t="s">
        <v>1069</v>
      </c>
      <c r="B508" s="4">
        <v>44592</v>
      </c>
      <c r="C508" s="3" t="s">
        <v>1210</v>
      </c>
      <c r="D508" s="3" t="s">
        <v>1211</v>
      </c>
      <c r="E508" s="3" t="s">
        <v>1212</v>
      </c>
      <c r="F508" s="3">
        <v>0</v>
      </c>
      <c r="G508" s="3">
        <v>-1245</v>
      </c>
    </row>
    <row r="509" spans="1:7" x14ac:dyDescent="0.2">
      <c r="A509" s="3" t="s">
        <v>1069</v>
      </c>
      <c r="B509" s="4">
        <v>44592</v>
      </c>
      <c r="C509" s="3" t="s">
        <v>1210</v>
      </c>
      <c r="D509" s="3" t="s">
        <v>1224</v>
      </c>
      <c r="E509" s="3" t="s">
        <v>1225</v>
      </c>
      <c r="F509" s="3">
        <v>0</v>
      </c>
      <c r="G509" s="3">
        <v>-149149.4</v>
      </c>
    </row>
    <row r="510" spans="1:7" x14ac:dyDescent="0.2">
      <c r="A510" s="3" t="s">
        <v>1069</v>
      </c>
      <c r="B510" s="4">
        <v>44592</v>
      </c>
      <c r="C510" s="3" t="s">
        <v>1210</v>
      </c>
      <c r="D510" s="3" t="s">
        <v>1249</v>
      </c>
      <c r="E510" s="3" t="s">
        <v>1250</v>
      </c>
      <c r="F510" s="3">
        <v>-25737.439999999999</v>
      </c>
      <c r="G510" s="3">
        <v>-141062.82999999999</v>
      </c>
    </row>
    <row r="511" spans="1:7" x14ac:dyDescent="0.2">
      <c r="A511" s="3" t="s">
        <v>1069</v>
      </c>
      <c r="B511" s="4">
        <v>44592</v>
      </c>
      <c r="C511" s="3" t="s">
        <v>1168</v>
      </c>
      <c r="D511" s="3" t="s">
        <v>1226</v>
      </c>
      <c r="E511" s="3" t="s">
        <v>1126</v>
      </c>
      <c r="F511" s="3">
        <v>0</v>
      </c>
      <c r="G511" s="3">
        <v>100</v>
      </c>
    </row>
    <row r="512" spans="1:7" x14ac:dyDescent="0.2">
      <c r="A512" s="3" t="s">
        <v>1072</v>
      </c>
      <c r="B512" s="4">
        <v>44592</v>
      </c>
      <c r="C512" s="3" t="s">
        <v>1168</v>
      </c>
      <c r="D512" s="3" t="s">
        <v>1325</v>
      </c>
      <c r="E512" s="3" t="s">
        <v>1073</v>
      </c>
      <c r="F512" s="3">
        <v>0</v>
      </c>
      <c r="G512" s="3">
        <v>2215</v>
      </c>
    </row>
    <row r="513" spans="1:7" x14ac:dyDescent="0.2">
      <c r="A513" s="3" t="s">
        <v>1072</v>
      </c>
      <c r="B513" s="4">
        <v>44592</v>
      </c>
      <c r="C513" s="3" t="s">
        <v>1168</v>
      </c>
      <c r="D513" s="3" t="s">
        <v>1326</v>
      </c>
      <c r="E513" s="3" t="s">
        <v>1088</v>
      </c>
      <c r="F513" s="3">
        <v>0</v>
      </c>
      <c r="G513" s="3">
        <v>4125</v>
      </c>
    </row>
    <row r="514" spans="1:7" x14ac:dyDescent="0.2">
      <c r="A514" s="3" t="s">
        <v>1072</v>
      </c>
      <c r="B514" s="4">
        <v>44592</v>
      </c>
      <c r="C514" s="3" t="s">
        <v>1168</v>
      </c>
      <c r="D514" s="3" t="s">
        <v>1327</v>
      </c>
      <c r="E514" s="3" t="s">
        <v>1328</v>
      </c>
      <c r="F514" s="3">
        <v>0</v>
      </c>
      <c r="G514" s="3">
        <v>5575</v>
      </c>
    </row>
    <row r="515" spans="1:7" x14ac:dyDescent="0.2">
      <c r="A515" s="3" t="s">
        <v>1072</v>
      </c>
      <c r="B515" s="4">
        <v>44592</v>
      </c>
      <c r="C515" s="3" t="s">
        <v>1168</v>
      </c>
      <c r="D515" s="3" t="s">
        <v>1329</v>
      </c>
      <c r="E515" s="3" t="s">
        <v>1330</v>
      </c>
      <c r="F515" s="3">
        <v>0</v>
      </c>
      <c r="G515" s="3">
        <v>107300</v>
      </c>
    </row>
    <row r="516" spans="1:7" x14ac:dyDescent="0.2">
      <c r="A516" s="3" t="s">
        <v>1072</v>
      </c>
      <c r="B516" s="4">
        <v>44592</v>
      </c>
      <c r="C516" s="3" t="s">
        <v>1168</v>
      </c>
      <c r="D516" s="3" t="s">
        <v>1331</v>
      </c>
      <c r="E516" s="3" t="s">
        <v>1332</v>
      </c>
      <c r="F516" s="3">
        <v>0</v>
      </c>
      <c r="G516" s="3">
        <v>1847.5</v>
      </c>
    </row>
    <row r="517" spans="1:7" x14ac:dyDescent="0.2">
      <c r="A517" s="3" t="s">
        <v>1072</v>
      </c>
      <c r="B517" s="4">
        <v>44592</v>
      </c>
      <c r="C517" s="3" t="s">
        <v>1168</v>
      </c>
      <c r="D517" s="3" t="s">
        <v>1333</v>
      </c>
      <c r="E517" s="3" t="s">
        <v>1334</v>
      </c>
      <c r="F517" s="3">
        <v>0</v>
      </c>
      <c r="G517" s="3">
        <v>51000</v>
      </c>
    </row>
    <row r="518" spans="1:7" x14ac:dyDescent="0.2">
      <c r="A518" s="3" t="s">
        <v>1072</v>
      </c>
      <c r="B518" s="4">
        <v>44592</v>
      </c>
      <c r="C518" s="3" t="s">
        <v>1168</v>
      </c>
      <c r="D518" s="3" t="s">
        <v>1335</v>
      </c>
      <c r="E518" s="3" t="s">
        <v>1336</v>
      </c>
      <c r="F518" s="3">
        <v>0</v>
      </c>
      <c r="G518" s="3">
        <v>190600</v>
      </c>
    </row>
    <row r="519" spans="1:7" x14ac:dyDescent="0.2">
      <c r="A519" s="3" t="s">
        <v>1072</v>
      </c>
      <c r="B519" s="4">
        <v>44592</v>
      </c>
      <c r="C519" s="3" t="s">
        <v>1168</v>
      </c>
      <c r="D519" s="3" t="s">
        <v>1337</v>
      </c>
      <c r="E519" s="3" t="s">
        <v>1338</v>
      </c>
      <c r="F519" s="3">
        <v>1650</v>
      </c>
      <c r="G519" s="3">
        <v>5152.5</v>
      </c>
    </row>
    <row r="520" spans="1:7" x14ac:dyDescent="0.2">
      <c r="A520" s="3" t="s">
        <v>1072</v>
      </c>
      <c r="B520" s="4">
        <v>44592</v>
      </c>
      <c r="C520" s="3" t="s">
        <v>1168</v>
      </c>
      <c r="D520" s="3" t="s">
        <v>1169</v>
      </c>
      <c r="E520" s="3" t="s">
        <v>1079</v>
      </c>
      <c r="F520" s="3">
        <v>0</v>
      </c>
      <c r="G520" s="3">
        <v>13699</v>
      </c>
    </row>
    <row r="521" spans="1:7" x14ac:dyDescent="0.2">
      <c r="A521" s="3" t="s">
        <v>1069</v>
      </c>
      <c r="B521" s="4">
        <v>44592</v>
      </c>
      <c r="C521" s="3" t="s">
        <v>1168</v>
      </c>
      <c r="D521" s="3" t="s">
        <v>1169</v>
      </c>
      <c r="E521" s="3" t="s">
        <v>1079</v>
      </c>
      <c r="F521" s="3">
        <v>0</v>
      </c>
      <c r="G521" s="3">
        <v>63370.02</v>
      </c>
    </row>
    <row r="522" spans="1:7" x14ac:dyDescent="0.2">
      <c r="A522" s="3" t="s">
        <v>1069</v>
      </c>
      <c r="B522" s="4">
        <v>44592</v>
      </c>
      <c r="C522" s="3" t="s">
        <v>1168</v>
      </c>
      <c r="D522" s="3" t="s">
        <v>1261</v>
      </c>
      <c r="E522" s="3" t="s">
        <v>1145</v>
      </c>
      <c r="F522" s="3">
        <v>10800</v>
      </c>
      <c r="G522" s="3">
        <v>54000</v>
      </c>
    </row>
    <row r="523" spans="1:7" x14ac:dyDescent="0.2">
      <c r="A523" s="3" t="s">
        <v>1072</v>
      </c>
      <c r="B523" s="4">
        <v>44592</v>
      </c>
      <c r="C523" s="3" t="s">
        <v>1168</v>
      </c>
      <c r="D523" s="3" t="s">
        <v>1339</v>
      </c>
      <c r="E523" s="3" t="s">
        <v>1087</v>
      </c>
      <c r="F523" s="3">
        <v>0</v>
      </c>
      <c r="G523" s="3">
        <v>4597</v>
      </c>
    </row>
    <row r="524" spans="1:7" x14ac:dyDescent="0.2">
      <c r="A524" s="3" t="s">
        <v>1072</v>
      </c>
      <c r="B524" s="4">
        <v>44592</v>
      </c>
      <c r="C524" s="3" t="s">
        <v>1168</v>
      </c>
      <c r="D524" s="3" t="s">
        <v>1195</v>
      </c>
      <c r="E524" s="3" t="s">
        <v>1085</v>
      </c>
      <c r="F524" s="3">
        <v>1930.81</v>
      </c>
      <c r="G524" s="3">
        <v>11088.42</v>
      </c>
    </row>
    <row r="525" spans="1:7" x14ac:dyDescent="0.2">
      <c r="A525" s="3" t="s">
        <v>1069</v>
      </c>
      <c r="B525" s="4">
        <v>44592</v>
      </c>
      <c r="C525" s="3" t="s">
        <v>1168</v>
      </c>
      <c r="D525" s="3" t="s">
        <v>1195</v>
      </c>
      <c r="E525" s="3" t="s">
        <v>1085</v>
      </c>
      <c r="F525" s="3">
        <v>540.89</v>
      </c>
      <c r="G525" s="3">
        <v>3788.38</v>
      </c>
    </row>
    <row r="526" spans="1:7" x14ac:dyDescent="0.2">
      <c r="A526" s="3" t="s">
        <v>1072</v>
      </c>
      <c r="B526" s="4">
        <v>44592</v>
      </c>
      <c r="C526" s="3" t="s">
        <v>1168</v>
      </c>
      <c r="D526" s="3" t="s">
        <v>1340</v>
      </c>
      <c r="E526" s="3" t="s">
        <v>1141</v>
      </c>
      <c r="F526" s="3">
        <v>1014.27</v>
      </c>
      <c r="G526" s="3">
        <v>8682.17</v>
      </c>
    </row>
    <row r="527" spans="1:7" x14ac:dyDescent="0.2">
      <c r="A527" s="3" t="s">
        <v>1072</v>
      </c>
      <c r="B527" s="4">
        <v>44592</v>
      </c>
      <c r="C527" s="3" t="s">
        <v>1168</v>
      </c>
      <c r="D527" s="3" t="s">
        <v>1341</v>
      </c>
      <c r="E527" s="3" t="s">
        <v>1135</v>
      </c>
      <c r="F527" s="3">
        <v>640.09</v>
      </c>
      <c r="G527" s="3">
        <v>6248.04</v>
      </c>
    </row>
    <row r="528" spans="1:7" x14ac:dyDescent="0.2">
      <c r="A528" s="3" t="s">
        <v>1072</v>
      </c>
      <c r="B528" s="4">
        <v>44592</v>
      </c>
      <c r="C528" s="3" t="s">
        <v>1168</v>
      </c>
      <c r="D528" s="3" t="s">
        <v>1342</v>
      </c>
      <c r="E528" s="3" t="s">
        <v>1080</v>
      </c>
      <c r="F528" s="3">
        <v>3236.76</v>
      </c>
      <c r="G528" s="3">
        <v>10604.45</v>
      </c>
    </row>
    <row r="529" spans="1:7" x14ac:dyDescent="0.2">
      <c r="A529" s="3" t="s">
        <v>1069</v>
      </c>
      <c r="B529" s="4">
        <v>44592</v>
      </c>
      <c r="C529" s="3" t="s">
        <v>1168</v>
      </c>
      <c r="D529" s="3" t="s">
        <v>1227</v>
      </c>
      <c r="E529" s="3" t="s">
        <v>1228</v>
      </c>
      <c r="F529" s="3">
        <v>0</v>
      </c>
      <c r="G529" s="3">
        <v>3000</v>
      </c>
    </row>
    <row r="530" spans="1:7" x14ac:dyDescent="0.2">
      <c r="A530" s="3" t="s">
        <v>1072</v>
      </c>
      <c r="B530" s="4">
        <v>44592</v>
      </c>
      <c r="C530" s="3" t="s">
        <v>1168</v>
      </c>
      <c r="D530" s="3" t="s">
        <v>1343</v>
      </c>
      <c r="E530" s="3" t="s">
        <v>1344</v>
      </c>
      <c r="F530" s="3">
        <v>0</v>
      </c>
      <c r="G530" s="3">
        <v>2250</v>
      </c>
    </row>
    <row r="531" spans="1:7" x14ac:dyDescent="0.2">
      <c r="A531" s="3" t="s">
        <v>1069</v>
      </c>
      <c r="B531" s="4">
        <v>44592</v>
      </c>
      <c r="C531" s="3" t="s">
        <v>1168</v>
      </c>
      <c r="D531" s="3" t="s">
        <v>1251</v>
      </c>
      <c r="E531" s="3" t="s">
        <v>1095</v>
      </c>
      <c r="F531" s="3">
        <v>70984.92</v>
      </c>
      <c r="G531" s="3">
        <v>361898.75</v>
      </c>
    </row>
    <row r="532" spans="1:7" x14ac:dyDescent="0.2">
      <c r="A532" s="3" t="s">
        <v>1072</v>
      </c>
      <c r="B532" s="4">
        <v>44592</v>
      </c>
      <c r="C532" s="3" t="s">
        <v>1168</v>
      </c>
      <c r="D532" s="3" t="s">
        <v>1251</v>
      </c>
      <c r="E532" s="3" t="s">
        <v>1345</v>
      </c>
      <c r="F532" s="3">
        <v>36000</v>
      </c>
      <c r="G532" s="3">
        <v>356000</v>
      </c>
    </row>
    <row r="533" spans="1:7" x14ac:dyDescent="0.2">
      <c r="A533" s="3" t="s">
        <v>1072</v>
      </c>
      <c r="B533" s="4">
        <v>44592</v>
      </c>
      <c r="C533" s="3" t="s">
        <v>1168</v>
      </c>
      <c r="D533" s="3" t="s">
        <v>1346</v>
      </c>
      <c r="E533" s="3" t="s">
        <v>1347</v>
      </c>
      <c r="F533" s="3">
        <v>0</v>
      </c>
      <c r="G533" s="3">
        <v>42899.25</v>
      </c>
    </row>
    <row r="534" spans="1:7" x14ac:dyDescent="0.2">
      <c r="A534" s="3" t="s">
        <v>1072</v>
      </c>
      <c r="B534" s="4">
        <v>44592</v>
      </c>
      <c r="C534" s="3" t="s">
        <v>1168</v>
      </c>
      <c r="D534" s="3" t="s">
        <v>1348</v>
      </c>
      <c r="E534" s="3" t="s">
        <v>1095</v>
      </c>
      <c r="F534" s="3">
        <v>95508.23</v>
      </c>
      <c r="G534" s="3">
        <v>437494.54</v>
      </c>
    </row>
    <row r="535" spans="1:7" x14ac:dyDescent="0.2">
      <c r="A535" s="3" t="s">
        <v>1069</v>
      </c>
      <c r="B535" s="4">
        <v>44592</v>
      </c>
      <c r="C535" s="3" t="s">
        <v>1168</v>
      </c>
      <c r="D535" s="3" t="s">
        <v>1252</v>
      </c>
      <c r="E535" s="3" t="s">
        <v>1120</v>
      </c>
      <c r="F535" s="3">
        <v>0</v>
      </c>
      <c r="G535" s="3">
        <v>30692.49</v>
      </c>
    </row>
    <row r="536" spans="1:7" x14ac:dyDescent="0.2">
      <c r="A536" s="3" t="s">
        <v>1072</v>
      </c>
      <c r="B536" s="4">
        <v>44592</v>
      </c>
      <c r="C536" s="3" t="s">
        <v>1168</v>
      </c>
      <c r="D536" s="3" t="s">
        <v>1349</v>
      </c>
      <c r="E536" s="3" t="s">
        <v>1089</v>
      </c>
      <c r="F536" s="3">
        <v>0</v>
      </c>
      <c r="G536" s="3">
        <v>165.83</v>
      </c>
    </row>
    <row r="537" spans="1:7" x14ac:dyDescent="0.2">
      <c r="A537" s="3" t="s">
        <v>1072</v>
      </c>
      <c r="B537" s="4">
        <v>44592</v>
      </c>
      <c r="C537" s="3" t="s">
        <v>1168</v>
      </c>
      <c r="D537" s="3" t="s">
        <v>1350</v>
      </c>
      <c r="E537" s="3" t="s">
        <v>1115</v>
      </c>
      <c r="F537" s="3">
        <v>1092.24</v>
      </c>
      <c r="G537" s="3">
        <v>4344.79</v>
      </c>
    </row>
    <row r="538" spans="1:7" x14ac:dyDescent="0.2">
      <c r="A538" s="3" t="s">
        <v>1072</v>
      </c>
      <c r="B538" s="4">
        <v>44592</v>
      </c>
      <c r="C538" s="3" t="s">
        <v>1168</v>
      </c>
      <c r="D538" s="3" t="s">
        <v>1351</v>
      </c>
      <c r="E538" s="3" t="s">
        <v>1096</v>
      </c>
      <c r="F538" s="3">
        <v>193.33</v>
      </c>
      <c r="G538" s="3">
        <v>773.33</v>
      </c>
    </row>
    <row r="539" spans="1:7" x14ac:dyDescent="0.2">
      <c r="A539" s="3" t="s">
        <v>1069</v>
      </c>
      <c r="B539" s="4">
        <v>44592</v>
      </c>
      <c r="C539" s="3" t="s">
        <v>1168</v>
      </c>
      <c r="D539" s="3" t="s">
        <v>1229</v>
      </c>
      <c r="E539" s="3" t="s">
        <v>1136</v>
      </c>
      <c r="F539" s="3">
        <v>2401.5300000000002</v>
      </c>
      <c r="G539" s="3">
        <v>18039.55</v>
      </c>
    </row>
    <row r="540" spans="1:7" x14ac:dyDescent="0.2">
      <c r="A540" s="3" t="s">
        <v>1072</v>
      </c>
      <c r="B540" s="4">
        <v>44592</v>
      </c>
      <c r="C540" s="3" t="s">
        <v>1168</v>
      </c>
      <c r="D540" s="3" t="s">
        <v>1229</v>
      </c>
      <c r="E540" s="3" t="s">
        <v>1106</v>
      </c>
      <c r="F540" s="3">
        <v>6038.3</v>
      </c>
      <c r="G540" s="3">
        <v>32146.61</v>
      </c>
    </row>
    <row r="541" spans="1:7" x14ac:dyDescent="0.2">
      <c r="A541" s="3" t="s">
        <v>1069</v>
      </c>
      <c r="B541" s="4">
        <v>44592</v>
      </c>
      <c r="C541" s="3" t="s">
        <v>1168</v>
      </c>
      <c r="D541" s="3" t="s">
        <v>1230</v>
      </c>
      <c r="E541" s="3" t="s">
        <v>1109</v>
      </c>
      <c r="F541" s="3">
        <v>856.37</v>
      </c>
      <c r="G541" s="3">
        <v>3097.65</v>
      </c>
    </row>
    <row r="542" spans="1:7" x14ac:dyDescent="0.2">
      <c r="A542" s="3" t="s">
        <v>1072</v>
      </c>
      <c r="B542" s="4">
        <v>44592</v>
      </c>
      <c r="C542" s="3" t="s">
        <v>1168</v>
      </c>
      <c r="D542" s="3" t="s">
        <v>1196</v>
      </c>
      <c r="E542" s="3" t="s">
        <v>1131</v>
      </c>
      <c r="F542" s="3">
        <v>923.33</v>
      </c>
      <c r="G542" s="3">
        <v>10183.68</v>
      </c>
    </row>
    <row r="543" spans="1:7" x14ac:dyDescent="0.2">
      <c r="A543" s="3" t="s">
        <v>1069</v>
      </c>
      <c r="B543" s="4">
        <v>44592</v>
      </c>
      <c r="C543" s="3" t="s">
        <v>1168</v>
      </c>
      <c r="D543" s="3" t="s">
        <v>1196</v>
      </c>
      <c r="E543" s="3" t="s">
        <v>1131</v>
      </c>
      <c r="F543" s="3">
        <v>0</v>
      </c>
      <c r="G543" s="3">
        <v>250</v>
      </c>
    </row>
    <row r="544" spans="1:7" x14ac:dyDescent="0.2">
      <c r="A544" s="3" t="s">
        <v>1072</v>
      </c>
      <c r="B544" s="4">
        <v>44592</v>
      </c>
      <c r="C544" s="3" t="s">
        <v>1168</v>
      </c>
      <c r="D544" s="3" t="s">
        <v>1352</v>
      </c>
      <c r="E544" s="3" t="s">
        <v>1353</v>
      </c>
      <c r="F544" s="3">
        <v>0</v>
      </c>
      <c r="G544" s="3">
        <v>4742.88</v>
      </c>
    </row>
    <row r="545" spans="1:7" x14ac:dyDescent="0.2">
      <c r="A545" s="3" t="s">
        <v>1072</v>
      </c>
      <c r="B545" s="4">
        <v>44592</v>
      </c>
      <c r="C545" s="3" t="s">
        <v>1168</v>
      </c>
      <c r="D545" s="3" t="s">
        <v>1354</v>
      </c>
      <c r="E545" s="3" t="s">
        <v>1078</v>
      </c>
      <c r="F545" s="3">
        <v>0</v>
      </c>
      <c r="G545" s="3">
        <v>11136.62</v>
      </c>
    </row>
    <row r="546" spans="1:7" x14ac:dyDescent="0.2">
      <c r="A546" s="3" t="s">
        <v>1072</v>
      </c>
      <c r="B546" s="4">
        <v>44592</v>
      </c>
      <c r="C546" s="3" t="s">
        <v>1168</v>
      </c>
      <c r="D546" s="3" t="s">
        <v>1355</v>
      </c>
      <c r="E546" s="3" t="s">
        <v>1356</v>
      </c>
      <c r="F546" s="3">
        <v>642.89</v>
      </c>
      <c r="G546" s="3">
        <v>2923.58</v>
      </c>
    </row>
    <row r="547" spans="1:7" x14ac:dyDescent="0.2">
      <c r="A547" s="3" t="s">
        <v>1069</v>
      </c>
      <c r="B547" s="4">
        <v>44592</v>
      </c>
      <c r="C547" s="3" t="s">
        <v>1168</v>
      </c>
      <c r="D547" s="3" t="s">
        <v>1456</v>
      </c>
      <c r="E547" s="3" t="s">
        <v>1457</v>
      </c>
      <c r="F547" s="3">
        <v>35.369999999999997</v>
      </c>
      <c r="G547" s="3">
        <v>35.369999999999997</v>
      </c>
    </row>
    <row r="548" spans="1:7" x14ac:dyDescent="0.2">
      <c r="A548" s="3" t="s">
        <v>1069</v>
      </c>
      <c r="B548" s="4">
        <v>44592</v>
      </c>
      <c r="C548" s="3" t="s">
        <v>1168</v>
      </c>
      <c r="D548" s="3" t="s">
        <v>1253</v>
      </c>
      <c r="E548" s="3" t="s">
        <v>1103</v>
      </c>
      <c r="F548" s="3">
        <v>2971.42</v>
      </c>
      <c r="G548" s="3">
        <v>86632.66</v>
      </c>
    </row>
    <row r="549" spans="1:7" x14ac:dyDescent="0.2">
      <c r="A549" s="3" t="s">
        <v>1072</v>
      </c>
      <c r="B549" s="4">
        <v>44592</v>
      </c>
      <c r="C549" s="3" t="s">
        <v>1168</v>
      </c>
      <c r="D549" s="3" t="s">
        <v>1357</v>
      </c>
      <c r="E549" s="3" t="s">
        <v>1157</v>
      </c>
      <c r="F549" s="3">
        <v>0</v>
      </c>
      <c r="G549" s="3">
        <v>500</v>
      </c>
    </row>
    <row r="550" spans="1:7" x14ac:dyDescent="0.2">
      <c r="A550" s="3" t="s">
        <v>1072</v>
      </c>
      <c r="B550" s="4">
        <v>44592</v>
      </c>
      <c r="C550" s="3" t="s">
        <v>1168</v>
      </c>
      <c r="D550" s="3" t="s">
        <v>1358</v>
      </c>
      <c r="E550" s="3" t="s">
        <v>1122</v>
      </c>
      <c r="F550" s="3">
        <v>0</v>
      </c>
      <c r="G550" s="3">
        <v>1000</v>
      </c>
    </row>
    <row r="551" spans="1:7" x14ac:dyDescent="0.2">
      <c r="A551" s="3" t="s">
        <v>1072</v>
      </c>
      <c r="B551" s="4">
        <v>44592</v>
      </c>
      <c r="C551" s="3" t="s">
        <v>1168</v>
      </c>
      <c r="D551" s="3" t="s">
        <v>1359</v>
      </c>
      <c r="E551" s="3" t="s">
        <v>1086</v>
      </c>
      <c r="F551" s="3">
        <v>0</v>
      </c>
      <c r="G551" s="3">
        <v>2277</v>
      </c>
    </row>
    <row r="552" spans="1:7" x14ac:dyDescent="0.2">
      <c r="A552" s="3" t="s">
        <v>1072</v>
      </c>
      <c r="B552" s="4">
        <v>44592</v>
      </c>
      <c r="C552" s="3" t="s">
        <v>1168</v>
      </c>
      <c r="D552" s="3" t="s">
        <v>1201</v>
      </c>
      <c r="E552" s="3" t="s">
        <v>1112</v>
      </c>
      <c r="F552" s="3">
        <v>2155.16</v>
      </c>
      <c r="G552" s="3">
        <v>15508.6</v>
      </c>
    </row>
    <row r="553" spans="1:7" x14ac:dyDescent="0.2">
      <c r="A553" s="3" t="s">
        <v>1069</v>
      </c>
      <c r="B553" s="4">
        <v>44592</v>
      </c>
      <c r="C553" s="3" t="s">
        <v>1168</v>
      </c>
      <c r="D553" s="3" t="s">
        <v>1201</v>
      </c>
      <c r="E553" s="3" t="s">
        <v>1112</v>
      </c>
      <c r="F553" s="3">
        <v>0</v>
      </c>
      <c r="G553" s="3">
        <v>765</v>
      </c>
    </row>
    <row r="554" spans="1:7" x14ac:dyDescent="0.2">
      <c r="A554" s="3" t="s">
        <v>1072</v>
      </c>
      <c r="B554" s="4">
        <v>44592</v>
      </c>
      <c r="C554" s="3" t="s">
        <v>1168</v>
      </c>
      <c r="D554" s="3" t="s">
        <v>1360</v>
      </c>
      <c r="E554" s="3" t="s">
        <v>1098</v>
      </c>
      <c r="F554" s="3">
        <v>612</v>
      </c>
      <c r="G554" s="3">
        <v>1243.42</v>
      </c>
    </row>
    <row r="555" spans="1:7" x14ac:dyDescent="0.2">
      <c r="A555" s="3" t="s">
        <v>1072</v>
      </c>
      <c r="B555" s="4">
        <v>44592</v>
      </c>
      <c r="C555" s="3" t="s">
        <v>1168</v>
      </c>
      <c r="D555" s="3" t="s">
        <v>1361</v>
      </c>
      <c r="E555" s="3" t="s">
        <v>1121</v>
      </c>
      <c r="F555" s="3">
        <v>28087.5</v>
      </c>
      <c r="G555" s="3">
        <v>139452.17000000001</v>
      </c>
    </row>
    <row r="556" spans="1:7" x14ac:dyDescent="0.2">
      <c r="A556" s="3" t="s">
        <v>1072</v>
      </c>
      <c r="B556" s="4">
        <v>44592</v>
      </c>
      <c r="C556" s="3" t="s">
        <v>1168</v>
      </c>
      <c r="D556" s="3" t="s">
        <v>1231</v>
      </c>
      <c r="E556" s="3" t="s">
        <v>1083</v>
      </c>
      <c r="F556" s="3">
        <v>843.6</v>
      </c>
      <c r="G556" s="3">
        <v>4372.88</v>
      </c>
    </row>
    <row r="557" spans="1:7" x14ac:dyDescent="0.2">
      <c r="A557" s="3" t="s">
        <v>1069</v>
      </c>
      <c r="B557" s="4">
        <v>44592</v>
      </c>
      <c r="C557" s="3" t="s">
        <v>1168</v>
      </c>
      <c r="D557" s="3" t="s">
        <v>1231</v>
      </c>
      <c r="E557" s="3" t="s">
        <v>1070</v>
      </c>
      <c r="F557" s="3">
        <v>2965.61</v>
      </c>
      <c r="G557" s="3">
        <v>24321.65</v>
      </c>
    </row>
    <row r="558" spans="1:7" x14ac:dyDescent="0.2">
      <c r="A558" s="3" t="s">
        <v>1072</v>
      </c>
      <c r="B558" s="4">
        <v>44592</v>
      </c>
      <c r="C558" s="3" t="s">
        <v>1168</v>
      </c>
      <c r="D558" s="3" t="s">
        <v>1254</v>
      </c>
      <c r="E558" s="3" t="s">
        <v>1075</v>
      </c>
      <c r="F558" s="3">
        <v>0</v>
      </c>
      <c r="G558" s="3">
        <v>102654.83</v>
      </c>
    </row>
    <row r="559" spans="1:7" x14ac:dyDescent="0.2">
      <c r="A559" s="3" t="s">
        <v>1069</v>
      </c>
      <c r="B559" s="4">
        <v>44592</v>
      </c>
      <c r="C559" s="3" t="s">
        <v>1168</v>
      </c>
      <c r="D559" s="3" t="s">
        <v>1254</v>
      </c>
      <c r="E559" s="3" t="s">
        <v>1075</v>
      </c>
      <c r="F559" s="3">
        <v>0</v>
      </c>
      <c r="G559" s="3">
        <v>250</v>
      </c>
    </row>
    <row r="560" spans="1:7" x14ac:dyDescent="0.2">
      <c r="A560" s="3" t="s">
        <v>1072</v>
      </c>
      <c r="B560" s="4">
        <v>44592</v>
      </c>
      <c r="C560" s="3" t="s">
        <v>1168</v>
      </c>
      <c r="D560" s="3" t="s">
        <v>1362</v>
      </c>
      <c r="E560" s="3" t="s">
        <v>1123</v>
      </c>
      <c r="F560" s="3">
        <v>149308.54999999999</v>
      </c>
      <c r="G560" s="3">
        <v>1492703.39</v>
      </c>
    </row>
    <row r="561" spans="1:7" x14ac:dyDescent="0.2">
      <c r="A561" s="3" t="s">
        <v>1072</v>
      </c>
      <c r="B561" s="4">
        <v>44592</v>
      </c>
      <c r="C561" s="3" t="s">
        <v>1168</v>
      </c>
      <c r="D561" s="3" t="s">
        <v>1363</v>
      </c>
      <c r="E561" s="3" t="s">
        <v>1364</v>
      </c>
      <c r="F561" s="3">
        <v>0</v>
      </c>
      <c r="G561" s="3">
        <v>35500</v>
      </c>
    </row>
    <row r="562" spans="1:7" x14ac:dyDescent="0.2">
      <c r="A562" s="3" t="s">
        <v>1072</v>
      </c>
      <c r="B562" s="4">
        <v>44592</v>
      </c>
      <c r="C562" s="3" t="s">
        <v>1168</v>
      </c>
      <c r="D562" s="3" t="s">
        <v>1365</v>
      </c>
      <c r="E562" s="3" t="s">
        <v>1090</v>
      </c>
      <c r="F562" s="3">
        <v>0</v>
      </c>
      <c r="G562" s="3">
        <v>1063.2</v>
      </c>
    </row>
    <row r="563" spans="1:7" x14ac:dyDescent="0.2">
      <c r="A563" s="3" t="s">
        <v>1069</v>
      </c>
      <c r="B563" s="4">
        <v>44592</v>
      </c>
      <c r="C563" s="3" t="s">
        <v>1168</v>
      </c>
      <c r="D563" s="3" t="s">
        <v>1170</v>
      </c>
      <c r="E563" s="3" t="s">
        <v>1171</v>
      </c>
      <c r="F563" s="3">
        <v>0</v>
      </c>
      <c r="G563" s="3">
        <v>17000</v>
      </c>
    </row>
    <row r="564" spans="1:7" x14ac:dyDescent="0.2">
      <c r="A564" s="3" t="s">
        <v>1072</v>
      </c>
      <c r="B564" s="4">
        <v>44592</v>
      </c>
      <c r="C564" s="3" t="s">
        <v>1168</v>
      </c>
      <c r="D564" s="3" t="s">
        <v>1366</v>
      </c>
      <c r="E564" s="3" t="s">
        <v>1144</v>
      </c>
      <c r="F564" s="3">
        <v>530.42999999999995</v>
      </c>
      <c r="G564" s="3">
        <v>15681.7</v>
      </c>
    </row>
    <row r="565" spans="1:7" x14ac:dyDescent="0.2">
      <c r="A565" s="3" t="s">
        <v>1069</v>
      </c>
      <c r="B565" s="4">
        <v>44592</v>
      </c>
      <c r="C565" s="3" t="s">
        <v>1168</v>
      </c>
      <c r="D565" s="3" t="s">
        <v>1213</v>
      </c>
      <c r="E565" s="3" t="s">
        <v>1150</v>
      </c>
      <c r="F565" s="3">
        <v>285.26</v>
      </c>
      <c r="G565" s="3">
        <v>4121.05</v>
      </c>
    </row>
    <row r="566" spans="1:7" x14ac:dyDescent="0.2">
      <c r="A566" s="3" t="s">
        <v>1072</v>
      </c>
      <c r="B566" s="4">
        <v>44592</v>
      </c>
      <c r="C566" s="3" t="s">
        <v>1168</v>
      </c>
      <c r="D566" s="3" t="s">
        <v>1367</v>
      </c>
      <c r="E566" s="3" t="s">
        <v>1147</v>
      </c>
      <c r="F566" s="3">
        <v>0</v>
      </c>
      <c r="G566" s="3">
        <v>2000</v>
      </c>
    </row>
    <row r="567" spans="1:7" x14ac:dyDescent="0.2">
      <c r="A567" s="3" t="s">
        <v>1072</v>
      </c>
      <c r="B567" s="4">
        <v>44592</v>
      </c>
      <c r="C567" s="3" t="s">
        <v>1168</v>
      </c>
      <c r="D567" s="3" t="s">
        <v>1368</v>
      </c>
      <c r="E567" s="3" t="s">
        <v>1124</v>
      </c>
      <c r="F567" s="3">
        <v>3426.48</v>
      </c>
      <c r="G567" s="3">
        <v>33710.44</v>
      </c>
    </row>
    <row r="568" spans="1:7" x14ac:dyDescent="0.2">
      <c r="A568" s="3" t="s">
        <v>1072</v>
      </c>
      <c r="B568" s="4">
        <v>44592</v>
      </c>
      <c r="C568" s="3" t="s">
        <v>1168</v>
      </c>
      <c r="D568" s="3" t="s">
        <v>1369</v>
      </c>
      <c r="E568" s="3" t="s">
        <v>1099</v>
      </c>
      <c r="F568" s="3">
        <v>0</v>
      </c>
      <c r="G568" s="3">
        <v>526.32000000000005</v>
      </c>
    </row>
    <row r="569" spans="1:7" x14ac:dyDescent="0.2">
      <c r="A569" s="3" t="s">
        <v>1072</v>
      </c>
      <c r="B569" s="4">
        <v>44592</v>
      </c>
      <c r="C569" s="3" t="s">
        <v>1168</v>
      </c>
      <c r="D569" s="3" t="s">
        <v>1370</v>
      </c>
      <c r="E569" s="3" t="s">
        <v>1129</v>
      </c>
      <c r="F569" s="3">
        <v>459</v>
      </c>
      <c r="G569" s="3">
        <v>3213</v>
      </c>
    </row>
    <row r="570" spans="1:7" x14ac:dyDescent="0.2">
      <c r="A570" s="3" t="s">
        <v>1072</v>
      </c>
      <c r="B570" s="4">
        <v>44592</v>
      </c>
      <c r="C570" s="3" t="s">
        <v>1168</v>
      </c>
      <c r="D570" s="3" t="s">
        <v>1371</v>
      </c>
      <c r="E570" s="3" t="s">
        <v>1093</v>
      </c>
      <c r="F570" s="3">
        <v>0</v>
      </c>
      <c r="G570" s="3">
        <v>9463.01</v>
      </c>
    </row>
    <row r="571" spans="1:7" x14ac:dyDescent="0.2">
      <c r="A571" s="3" t="s">
        <v>1072</v>
      </c>
      <c r="B571" s="4">
        <v>44592</v>
      </c>
      <c r="C571" s="3" t="s">
        <v>1168</v>
      </c>
      <c r="D571" s="3" t="s">
        <v>1372</v>
      </c>
      <c r="E571" s="3" t="s">
        <v>1158</v>
      </c>
      <c r="F571" s="3">
        <v>600</v>
      </c>
      <c r="G571" s="3">
        <v>8100</v>
      </c>
    </row>
    <row r="572" spans="1:7" x14ac:dyDescent="0.2">
      <c r="A572" s="3" t="s">
        <v>1072</v>
      </c>
      <c r="B572" s="4">
        <v>44592</v>
      </c>
      <c r="C572" s="3" t="s">
        <v>1168</v>
      </c>
      <c r="D572" s="3" t="s">
        <v>1373</v>
      </c>
      <c r="E572" s="3" t="s">
        <v>1092</v>
      </c>
      <c r="F572" s="3">
        <v>363</v>
      </c>
      <c r="G572" s="3">
        <v>2076.41</v>
      </c>
    </row>
    <row r="573" spans="1:7" x14ac:dyDescent="0.2">
      <c r="A573" s="3" t="s">
        <v>1069</v>
      </c>
      <c r="B573" s="4">
        <v>44592</v>
      </c>
      <c r="C573" s="3" t="s">
        <v>1168</v>
      </c>
      <c r="D573" s="3" t="s">
        <v>1232</v>
      </c>
      <c r="E573" s="3" t="s">
        <v>1105</v>
      </c>
      <c r="F573" s="3">
        <v>600</v>
      </c>
      <c r="G573" s="3">
        <v>4000</v>
      </c>
    </row>
    <row r="574" spans="1:7" x14ac:dyDescent="0.2">
      <c r="A574" s="3" t="s">
        <v>1069</v>
      </c>
      <c r="B574" s="4">
        <v>44592</v>
      </c>
      <c r="C574" s="3" t="s">
        <v>1168</v>
      </c>
      <c r="D574" s="3" t="s">
        <v>1262</v>
      </c>
      <c r="E574" s="3" t="s">
        <v>1127</v>
      </c>
      <c r="F574" s="3">
        <v>0</v>
      </c>
      <c r="G574" s="3">
        <v>1271.93</v>
      </c>
    </row>
    <row r="575" spans="1:7" x14ac:dyDescent="0.2">
      <c r="A575" s="3" t="s">
        <v>1072</v>
      </c>
      <c r="B575" s="4">
        <v>44592</v>
      </c>
      <c r="C575" s="3" t="s">
        <v>1168</v>
      </c>
      <c r="D575" s="3" t="s">
        <v>1374</v>
      </c>
      <c r="E575" s="3" t="s">
        <v>1108</v>
      </c>
      <c r="F575" s="3">
        <v>0</v>
      </c>
      <c r="G575" s="3">
        <v>450</v>
      </c>
    </row>
    <row r="576" spans="1:7" x14ac:dyDescent="0.2">
      <c r="A576" s="3" t="s">
        <v>1072</v>
      </c>
      <c r="B576" s="4">
        <v>44592</v>
      </c>
      <c r="C576" s="3" t="s">
        <v>1168</v>
      </c>
      <c r="D576" s="3" t="s">
        <v>1375</v>
      </c>
      <c r="E576" s="3" t="s">
        <v>1100</v>
      </c>
      <c r="F576" s="3">
        <v>0</v>
      </c>
      <c r="G576" s="3">
        <v>10273.56</v>
      </c>
    </row>
    <row r="577" spans="1:7" x14ac:dyDescent="0.2">
      <c r="A577" s="3" t="s">
        <v>1072</v>
      </c>
      <c r="B577" s="4">
        <v>44592</v>
      </c>
      <c r="C577" s="3" t="s">
        <v>1168</v>
      </c>
      <c r="D577" s="3" t="s">
        <v>1376</v>
      </c>
      <c r="E577" s="3" t="s">
        <v>1377</v>
      </c>
      <c r="F577" s="3">
        <v>0</v>
      </c>
      <c r="G577" s="3">
        <v>1275</v>
      </c>
    </row>
    <row r="578" spans="1:7" x14ac:dyDescent="0.2">
      <c r="A578" s="3" t="s">
        <v>1072</v>
      </c>
      <c r="B578" s="4">
        <v>44592</v>
      </c>
      <c r="C578" s="3" t="s">
        <v>1168</v>
      </c>
      <c r="D578" s="3" t="s">
        <v>1378</v>
      </c>
      <c r="E578" s="3" t="s">
        <v>1143</v>
      </c>
      <c r="F578" s="3">
        <v>32273.51</v>
      </c>
      <c r="G578" s="3">
        <v>385004.66</v>
      </c>
    </row>
    <row r="579" spans="1:7" x14ac:dyDescent="0.2">
      <c r="A579" s="3" t="s">
        <v>1072</v>
      </c>
      <c r="B579" s="4">
        <v>44592</v>
      </c>
      <c r="C579" s="3" t="s">
        <v>1168</v>
      </c>
      <c r="D579" s="3" t="s">
        <v>1379</v>
      </c>
      <c r="E579" s="3" t="s">
        <v>1107</v>
      </c>
      <c r="F579" s="3">
        <v>1734.63</v>
      </c>
      <c r="G579" s="3">
        <v>18191.36</v>
      </c>
    </row>
    <row r="580" spans="1:7" x14ac:dyDescent="0.2">
      <c r="A580" s="3" t="s">
        <v>1072</v>
      </c>
      <c r="B580" s="4">
        <v>44592</v>
      </c>
      <c r="C580" s="3" t="s">
        <v>1168</v>
      </c>
      <c r="D580" s="3" t="s">
        <v>1380</v>
      </c>
      <c r="E580" s="3" t="s">
        <v>1125</v>
      </c>
      <c r="F580" s="3">
        <v>976.24</v>
      </c>
      <c r="G580" s="3">
        <v>9909.01</v>
      </c>
    </row>
    <row r="581" spans="1:7" x14ac:dyDescent="0.2">
      <c r="A581" s="3" t="s">
        <v>1072</v>
      </c>
      <c r="B581" s="4">
        <v>44592</v>
      </c>
      <c r="C581" s="3" t="s">
        <v>1168</v>
      </c>
      <c r="D581" s="3" t="s">
        <v>1381</v>
      </c>
      <c r="E581" s="3" t="s">
        <v>1130</v>
      </c>
      <c r="F581" s="3">
        <v>976.24</v>
      </c>
      <c r="G581" s="3">
        <v>6637.17</v>
      </c>
    </row>
    <row r="582" spans="1:7" x14ac:dyDescent="0.2">
      <c r="A582" s="3" t="s">
        <v>1072</v>
      </c>
      <c r="B582" s="4">
        <v>44592</v>
      </c>
      <c r="C582" s="3" t="s">
        <v>1168</v>
      </c>
      <c r="D582" s="3" t="s">
        <v>1458</v>
      </c>
      <c r="E582" s="3" t="s">
        <v>1113</v>
      </c>
      <c r="F582" s="3">
        <v>146.78</v>
      </c>
      <c r="G582" s="3">
        <v>146.78</v>
      </c>
    </row>
    <row r="583" spans="1:7" x14ac:dyDescent="0.2">
      <c r="A583" s="3" t="s">
        <v>1072</v>
      </c>
      <c r="B583" s="4">
        <v>44592</v>
      </c>
      <c r="C583" s="3" t="s">
        <v>1168</v>
      </c>
      <c r="D583" s="3" t="s">
        <v>1459</v>
      </c>
      <c r="E583" s="3" t="s">
        <v>1139</v>
      </c>
      <c r="F583" s="3">
        <v>57.78</v>
      </c>
      <c r="G583" s="3">
        <v>57.78</v>
      </c>
    </row>
    <row r="584" spans="1:7" x14ac:dyDescent="0.2">
      <c r="A584" s="3" t="s">
        <v>1069</v>
      </c>
      <c r="B584" s="4">
        <v>44592</v>
      </c>
      <c r="C584" s="3" t="s">
        <v>1172</v>
      </c>
      <c r="D584" s="3" t="s">
        <v>1173</v>
      </c>
      <c r="E584" s="3" t="s">
        <v>1174</v>
      </c>
      <c r="F584" s="3">
        <v>0</v>
      </c>
      <c r="G584" s="3">
        <v>-100</v>
      </c>
    </row>
    <row r="585" spans="1:7" x14ac:dyDescent="0.2">
      <c r="A585" s="3" t="s">
        <v>1072</v>
      </c>
      <c r="B585" s="4">
        <v>44592</v>
      </c>
      <c r="C585" s="3" t="s">
        <v>1172</v>
      </c>
      <c r="D585" s="3" t="s">
        <v>1382</v>
      </c>
      <c r="E585" s="3" t="s">
        <v>1383</v>
      </c>
      <c r="F585" s="3">
        <v>0</v>
      </c>
      <c r="G585" s="3">
        <v>-120</v>
      </c>
    </row>
    <row r="586" spans="1:7" x14ac:dyDescent="0.2">
      <c r="A586" s="3" t="s">
        <v>1072</v>
      </c>
      <c r="B586" s="4">
        <v>44592</v>
      </c>
      <c r="C586" s="3" t="s">
        <v>1172</v>
      </c>
      <c r="D586" s="3" t="s">
        <v>1384</v>
      </c>
      <c r="E586" s="3" t="s">
        <v>1385</v>
      </c>
      <c r="F586" s="3">
        <v>0</v>
      </c>
      <c r="G586" s="3">
        <v>698664.99</v>
      </c>
    </row>
    <row r="587" spans="1:7" x14ac:dyDescent="0.2">
      <c r="A587" s="3" t="s">
        <v>1069</v>
      </c>
      <c r="B587" s="4">
        <v>44592</v>
      </c>
      <c r="C587" s="3" t="s">
        <v>1180</v>
      </c>
      <c r="D587" s="3" t="s">
        <v>1241</v>
      </c>
      <c r="E587" s="3" t="s">
        <v>1242</v>
      </c>
      <c r="F587" s="3">
        <v>0</v>
      </c>
      <c r="G587" s="3">
        <v>19713043.68</v>
      </c>
    </row>
    <row r="588" spans="1:7" x14ac:dyDescent="0.2">
      <c r="A588" s="3" t="s">
        <v>1072</v>
      </c>
      <c r="B588" s="4">
        <v>44592</v>
      </c>
      <c r="C588" s="3" t="s">
        <v>1180</v>
      </c>
      <c r="D588" s="3" t="s">
        <v>1460</v>
      </c>
      <c r="E588" s="3" t="s">
        <v>1461</v>
      </c>
      <c r="F588" s="3">
        <v>-350000</v>
      </c>
      <c r="G588" s="3">
        <v>-350000</v>
      </c>
    </row>
    <row r="589" spans="1:7" x14ac:dyDescent="0.2">
      <c r="A589" s="3" t="s">
        <v>1072</v>
      </c>
      <c r="B589" s="4">
        <v>44592</v>
      </c>
      <c r="C589" s="3" t="s">
        <v>1180</v>
      </c>
      <c r="D589" s="3" t="s">
        <v>1386</v>
      </c>
      <c r="E589" s="3" t="s">
        <v>1387</v>
      </c>
      <c r="F589" s="3">
        <v>0</v>
      </c>
      <c r="G589" s="3">
        <v>-38862.46</v>
      </c>
    </row>
    <row r="590" spans="1:7" x14ac:dyDescent="0.2">
      <c r="A590" s="3" t="s">
        <v>1072</v>
      </c>
      <c r="B590" s="4">
        <v>44592</v>
      </c>
      <c r="C590" s="3" t="s">
        <v>1180</v>
      </c>
      <c r="D590" s="3" t="s">
        <v>1388</v>
      </c>
      <c r="E590" s="3" t="s">
        <v>1389</v>
      </c>
      <c r="F590" s="3">
        <v>0</v>
      </c>
      <c r="G590" s="3">
        <v>4342.5</v>
      </c>
    </row>
    <row r="591" spans="1:7" x14ac:dyDescent="0.2">
      <c r="A591" s="3" t="s">
        <v>1072</v>
      </c>
      <c r="B591" s="4">
        <v>44592</v>
      </c>
      <c r="C591" s="3" t="s">
        <v>1180</v>
      </c>
      <c r="D591" s="3" t="s">
        <v>1390</v>
      </c>
      <c r="E591" s="3" t="s">
        <v>1391</v>
      </c>
      <c r="F591" s="3">
        <v>-470000</v>
      </c>
      <c r="G591" s="3">
        <v>-530000</v>
      </c>
    </row>
    <row r="592" spans="1:7" x14ac:dyDescent="0.2">
      <c r="A592" s="3" t="s">
        <v>1072</v>
      </c>
      <c r="B592" s="4">
        <v>44592</v>
      </c>
      <c r="C592" s="3" t="s">
        <v>1180</v>
      </c>
      <c r="D592" s="3" t="s">
        <v>1392</v>
      </c>
      <c r="E592" s="3" t="s">
        <v>1393</v>
      </c>
      <c r="F592" s="3">
        <v>0</v>
      </c>
      <c r="G592" s="3">
        <v>-29796.99</v>
      </c>
    </row>
    <row r="593" spans="1:7" x14ac:dyDescent="0.2">
      <c r="A593" s="3" t="s">
        <v>1072</v>
      </c>
      <c r="B593" s="4">
        <v>44592</v>
      </c>
      <c r="C593" s="3" t="s">
        <v>1180</v>
      </c>
      <c r="D593" s="3" t="s">
        <v>1394</v>
      </c>
      <c r="E593" s="3" t="s">
        <v>1256</v>
      </c>
      <c r="F593" s="3">
        <v>600</v>
      </c>
      <c r="G593" s="3">
        <v>-33200</v>
      </c>
    </row>
    <row r="594" spans="1:7" x14ac:dyDescent="0.2">
      <c r="A594" s="3" t="s">
        <v>1072</v>
      </c>
      <c r="B594" s="4">
        <v>44592</v>
      </c>
      <c r="C594" s="3" t="s">
        <v>1180</v>
      </c>
      <c r="D594" s="3" t="s">
        <v>1395</v>
      </c>
      <c r="E594" s="3" t="s">
        <v>1396</v>
      </c>
      <c r="F594" s="3">
        <v>-128000</v>
      </c>
      <c r="G594" s="3">
        <v>-178000</v>
      </c>
    </row>
    <row r="595" spans="1:7" x14ac:dyDescent="0.2">
      <c r="A595" s="3" t="s">
        <v>1072</v>
      </c>
      <c r="B595" s="4">
        <v>44592</v>
      </c>
      <c r="C595" s="3" t="s">
        <v>1180</v>
      </c>
      <c r="D595" s="3" t="s">
        <v>1397</v>
      </c>
      <c r="E595" s="3" t="s">
        <v>1398</v>
      </c>
      <c r="F595" s="3">
        <v>600</v>
      </c>
      <c r="G595" s="3">
        <v>-3200</v>
      </c>
    </row>
    <row r="596" spans="1:7" x14ac:dyDescent="0.2">
      <c r="A596" s="3" t="s">
        <v>1072</v>
      </c>
      <c r="B596" s="4">
        <v>44592</v>
      </c>
      <c r="C596" s="3" t="s">
        <v>1180</v>
      </c>
      <c r="D596" s="3" t="s">
        <v>1399</v>
      </c>
      <c r="E596" s="3" t="s">
        <v>1400</v>
      </c>
      <c r="F596" s="3">
        <v>0</v>
      </c>
      <c r="G596" s="3">
        <v>-49000</v>
      </c>
    </row>
    <row r="597" spans="1:7" x14ac:dyDescent="0.2">
      <c r="A597" s="3" t="s">
        <v>1069</v>
      </c>
      <c r="B597" s="4">
        <v>44592</v>
      </c>
      <c r="C597" s="3" t="s">
        <v>1175</v>
      </c>
      <c r="D597" s="3" t="s">
        <v>1178</v>
      </c>
      <c r="E597" s="3" t="s">
        <v>1179</v>
      </c>
      <c r="F597" s="3">
        <v>128000</v>
      </c>
      <c r="G597" s="3">
        <v>178000</v>
      </c>
    </row>
    <row r="598" spans="1:7" x14ac:dyDescent="0.2">
      <c r="A598" s="3" t="s">
        <v>1072</v>
      </c>
      <c r="B598" s="4">
        <v>44592</v>
      </c>
      <c r="C598" s="3" t="s">
        <v>1180</v>
      </c>
      <c r="D598" s="3" t="s">
        <v>1403</v>
      </c>
      <c r="E598" s="3" t="s">
        <v>1404</v>
      </c>
      <c r="F598" s="3">
        <v>0</v>
      </c>
      <c r="G598" s="3">
        <v>120.05</v>
      </c>
    </row>
    <row r="599" spans="1:7" x14ac:dyDescent="0.2">
      <c r="A599" s="3" t="s">
        <v>1072</v>
      </c>
      <c r="B599" s="4">
        <v>44592</v>
      </c>
      <c r="C599" s="3" t="s">
        <v>1175</v>
      </c>
      <c r="D599" s="3" t="s">
        <v>1405</v>
      </c>
      <c r="E599" s="3" t="s">
        <v>1406</v>
      </c>
      <c r="F599" s="3">
        <v>0</v>
      </c>
      <c r="G599" s="3">
        <v>5557.44</v>
      </c>
    </row>
    <row r="600" spans="1:7" x14ac:dyDescent="0.2">
      <c r="A600" s="3" t="s">
        <v>1072</v>
      </c>
      <c r="B600" s="4">
        <v>44592</v>
      </c>
      <c r="C600" s="3" t="s">
        <v>1175</v>
      </c>
      <c r="D600" s="3" t="s">
        <v>1407</v>
      </c>
      <c r="E600" s="3" t="s">
        <v>1408</v>
      </c>
      <c r="F600" s="3">
        <v>0</v>
      </c>
      <c r="G600" s="3">
        <v>-62160</v>
      </c>
    </row>
    <row r="601" spans="1:7" x14ac:dyDescent="0.2">
      <c r="A601" s="3" t="s">
        <v>1072</v>
      </c>
      <c r="B601" s="4">
        <v>44592</v>
      </c>
      <c r="C601" s="3" t="s">
        <v>1180</v>
      </c>
      <c r="D601" s="3" t="s">
        <v>1409</v>
      </c>
      <c r="E601" s="3" t="s">
        <v>1410</v>
      </c>
      <c r="F601" s="3">
        <v>0</v>
      </c>
      <c r="G601" s="3">
        <v>216064.1</v>
      </c>
    </row>
    <row r="602" spans="1:7" x14ac:dyDescent="0.2">
      <c r="A602" s="3" t="s">
        <v>1072</v>
      </c>
      <c r="B602" s="4">
        <v>44592</v>
      </c>
      <c r="C602" s="3" t="s">
        <v>1180</v>
      </c>
      <c r="D602" s="3" t="s">
        <v>1411</v>
      </c>
      <c r="E602" s="3" t="s">
        <v>1412</v>
      </c>
      <c r="F602" s="3">
        <v>0</v>
      </c>
      <c r="G602" s="3">
        <v>-133240</v>
      </c>
    </row>
    <row r="603" spans="1:7" x14ac:dyDescent="0.2">
      <c r="A603" s="3" t="s">
        <v>1072</v>
      </c>
      <c r="B603" s="4">
        <v>44592</v>
      </c>
      <c r="C603" s="3" t="s">
        <v>1180</v>
      </c>
      <c r="D603" s="3" t="s">
        <v>1413</v>
      </c>
      <c r="E603" s="3" t="s">
        <v>1414</v>
      </c>
      <c r="F603" s="3">
        <v>0</v>
      </c>
      <c r="G603" s="3">
        <v>53450.87</v>
      </c>
    </row>
    <row r="604" spans="1:7" x14ac:dyDescent="0.2">
      <c r="A604" s="3" t="s">
        <v>1072</v>
      </c>
      <c r="B604" s="4">
        <v>44592</v>
      </c>
      <c r="C604" s="3" t="s">
        <v>1180</v>
      </c>
      <c r="D604" s="3" t="s">
        <v>1415</v>
      </c>
      <c r="E604" s="3" t="s">
        <v>1416</v>
      </c>
      <c r="F604" s="3">
        <v>-1092.24</v>
      </c>
      <c r="G604" s="3">
        <v>-18473.79</v>
      </c>
    </row>
    <row r="605" spans="1:7" x14ac:dyDescent="0.2">
      <c r="A605" s="3" t="s">
        <v>1072</v>
      </c>
      <c r="B605" s="4">
        <v>44592</v>
      </c>
      <c r="C605" s="3" t="s">
        <v>1180</v>
      </c>
      <c r="D605" s="3" t="s">
        <v>1462</v>
      </c>
      <c r="E605" s="3" t="s">
        <v>1463</v>
      </c>
      <c r="F605" s="3">
        <v>27804</v>
      </c>
      <c r="G605" s="3">
        <v>27804</v>
      </c>
    </row>
    <row r="606" spans="1:7" x14ac:dyDescent="0.2">
      <c r="A606" s="3" t="s">
        <v>1072</v>
      </c>
      <c r="B606" s="4">
        <v>44592</v>
      </c>
      <c r="C606" s="3" t="s">
        <v>1180</v>
      </c>
      <c r="D606" s="3" t="s">
        <v>1417</v>
      </c>
      <c r="E606" s="3" t="s">
        <v>1418</v>
      </c>
      <c r="F606" s="3">
        <v>0</v>
      </c>
      <c r="G606" s="3">
        <v>11600</v>
      </c>
    </row>
    <row r="607" spans="1:7" x14ac:dyDescent="0.2">
      <c r="A607" s="3" t="s">
        <v>1072</v>
      </c>
      <c r="B607" s="4">
        <v>44592</v>
      </c>
      <c r="C607" s="3" t="s">
        <v>1180</v>
      </c>
      <c r="D607" s="3" t="s">
        <v>1419</v>
      </c>
      <c r="E607" s="3" t="s">
        <v>1420</v>
      </c>
      <c r="F607" s="3">
        <v>-193.33</v>
      </c>
      <c r="G607" s="3">
        <v>-773.33</v>
      </c>
    </row>
    <row r="608" spans="1:7" x14ac:dyDescent="0.2">
      <c r="A608" s="3" t="s">
        <v>1069</v>
      </c>
      <c r="B608" s="4">
        <v>44592</v>
      </c>
      <c r="C608" s="3" t="s">
        <v>1180</v>
      </c>
      <c r="D608" s="3" t="s">
        <v>1421</v>
      </c>
      <c r="E608" s="3" t="s">
        <v>1422</v>
      </c>
      <c r="F608" s="3">
        <v>0</v>
      </c>
      <c r="G608" s="3">
        <v>261841.5</v>
      </c>
    </row>
    <row r="609" spans="1:7" x14ac:dyDescent="0.2">
      <c r="A609" s="3" t="s">
        <v>1069</v>
      </c>
      <c r="B609" s="4">
        <v>44592</v>
      </c>
      <c r="C609" s="3" t="s">
        <v>1180</v>
      </c>
      <c r="D609" s="3" t="s">
        <v>1214</v>
      </c>
      <c r="E609" s="3" t="s">
        <v>1215</v>
      </c>
      <c r="F609" s="3">
        <v>0</v>
      </c>
      <c r="G609" s="3">
        <v>26200000</v>
      </c>
    </row>
    <row r="610" spans="1:7" x14ac:dyDescent="0.2">
      <c r="A610" s="3" t="s">
        <v>1069</v>
      </c>
      <c r="B610" s="4">
        <v>44592</v>
      </c>
      <c r="C610" s="3" t="s">
        <v>1180</v>
      </c>
      <c r="D610" s="3" t="s">
        <v>1216</v>
      </c>
      <c r="E610" s="3" t="s">
        <v>1217</v>
      </c>
      <c r="F610" s="3">
        <v>0</v>
      </c>
      <c r="G610" s="3">
        <v>68427</v>
      </c>
    </row>
    <row r="611" spans="1:7" x14ac:dyDescent="0.2">
      <c r="A611" s="3" t="s">
        <v>1069</v>
      </c>
      <c r="B611" s="4">
        <v>44592</v>
      </c>
      <c r="C611" s="3" t="s">
        <v>1180</v>
      </c>
      <c r="D611" s="3" t="s">
        <v>1218</v>
      </c>
      <c r="E611" s="3" t="s">
        <v>1219</v>
      </c>
      <c r="F611" s="3">
        <v>0</v>
      </c>
      <c r="G611" s="3">
        <v>103812</v>
      </c>
    </row>
    <row r="612" spans="1:7" x14ac:dyDescent="0.2">
      <c r="A612" s="3" t="s">
        <v>1069</v>
      </c>
      <c r="B612" s="4">
        <v>44592</v>
      </c>
      <c r="C612" s="3" t="s">
        <v>1180</v>
      </c>
      <c r="D612" s="3" t="s">
        <v>1197</v>
      </c>
      <c r="E612" s="3" t="s">
        <v>1198</v>
      </c>
      <c r="F612" s="3">
        <v>0</v>
      </c>
      <c r="G612" s="3">
        <v>142000</v>
      </c>
    </row>
    <row r="613" spans="1:7" x14ac:dyDescent="0.2">
      <c r="A613" s="3" t="s">
        <v>1069</v>
      </c>
      <c r="B613" s="4">
        <v>44592</v>
      </c>
      <c r="C613" s="3" t="s">
        <v>1180</v>
      </c>
      <c r="D613" s="3" t="s">
        <v>1181</v>
      </c>
      <c r="E613" s="3" t="s">
        <v>1182</v>
      </c>
      <c r="F613" s="3">
        <v>0</v>
      </c>
      <c r="G613" s="3">
        <v>5052916.5</v>
      </c>
    </row>
    <row r="614" spans="1:7" x14ac:dyDescent="0.2">
      <c r="A614" s="3" t="s">
        <v>1069</v>
      </c>
      <c r="B614" s="4">
        <v>44592</v>
      </c>
      <c r="C614" s="3" t="s">
        <v>1180</v>
      </c>
      <c r="D614" s="3" t="s">
        <v>1263</v>
      </c>
      <c r="E614" s="3" t="s">
        <v>1264</v>
      </c>
      <c r="F614" s="3">
        <v>0</v>
      </c>
      <c r="G614" s="3">
        <v>13807.78</v>
      </c>
    </row>
    <row r="615" spans="1:7" x14ac:dyDescent="0.2">
      <c r="A615" s="3" t="s">
        <v>1069</v>
      </c>
      <c r="B615" s="4">
        <v>44592</v>
      </c>
      <c r="C615" s="3" t="s">
        <v>1180</v>
      </c>
      <c r="D615" s="3" t="s">
        <v>1202</v>
      </c>
      <c r="E615" s="3" t="s">
        <v>1203</v>
      </c>
      <c r="F615" s="3">
        <v>1840</v>
      </c>
      <c r="G615" s="3">
        <v>6350</v>
      </c>
    </row>
    <row r="616" spans="1:7" x14ac:dyDescent="0.2">
      <c r="A616" s="3" t="s">
        <v>1069</v>
      </c>
      <c r="B616" s="4">
        <v>44592</v>
      </c>
      <c r="C616" s="3" t="s">
        <v>1180</v>
      </c>
      <c r="D616" s="3" t="s">
        <v>1204</v>
      </c>
      <c r="E616" s="3" t="s">
        <v>1205</v>
      </c>
      <c r="F616" s="3">
        <v>0</v>
      </c>
      <c r="G616" s="3">
        <v>7500</v>
      </c>
    </row>
    <row r="617" spans="1:7" x14ac:dyDescent="0.2">
      <c r="A617" s="3" t="s">
        <v>1069</v>
      </c>
      <c r="B617" s="4">
        <v>44592</v>
      </c>
      <c r="C617" s="3" t="s">
        <v>1180</v>
      </c>
      <c r="D617" s="3" t="s">
        <v>1199</v>
      </c>
      <c r="E617" s="3" t="s">
        <v>1200</v>
      </c>
      <c r="F617" s="3">
        <v>0</v>
      </c>
      <c r="G617" s="3">
        <v>67400</v>
      </c>
    </row>
    <row r="618" spans="1:7" x14ac:dyDescent="0.2">
      <c r="A618" s="3" t="s">
        <v>1069</v>
      </c>
      <c r="B618" s="4">
        <v>44592</v>
      </c>
      <c r="C618" s="3" t="s">
        <v>1180</v>
      </c>
      <c r="D618" s="3" t="s">
        <v>1220</v>
      </c>
      <c r="E618" s="3" t="s">
        <v>1221</v>
      </c>
      <c r="F618" s="3">
        <v>0</v>
      </c>
      <c r="G618" s="3">
        <v>15175</v>
      </c>
    </row>
    <row r="619" spans="1:7" x14ac:dyDescent="0.2">
      <c r="A619" s="3" t="s">
        <v>1069</v>
      </c>
      <c r="B619" s="4">
        <v>44592</v>
      </c>
      <c r="C619" s="3" t="s">
        <v>1180</v>
      </c>
      <c r="D619" s="3" t="s">
        <v>1183</v>
      </c>
      <c r="E619" s="3" t="s">
        <v>1184</v>
      </c>
      <c r="F619" s="3">
        <v>77600.539999999994</v>
      </c>
      <c r="G619" s="3">
        <v>100634.8</v>
      </c>
    </row>
    <row r="620" spans="1:7" x14ac:dyDescent="0.2">
      <c r="A620" s="3" t="s">
        <v>1069</v>
      </c>
      <c r="B620" s="4">
        <v>44592</v>
      </c>
      <c r="C620" s="3" t="s">
        <v>1180</v>
      </c>
      <c r="D620" s="3" t="s">
        <v>1222</v>
      </c>
      <c r="E620" s="3" t="s">
        <v>1223</v>
      </c>
      <c r="F620" s="3">
        <v>518489.22</v>
      </c>
      <c r="G620" s="3">
        <v>2331207.06</v>
      </c>
    </row>
    <row r="621" spans="1:7" x14ac:dyDescent="0.2">
      <c r="A621" s="3" t="s">
        <v>1069</v>
      </c>
      <c r="B621" s="4">
        <v>44592</v>
      </c>
      <c r="C621" s="3" t="s">
        <v>1180</v>
      </c>
      <c r="D621" s="3" t="s">
        <v>1235</v>
      </c>
      <c r="E621" s="3" t="s">
        <v>1236</v>
      </c>
      <c r="F621" s="3">
        <v>0</v>
      </c>
      <c r="G621" s="3">
        <v>782608.07</v>
      </c>
    </row>
    <row r="622" spans="1:7" x14ac:dyDescent="0.2">
      <c r="A622" s="3" t="s">
        <v>1069</v>
      </c>
      <c r="B622" s="4">
        <v>44592</v>
      </c>
      <c r="C622" s="3" t="s">
        <v>1180</v>
      </c>
      <c r="D622" s="3" t="s">
        <v>1206</v>
      </c>
      <c r="E622" s="3" t="s">
        <v>1207</v>
      </c>
      <c r="F622" s="3">
        <v>0</v>
      </c>
      <c r="G622" s="3">
        <v>129550</v>
      </c>
    </row>
    <row r="623" spans="1:7" x14ac:dyDescent="0.2">
      <c r="A623" s="3" t="s">
        <v>1069</v>
      </c>
      <c r="B623" s="4">
        <v>44592</v>
      </c>
      <c r="C623" s="3" t="s">
        <v>1180</v>
      </c>
      <c r="D623" s="3" t="s">
        <v>1208</v>
      </c>
      <c r="E623" s="3" t="s">
        <v>1209</v>
      </c>
      <c r="F623" s="3">
        <v>0</v>
      </c>
      <c r="G623" s="3">
        <v>45000</v>
      </c>
    </row>
    <row r="624" spans="1:7" x14ac:dyDescent="0.2">
      <c r="A624" s="3" t="s">
        <v>1069</v>
      </c>
      <c r="B624" s="4">
        <v>44592</v>
      </c>
      <c r="C624" s="3" t="s">
        <v>1180</v>
      </c>
      <c r="D624" s="3" t="s">
        <v>1259</v>
      </c>
      <c r="E624" s="3" t="s">
        <v>1260</v>
      </c>
      <c r="F624" s="3">
        <v>6000</v>
      </c>
      <c r="G624" s="3">
        <v>48000</v>
      </c>
    </row>
    <row r="625" spans="1:7" x14ac:dyDescent="0.2">
      <c r="A625" s="3" t="s">
        <v>1069</v>
      </c>
      <c r="B625" s="4">
        <v>44592</v>
      </c>
      <c r="C625" s="3" t="s">
        <v>1180</v>
      </c>
      <c r="D625" s="3" t="s">
        <v>1265</v>
      </c>
      <c r="E625" s="3" t="s">
        <v>1266</v>
      </c>
      <c r="F625" s="3">
        <v>48396.87</v>
      </c>
      <c r="G625" s="3">
        <v>627209.14</v>
      </c>
    </row>
    <row r="626" spans="1:7" x14ac:dyDescent="0.2">
      <c r="A626" s="3" t="s">
        <v>1069</v>
      </c>
      <c r="B626" s="4">
        <v>44592</v>
      </c>
      <c r="C626" s="3" t="s">
        <v>1180</v>
      </c>
      <c r="D626" s="3" t="s">
        <v>1423</v>
      </c>
      <c r="E626" s="3" t="s">
        <v>1424</v>
      </c>
      <c r="F626" s="3">
        <v>302206.84999999998</v>
      </c>
      <c r="G626" s="3">
        <v>622274.51</v>
      </c>
    </row>
    <row r="627" spans="1:7" x14ac:dyDescent="0.2">
      <c r="A627" s="3" t="s">
        <v>1072</v>
      </c>
      <c r="B627" s="4">
        <v>44592</v>
      </c>
      <c r="C627" s="3" t="s">
        <v>1180</v>
      </c>
      <c r="D627" s="3" t="s">
        <v>1425</v>
      </c>
      <c r="E627" s="3" t="s">
        <v>1426</v>
      </c>
      <c r="F627" s="3">
        <v>0</v>
      </c>
      <c r="G627" s="3">
        <v>6875.45</v>
      </c>
    </row>
    <row r="628" spans="1:7" x14ac:dyDescent="0.2">
      <c r="A628" s="3" t="s">
        <v>1072</v>
      </c>
      <c r="B628" s="4">
        <v>44592</v>
      </c>
      <c r="C628" s="3" t="s">
        <v>1180</v>
      </c>
      <c r="D628" s="3" t="s">
        <v>1427</v>
      </c>
      <c r="E628" s="3" t="s">
        <v>1428</v>
      </c>
      <c r="F628" s="3">
        <v>875168.84</v>
      </c>
      <c r="G628" s="3">
        <v>2398530.5099999998</v>
      </c>
    </row>
    <row r="629" spans="1:7" x14ac:dyDescent="0.2">
      <c r="A629" s="3" t="s">
        <v>1072</v>
      </c>
      <c r="B629" s="4">
        <v>44592</v>
      </c>
      <c r="C629" s="3" t="s">
        <v>1180</v>
      </c>
      <c r="D629" s="3" t="s">
        <v>1429</v>
      </c>
      <c r="E629" s="3" t="s">
        <v>1430</v>
      </c>
      <c r="F629" s="3">
        <v>-2867.09</v>
      </c>
      <c r="G629" s="3">
        <v>17202.57</v>
      </c>
    </row>
    <row r="630" spans="1:7" x14ac:dyDescent="0.2">
      <c r="A630" s="3" t="s">
        <v>1069</v>
      </c>
      <c r="B630" s="4">
        <v>44592</v>
      </c>
      <c r="C630" s="3" t="s">
        <v>1180</v>
      </c>
      <c r="D630" s="3" t="s">
        <v>1257</v>
      </c>
      <c r="E630" s="3" t="s">
        <v>1258</v>
      </c>
      <c r="F630" s="3">
        <v>0</v>
      </c>
      <c r="G630" s="3">
        <v>300000</v>
      </c>
    </row>
    <row r="631" spans="1:7" x14ac:dyDescent="0.2">
      <c r="A631" s="3" t="s">
        <v>1069</v>
      </c>
      <c r="B631" s="4">
        <v>44592</v>
      </c>
      <c r="C631" s="3" t="s">
        <v>1180</v>
      </c>
      <c r="D631" s="3" t="s">
        <v>1187</v>
      </c>
      <c r="E631" s="3" t="s">
        <v>1188</v>
      </c>
      <c r="F631" s="3">
        <v>-6494.83</v>
      </c>
      <c r="G631" s="3">
        <v>39591.370000000003</v>
      </c>
    </row>
    <row r="632" spans="1:7" x14ac:dyDescent="0.2">
      <c r="A632" s="3" t="s">
        <v>1072</v>
      </c>
      <c r="B632" s="4">
        <v>44592</v>
      </c>
      <c r="C632" s="3" t="s">
        <v>1180</v>
      </c>
      <c r="D632" s="3" t="s">
        <v>1187</v>
      </c>
      <c r="E632" s="3" t="s">
        <v>1433</v>
      </c>
      <c r="F632" s="3">
        <v>-26733.06</v>
      </c>
      <c r="G632" s="3">
        <v>12870.84</v>
      </c>
    </row>
    <row r="633" spans="1:7" x14ac:dyDescent="0.2">
      <c r="A633" s="3" t="s">
        <v>1072</v>
      </c>
      <c r="B633" s="4">
        <v>44592</v>
      </c>
      <c r="C633" s="3" t="s">
        <v>1180</v>
      </c>
      <c r="D633" s="3" t="s">
        <v>1189</v>
      </c>
      <c r="E633" s="3" t="s">
        <v>1434</v>
      </c>
      <c r="F633" s="3">
        <v>960.1</v>
      </c>
      <c r="G633" s="3">
        <v>1006.8</v>
      </c>
    </row>
    <row r="634" spans="1:7" x14ac:dyDescent="0.2">
      <c r="A634" s="3" t="s">
        <v>1072</v>
      </c>
      <c r="B634" s="4">
        <v>44592</v>
      </c>
      <c r="C634" s="3" t="s">
        <v>1180</v>
      </c>
      <c r="D634" s="3" t="s">
        <v>1435</v>
      </c>
      <c r="E634" s="3" t="s">
        <v>1436</v>
      </c>
      <c r="F634" s="3">
        <v>1.98</v>
      </c>
      <c r="G634" s="3">
        <v>507.84</v>
      </c>
    </row>
    <row r="635" spans="1:7" x14ac:dyDescent="0.2">
      <c r="A635" s="3" t="s">
        <v>1069</v>
      </c>
      <c r="B635" s="4">
        <v>44592</v>
      </c>
      <c r="C635" s="3" t="s">
        <v>1180</v>
      </c>
      <c r="D635" s="3" t="s">
        <v>1243</v>
      </c>
      <c r="E635" s="3" t="s">
        <v>1244</v>
      </c>
      <c r="F635" s="3">
        <v>-0.38</v>
      </c>
      <c r="G635" s="3">
        <v>779.47</v>
      </c>
    </row>
    <row r="636" spans="1:7" x14ac:dyDescent="0.2">
      <c r="A636" s="3" t="s">
        <v>1069</v>
      </c>
      <c r="B636" s="4">
        <v>44592</v>
      </c>
      <c r="C636" s="3" t="s">
        <v>1180</v>
      </c>
      <c r="D636" s="3" t="s">
        <v>1245</v>
      </c>
      <c r="E636" s="3" t="s">
        <v>1246</v>
      </c>
      <c r="F636" s="3">
        <v>-1677679.31</v>
      </c>
      <c r="G636" s="3">
        <v>7502655.7999999998</v>
      </c>
    </row>
    <row r="637" spans="1:7" x14ac:dyDescent="0.2">
      <c r="A637" s="3" t="s">
        <v>1072</v>
      </c>
      <c r="B637" s="4">
        <v>44592</v>
      </c>
      <c r="C637" s="3" t="s">
        <v>1175</v>
      </c>
      <c r="D637" s="3" t="s">
        <v>1437</v>
      </c>
      <c r="E637" s="3" t="s">
        <v>1438</v>
      </c>
      <c r="F637" s="3">
        <v>0.01</v>
      </c>
      <c r="G637" s="3">
        <v>-0.01</v>
      </c>
    </row>
    <row r="638" spans="1:7" x14ac:dyDescent="0.2">
      <c r="A638" s="3" t="s">
        <v>1069</v>
      </c>
      <c r="B638" s="4">
        <v>44592</v>
      </c>
      <c r="C638" s="3" t="s">
        <v>1175</v>
      </c>
      <c r="D638" s="3" t="s">
        <v>1437</v>
      </c>
      <c r="E638" s="3" t="s">
        <v>1438</v>
      </c>
      <c r="F638" s="3">
        <v>0</v>
      </c>
      <c r="G638" s="3">
        <v>0.01</v>
      </c>
    </row>
    <row r="639" spans="1:7" x14ac:dyDescent="0.2">
      <c r="A639" s="3" t="s">
        <v>1072</v>
      </c>
      <c r="B639" s="4">
        <v>44592</v>
      </c>
      <c r="C639" s="3" t="s">
        <v>1175</v>
      </c>
      <c r="D639" s="3" t="s">
        <v>1191</v>
      </c>
      <c r="E639" s="3" t="s">
        <v>1192</v>
      </c>
      <c r="F639" s="3">
        <v>32778.03</v>
      </c>
      <c r="G639" s="3">
        <v>-1341008.76</v>
      </c>
    </row>
    <row r="640" spans="1:7" x14ac:dyDescent="0.2">
      <c r="A640" s="3" t="s">
        <v>1069</v>
      </c>
      <c r="B640" s="4">
        <v>44592</v>
      </c>
      <c r="C640" s="3" t="s">
        <v>1175</v>
      </c>
      <c r="D640" s="3" t="s">
        <v>1191</v>
      </c>
      <c r="E640" s="3" t="s">
        <v>1192</v>
      </c>
      <c r="F640" s="3">
        <v>728773</v>
      </c>
      <c r="G640" s="3">
        <v>-45827170.329999998</v>
      </c>
    </row>
    <row r="641" spans="1:7" x14ac:dyDescent="0.2">
      <c r="A641" s="3" t="s">
        <v>1072</v>
      </c>
      <c r="B641" s="4">
        <v>44592</v>
      </c>
      <c r="C641" s="3" t="s">
        <v>1175</v>
      </c>
      <c r="D641" s="3" t="s">
        <v>1439</v>
      </c>
      <c r="E641" s="3" t="s">
        <v>1440</v>
      </c>
      <c r="F641" s="3">
        <v>-5336.82</v>
      </c>
      <c r="G641" s="3">
        <v>-2336.8200000000002</v>
      </c>
    </row>
    <row r="642" spans="1:7" x14ac:dyDescent="0.2">
      <c r="A642" s="3" t="s">
        <v>1072</v>
      </c>
      <c r="B642" s="4">
        <v>44592</v>
      </c>
      <c r="C642" s="3" t="s">
        <v>1175</v>
      </c>
      <c r="D642" s="3" t="s">
        <v>1441</v>
      </c>
      <c r="E642" s="3" t="s">
        <v>1442</v>
      </c>
      <c r="F642" s="3">
        <v>-4332.29</v>
      </c>
      <c r="G642" s="3">
        <v>-35960.620000000003</v>
      </c>
    </row>
    <row r="643" spans="1:7" x14ac:dyDescent="0.2">
      <c r="A643" s="3" t="s">
        <v>1072</v>
      </c>
      <c r="B643" s="4">
        <v>44592</v>
      </c>
      <c r="C643" s="3" t="s">
        <v>1175</v>
      </c>
      <c r="D643" s="3" t="s">
        <v>1464</v>
      </c>
      <c r="E643" s="3" t="s">
        <v>1465</v>
      </c>
      <c r="F643" s="3">
        <v>-204.56</v>
      </c>
      <c r="G643" s="3">
        <v>-204.56</v>
      </c>
    </row>
    <row r="644" spans="1:7" x14ac:dyDescent="0.2">
      <c r="A644" s="3" t="s">
        <v>1072</v>
      </c>
      <c r="B644" s="4">
        <v>44592</v>
      </c>
      <c r="C644" s="3" t="s">
        <v>1175</v>
      </c>
      <c r="D644" s="3" t="s">
        <v>1193</v>
      </c>
      <c r="E644" s="3" t="s">
        <v>1443</v>
      </c>
      <c r="F644" s="3">
        <v>-47934.75</v>
      </c>
      <c r="G644" s="3">
        <v>-739830.77</v>
      </c>
    </row>
    <row r="645" spans="1:7" x14ac:dyDescent="0.2">
      <c r="A645" s="3" t="s">
        <v>1069</v>
      </c>
      <c r="B645" s="4">
        <v>44592</v>
      </c>
      <c r="C645" s="3" t="s">
        <v>1175</v>
      </c>
      <c r="D645" s="3" t="s">
        <v>1193</v>
      </c>
      <c r="E645" s="3" t="s">
        <v>1194</v>
      </c>
      <c r="F645" s="3">
        <v>-193835.89</v>
      </c>
      <c r="G645" s="3">
        <v>785539.05</v>
      </c>
    </row>
    <row r="646" spans="1:7" x14ac:dyDescent="0.2">
      <c r="A646" s="3" t="s">
        <v>1072</v>
      </c>
      <c r="B646" s="4">
        <v>44592</v>
      </c>
      <c r="C646" s="3" t="s">
        <v>1175</v>
      </c>
      <c r="D646" s="3" t="s">
        <v>1444</v>
      </c>
      <c r="E646" s="3" t="s">
        <v>1445</v>
      </c>
      <c r="F646" s="3">
        <v>-5260.33</v>
      </c>
      <c r="G646" s="3">
        <v>2487.8200000000002</v>
      </c>
    </row>
    <row r="647" spans="1:7" x14ac:dyDescent="0.2">
      <c r="A647" s="3" t="s">
        <v>1072</v>
      </c>
      <c r="B647" s="4">
        <v>44592</v>
      </c>
      <c r="C647" s="3" t="s">
        <v>1175</v>
      </c>
      <c r="D647" s="3" t="s">
        <v>1446</v>
      </c>
      <c r="E647" s="3" t="s">
        <v>1447</v>
      </c>
      <c r="F647" s="3">
        <v>0</v>
      </c>
      <c r="G647" s="3">
        <v>-254.99</v>
      </c>
    </row>
    <row r="648" spans="1:7" x14ac:dyDescent="0.2">
      <c r="A648" s="3" t="s">
        <v>1072</v>
      </c>
      <c r="B648" s="4">
        <v>44620</v>
      </c>
      <c r="C648" s="3" t="s">
        <v>1210</v>
      </c>
      <c r="D648" s="3" t="s">
        <v>1448</v>
      </c>
      <c r="E648" s="3" t="s">
        <v>1449</v>
      </c>
      <c r="F648" s="3">
        <v>-86725.09</v>
      </c>
      <c r="G648" s="3">
        <v>-160638.13</v>
      </c>
    </row>
    <row r="649" spans="1:7" x14ac:dyDescent="0.2">
      <c r="A649" s="3" t="s">
        <v>1072</v>
      </c>
      <c r="B649" s="4">
        <v>44620</v>
      </c>
      <c r="C649" s="3" t="s">
        <v>1210</v>
      </c>
      <c r="D649" s="3" t="s">
        <v>1267</v>
      </c>
      <c r="E649" s="3" t="s">
        <v>1268</v>
      </c>
      <c r="F649" s="3">
        <v>-2841528.05</v>
      </c>
      <c r="G649" s="3">
        <v>-17741366.120000001</v>
      </c>
    </row>
    <row r="650" spans="1:7" x14ac:dyDescent="0.2">
      <c r="A650" s="3" t="s">
        <v>1072</v>
      </c>
      <c r="B650" s="4">
        <v>44620</v>
      </c>
      <c r="C650" s="3" t="s">
        <v>1210</v>
      </c>
      <c r="D650" s="3" t="s">
        <v>1269</v>
      </c>
      <c r="E650" s="3" t="s">
        <v>1270</v>
      </c>
      <c r="F650" s="3">
        <v>-483764.47</v>
      </c>
      <c r="G650" s="3">
        <v>-2966308.21</v>
      </c>
    </row>
    <row r="651" spans="1:7" x14ac:dyDescent="0.2">
      <c r="A651" s="3" t="s">
        <v>1072</v>
      </c>
      <c r="B651" s="4">
        <v>44620</v>
      </c>
      <c r="C651" s="3" t="s">
        <v>1210</v>
      </c>
      <c r="D651" s="3" t="s">
        <v>1271</v>
      </c>
      <c r="E651" s="3" t="s">
        <v>1272</v>
      </c>
      <c r="F651" s="3">
        <v>0</v>
      </c>
      <c r="G651" s="3">
        <v>387.08</v>
      </c>
    </row>
    <row r="652" spans="1:7" x14ac:dyDescent="0.2">
      <c r="A652" s="3" t="s">
        <v>1072</v>
      </c>
      <c r="B652" s="4">
        <v>44620</v>
      </c>
      <c r="C652" s="3" t="s">
        <v>1210</v>
      </c>
      <c r="D652" s="3" t="s">
        <v>1273</v>
      </c>
      <c r="E652" s="3" t="s">
        <v>1274</v>
      </c>
      <c r="F652" s="3">
        <v>-3490.94</v>
      </c>
      <c r="G652" s="3">
        <v>-10472.82</v>
      </c>
    </row>
    <row r="653" spans="1:7" x14ac:dyDescent="0.2">
      <c r="A653" s="3" t="s">
        <v>1069</v>
      </c>
      <c r="B653" s="4">
        <v>44620</v>
      </c>
      <c r="C653" s="3" t="s">
        <v>1210</v>
      </c>
      <c r="D653" s="3" t="s">
        <v>1239</v>
      </c>
      <c r="E653" s="3" t="s">
        <v>1240</v>
      </c>
      <c r="F653" s="3">
        <v>2150682.83</v>
      </c>
      <c r="G653" s="3">
        <v>-17562360.850000001</v>
      </c>
    </row>
    <row r="654" spans="1:7" x14ac:dyDescent="0.2">
      <c r="A654" s="3" t="s">
        <v>1069</v>
      </c>
      <c r="B654" s="4">
        <v>44620</v>
      </c>
      <c r="C654" s="3" t="s">
        <v>1168</v>
      </c>
      <c r="D654" s="3" t="s">
        <v>1247</v>
      </c>
      <c r="E654" s="3" t="s">
        <v>1248</v>
      </c>
      <c r="F654" s="3">
        <v>0</v>
      </c>
      <c r="G654" s="3">
        <v>9814</v>
      </c>
    </row>
    <row r="655" spans="1:7" x14ac:dyDescent="0.2">
      <c r="A655" s="3" t="s">
        <v>1072</v>
      </c>
      <c r="B655" s="4">
        <v>44620</v>
      </c>
      <c r="C655" s="3" t="s">
        <v>1168</v>
      </c>
      <c r="D655" s="3" t="s">
        <v>1275</v>
      </c>
      <c r="E655" s="3" t="s">
        <v>1276</v>
      </c>
      <c r="F655" s="3">
        <v>0</v>
      </c>
      <c r="G655" s="3">
        <v>1207.3499999999999</v>
      </c>
    </row>
    <row r="656" spans="1:7" x14ac:dyDescent="0.2">
      <c r="A656" s="3" t="s">
        <v>1072</v>
      </c>
      <c r="B656" s="4">
        <v>44620</v>
      </c>
      <c r="C656" s="3" t="s">
        <v>1168</v>
      </c>
      <c r="D656" s="3" t="s">
        <v>1277</v>
      </c>
      <c r="E656" s="3" t="s">
        <v>1278</v>
      </c>
      <c r="F656" s="3">
        <v>0</v>
      </c>
      <c r="G656" s="3">
        <v>4850</v>
      </c>
    </row>
    <row r="657" spans="1:7" x14ac:dyDescent="0.2">
      <c r="A657" s="3" t="s">
        <v>1072</v>
      </c>
      <c r="B657" s="4">
        <v>44620</v>
      </c>
      <c r="C657" s="3" t="s">
        <v>1168</v>
      </c>
      <c r="D657" s="3" t="s">
        <v>1279</v>
      </c>
      <c r="E657" s="3" t="s">
        <v>1280</v>
      </c>
      <c r="F657" s="3">
        <v>0</v>
      </c>
      <c r="G657" s="3">
        <v>3900</v>
      </c>
    </row>
    <row r="658" spans="1:7" x14ac:dyDescent="0.2">
      <c r="A658" s="3" t="s">
        <v>1072</v>
      </c>
      <c r="B658" s="4">
        <v>44620</v>
      </c>
      <c r="C658" s="3" t="s">
        <v>1168</v>
      </c>
      <c r="D658" s="3" t="s">
        <v>1466</v>
      </c>
      <c r="E658" s="3" t="s">
        <v>1467</v>
      </c>
      <c r="F658" s="3">
        <v>9290</v>
      </c>
      <c r="G658" s="3">
        <v>9290</v>
      </c>
    </row>
    <row r="659" spans="1:7" x14ac:dyDescent="0.2">
      <c r="A659" s="3" t="s">
        <v>1072</v>
      </c>
      <c r="B659" s="4">
        <v>44620</v>
      </c>
      <c r="C659" s="3" t="s">
        <v>1168</v>
      </c>
      <c r="D659" s="3" t="s">
        <v>1281</v>
      </c>
      <c r="E659" s="3" t="s">
        <v>1282</v>
      </c>
      <c r="F659" s="3">
        <v>2059518.81</v>
      </c>
      <c r="G659" s="3">
        <v>15328368.1</v>
      </c>
    </row>
    <row r="660" spans="1:7" x14ac:dyDescent="0.2">
      <c r="A660" s="3" t="s">
        <v>1072</v>
      </c>
      <c r="B660" s="4">
        <v>44620</v>
      </c>
      <c r="C660" s="3" t="s">
        <v>1168</v>
      </c>
      <c r="D660" s="3" t="s">
        <v>1283</v>
      </c>
      <c r="E660" s="3" t="s">
        <v>1284</v>
      </c>
      <c r="F660" s="3">
        <v>49740.59</v>
      </c>
      <c r="G660" s="3">
        <v>399319.19</v>
      </c>
    </row>
    <row r="661" spans="1:7" x14ac:dyDescent="0.2">
      <c r="A661" s="3" t="s">
        <v>1072</v>
      </c>
      <c r="B661" s="4">
        <v>44620</v>
      </c>
      <c r="C661" s="3" t="s">
        <v>1168</v>
      </c>
      <c r="D661" s="3" t="s">
        <v>1285</v>
      </c>
      <c r="E661" s="3" t="s">
        <v>1286</v>
      </c>
      <c r="F661" s="3">
        <v>2867.1</v>
      </c>
      <c r="G661" s="3">
        <v>20069.650000000001</v>
      </c>
    </row>
    <row r="662" spans="1:7" x14ac:dyDescent="0.2">
      <c r="A662" s="3" t="s">
        <v>1072</v>
      </c>
      <c r="B662" s="4">
        <v>44620</v>
      </c>
      <c r="C662" s="3" t="s">
        <v>1168</v>
      </c>
      <c r="D662" s="3" t="s">
        <v>1287</v>
      </c>
      <c r="E662" s="3" t="s">
        <v>1288</v>
      </c>
      <c r="F662" s="3">
        <v>292.58</v>
      </c>
      <c r="G662" s="3">
        <v>1121.02</v>
      </c>
    </row>
    <row r="663" spans="1:7" x14ac:dyDescent="0.2">
      <c r="A663" s="3" t="s">
        <v>1072</v>
      </c>
      <c r="B663" s="4">
        <v>44620</v>
      </c>
      <c r="C663" s="3" t="s">
        <v>1168</v>
      </c>
      <c r="D663" s="3" t="s">
        <v>1289</v>
      </c>
      <c r="E663" s="3" t="s">
        <v>1290</v>
      </c>
      <c r="F663" s="3">
        <v>42509.65</v>
      </c>
      <c r="G663" s="3">
        <v>92009.65</v>
      </c>
    </row>
    <row r="664" spans="1:7" x14ac:dyDescent="0.2">
      <c r="A664" s="3" t="s">
        <v>1072</v>
      </c>
      <c r="B664" s="4">
        <v>44620</v>
      </c>
      <c r="C664" s="3" t="s">
        <v>1168</v>
      </c>
      <c r="D664" s="3" t="s">
        <v>1291</v>
      </c>
      <c r="E664" s="3" t="s">
        <v>1292</v>
      </c>
      <c r="F664" s="3">
        <v>3655</v>
      </c>
      <c r="G664" s="3">
        <v>38828.36</v>
      </c>
    </row>
    <row r="665" spans="1:7" x14ac:dyDescent="0.2">
      <c r="A665" s="3" t="s">
        <v>1072</v>
      </c>
      <c r="B665" s="4">
        <v>44620</v>
      </c>
      <c r="C665" s="3" t="s">
        <v>1168</v>
      </c>
      <c r="D665" s="3" t="s">
        <v>1293</v>
      </c>
      <c r="E665" s="3" t="s">
        <v>1294</v>
      </c>
      <c r="F665" s="3">
        <v>1951.3</v>
      </c>
      <c r="G665" s="3">
        <v>15796.19</v>
      </c>
    </row>
    <row r="666" spans="1:7" x14ac:dyDescent="0.2">
      <c r="A666" s="3" t="s">
        <v>1072</v>
      </c>
      <c r="B666" s="4">
        <v>44620</v>
      </c>
      <c r="C666" s="3" t="s">
        <v>1168</v>
      </c>
      <c r="D666" s="3" t="s">
        <v>1295</v>
      </c>
      <c r="E666" s="3" t="s">
        <v>1296</v>
      </c>
      <c r="F666" s="3">
        <v>0</v>
      </c>
      <c r="G666" s="3">
        <v>15000</v>
      </c>
    </row>
    <row r="667" spans="1:7" x14ac:dyDescent="0.2">
      <c r="A667" s="3" t="s">
        <v>1072</v>
      </c>
      <c r="B667" s="4">
        <v>44620</v>
      </c>
      <c r="C667" s="3" t="s">
        <v>1168</v>
      </c>
      <c r="D667" s="3" t="s">
        <v>1297</v>
      </c>
      <c r="E667" s="3" t="s">
        <v>1298</v>
      </c>
      <c r="F667" s="3">
        <v>0</v>
      </c>
      <c r="G667" s="3">
        <v>691.29</v>
      </c>
    </row>
    <row r="668" spans="1:7" x14ac:dyDescent="0.2">
      <c r="A668" s="3" t="s">
        <v>1072</v>
      </c>
      <c r="B668" s="4">
        <v>44620</v>
      </c>
      <c r="C668" s="3" t="s">
        <v>1168</v>
      </c>
      <c r="D668" s="3" t="s">
        <v>1299</v>
      </c>
      <c r="E668" s="3" t="s">
        <v>1300</v>
      </c>
      <c r="F668" s="3">
        <v>6701.2</v>
      </c>
      <c r="G668" s="3">
        <v>27618.92</v>
      </c>
    </row>
    <row r="669" spans="1:7" x14ac:dyDescent="0.2">
      <c r="A669" s="3" t="s">
        <v>1072</v>
      </c>
      <c r="B669" s="4">
        <v>44620</v>
      </c>
      <c r="C669" s="3" t="s">
        <v>1168</v>
      </c>
      <c r="D669" s="3" t="s">
        <v>1301</v>
      </c>
      <c r="E669" s="3" t="s">
        <v>1302</v>
      </c>
      <c r="F669" s="3">
        <v>3763.85</v>
      </c>
      <c r="G669" s="3">
        <v>10101.06</v>
      </c>
    </row>
    <row r="670" spans="1:7" x14ac:dyDescent="0.2">
      <c r="A670" s="3" t="s">
        <v>1072</v>
      </c>
      <c r="B670" s="4">
        <v>44620</v>
      </c>
      <c r="C670" s="3" t="s">
        <v>1168</v>
      </c>
      <c r="D670" s="3" t="s">
        <v>1303</v>
      </c>
      <c r="E670" s="3" t="s">
        <v>1304</v>
      </c>
      <c r="F670" s="3">
        <v>0</v>
      </c>
      <c r="G670" s="3">
        <v>24820</v>
      </c>
    </row>
    <row r="671" spans="1:7" x14ac:dyDescent="0.2">
      <c r="A671" s="3" t="s">
        <v>1072</v>
      </c>
      <c r="B671" s="4">
        <v>44620</v>
      </c>
      <c r="C671" s="3" t="s">
        <v>1168</v>
      </c>
      <c r="D671" s="3" t="s">
        <v>1305</v>
      </c>
      <c r="E671" s="3" t="s">
        <v>1306</v>
      </c>
      <c r="F671" s="3">
        <v>0</v>
      </c>
      <c r="G671" s="3">
        <v>24889.96</v>
      </c>
    </row>
    <row r="672" spans="1:7" x14ac:dyDescent="0.2">
      <c r="A672" s="3" t="s">
        <v>1072</v>
      </c>
      <c r="B672" s="4">
        <v>44620</v>
      </c>
      <c r="C672" s="3" t="s">
        <v>1168</v>
      </c>
      <c r="D672" s="3" t="s">
        <v>1307</v>
      </c>
      <c r="E672" s="3" t="s">
        <v>1308</v>
      </c>
      <c r="F672" s="3">
        <v>0</v>
      </c>
      <c r="G672" s="3">
        <v>2783.31</v>
      </c>
    </row>
    <row r="673" spans="1:7" x14ac:dyDescent="0.2">
      <c r="A673" s="3" t="s">
        <v>1072</v>
      </c>
      <c r="B673" s="4">
        <v>44620</v>
      </c>
      <c r="C673" s="3" t="s">
        <v>1168</v>
      </c>
      <c r="D673" s="3" t="s">
        <v>1309</v>
      </c>
      <c r="E673" s="3" t="s">
        <v>1310</v>
      </c>
      <c r="F673" s="3">
        <v>0</v>
      </c>
      <c r="G673" s="3">
        <v>15997.39</v>
      </c>
    </row>
    <row r="674" spans="1:7" x14ac:dyDescent="0.2">
      <c r="A674" s="3" t="s">
        <v>1072</v>
      </c>
      <c r="B674" s="4">
        <v>44620</v>
      </c>
      <c r="C674" s="3" t="s">
        <v>1168</v>
      </c>
      <c r="D674" s="3" t="s">
        <v>1311</v>
      </c>
      <c r="E674" s="3" t="s">
        <v>1312</v>
      </c>
      <c r="F674" s="3">
        <v>0</v>
      </c>
      <c r="G674" s="3">
        <v>450</v>
      </c>
    </row>
    <row r="675" spans="1:7" x14ac:dyDescent="0.2">
      <c r="A675" s="3" t="s">
        <v>1072</v>
      </c>
      <c r="B675" s="4">
        <v>44620</v>
      </c>
      <c r="C675" s="3" t="s">
        <v>1168</v>
      </c>
      <c r="D675" s="3" t="s">
        <v>1313</v>
      </c>
      <c r="E675" s="3" t="s">
        <v>1314</v>
      </c>
      <c r="F675" s="3">
        <v>4400</v>
      </c>
      <c r="G675" s="3">
        <v>8350</v>
      </c>
    </row>
    <row r="676" spans="1:7" x14ac:dyDescent="0.2">
      <c r="A676" s="3" t="s">
        <v>1072</v>
      </c>
      <c r="B676" s="4">
        <v>44620</v>
      </c>
      <c r="C676" s="3" t="s">
        <v>1168</v>
      </c>
      <c r="D676" s="3" t="s">
        <v>1315</v>
      </c>
      <c r="E676" s="3" t="s">
        <v>1316</v>
      </c>
      <c r="F676" s="3">
        <v>1793.11</v>
      </c>
      <c r="G676" s="3">
        <v>2693.11</v>
      </c>
    </row>
    <row r="677" spans="1:7" x14ac:dyDescent="0.2">
      <c r="A677" s="3" t="s">
        <v>1072</v>
      </c>
      <c r="B677" s="4">
        <v>44620</v>
      </c>
      <c r="C677" s="3" t="s">
        <v>1168</v>
      </c>
      <c r="D677" s="3" t="s">
        <v>1317</v>
      </c>
      <c r="E677" s="3" t="s">
        <v>1318</v>
      </c>
      <c r="F677" s="3">
        <v>0</v>
      </c>
      <c r="G677" s="3">
        <v>2233.79</v>
      </c>
    </row>
    <row r="678" spans="1:7" x14ac:dyDescent="0.2">
      <c r="A678" s="3" t="s">
        <v>1072</v>
      </c>
      <c r="B678" s="4">
        <v>44620</v>
      </c>
      <c r="C678" s="3" t="s">
        <v>1168</v>
      </c>
      <c r="D678" s="3" t="s">
        <v>1450</v>
      </c>
      <c r="E678" s="3" t="s">
        <v>1451</v>
      </c>
      <c r="F678" s="3">
        <v>124636.84</v>
      </c>
      <c r="G678" s="3">
        <v>154088.35</v>
      </c>
    </row>
    <row r="679" spans="1:7" x14ac:dyDescent="0.2">
      <c r="A679" s="3" t="s">
        <v>1072</v>
      </c>
      <c r="B679" s="4">
        <v>44620</v>
      </c>
      <c r="C679" s="3" t="s">
        <v>1168</v>
      </c>
      <c r="D679" s="3" t="s">
        <v>1452</v>
      </c>
      <c r="E679" s="3" t="s">
        <v>1453</v>
      </c>
      <c r="F679" s="3">
        <v>43190.559999999998</v>
      </c>
      <c r="G679" s="3">
        <v>68008.83</v>
      </c>
    </row>
    <row r="680" spans="1:7" x14ac:dyDescent="0.2">
      <c r="A680" s="3" t="s">
        <v>1072</v>
      </c>
      <c r="B680" s="4">
        <v>44620</v>
      </c>
      <c r="C680" s="3" t="s">
        <v>1168</v>
      </c>
      <c r="D680" s="3" t="s">
        <v>1454</v>
      </c>
      <c r="E680" s="3" t="s">
        <v>1455</v>
      </c>
      <c r="F680" s="3">
        <v>5331.45</v>
      </c>
      <c r="G680" s="3">
        <v>8516.61</v>
      </c>
    </row>
    <row r="681" spans="1:7" x14ac:dyDescent="0.2">
      <c r="A681" s="3" t="s">
        <v>1072</v>
      </c>
      <c r="B681" s="4">
        <v>44620</v>
      </c>
      <c r="C681" s="3" t="s">
        <v>1168</v>
      </c>
      <c r="D681" s="3" t="s">
        <v>1468</v>
      </c>
      <c r="E681" s="3" t="s">
        <v>1469</v>
      </c>
      <c r="F681" s="3">
        <v>1085.22</v>
      </c>
      <c r="G681" s="3">
        <v>1085.22</v>
      </c>
    </row>
    <row r="682" spans="1:7" x14ac:dyDescent="0.2">
      <c r="A682" s="3" t="s">
        <v>1072</v>
      </c>
      <c r="B682" s="4">
        <v>44620</v>
      </c>
      <c r="C682" s="3" t="s">
        <v>1210</v>
      </c>
      <c r="D682" s="3" t="s">
        <v>1319</v>
      </c>
      <c r="E682" s="3" t="s">
        <v>1320</v>
      </c>
      <c r="F682" s="3">
        <v>0</v>
      </c>
      <c r="G682" s="3">
        <v>4.3600000000000003</v>
      </c>
    </row>
    <row r="683" spans="1:7" x14ac:dyDescent="0.2">
      <c r="A683" s="3" t="s">
        <v>1072</v>
      </c>
      <c r="B683" s="4">
        <v>44620</v>
      </c>
      <c r="C683" s="3" t="s">
        <v>1168</v>
      </c>
      <c r="D683" s="3" t="s">
        <v>1321</v>
      </c>
      <c r="E683" s="3" t="s">
        <v>1322</v>
      </c>
      <c r="F683" s="3">
        <v>0</v>
      </c>
      <c r="G683" s="3">
        <v>83.48</v>
      </c>
    </row>
    <row r="684" spans="1:7" x14ac:dyDescent="0.2">
      <c r="A684" s="3" t="s">
        <v>1072</v>
      </c>
      <c r="B684" s="4">
        <v>44620</v>
      </c>
      <c r="C684" s="3" t="s">
        <v>1210</v>
      </c>
      <c r="D684" s="3" t="s">
        <v>1323</v>
      </c>
      <c r="E684" s="3" t="s">
        <v>1324</v>
      </c>
      <c r="F684" s="3">
        <v>-1.8</v>
      </c>
      <c r="G684" s="3">
        <v>-9.64</v>
      </c>
    </row>
    <row r="685" spans="1:7" x14ac:dyDescent="0.2">
      <c r="A685" s="3" t="s">
        <v>1069</v>
      </c>
      <c r="B685" s="4">
        <v>44620</v>
      </c>
      <c r="C685" s="3" t="s">
        <v>1210</v>
      </c>
      <c r="D685" s="3" t="s">
        <v>1211</v>
      </c>
      <c r="E685" s="3" t="s">
        <v>1212</v>
      </c>
      <c r="F685" s="3">
        <v>0</v>
      </c>
      <c r="G685" s="3">
        <v>-1245</v>
      </c>
    </row>
    <row r="686" spans="1:7" x14ac:dyDescent="0.2">
      <c r="A686" s="3" t="s">
        <v>1069</v>
      </c>
      <c r="B686" s="4">
        <v>44620</v>
      </c>
      <c r="C686" s="3" t="s">
        <v>1210</v>
      </c>
      <c r="D686" s="3" t="s">
        <v>1224</v>
      </c>
      <c r="E686" s="3" t="s">
        <v>1225</v>
      </c>
      <c r="F686" s="3">
        <v>0</v>
      </c>
      <c r="G686" s="3">
        <v>-149149.4</v>
      </c>
    </row>
    <row r="687" spans="1:7" x14ac:dyDescent="0.2">
      <c r="A687" s="3" t="s">
        <v>1069</v>
      </c>
      <c r="B687" s="4">
        <v>44620</v>
      </c>
      <c r="C687" s="3" t="s">
        <v>1210</v>
      </c>
      <c r="D687" s="3" t="s">
        <v>1249</v>
      </c>
      <c r="E687" s="3" t="s">
        <v>1250</v>
      </c>
      <c r="F687" s="3">
        <v>-17929.61</v>
      </c>
      <c r="G687" s="3">
        <v>-158992.44</v>
      </c>
    </row>
    <row r="688" spans="1:7" x14ac:dyDescent="0.2">
      <c r="A688" s="3" t="s">
        <v>1069</v>
      </c>
      <c r="B688" s="4">
        <v>44620</v>
      </c>
      <c r="C688" s="3" t="s">
        <v>1168</v>
      </c>
      <c r="D688" s="3" t="s">
        <v>1226</v>
      </c>
      <c r="E688" s="3" t="s">
        <v>1126</v>
      </c>
      <c r="F688" s="3">
        <v>0</v>
      </c>
      <c r="G688" s="3">
        <v>100</v>
      </c>
    </row>
    <row r="689" spans="1:7" x14ac:dyDescent="0.2">
      <c r="A689" s="3" t="s">
        <v>1072</v>
      </c>
      <c r="B689" s="4">
        <v>44620</v>
      </c>
      <c r="C689" s="3" t="s">
        <v>1168</v>
      </c>
      <c r="D689" s="3" t="s">
        <v>1325</v>
      </c>
      <c r="E689" s="3" t="s">
        <v>1073</v>
      </c>
      <c r="F689" s="3">
        <v>0</v>
      </c>
      <c r="G689" s="3">
        <v>2215</v>
      </c>
    </row>
    <row r="690" spans="1:7" x14ac:dyDescent="0.2">
      <c r="A690" s="3" t="s">
        <v>1072</v>
      </c>
      <c r="B690" s="4">
        <v>44620</v>
      </c>
      <c r="C690" s="3" t="s">
        <v>1168</v>
      </c>
      <c r="D690" s="3" t="s">
        <v>1326</v>
      </c>
      <c r="E690" s="3" t="s">
        <v>1088</v>
      </c>
      <c r="F690" s="3">
        <v>13870</v>
      </c>
      <c r="G690" s="3">
        <v>17995</v>
      </c>
    </row>
    <row r="691" spans="1:7" x14ac:dyDescent="0.2">
      <c r="A691" s="3" t="s">
        <v>1072</v>
      </c>
      <c r="B691" s="4">
        <v>44620</v>
      </c>
      <c r="C691" s="3" t="s">
        <v>1168</v>
      </c>
      <c r="D691" s="3" t="s">
        <v>1327</v>
      </c>
      <c r="E691" s="3" t="s">
        <v>1328</v>
      </c>
      <c r="F691" s="3">
        <v>0</v>
      </c>
      <c r="G691" s="3">
        <v>5575</v>
      </c>
    </row>
    <row r="692" spans="1:7" x14ac:dyDescent="0.2">
      <c r="A692" s="3" t="s">
        <v>1072</v>
      </c>
      <c r="B692" s="4">
        <v>44620</v>
      </c>
      <c r="C692" s="3" t="s">
        <v>1168</v>
      </c>
      <c r="D692" s="3" t="s">
        <v>1329</v>
      </c>
      <c r="E692" s="3" t="s">
        <v>1330</v>
      </c>
      <c r="F692" s="3">
        <v>0</v>
      </c>
      <c r="G692" s="3">
        <v>107300</v>
      </c>
    </row>
    <row r="693" spans="1:7" x14ac:dyDescent="0.2">
      <c r="A693" s="3" t="s">
        <v>1072</v>
      </c>
      <c r="B693" s="4">
        <v>44620</v>
      </c>
      <c r="C693" s="3" t="s">
        <v>1168</v>
      </c>
      <c r="D693" s="3" t="s">
        <v>1331</v>
      </c>
      <c r="E693" s="3" t="s">
        <v>1332</v>
      </c>
      <c r="F693" s="3">
        <v>0</v>
      </c>
      <c r="G693" s="3">
        <v>1847.5</v>
      </c>
    </row>
    <row r="694" spans="1:7" x14ac:dyDescent="0.2">
      <c r="A694" s="3" t="s">
        <v>1072</v>
      </c>
      <c r="B694" s="4">
        <v>44620</v>
      </c>
      <c r="C694" s="3" t="s">
        <v>1168</v>
      </c>
      <c r="D694" s="3" t="s">
        <v>1333</v>
      </c>
      <c r="E694" s="3" t="s">
        <v>1334</v>
      </c>
      <c r="F694" s="3">
        <v>0</v>
      </c>
      <c r="G694" s="3">
        <v>51000</v>
      </c>
    </row>
    <row r="695" spans="1:7" x14ac:dyDescent="0.2">
      <c r="A695" s="3" t="s">
        <v>1072</v>
      </c>
      <c r="B695" s="4">
        <v>44620</v>
      </c>
      <c r="C695" s="3" t="s">
        <v>1168</v>
      </c>
      <c r="D695" s="3" t="s">
        <v>1335</v>
      </c>
      <c r="E695" s="3" t="s">
        <v>1336</v>
      </c>
      <c r="F695" s="3">
        <v>0</v>
      </c>
      <c r="G695" s="3">
        <v>190600</v>
      </c>
    </row>
    <row r="696" spans="1:7" x14ac:dyDescent="0.2">
      <c r="A696" s="3" t="s">
        <v>1069</v>
      </c>
      <c r="B696" s="4">
        <v>44620</v>
      </c>
      <c r="C696" s="3" t="s">
        <v>1168</v>
      </c>
      <c r="D696" s="3" t="s">
        <v>1470</v>
      </c>
      <c r="E696" s="3" t="s">
        <v>1471</v>
      </c>
      <c r="F696" s="3">
        <v>639.13</v>
      </c>
      <c r="G696" s="3">
        <v>639.13</v>
      </c>
    </row>
    <row r="697" spans="1:7" x14ac:dyDescent="0.2">
      <c r="A697" s="3" t="s">
        <v>1072</v>
      </c>
      <c r="B697" s="4">
        <v>44620</v>
      </c>
      <c r="C697" s="3" t="s">
        <v>1168</v>
      </c>
      <c r="D697" s="3" t="s">
        <v>1337</v>
      </c>
      <c r="E697" s="3" t="s">
        <v>1338</v>
      </c>
      <c r="F697" s="3">
        <v>3913.04</v>
      </c>
      <c r="G697" s="3">
        <v>9065.5400000000009</v>
      </c>
    </row>
    <row r="698" spans="1:7" x14ac:dyDescent="0.2">
      <c r="A698" s="3" t="s">
        <v>1072</v>
      </c>
      <c r="B698" s="4">
        <v>44620</v>
      </c>
      <c r="C698" s="3" t="s">
        <v>1168</v>
      </c>
      <c r="D698" s="3" t="s">
        <v>1169</v>
      </c>
      <c r="E698" s="3" t="s">
        <v>1079</v>
      </c>
      <c r="F698" s="3">
        <v>0</v>
      </c>
      <c r="G698" s="3">
        <v>13699</v>
      </c>
    </row>
    <row r="699" spans="1:7" x14ac:dyDescent="0.2">
      <c r="A699" s="3" t="s">
        <v>1069</v>
      </c>
      <c r="B699" s="4">
        <v>44620</v>
      </c>
      <c r="C699" s="3" t="s">
        <v>1168</v>
      </c>
      <c r="D699" s="3" t="s">
        <v>1169</v>
      </c>
      <c r="E699" s="3" t="s">
        <v>1079</v>
      </c>
      <c r="F699" s="3">
        <v>10510</v>
      </c>
      <c r="G699" s="3">
        <v>73880.02</v>
      </c>
    </row>
    <row r="700" spans="1:7" x14ac:dyDescent="0.2">
      <c r="A700" s="3" t="s">
        <v>1069</v>
      </c>
      <c r="B700" s="4">
        <v>44620</v>
      </c>
      <c r="C700" s="3" t="s">
        <v>1168</v>
      </c>
      <c r="D700" s="3" t="s">
        <v>1261</v>
      </c>
      <c r="E700" s="3" t="s">
        <v>1145</v>
      </c>
      <c r="F700" s="3">
        <v>10800</v>
      </c>
      <c r="G700" s="3">
        <v>64800</v>
      </c>
    </row>
    <row r="701" spans="1:7" x14ac:dyDescent="0.2">
      <c r="A701" s="3" t="s">
        <v>1072</v>
      </c>
      <c r="B701" s="4">
        <v>44620</v>
      </c>
      <c r="C701" s="3" t="s">
        <v>1168</v>
      </c>
      <c r="D701" s="3" t="s">
        <v>1339</v>
      </c>
      <c r="E701" s="3" t="s">
        <v>1087</v>
      </c>
      <c r="F701" s="3">
        <v>0</v>
      </c>
      <c r="G701" s="3">
        <v>4597</v>
      </c>
    </row>
    <row r="702" spans="1:7" x14ac:dyDescent="0.2">
      <c r="A702" s="3" t="s">
        <v>1072</v>
      </c>
      <c r="B702" s="4">
        <v>44620</v>
      </c>
      <c r="C702" s="3" t="s">
        <v>1168</v>
      </c>
      <c r="D702" s="3" t="s">
        <v>1195</v>
      </c>
      <c r="E702" s="3" t="s">
        <v>1085</v>
      </c>
      <c r="F702" s="3">
        <v>3159.19</v>
      </c>
      <c r="G702" s="3">
        <v>14247.61</v>
      </c>
    </row>
    <row r="703" spans="1:7" x14ac:dyDescent="0.2">
      <c r="A703" s="3" t="s">
        <v>1069</v>
      </c>
      <c r="B703" s="4">
        <v>44620</v>
      </c>
      <c r="C703" s="3" t="s">
        <v>1168</v>
      </c>
      <c r="D703" s="3" t="s">
        <v>1195</v>
      </c>
      <c r="E703" s="3" t="s">
        <v>1085</v>
      </c>
      <c r="F703" s="3">
        <v>512.54</v>
      </c>
      <c r="G703" s="3">
        <v>4300.92</v>
      </c>
    </row>
    <row r="704" spans="1:7" x14ac:dyDescent="0.2">
      <c r="A704" s="3" t="s">
        <v>1072</v>
      </c>
      <c r="B704" s="4">
        <v>44620</v>
      </c>
      <c r="C704" s="3" t="s">
        <v>1168</v>
      </c>
      <c r="D704" s="3" t="s">
        <v>1340</v>
      </c>
      <c r="E704" s="3" t="s">
        <v>1141</v>
      </c>
      <c r="F704" s="3">
        <v>1223.48</v>
      </c>
      <c r="G704" s="3">
        <v>9905.65</v>
      </c>
    </row>
    <row r="705" spans="1:7" x14ac:dyDescent="0.2">
      <c r="A705" s="3" t="s">
        <v>1072</v>
      </c>
      <c r="B705" s="4">
        <v>44620</v>
      </c>
      <c r="C705" s="3" t="s">
        <v>1168</v>
      </c>
      <c r="D705" s="3" t="s">
        <v>1341</v>
      </c>
      <c r="E705" s="3" t="s">
        <v>1135</v>
      </c>
      <c r="F705" s="3">
        <v>640.1</v>
      </c>
      <c r="G705" s="3">
        <v>6888.14</v>
      </c>
    </row>
    <row r="706" spans="1:7" x14ac:dyDescent="0.2">
      <c r="A706" s="3" t="s">
        <v>1072</v>
      </c>
      <c r="B706" s="4">
        <v>44620</v>
      </c>
      <c r="C706" s="3" t="s">
        <v>1168</v>
      </c>
      <c r="D706" s="3" t="s">
        <v>1342</v>
      </c>
      <c r="E706" s="3" t="s">
        <v>1080</v>
      </c>
      <c r="F706" s="3">
        <v>928.69</v>
      </c>
      <c r="G706" s="3">
        <v>11533.14</v>
      </c>
    </row>
    <row r="707" spans="1:7" x14ac:dyDescent="0.2">
      <c r="A707" s="3" t="s">
        <v>1069</v>
      </c>
      <c r="B707" s="4">
        <v>44620</v>
      </c>
      <c r="C707" s="3" t="s">
        <v>1168</v>
      </c>
      <c r="D707" s="3" t="s">
        <v>1227</v>
      </c>
      <c r="E707" s="3" t="s">
        <v>1228</v>
      </c>
      <c r="F707" s="3">
        <v>0</v>
      </c>
      <c r="G707" s="3">
        <v>3000</v>
      </c>
    </row>
    <row r="708" spans="1:7" x14ac:dyDescent="0.2">
      <c r="A708" s="3" t="s">
        <v>1072</v>
      </c>
      <c r="B708" s="4">
        <v>44620</v>
      </c>
      <c r="C708" s="3" t="s">
        <v>1168</v>
      </c>
      <c r="D708" s="3" t="s">
        <v>1343</v>
      </c>
      <c r="E708" s="3" t="s">
        <v>1344</v>
      </c>
      <c r="F708" s="3">
        <v>0</v>
      </c>
      <c r="G708" s="3">
        <v>2250</v>
      </c>
    </row>
    <row r="709" spans="1:7" x14ac:dyDescent="0.2">
      <c r="A709" s="3" t="s">
        <v>1069</v>
      </c>
      <c r="B709" s="4">
        <v>44620</v>
      </c>
      <c r="C709" s="3" t="s">
        <v>1168</v>
      </c>
      <c r="D709" s="3" t="s">
        <v>1251</v>
      </c>
      <c r="E709" s="3" t="s">
        <v>1095</v>
      </c>
      <c r="F709" s="3">
        <v>71410</v>
      </c>
      <c r="G709" s="3">
        <v>433308.75</v>
      </c>
    </row>
    <row r="710" spans="1:7" x14ac:dyDescent="0.2">
      <c r="A710" s="3" t="s">
        <v>1072</v>
      </c>
      <c r="B710" s="4">
        <v>44620</v>
      </c>
      <c r="C710" s="3" t="s">
        <v>1168</v>
      </c>
      <c r="D710" s="3" t="s">
        <v>1251</v>
      </c>
      <c r="E710" s="3" t="s">
        <v>1345</v>
      </c>
      <c r="F710" s="3">
        <v>36000</v>
      </c>
      <c r="G710" s="3">
        <v>392000</v>
      </c>
    </row>
    <row r="711" spans="1:7" x14ac:dyDescent="0.2">
      <c r="A711" s="3" t="s">
        <v>1072</v>
      </c>
      <c r="B711" s="4">
        <v>44620</v>
      </c>
      <c r="C711" s="3" t="s">
        <v>1168</v>
      </c>
      <c r="D711" s="3" t="s">
        <v>1346</v>
      </c>
      <c r="E711" s="3" t="s">
        <v>1347</v>
      </c>
      <c r="F711" s="3">
        <v>0</v>
      </c>
      <c r="G711" s="3">
        <v>42899.25</v>
      </c>
    </row>
    <row r="712" spans="1:7" x14ac:dyDescent="0.2">
      <c r="A712" s="3" t="s">
        <v>1072</v>
      </c>
      <c r="B712" s="4">
        <v>44620</v>
      </c>
      <c r="C712" s="3" t="s">
        <v>1168</v>
      </c>
      <c r="D712" s="3" t="s">
        <v>1348</v>
      </c>
      <c r="E712" s="3" t="s">
        <v>1095</v>
      </c>
      <c r="F712" s="3">
        <v>96075</v>
      </c>
      <c r="G712" s="3">
        <v>533569.54</v>
      </c>
    </row>
    <row r="713" spans="1:7" x14ac:dyDescent="0.2">
      <c r="A713" s="3" t="s">
        <v>1069</v>
      </c>
      <c r="B713" s="4">
        <v>44620</v>
      </c>
      <c r="C713" s="3" t="s">
        <v>1168</v>
      </c>
      <c r="D713" s="3" t="s">
        <v>1252</v>
      </c>
      <c r="E713" s="3" t="s">
        <v>1120</v>
      </c>
      <c r="F713" s="3">
        <v>0</v>
      </c>
      <c r="G713" s="3">
        <v>30692.49</v>
      </c>
    </row>
    <row r="714" spans="1:7" x14ac:dyDescent="0.2">
      <c r="A714" s="3" t="s">
        <v>1072</v>
      </c>
      <c r="B714" s="4">
        <v>44620</v>
      </c>
      <c r="C714" s="3" t="s">
        <v>1168</v>
      </c>
      <c r="D714" s="3" t="s">
        <v>1349</v>
      </c>
      <c r="E714" s="3" t="s">
        <v>1089</v>
      </c>
      <c r="F714" s="3">
        <v>0</v>
      </c>
      <c r="G714" s="3">
        <v>165.83</v>
      </c>
    </row>
    <row r="715" spans="1:7" x14ac:dyDescent="0.2">
      <c r="A715" s="3" t="s">
        <v>1072</v>
      </c>
      <c r="B715" s="4">
        <v>44620</v>
      </c>
      <c r="C715" s="3" t="s">
        <v>1168</v>
      </c>
      <c r="D715" s="3" t="s">
        <v>1350</v>
      </c>
      <c r="E715" s="3" t="s">
        <v>1115</v>
      </c>
      <c r="F715" s="3">
        <v>667.3</v>
      </c>
      <c r="G715" s="3">
        <v>5012.09</v>
      </c>
    </row>
    <row r="716" spans="1:7" x14ac:dyDescent="0.2">
      <c r="A716" s="3" t="s">
        <v>1072</v>
      </c>
      <c r="B716" s="4">
        <v>44620</v>
      </c>
      <c r="C716" s="3" t="s">
        <v>1168</v>
      </c>
      <c r="D716" s="3" t="s">
        <v>1351</v>
      </c>
      <c r="E716" s="3" t="s">
        <v>1096</v>
      </c>
      <c r="F716" s="3">
        <v>32.229999999999997</v>
      </c>
      <c r="G716" s="3">
        <v>805.56</v>
      </c>
    </row>
    <row r="717" spans="1:7" x14ac:dyDescent="0.2">
      <c r="A717" s="3" t="s">
        <v>1072</v>
      </c>
      <c r="B717" s="4">
        <v>44620</v>
      </c>
      <c r="C717" s="3" t="s">
        <v>1168</v>
      </c>
      <c r="D717" s="3" t="s">
        <v>1472</v>
      </c>
      <c r="E717" s="3" t="s">
        <v>1473</v>
      </c>
      <c r="F717" s="3">
        <v>43213</v>
      </c>
      <c r="G717" s="3">
        <v>43213</v>
      </c>
    </row>
    <row r="718" spans="1:7" x14ac:dyDescent="0.2">
      <c r="A718" s="3" t="s">
        <v>1072</v>
      </c>
      <c r="B718" s="4">
        <v>44620</v>
      </c>
      <c r="C718" s="3" t="s">
        <v>1168</v>
      </c>
      <c r="D718" s="3" t="s">
        <v>1474</v>
      </c>
      <c r="E718" s="3" t="s">
        <v>1114</v>
      </c>
      <c r="F718" s="3">
        <v>406.69</v>
      </c>
      <c r="G718" s="3">
        <v>406.69</v>
      </c>
    </row>
    <row r="719" spans="1:7" x14ac:dyDescent="0.2">
      <c r="A719" s="3" t="s">
        <v>1069</v>
      </c>
      <c r="B719" s="4">
        <v>44620</v>
      </c>
      <c r="C719" s="3" t="s">
        <v>1168</v>
      </c>
      <c r="D719" s="3" t="s">
        <v>1229</v>
      </c>
      <c r="E719" s="3" t="s">
        <v>1136</v>
      </c>
      <c r="F719" s="3">
        <v>2401.5300000000002</v>
      </c>
      <c r="G719" s="3">
        <v>20441.080000000002</v>
      </c>
    </row>
    <row r="720" spans="1:7" x14ac:dyDescent="0.2">
      <c r="A720" s="3" t="s">
        <v>1072</v>
      </c>
      <c r="B720" s="4">
        <v>44620</v>
      </c>
      <c r="C720" s="3" t="s">
        <v>1168</v>
      </c>
      <c r="D720" s="3" t="s">
        <v>1229</v>
      </c>
      <c r="E720" s="3" t="s">
        <v>1106</v>
      </c>
      <c r="F720" s="3">
        <v>7584.16</v>
      </c>
      <c r="G720" s="3">
        <v>39730.769999999997</v>
      </c>
    </row>
    <row r="721" spans="1:7" x14ac:dyDescent="0.2">
      <c r="A721" s="3" t="s">
        <v>1069</v>
      </c>
      <c r="B721" s="4">
        <v>44620</v>
      </c>
      <c r="C721" s="3" t="s">
        <v>1168</v>
      </c>
      <c r="D721" s="3" t="s">
        <v>1230</v>
      </c>
      <c r="E721" s="3" t="s">
        <v>1109</v>
      </c>
      <c r="F721" s="3">
        <v>856.37</v>
      </c>
      <c r="G721" s="3">
        <v>3954.02</v>
      </c>
    </row>
    <row r="722" spans="1:7" x14ac:dyDescent="0.2">
      <c r="A722" s="3" t="s">
        <v>1072</v>
      </c>
      <c r="B722" s="4">
        <v>44620</v>
      </c>
      <c r="C722" s="3" t="s">
        <v>1168</v>
      </c>
      <c r="D722" s="3" t="s">
        <v>1196</v>
      </c>
      <c r="E722" s="3" t="s">
        <v>1131</v>
      </c>
      <c r="F722" s="3">
        <v>1000.31</v>
      </c>
      <c r="G722" s="3">
        <v>11183.99</v>
      </c>
    </row>
    <row r="723" spans="1:7" x14ac:dyDescent="0.2">
      <c r="A723" s="3" t="s">
        <v>1069</v>
      </c>
      <c r="B723" s="4">
        <v>44620</v>
      </c>
      <c r="C723" s="3" t="s">
        <v>1168</v>
      </c>
      <c r="D723" s="3" t="s">
        <v>1196</v>
      </c>
      <c r="E723" s="3" t="s">
        <v>1131</v>
      </c>
      <c r="F723" s="3">
        <v>0</v>
      </c>
      <c r="G723" s="3">
        <v>250</v>
      </c>
    </row>
    <row r="724" spans="1:7" x14ac:dyDescent="0.2">
      <c r="A724" s="3" t="s">
        <v>1072</v>
      </c>
      <c r="B724" s="4">
        <v>44620</v>
      </c>
      <c r="C724" s="3" t="s">
        <v>1168</v>
      </c>
      <c r="D724" s="3" t="s">
        <v>1352</v>
      </c>
      <c r="E724" s="3" t="s">
        <v>1353</v>
      </c>
      <c r="F724" s="3">
        <v>0</v>
      </c>
      <c r="G724" s="3">
        <v>4742.88</v>
      </c>
    </row>
    <row r="725" spans="1:7" x14ac:dyDescent="0.2">
      <c r="A725" s="3" t="s">
        <v>1072</v>
      </c>
      <c r="B725" s="4">
        <v>44620</v>
      </c>
      <c r="C725" s="3" t="s">
        <v>1168</v>
      </c>
      <c r="D725" s="3" t="s">
        <v>1354</v>
      </c>
      <c r="E725" s="3" t="s">
        <v>1078</v>
      </c>
      <c r="F725" s="3">
        <v>1072.6099999999999</v>
      </c>
      <c r="G725" s="3">
        <v>12209.23</v>
      </c>
    </row>
    <row r="726" spans="1:7" x14ac:dyDescent="0.2">
      <c r="A726" s="3" t="s">
        <v>1072</v>
      </c>
      <c r="B726" s="4">
        <v>44620</v>
      </c>
      <c r="C726" s="3" t="s">
        <v>1168</v>
      </c>
      <c r="D726" s="3" t="s">
        <v>1355</v>
      </c>
      <c r="E726" s="3" t="s">
        <v>1356</v>
      </c>
      <c r="F726" s="3">
        <v>237.57</v>
      </c>
      <c r="G726" s="3">
        <v>3161.15</v>
      </c>
    </row>
    <row r="727" spans="1:7" x14ac:dyDescent="0.2">
      <c r="A727" s="3" t="s">
        <v>1069</v>
      </c>
      <c r="B727" s="4">
        <v>44620</v>
      </c>
      <c r="C727" s="3" t="s">
        <v>1168</v>
      </c>
      <c r="D727" s="3" t="s">
        <v>1456</v>
      </c>
      <c r="E727" s="3" t="s">
        <v>1457</v>
      </c>
      <c r="F727" s="3">
        <v>0</v>
      </c>
      <c r="G727" s="3">
        <v>35.369999999999997</v>
      </c>
    </row>
    <row r="728" spans="1:7" x14ac:dyDescent="0.2">
      <c r="A728" s="3" t="s">
        <v>1072</v>
      </c>
      <c r="B728" s="4">
        <v>44620</v>
      </c>
      <c r="C728" s="3" t="s">
        <v>1168</v>
      </c>
      <c r="D728" s="3" t="s">
        <v>1475</v>
      </c>
      <c r="E728" s="3" t="s">
        <v>1476</v>
      </c>
      <c r="F728" s="3">
        <v>6393.06</v>
      </c>
      <c r="G728" s="3">
        <v>6393.06</v>
      </c>
    </row>
    <row r="729" spans="1:7" x14ac:dyDescent="0.2">
      <c r="A729" s="3" t="s">
        <v>1072</v>
      </c>
      <c r="B729" s="4">
        <v>44620</v>
      </c>
      <c r="C729" s="3" t="s">
        <v>1168</v>
      </c>
      <c r="D729" s="3" t="s">
        <v>1477</v>
      </c>
      <c r="E729" s="3" t="s">
        <v>1478</v>
      </c>
      <c r="F729" s="3">
        <v>2234.7800000000002</v>
      </c>
      <c r="G729" s="3">
        <v>2234.7800000000002</v>
      </c>
    </row>
    <row r="730" spans="1:7" x14ac:dyDescent="0.2">
      <c r="A730" s="3" t="s">
        <v>1072</v>
      </c>
      <c r="B730" s="4">
        <v>44620</v>
      </c>
      <c r="C730" s="3" t="s">
        <v>1168</v>
      </c>
      <c r="D730" s="3" t="s">
        <v>1479</v>
      </c>
      <c r="E730" s="3" t="s">
        <v>1480</v>
      </c>
      <c r="F730" s="3">
        <v>500</v>
      </c>
      <c r="G730" s="3">
        <v>500</v>
      </c>
    </row>
    <row r="731" spans="1:7" x14ac:dyDescent="0.2">
      <c r="A731" s="3" t="s">
        <v>1069</v>
      </c>
      <c r="B731" s="4">
        <v>44620</v>
      </c>
      <c r="C731" s="3" t="s">
        <v>1168</v>
      </c>
      <c r="D731" s="3" t="s">
        <v>1253</v>
      </c>
      <c r="E731" s="3" t="s">
        <v>1103</v>
      </c>
      <c r="F731" s="3">
        <v>3965.7</v>
      </c>
      <c r="G731" s="3">
        <v>90598.36</v>
      </c>
    </row>
    <row r="732" spans="1:7" x14ac:dyDescent="0.2">
      <c r="A732" s="3" t="s">
        <v>1072</v>
      </c>
      <c r="B732" s="4">
        <v>44620</v>
      </c>
      <c r="C732" s="3" t="s">
        <v>1168</v>
      </c>
      <c r="D732" s="3" t="s">
        <v>1357</v>
      </c>
      <c r="E732" s="3" t="s">
        <v>1157</v>
      </c>
      <c r="F732" s="3">
        <v>0</v>
      </c>
      <c r="G732" s="3">
        <v>500</v>
      </c>
    </row>
    <row r="733" spans="1:7" x14ac:dyDescent="0.2">
      <c r="A733" s="3" t="s">
        <v>1072</v>
      </c>
      <c r="B733" s="4">
        <v>44620</v>
      </c>
      <c r="C733" s="3" t="s">
        <v>1168</v>
      </c>
      <c r="D733" s="3" t="s">
        <v>1358</v>
      </c>
      <c r="E733" s="3" t="s">
        <v>1122</v>
      </c>
      <c r="F733" s="3">
        <v>0</v>
      </c>
      <c r="G733" s="3">
        <v>1000</v>
      </c>
    </row>
    <row r="734" spans="1:7" x14ac:dyDescent="0.2">
      <c r="A734" s="3" t="s">
        <v>1072</v>
      </c>
      <c r="B734" s="4">
        <v>44620</v>
      </c>
      <c r="C734" s="3" t="s">
        <v>1168</v>
      </c>
      <c r="D734" s="3" t="s">
        <v>1359</v>
      </c>
      <c r="E734" s="3" t="s">
        <v>1086</v>
      </c>
      <c r="F734" s="3">
        <v>0</v>
      </c>
      <c r="G734" s="3">
        <v>2277</v>
      </c>
    </row>
    <row r="735" spans="1:7" x14ac:dyDescent="0.2">
      <c r="A735" s="3" t="s">
        <v>1072</v>
      </c>
      <c r="B735" s="4">
        <v>44620</v>
      </c>
      <c r="C735" s="3" t="s">
        <v>1168</v>
      </c>
      <c r="D735" s="3" t="s">
        <v>1201</v>
      </c>
      <c r="E735" s="3" t="s">
        <v>1112</v>
      </c>
      <c r="F735" s="3">
        <v>1508.61</v>
      </c>
      <c r="G735" s="3">
        <v>17017.21</v>
      </c>
    </row>
    <row r="736" spans="1:7" x14ac:dyDescent="0.2">
      <c r="A736" s="3" t="s">
        <v>1069</v>
      </c>
      <c r="B736" s="4">
        <v>44620</v>
      </c>
      <c r="C736" s="3" t="s">
        <v>1168</v>
      </c>
      <c r="D736" s="3" t="s">
        <v>1201</v>
      </c>
      <c r="E736" s="3" t="s">
        <v>1112</v>
      </c>
      <c r="F736" s="3">
        <v>0</v>
      </c>
      <c r="G736" s="3">
        <v>765</v>
      </c>
    </row>
    <row r="737" spans="1:7" x14ac:dyDescent="0.2">
      <c r="A737" s="3" t="s">
        <v>1072</v>
      </c>
      <c r="B737" s="4">
        <v>44620</v>
      </c>
      <c r="C737" s="3" t="s">
        <v>1168</v>
      </c>
      <c r="D737" s="3" t="s">
        <v>1360</v>
      </c>
      <c r="E737" s="3" t="s">
        <v>1098</v>
      </c>
      <c r="F737" s="3">
        <v>0</v>
      </c>
      <c r="G737" s="3">
        <v>1243.42</v>
      </c>
    </row>
    <row r="738" spans="1:7" x14ac:dyDescent="0.2">
      <c r="A738" s="3" t="s">
        <v>1072</v>
      </c>
      <c r="B738" s="4">
        <v>44620</v>
      </c>
      <c r="C738" s="3" t="s">
        <v>1168</v>
      </c>
      <c r="D738" s="3" t="s">
        <v>1361</v>
      </c>
      <c r="E738" s="3" t="s">
        <v>1121</v>
      </c>
      <c r="F738" s="3">
        <v>28087.5</v>
      </c>
      <c r="G738" s="3">
        <v>167539.67000000001</v>
      </c>
    </row>
    <row r="739" spans="1:7" x14ac:dyDescent="0.2">
      <c r="A739" s="3" t="s">
        <v>1072</v>
      </c>
      <c r="B739" s="4">
        <v>44620</v>
      </c>
      <c r="C739" s="3" t="s">
        <v>1168</v>
      </c>
      <c r="D739" s="3" t="s">
        <v>1231</v>
      </c>
      <c r="E739" s="3" t="s">
        <v>1083</v>
      </c>
      <c r="F739" s="3">
        <v>843.6</v>
      </c>
      <c r="G739" s="3">
        <v>5216.4799999999996</v>
      </c>
    </row>
    <row r="740" spans="1:7" x14ac:dyDescent="0.2">
      <c r="A740" s="3" t="s">
        <v>1069</v>
      </c>
      <c r="B740" s="4">
        <v>44620</v>
      </c>
      <c r="C740" s="3" t="s">
        <v>1168</v>
      </c>
      <c r="D740" s="3" t="s">
        <v>1231</v>
      </c>
      <c r="E740" s="3" t="s">
        <v>1070</v>
      </c>
      <c r="F740" s="3">
        <v>2965.61</v>
      </c>
      <c r="G740" s="3">
        <v>27287.26</v>
      </c>
    </row>
    <row r="741" spans="1:7" x14ac:dyDescent="0.2">
      <c r="A741" s="3" t="s">
        <v>1072</v>
      </c>
      <c r="B741" s="4">
        <v>44620</v>
      </c>
      <c r="C741" s="3" t="s">
        <v>1168</v>
      </c>
      <c r="D741" s="3" t="s">
        <v>1254</v>
      </c>
      <c r="E741" s="3" t="s">
        <v>1075</v>
      </c>
      <c r="F741" s="3">
        <v>-13101.22</v>
      </c>
      <c r="G741" s="3">
        <v>89553.61</v>
      </c>
    </row>
    <row r="742" spans="1:7" x14ac:dyDescent="0.2">
      <c r="A742" s="3" t="s">
        <v>1069</v>
      </c>
      <c r="B742" s="4">
        <v>44620</v>
      </c>
      <c r="C742" s="3" t="s">
        <v>1168</v>
      </c>
      <c r="D742" s="3" t="s">
        <v>1254</v>
      </c>
      <c r="E742" s="3" t="s">
        <v>1075</v>
      </c>
      <c r="F742" s="3">
        <v>0</v>
      </c>
      <c r="G742" s="3">
        <v>250</v>
      </c>
    </row>
    <row r="743" spans="1:7" x14ac:dyDescent="0.2">
      <c r="A743" s="3" t="s">
        <v>1072</v>
      </c>
      <c r="B743" s="4">
        <v>44620</v>
      </c>
      <c r="C743" s="3" t="s">
        <v>1168</v>
      </c>
      <c r="D743" s="3" t="s">
        <v>1362</v>
      </c>
      <c r="E743" s="3" t="s">
        <v>1123</v>
      </c>
      <c r="F743" s="3">
        <v>208426.69</v>
      </c>
      <c r="G743" s="3">
        <v>1701130.08</v>
      </c>
    </row>
    <row r="744" spans="1:7" x14ac:dyDescent="0.2">
      <c r="A744" s="3" t="s">
        <v>1072</v>
      </c>
      <c r="B744" s="4">
        <v>44620</v>
      </c>
      <c r="C744" s="3" t="s">
        <v>1168</v>
      </c>
      <c r="D744" s="3" t="s">
        <v>1363</v>
      </c>
      <c r="E744" s="3" t="s">
        <v>1364</v>
      </c>
      <c r="F744" s="3">
        <v>0</v>
      </c>
      <c r="G744" s="3">
        <v>35500</v>
      </c>
    </row>
    <row r="745" spans="1:7" x14ac:dyDescent="0.2">
      <c r="A745" s="3" t="s">
        <v>1072</v>
      </c>
      <c r="B745" s="4">
        <v>44620</v>
      </c>
      <c r="C745" s="3" t="s">
        <v>1168</v>
      </c>
      <c r="D745" s="3" t="s">
        <v>1365</v>
      </c>
      <c r="E745" s="3" t="s">
        <v>1090</v>
      </c>
      <c r="F745" s="3">
        <v>0</v>
      </c>
      <c r="G745" s="3">
        <v>1063.2</v>
      </c>
    </row>
    <row r="746" spans="1:7" x14ac:dyDescent="0.2">
      <c r="A746" s="3" t="s">
        <v>1069</v>
      </c>
      <c r="B746" s="4">
        <v>44620</v>
      </c>
      <c r="C746" s="3" t="s">
        <v>1168</v>
      </c>
      <c r="D746" s="3" t="s">
        <v>1170</v>
      </c>
      <c r="E746" s="3" t="s">
        <v>1171</v>
      </c>
      <c r="F746" s="3">
        <v>0</v>
      </c>
      <c r="G746" s="3">
        <v>17000</v>
      </c>
    </row>
    <row r="747" spans="1:7" x14ac:dyDescent="0.2">
      <c r="A747" s="3" t="s">
        <v>1072</v>
      </c>
      <c r="B747" s="4">
        <v>44620</v>
      </c>
      <c r="C747" s="3" t="s">
        <v>1168</v>
      </c>
      <c r="D747" s="3" t="s">
        <v>1366</v>
      </c>
      <c r="E747" s="3" t="s">
        <v>1144</v>
      </c>
      <c r="F747" s="3">
        <v>9104.73</v>
      </c>
      <c r="G747" s="3">
        <v>24786.43</v>
      </c>
    </row>
    <row r="748" spans="1:7" x14ac:dyDescent="0.2">
      <c r="A748" s="3" t="s">
        <v>1069</v>
      </c>
      <c r="B748" s="4">
        <v>44620</v>
      </c>
      <c r="C748" s="3" t="s">
        <v>1168</v>
      </c>
      <c r="D748" s="3" t="s">
        <v>1213</v>
      </c>
      <c r="E748" s="3" t="s">
        <v>1150</v>
      </c>
      <c r="F748" s="3">
        <v>285.26</v>
      </c>
      <c r="G748" s="3">
        <v>4406.3100000000004</v>
      </c>
    </row>
    <row r="749" spans="1:7" x14ac:dyDescent="0.2">
      <c r="A749" s="3" t="s">
        <v>1072</v>
      </c>
      <c r="B749" s="4">
        <v>44620</v>
      </c>
      <c r="C749" s="3" t="s">
        <v>1168</v>
      </c>
      <c r="D749" s="3" t="s">
        <v>1367</v>
      </c>
      <c r="E749" s="3" t="s">
        <v>1147</v>
      </c>
      <c r="F749" s="3">
        <v>0</v>
      </c>
      <c r="G749" s="3">
        <v>2000</v>
      </c>
    </row>
    <row r="750" spans="1:7" x14ac:dyDescent="0.2">
      <c r="A750" s="3" t="s">
        <v>1072</v>
      </c>
      <c r="B750" s="4">
        <v>44620</v>
      </c>
      <c r="C750" s="3" t="s">
        <v>1168</v>
      </c>
      <c r="D750" s="3" t="s">
        <v>1368</v>
      </c>
      <c r="E750" s="3" t="s">
        <v>1124</v>
      </c>
      <c r="F750" s="3">
        <v>590.72</v>
      </c>
      <c r="G750" s="3">
        <v>34301.160000000003</v>
      </c>
    </row>
    <row r="751" spans="1:7" x14ac:dyDescent="0.2">
      <c r="A751" s="3" t="s">
        <v>1072</v>
      </c>
      <c r="B751" s="4">
        <v>44620</v>
      </c>
      <c r="C751" s="3" t="s">
        <v>1168</v>
      </c>
      <c r="D751" s="3" t="s">
        <v>1369</v>
      </c>
      <c r="E751" s="3" t="s">
        <v>1099</v>
      </c>
      <c r="F751" s="3">
        <v>461.82</v>
      </c>
      <c r="G751" s="3">
        <v>988.14</v>
      </c>
    </row>
    <row r="752" spans="1:7" x14ac:dyDescent="0.2">
      <c r="A752" s="3" t="s">
        <v>1072</v>
      </c>
      <c r="B752" s="4">
        <v>44620</v>
      </c>
      <c r="C752" s="3" t="s">
        <v>1168</v>
      </c>
      <c r="D752" s="3" t="s">
        <v>1370</v>
      </c>
      <c r="E752" s="3" t="s">
        <v>1129</v>
      </c>
      <c r="F752" s="3">
        <v>491</v>
      </c>
      <c r="G752" s="3">
        <v>3704</v>
      </c>
    </row>
    <row r="753" spans="1:7" x14ac:dyDescent="0.2">
      <c r="A753" s="3" t="s">
        <v>1072</v>
      </c>
      <c r="B753" s="4">
        <v>44620</v>
      </c>
      <c r="C753" s="3" t="s">
        <v>1168</v>
      </c>
      <c r="D753" s="3" t="s">
        <v>1371</v>
      </c>
      <c r="E753" s="3" t="s">
        <v>1093</v>
      </c>
      <c r="F753" s="3">
        <v>0</v>
      </c>
      <c r="G753" s="3">
        <v>9463.01</v>
      </c>
    </row>
    <row r="754" spans="1:7" x14ac:dyDescent="0.2">
      <c r="A754" s="3" t="s">
        <v>1072</v>
      </c>
      <c r="B754" s="4">
        <v>44620</v>
      </c>
      <c r="C754" s="3" t="s">
        <v>1168</v>
      </c>
      <c r="D754" s="3" t="s">
        <v>1372</v>
      </c>
      <c r="E754" s="3" t="s">
        <v>1158</v>
      </c>
      <c r="F754" s="3">
        <v>600</v>
      </c>
      <c r="G754" s="3">
        <v>8700</v>
      </c>
    </row>
    <row r="755" spans="1:7" x14ac:dyDescent="0.2">
      <c r="A755" s="3" t="s">
        <v>1072</v>
      </c>
      <c r="B755" s="4">
        <v>44620</v>
      </c>
      <c r="C755" s="3" t="s">
        <v>1168</v>
      </c>
      <c r="D755" s="3" t="s">
        <v>1373</v>
      </c>
      <c r="E755" s="3" t="s">
        <v>1092</v>
      </c>
      <c r="F755" s="3">
        <v>363</v>
      </c>
      <c r="G755" s="3">
        <v>2439.41</v>
      </c>
    </row>
    <row r="756" spans="1:7" x14ac:dyDescent="0.2">
      <c r="A756" s="3" t="s">
        <v>1072</v>
      </c>
      <c r="B756" s="4">
        <v>44620</v>
      </c>
      <c r="C756" s="3" t="s">
        <v>1168</v>
      </c>
      <c r="D756" s="3" t="s">
        <v>1481</v>
      </c>
      <c r="E756" s="3" t="s">
        <v>1482</v>
      </c>
      <c r="F756" s="3">
        <v>6661.9</v>
      </c>
      <c r="G756" s="3">
        <v>6661.9</v>
      </c>
    </row>
    <row r="757" spans="1:7" x14ac:dyDescent="0.2">
      <c r="A757" s="3" t="s">
        <v>1069</v>
      </c>
      <c r="B757" s="4">
        <v>44620</v>
      </c>
      <c r="C757" s="3" t="s">
        <v>1168</v>
      </c>
      <c r="D757" s="3" t="s">
        <v>1232</v>
      </c>
      <c r="E757" s="3" t="s">
        <v>1105</v>
      </c>
      <c r="F757" s="3">
        <v>600</v>
      </c>
      <c r="G757" s="3">
        <v>4600</v>
      </c>
    </row>
    <row r="758" spans="1:7" x14ac:dyDescent="0.2">
      <c r="A758" s="3" t="s">
        <v>1069</v>
      </c>
      <c r="B758" s="4">
        <v>44620</v>
      </c>
      <c r="C758" s="3" t="s">
        <v>1168</v>
      </c>
      <c r="D758" s="3" t="s">
        <v>1262</v>
      </c>
      <c r="E758" s="3" t="s">
        <v>1127</v>
      </c>
      <c r="F758" s="3">
        <v>0</v>
      </c>
      <c r="G758" s="3">
        <v>1271.93</v>
      </c>
    </row>
    <row r="759" spans="1:7" x14ac:dyDescent="0.2">
      <c r="A759" s="3" t="s">
        <v>1072</v>
      </c>
      <c r="B759" s="4">
        <v>44620</v>
      </c>
      <c r="C759" s="3" t="s">
        <v>1168</v>
      </c>
      <c r="D759" s="3" t="s">
        <v>1374</v>
      </c>
      <c r="E759" s="3" t="s">
        <v>1108</v>
      </c>
      <c r="F759" s="3">
        <v>0</v>
      </c>
      <c r="G759" s="3">
        <v>450</v>
      </c>
    </row>
    <row r="760" spans="1:7" x14ac:dyDescent="0.2">
      <c r="A760" s="3" t="s">
        <v>1072</v>
      </c>
      <c r="B760" s="4">
        <v>44620</v>
      </c>
      <c r="C760" s="3" t="s">
        <v>1168</v>
      </c>
      <c r="D760" s="3" t="s">
        <v>1375</v>
      </c>
      <c r="E760" s="3" t="s">
        <v>1100</v>
      </c>
      <c r="F760" s="3">
        <v>352.17</v>
      </c>
      <c r="G760" s="3">
        <v>10625.73</v>
      </c>
    </row>
    <row r="761" spans="1:7" x14ac:dyDescent="0.2">
      <c r="A761" s="3" t="s">
        <v>1072</v>
      </c>
      <c r="B761" s="4">
        <v>44620</v>
      </c>
      <c r="C761" s="3" t="s">
        <v>1168</v>
      </c>
      <c r="D761" s="3" t="s">
        <v>1376</v>
      </c>
      <c r="E761" s="3" t="s">
        <v>1377</v>
      </c>
      <c r="F761" s="3">
        <v>0</v>
      </c>
      <c r="G761" s="3">
        <v>1275</v>
      </c>
    </row>
    <row r="762" spans="1:7" x14ac:dyDescent="0.2">
      <c r="A762" s="3" t="s">
        <v>1072</v>
      </c>
      <c r="B762" s="4">
        <v>44620</v>
      </c>
      <c r="C762" s="3" t="s">
        <v>1168</v>
      </c>
      <c r="D762" s="3" t="s">
        <v>1378</v>
      </c>
      <c r="E762" s="3" t="s">
        <v>1143</v>
      </c>
      <c r="F762" s="3">
        <v>44762.46</v>
      </c>
      <c r="G762" s="3">
        <v>429767.12</v>
      </c>
    </row>
    <row r="763" spans="1:7" x14ac:dyDescent="0.2">
      <c r="A763" s="3" t="s">
        <v>1072</v>
      </c>
      <c r="B763" s="4">
        <v>44620</v>
      </c>
      <c r="C763" s="3" t="s">
        <v>1168</v>
      </c>
      <c r="D763" s="3" t="s">
        <v>1379</v>
      </c>
      <c r="E763" s="3" t="s">
        <v>1107</v>
      </c>
      <c r="F763" s="3">
        <v>2501.62</v>
      </c>
      <c r="G763" s="3">
        <v>20692.98</v>
      </c>
    </row>
    <row r="764" spans="1:7" x14ac:dyDescent="0.2">
      <c r="A764" s="3" t="s">
        <v>1072</v>
      </c>
      <c r="B764" s="4">
        <v>44620</v>
      </c>
      <c r="C764" s="3" t="s">
        <v>1168</v>
      </c>
      <c r="D764" s="3" t="s">
        <v>1380</v>
      </c>
      <c r="E764" s="3" t="s">
        <v>1125</v>
      </c>
      <c r="F764" s="3">
        <v>1558.73</v>
      </c>
      <c r="G764" s="3">
        <v>11467.74</v>
      </c>
    </row>
    <row r="765" spans="1:7" x14ac:dyDescent="0.2">
      <c r="A765" s="3" t="s">
        <v>1072</v>
      </c>
      <c r="B765" s="4">
        <v>44620</v>
      </c>
      <c r="C765" s="3" t="s">
        <v>1168</v>
      </c>
      <c r="D765" s="3" t="s">
        <v>1381</v>
      </c>
      <c r="E765" s="3" t="s">
        <v>1130</v>
      </c>
      <c r="F765" s="3">
        <v>1558.73</v>
      </c>
      <c r="G765" s="3">
        <v>8195.9</v>
      </c>
    </row>
    <row r="766" spans="1:7" x14ac:dyDescent="0.2">
      <c r="A766" s="3" t="s">
        <v>1072</v>
      </c>
      <c r="B766" s="4">
        <v>44620</v>
      </c>
      <c r="C766" s="3" t="s">
        <v>1168</v>
      </c>
      <c r="D766" s="3" t="s">
        <v>1458</v>
      </c>
      <c r="E766" s="3" t="s">
        <v>1113</v>
      </c>
      <c r="F766" s="3">
        <v>146.78</v>
      </c>
      <c r="G766" s="3">
        <v>293.56</v>
      </c>
    </row>
    <row r="767" spans="1:7" x14ac:dyDescent="0.2">
      <c r="A767" s="3" t="s">
        <v>1072</v>
      </c>
      <c r="B767" s="4">
        <v>44620</v>
      </c>
      <c r="C767" s="3" t="s">
        <v>1168</v>
      </c>
      <c r="D767" s="3" t="s">
        <v>1459</v>
      </c>
      <c r="E767" s="3" t="s">
        <v>1139</v>
      </c>
      <c r="F767" s="3">
        <v>57.78</v>
      </c>
      <c r="G767" s="3">
        <v>115.56</v>
      </c>
    </row>
    <row r="768" spans="1:7" x14ac:dyDescent="0.2">
      <c r="A768" s="3" t="s">
        <v>1069</v>
      </c>
      <c r="B768" s="4">
        <v>44620</v>
      </c>
      <c r="C768" s="3" t="s">
        <v>1172</v>
      </c>
      <c r="D768" s="3" t="s">
        <v>1173</v>
      </c>
      <c r="E768" s="3" t="s">
        <v>1174</v>
      </c>
      <c r="F768" s="3">
        <v>0</v>
      </c>
      <c r="G768" s="3">
        <v>-100</v>
      </c>
    </row>
    <row r="769" spans="1:7" x14ac:dyDescent="0.2">
      <c r="A769" s="3" t="s">
        <v>1072</v>
      </c>
      <c r="B769" s="4">
        <v>44620</v>
      </c>
      <c r="C769" s="3" t="s">
        <v>1172</v>
      </c>
      <c r="D769" s="3" t="s">
        <v>1382</v>
      </c>
      <c r="E769" s="3" t="s">
        <v>1383</v>
      </c>
      <c r="F769" s="3">
        <v>0</v>
      </c>
      <c r="G769" s="3">
        <v>-120</v>
      </c>
    </row>
    <row r="770" spans="1:7" x14ac:dyDescent="0.2">
      <c r="A770" s="3" t="s">
        <v>1072</v>
      </c>
      <c r="B770" s="4">
        <v>44620</v>
      </c>
      <c r="C770" s="3" t="s">
        <v>1172</v>
      </c>
      <c r="D770" s="3" t="s">
        <v>1384</v>
      </c>
      <c r="E770" s="3" t="s">
        <v>1385</v>
      </c>
      <c r="F770" s="3">
        <v>0</v>
      </c>
      <c r="G770" s="3">
        <v>698664.99</v>
      </c>
    </row>
    <row r="771" spans="1:7" x14ac:dyDescent="0.2">
      <c r="A771" s="3" t="s">
        <v>1069</v>
      </c>
      <c r="B771" s="4">
        <v>44620</v>
      </c>
      <c r="C771" s="3" t="s">
        <v>1180</v>
      </c>
      <c r="D771" s="3" t="s">
        <v>1241</v>
      </c>
      <c r="E771" s="3" t="s">
        <v>1242</v>
      </c>
      <c r="F771" s="3">
        <v>-2150682.83</v>
      </c>
      <c r="G771" s="3">
        <v>17562360.850000001</v>
      </c>
    </row>
    <row r="772" spans="1:7" x14ac:dyDescent="0.2">
      <c r="A772" s="3" t="s">
        <v>1072</v>
      </c>
      <c r="B772" s="4">
        <v>44620</v>
      </c>
      <c r="C772" s="3" t="s">
        <v>1180</v>
      </c>
      <c r="D772" s="3" t="s">
        <v>1460</v>
      </c>
      <c r="E772" s="3" t="s">
        <v>1461</v>
      </c>
      <c r="F772" s="3">
        <v>150000</v>
      </c>
      <c r="G772" s="3">
        <v>-200000</v>
      </c>
    </row>
    <row r="773" spans="1:7" x14ac:dyDescent="0.2">
      <c r="A773" s="3" t="s">
        <v>1072</v>
      </c>
      <c r="B773" s="4">
        <v>44620</v>
      </c>
      <c r="C773" s="3" t="s">
        <v>1180</v>
      </c>
      <c r="D773" s="3" t="s">
        <v>1483</v>
      </c>
      <c r="E773" s="3" t="s">
        <v>1177</v>
      </c>
      <c r="F773" s="3">
        <v>2850000</v>
      </c>
      <c r="G773" s="3">
        <v>2850000</v>
      </c>
    </row>
    <row r="774" spans="1:7" x14ac:dyDescent="0.2">
      <c r="A774" s="3" t="s">
        <v>1072</v>
      </c>
      <c r="B774" s="4">
        <v>44620</v>
      </c>
      <c r="C774" s="3" t="s">
        <v>1180</v>
      </c>
      <c r="D774" s="3" t="s">
        <v>1386</v>
      </c>
      <c r="E774" s="3" t="s">
        <v>1387</v>
      </c>
      <c r="F774" s="3">
        <v>0</v>
      </c>
      <c r="G774" s="3">
        <v>-38862.46</v>
      </c>
    </row>
    <row r="775" spans="1:7" x14ac:dyDescent="0.2">
      <c r="A775" s="3" t="s">
        <v>1072</v>
      </c>
      <c r="B775" s="4">
        <v>44620</v>
      </c>
      <c r="C775" s="3" t="s">
        <v>1180</v>
      </c>
      <c r="D775" s="3" t="s">
        <v>1388</v>
      </c>
      <c r="E775" s="3" t="s">
        <v>1389</v>
      </c>
      <c r="F775" s="3">
        <v>0</v>
      </c>
      <c r="G775" s="3">
        <v>4342.5</v>
      </c>
    </row>
    <row r="776" spans="1:7" x14ac:dyDescent="0.2">
      <c r="A776" s="3" t="s">
        <v>1072</v>
      </c>
      <c r="B776" s="4">
        <v>44620</v>
      </c>
      <c r="C776" s="3" t="s">
        <v>1180</v>
      </c>
      <c r="D776" s="3" t="s">
        <v>1390</v>
      </c>
      <c r="E776" s="3" t="s">
        <v>1391</v>
      </c>
      <c r="F776" s="3">
        <v>350000</v>
      </c>
      <c r="G776" s="3">
        <v>-180000</v>
      </c>
    </row>
    <row r="777" spans="1:7" x14ac:dyDescent="0.2">
      <c r="A777" s="3" t="s">
        <v>1072</v>
      </c>
      <c r="B777" s="4">
        <v>44620</v>
      </c>
      <c r="C777" s="3" t="s">
        <v>1180</v>
      </c>
      <c r="D777" s="3" t="s">
        <v>1392</v>
      </c>
      <c r="E777" s="3" t="s">
        <v>1393</v>
      </c>
      <c r="F777" s="3">
        <v>-2234.7800000000002</v>
      </c>
      <c r="G777" s="3">
        <v>-32031.77</v>
      </c>
    </row>
    <row r="778" spans="1:7" x14ac:dyDescent="0.2">
      <c r="A778" s="3" t="s">
        <v>1072</v>
      </c>
      <c r="B778" s="4">
        <v>44620</v>
      </c>
      <c r="C778" s="3" t="s">
        <v>1180</v>
      </c>
      <c r="D778" s="3" t="s">
        <v>1394</v>
      </c>
      <c r="E778" s="3" t="s">
        <v>1256</v>
      </c>
      <c r="F778" s="3">
        <v>3800</v>
      </c>
      <c r="G778" s="3">
        <v>-29400</v>
      </c>
    </row>
    <row r="779" spans="1:7" x14ac:dyDescent="0.2">
      <c r="A779" s="3" t="s">
        <v>1072</v>
      </c>
      <c r="B779" s="4">
        <v>44620</v>
      </c>
      <c r="C779" s="3" t="s">
        <v>1180</v>
      </c>
      <c r="D779" s="3" t="s">
        <v>1395</v>
      </c>
      <c r="E779" s="3" t="s">
        <v>1396</v>
      </c>
      <c r="F779" s="3">
        <v>-3160000</v>
      </c>
      <c r="G779" s="3">
        <v>-3338000</v>
      </c>
    </row>
    <row r="780" spans="1:7" x14ac:dyDescent="0.2">
      <c r="A780" s="3" t="s">
        <v>1072</v>
      </c>
      <c r="B780" s="4">
        <v>44620</v>
      </c>
      <c r="C780" s="3" t="s">
        <v>1180</v>
      </c>
      <c r="D780" s="3" t="s">
        <v>1397</v>
      </c>
      <c r="E780" s="3" t="s">
        <v>1398</v>
      </c>
      <c r="F780" s="3">
        <v>3800</v>
      </c>
      <c r="G780" s="3">
        <v>600</v>
      </c>
    </row>
    <row r="781" spans="1:7" x14ac:dyDescent="0.2">
      <c r="A781" s="3" t="s">
        <v>1072</v>
      </c>
      <c r="B781" s="4">
        <v>44620</v>
      </c>
      <c r="C781" s="3" t="s">
        <v>1180</v>
      </c>
      <c r="D781" s="3" t="s">
        <v>1399</v>
      </c>
      <c r="E781" s="3" t="s">
        <v>1400</v>
      </c>
      <c r="F781" s="3">
        <v>23766.95</v>
      </c>
      <c r="G781" s="3">
        <v>-25233.05</v>
      </c>
    </row>
    <row r="782" spans="1:7" x14ac:dyDescent="0.2">
      <c r="A782" s="3" t="s">
        <v>1069</v>
      </c>
      <c r="B782" s="4">
        <v>44620</v>
      </c>
      <c r="C782" s="3" t="s">
        <v>1175</v>
      </c>
      <c r="D782" s="3" t="s">
        <v>1178</v>
      </c>
      <c r="E782" s="3" t="s">
        <v>1179</v>
      </c>
      <c r="F782" s="3">
        <v>3160000</v>
      </c>
      <c r="G782" s="3">
        <v>3338000</v>
      </c>
    </row>
    <row r="783" spans="1:7" x14ac:dyDescent="0.2">
      <c r="A783" s="3" t="s">
        <v>1072</v>
      </c>
      <c r="B783" s="4">
        <v>44620</v>
      </c>
      <c r="C783" s="3" t="s">
        <v>1180</v>
      </c>
      <c r="D783" s="3" t="s">
        <v>1403</v>
      </c>
      <c r="E783" s="3" t="s">
        <v>1404</v>
      </c>
      <c r="F783" s="3">
        <v>-120.05</v>
      </c>
      <c r="G783" s="3">
        <v>0</v>
      </c>
    </row>
    <row r="784" spans="1:7" x14ac:dyDescent="0.2">
      <c r="A784" s="3" t="s">
        <v>1072</v>
      </c>
      <c r="B784" s="4">
        <v>44620</v>
      </c>
      <c r="C784" s="3" t="s">
        <v>1175</v>
      </c>
      <c r="D784" s="3" t="s">
        <v>1405</v>
      </c>
      <c r="E784" s="3" t="s">
        <v>1406</v>
      </c>
      <c r="F784" s="3">
        <v>-5557.44</v>
      </c>
      <c r="G784" s="3">
        <v>0</v>
      </c>
    </row>
    <row r="785" spans="1:7" x14ac:dyDescent="0.2">
      <c r="A785" s="3" t="s">
        <v>1072</v>
      </c>
      <c r="B785" s="4">
        <v>44620</v>
      </c>
      <c r="C785" s="3" t="s">
        <v>1175</v>
      </c>
      <c r="D785" s="3" t="s">
        <v>1407</v>
      </c>
      <c r="E785" s="3" t="s">
        <v>1408</v>
      </c>
      <c r="F785" s="3">
        <v>3239.9</v>
      </c>
      <c r="G785" s="3">
        <v>-58920.1</v>
      </c>
    </row>
    <row r="786" spans="1:7" x14ac:dyDescent="0.2">
      <c r="A786" s="3" t="s">
        <v>1072</v>
      </c>
      <c r="B786" s="4">
        <v>44620</v>
      </c>
      <c r="C786" s="3" t="s">
        <v>1180</v>
      </c>
      <c r="D786" s="3" t="s">
        <v>1409</v>
      </c>
      <c r="E786" s="3" t="s">
        <v>1410</v>
      </c>
      <c r="F786" s="3">
        <v>0</v>
      </c>
      <c r="G786" s="3">
        <v>216064.1</v>
      </c>
    </row>
    <row r="787" spans="1:7" x14ac:dyDescent="0.2">
      <c r="A787" s="3" t="s">
        <v>1072</v>
      </c>
      <c r="B787" s="4">
        <v>44620</v>
      </c>
      <c r="C787" s="3" t="s">
        <v>1180</v>
      </c>
      <c r="D787" s="3" t="s">
        <v>1411</v>
      </c>
      <c r="E787" s="3" t="s">
        <v>1412</v>
      </c>
      <c r="F787" s="3">
        <v>-43213</v>
      </c>
      <c r="G787" s="3">
        <v>-176453</v>
      </c>
    </row>
    <row r="788" spans="1:7" x14ac:dyDescent="0.2">
      <c r="A788" s="3" t="s">
        <v>1072</v>
      </c>
      <c r="B788" s="4">
        <v>44620</v>
      </c>
      <c r="C788" s="3" t="s">
        <v>1180</v>
      </c>
      <c r="D788" s="3" t="s">
        <v>1413</v>
      </c>
      <c r="E788" s="3" t="s">
        <v>1414</v>
      </c>
      <c r="F788" s="3">
        <v>8723.48</v>
      </c>
      <c r="G788" s="3">
        <v>62174.35</v>
      </c>
    </row>
    <row r="789" spans="1:7" x14ac:dyDescent="0.2">
      <c r="A789" s="3" t="s">
        <v>1072</v>
      </c>
      <c r="B789" s="4">
        <v>44620</v>
      </c>
      <c r="C789" s="3" t="s">
        <v>1180</v>
      </c>
      <c r="D789" s="3" t="s">
        <v>1415</v>
      </c>
      <c r="E789" s="3" t="s">
        <v>1416</v>
      </c>
      <c r="F789" s="3">
        <v>-667.3</v>
      </c>
      <c r="G789" s="3">
        <v>-19141.09</v>
      </c>
    </row>
    <row r="790" spans="1:7" x14ac:dyDescent="0.2">
      <c r="A790" s="3" t="s">
        <v>1072</v>
      </c>
      <c r="B790" s="4">
        <v>44620</v>
      </c>
      <c r="C790" s="3" t="s">
        <v>1180</v>
      </c>
      <c r="D790" s="3" t="s">
        <v>1462</v>
      </c>
      <c r="E790" s="3" t="s">
        <v>1463</v>
      </c>
      <c r="F790" s="3">
        <v>1477.39</v>
      </c>
      <c r="G790" s="3">
        <v>29281.39</v>
      </c>
    </row>
    <row r="791" spans="1:7" x14ac:dyDescent="0.2">
      <c r="A791" s="3" t="s">
        <v>1072</v>
      </c>
      <c r="B791" s="4">
        <v>44620</v>
      </c>
      <c r="C791" s="3" t="s">
        <v>1180</v>
      </c>
      <c r="D791" s="3" t="s">
        <v>1484</v>
      </c>
      <c r="E791" s="3" t="s">
        <v>1485</v>
      </c>
      <c r="F791" s="3">
        <v>-406.69</v>
      </c>
      <c r="G791" s="3">
        <v>-406.69</v>
      </c>
    </row>
    <row r="792" spans="1:7" x14ac:dyDescent="0.2">
      <c r="A792" s="3" t="s">
        <v>1072</v>
      </c>
      <c r="B792" s="4">
        <v>44620</v>
      </c>
      <c r="C792" s="3" t="s">
        <v>1180</v>
      </c>
      <c r="D792" s="3" t="s">
        <v>1417</v>
      </c>
      <c r="E792" s="3" t="s">
        <v>1418</v>
      </c>
      <c r="F792" s="3">
        <v>0</v>
      </c>
      <c r="G792" s="3">
        <v>11600</v>
      </c>
    </row>
    <row r="793" spans="1:7" x14ac:dyDescent="0.2">
      <c r="A793" s="3" t="s">
        <v>1072</v>
      </c>
      <c r="B793" s="4">
        <v>44620</v>
      </c>
      <c r="C793" s="3" t="s">
        <v>1180</v>
      </c>
      <c r="D793" s="3" t="s">
        <v>1419</v>
      </c>
      <c r="E793" s="3" t="s">
        <v>1420</v>
      </c>
      <c r="F793" s="3">
        <v>-32.229999999999997</v>
      </c>
      <c r="G793" s="3">
        <v>-805.56</v>
      </c>
    </row>
    <row r="794" spans="1:7" x14ac:dyDescent="0.2">
      <c r="A794" s="3" t="s">
        <v>1069</v>
      </c>
      <c r="B794" s="4">
        <v>44620</v>
      </c>
      <c r="C794" s="3" t="s">
        <v>1180</v>
      </c>
      <c r="D794" s="3" t="s">
        <v>1421</v>
      </c>
      <c r="E794" s="3" t="s">
        <v>1422</v>
      </c>
      <c r="F794" s="3">
        <v>0</v>
      </c>
      <c r="G794" s="3">
        <v>261841.5</v>
      </c>
    </row>
    <row r="795" spans="1:7" x14ac:dyDescent="0.2">
      <c r="A795" s="3" t="s">
        <v>1069</v>
      </c>
      <c r="B795" s="4">
        <v>44620</v>
      </c>
      <c r="C795" s="3" t="s">
        <v>1180</v>
      </c>
      <c r="D795" s="3" t="s">
        <v>1214</v>
      </c>
      <c r="E795" s="3" t="s">
        <v>1215</v>
      </c>
      <c r="F795" s="3">
        <v>0</v>
      </c>
      <c r="G795" s="3">
        <v>26200000</v>
      </c>
    </row>
    <row r="796" spans="1:7" x14ac:dyDescent="0.2">
      <c r="A796" s="3" t="s">
        <v>1069</v>
      </c>
      <c r="B796" s="4">
        <v>44620</v>
      </c>
      <c r="C796" s="3" t="s">
        <v>1180</v>
      </c>
      <c r="D796" s="3" t="s">
        <v>1216</v>
      </c>
      <c r="E796" s="3" t="s">
        <v>1217</v>
      </c>
      <c r="F796" s="3">
        <v>0</v>
      </c>
      <c r="G796" s="3">
        <v>68427</v>
      </c>
    </row>
    <row r="797" spans="1:7" x14ac:dyDescent="0.2">
      <c r="A797" s="3" t="s">
        <v>1069</v>
      </c>
      <c r="B797" s="4">
        <v>44620</v>
      </c>
      <c r="C797" s="3" t="s">
        <v>1180</v>
      </c>
      <c r="D797" s="3" t="s">
        <v>1218</v>
      </c>
      <c r="E797" s="3" t="s">
        <v>1219</v>
      </c>
      <c r="F797" s="3">
        <v>0</v>
      </c>
      <c r="G797" s="3">
        <v>103812</v>
      </c>
    </row>
    <row r="798" spans="1:7" x14ac:dyDescent="0.2">
      <c r="A798" s="3" t="s">
        <v>1069</v>
      </c>
      <c r="B798" s="4">
        <v>44620</v>
      </c>
      <c r="C798" s="3" t="s">
        <v>1180</v>
      </c>
      <c r="D798" s="3" t="s">
        <v>1197</v>
      </c>
      <c r="E798" s="3" t="s">
        <v>1198</v>
      </c>
      <c r="F798" s="3">
        <v>0</v>
      </c>
      <c r="G798" s="3">
        <v>142000</v>
      </c>
    </row>
    <row r="799" spans="1:7" x14ac:dyDescent="0.2">
      <c r="A799" s="3" t="s">
        <v>1069</v>
      </c>
      <c r="B799" s="4">
        <v>44620</v>
      </c>
      <c r="C799" s="3" t="s">
        <v>1180</v>
      </c>
      <c r="D799" s="3" t="s">
        <v>1181</v>
      </c>
      <c r="E799" s="3" t="s">
        <v>1182</v>
      </c>
      <c r="F799" s="3">
        <v>0</v>
      </c>
      <c r="G799" s="3">
        <v>5052916.5</v>
      </c>
    </row>
    <row r="800" spans="1:7" x14ac:dyDescent="0.2">
      <c r="A800" s="3" t="s">
        <v>1069</v>
      </c>
      <c r="B800" s="4">
        <v>44620</v>
      </c>
      <c r="C800" s="3" t="s">
        <v>1180</v>
      </c>
      <c r="D800" s="3" t="s">
        <v>1263</v>
      </c>
      <c r="E800" s="3" t="s">
        <v>1264</v>
      </c>
      <c r="F800" s="3">
        <v>0</v>
      </c>
      <c r="G800" s="3">
        <v>13807.78</v>
      </c>
    </row>
    <row r="801" spans="1:7" x14ac:dyDescent="0.2">
      <c r="A801" s="3" t="s">
        <v>1069</v>
      </c>
      <c r="B801" s="4">
        <v>44620</v>
      </c>
      <c r="C801" s="3" t="s">
        <v>1180</v>
      </c>
      <c r="D801" s="3" t="s">
        <v>1202</v>
      </c>
      <c r="E801" s="3" t="s">
        <v>1203</v>
      </c>
      <c r="F801" s="3">
        <v>0</v>
      </c>
      <c r="G801" s="3">
        <v>6350</v>
      </c>
    </row>
    <row r="802" spans="1:7" x14ac:dyDescent="0.2">
      <c r="A802" s="3" t="s">
        <v>1069</v>
      </c>
      <c r="B802" s="4">
        <v>44620</v>
      </c>
      <c r="C802" s="3" t="s">
        <v>1180</v>
      </c>
      <c r="D802" s="3" t="s">
        <v>1204</v>
      </c>
      <c r="E802" s="3" t="s">
        <v>1205</v>
      </c>
      <c r="F802" s="3">
        <v>0</v>
      </c>
      <c r="G802" s="3">
        <v>7500</v>
      </c>
    </row>
    <row r="803" spans="1:7" x14ac:dyDescent="0.2">
      <c r="A803" s="3" t="s">
        <v>1069</v>
      </c>
      <c r="B803" s="4">
        <v>44620</v>
      </c>
      <c r="C803" s="3" t="s">
        <v>1180</v>
      </c>
      <c r="D803" s="3" t="s">
        <v>1199</v>
      </c>
      <c r="E803" s="3" t="s">
        <v>1200</v>
      </c>
      <c r="F803" s="3">
        <v>0</v>
      </c>
      <c r="G803" s="3">
        <v>67400</v>
      </c>
    </row>
    <row r="804" spans="1:7" x14ac:dyDescent="0.2">
      <c r="A804" s="3" t="s">
        <v>1069</v>
      </c>
      <c r="B804" s="4">
        <v>44620</v>
      </c>
      <c r="C804" s="3" t="s">
        <v>1180</v>
      </c>
      <c r="D804" s="3" t="s">
        <v>1486</v>
      </c>
      <c r="E804" s="3" t="s">
        <v>1487</v>
      </c>
      <c r="F804" s="3">
        <v>6600</v>
      </c>
      <c r="G804" s="3">
        <v>6600</v>
      </c>
    </row>
    <row r="805" spans="1:7" x14ac:dyDescent="0.2">
      <c r="A805" s="3" t="s">
        <v>1069</v>
      </c>
      <c r="B805" s="4">
        <v>44620</v>
      </c>
      <c r="C805" s="3" t="s">
        <v>1180</v>
      </c>
      <c r="D805" s="3" t="s">
        <v>1220</v>
      </c>
      <c r="E805" s="3" t="s">
        <v>1221</v>
      </c>
      <c r="F805" s="3">
        <v>0</v>
      </c>
      <c r="G805" s="3">
        <v>15175</v>
      </c>
    </row>
    <row r="806" spans="1:7" x14ac:dyDescent="0.2">
      <c r="A806" s="3" t="s">
        <v>1069</v>
      </c>
      <c r="B806" s="4">
        <v>44620</v>
      </c>
      <c r="C806" s="3" t="s">
        <v>1180</v>
      </c>
      <c r="D806" s="3" t="s">
        <v>1183</v>
      </c>
      <c r="E806" s="3" t="s">
        <v>1184</v>
      </c>
      <c r="F806" s="3">
        <v>86725.09</v>
      </c>
      <c r="G806" s="3">
        <v>187359.89</v>
      </c>
    </row>
    <row r="807" spans="1:7" x14ac:dyDescent="0.2">
      <c r="A807" s="3" t="s">
        <v>1069</v>
      </c>
      <c r="B807" s="4">
        <v>44620</v>
      </c>
      <c r="C807" s="3" t="s">
        <v>1180</v>
      </c>
      <c r="D807" s="3" t="s">
        <v>1222</v>
      </c>
      <c r="E807" s="3" t="s">
        <v>1223</v>
      </c>
      <c r="F807" s="3">
        <v>0</v>
      </c>
      <c r="G807" s="3">
        <v>2331207.06</v>
      </c>
    </row>
    <row r="808" spans="1:7" x14ac:dyDescent="0.2">
      <c r="A808" s="3" t="s">
        <v>1069</v>
      </c>
      <c r="B808" s="4">
        <v>44620</v>
      </c>
      <c r="C808" s="3" t="s">
        <v>1180</v>
      </c>
      <c r="D808" s="3" t="s">
        <v>1235</v>
      </c>
      <c r="E808" s="3" t="s">
        <v>1236</v>
      </c>
      <c r="F808" s="3">
        <v>0</v>
      </c>
      <c r="G808" s="3">
        <v>782608.07</v>
      </c>
    </row>
    <row r="809" spans="1:7" x14ac:dyDescent="0.2">
      <c r="A809" s="3" t="s">
        <v>1069</v>
      </c>
      <c r="B809" s="4">
        <v>44620</v>
      </c>
      <c r="C809" s="3" t="s">
        <v>1180</v>
      </c>
      <c r="D809" s="3" t="s">
        <v>1206</v>
      </c>
      <c r="E809" s="3" t="s">
        <v>1207</v>
      </c>
      <c r="F809" s="3">
        <v>0</v>
      </c>
      <c r="G809" s="3">
        <v>129550</v>
      </c>
    </row>
    <row r="810" spans="1:7" x14ac:dyDescent="0.2">
      <c r="A810" s="3" t="s">
        <v>1069</v>
      </c>
      <c r="B810" s="4">
        <v>44620</v>
      </c>
      <c r="C810" s="3" t="s">
        <v>1180</v>
      </c>
      <c r="D810" s="3" t="s">
        <v>1208</v>
      </c>
      <c r="E810" s="3" t="s">
        <v>1209</v>
      </c>
      <c r="F810" s="3">
        <v>0</v>
      </c>
      <c r="G810" s="3">
        <v>45000</v>
      </c>
    </row>
    <row r="811" spans="1:7" x14ac:dyDescent="0.2">
      <c r="A811" s="3" t="s">
        <v>1069</v>
      </c>
      <c r="B811" s="4">
        <v>44620</v>
      </c>
      <c r="C811" s="3" t="s">
        <v>1180</v>
      </c>
      <c r="D811" s="3" t="s">
        <v>1259</v>
      </c>
      <c r="E811" s="3" t="s">
        <v>1260</v>
      </c>
      <c r="F811" s="3">
        <v>6000</v>
      </c>
      <c r="G811" s="3">
        <v>54000</v>
      </c>
    </row>
    <row r="812" spans="1:7" x14ac:dyDescent="0.2">
      <c r="A812" s="3" t="s">
        <v>1069</v>
      </c>
      <c r="B812" s="4">
        <v>44620</v>
      </c>
      <c r="C812" s="3" t="s">
        <v>1180</v>
      </c>
      <c r="D812" s="3" t="s">
        <v>1265</v>
      </c>
      <c r="E812" s="3" t="s">
        <v>1266</v>
      </c>
      <c r="F812" s="3">
        <v>112600.7</v>
      </c>
      <c r="G812" s="3">
        <v>739809.84</v>
      </c>
    </row>
    <row r="813" spans="1:7" x14ac:dyDescent="0.2">
      <c r="A813" s="3" t="s">
        <v>1069</v>
      </c>
      <c r="B813" s="4">
        <v>44620</v>
      </c>
      <c r="C813" s="3" t="s">
        <v>1180</v>
      </c>
      <c r="D813" s="3" t="s">
        <v>1423</v>
      </c>
      <c r="E813" s="3" t="s">
        <v>1424</v>
      </c>
      <c r="F813" s="3">
        <v>0</v>
      </c>
      <c r="G813" s="3">
        <v>622274.51</v>
      </c>
    </row>
    <row r="814" spans="1:7" x14ac:dyDescent="0.2">
      <c r="A814" s="3" t="s">
        <v>1072</v>
      </c>
      <c r="B814" s="4">
        <v>44620</v>
      </c>
      <c r="C814" s="3" t="s">
        <v>1180</v>
      </c>
      <c r="D814" s="3" t="s">
        <v>1425</v>
      </c>
      <c r="E814" s="3" t="s">
        <v>1426</v>
      </c>
      <c r="F814" s="3">
        <v>0</v>
      </c>
      <c r="G814" s="3">
        <v>6875.45</v>
      </c>
    </row>
    <row r="815" spans="1:7" x14ac:dyDescent="0.2">
      <c r="A815" s="3" t="s">
        <v>1072</v>
      </c>
      <c r="B815" s="4">
        <v>44620</v>
      </c>
      <c r="C815" s="3" t="s">
        <v>1180</v>
      </c>
      <c r="D815" s="3" t="s">
        <v>1427</v>
      </c>
      <c r="E815" s="3" t="s">
        <v>1428</v>
      </c>
      <c r="F815" s="3">
        <v>746030</v>
      </c>
      <c r="G815" s="3">
        <v>3144560.51</v>
      </c>
    </row>
    <row r="816" spans="1:7" x14ac:dyDescent="0.2">
      <c r="A816" s="3" t="s">
        <v>1072</v>
      </c>
      <c r="B816" s="4">
        <v>44620</v>
      </c>
      <c r="C816" s="3" t="s">
        <v>1180</v>
      </c>
      <c r="D816" s="3" t="s">
        <v>1429</v>
      </c>
      <c r="E816" s="3" t="s">
        <v>1430</v>
      </c>
      <c r="F816" s="3">
        <v>-2867.1</v>
      </c>
      <c r="G816" s="3">
        <v>14335.47</v>
      </c>
    </row>
    <row r="817" spans="1:7" x14ac:dyDescent="0.2">
      <c r="A817" s="3" t="s">
        <v>1069</v>
      </c>
      <c r="B817" s="4">
        <v>44620</v>
      </c>
      <c r="C817" s="3" t="s">
        <v>1180</v>
      </c>
      <c r="D817" s="3" t="s">
        <v>1257</v>
      </c>
      <c r="E817" s="3" t="s">
        <v>1258</v>
      </c>
      <c r="F817" s="3">
        <v>0</v>
      </c>
      <c r="G817" s="3">
        <v>300000</v>
      </c>
    </row>
    <row r="818" spans="1:7" x14ac:dyDescent="0.2">
      <c r="A818" s="3" t="s">
        <v>1069</v>
      </c>
      <c r="B818" s="4">
        <v>44620</v>
      </c>
      <c r="C818" s="3" t="s">
        <v>1180</v>
      </c>
      <c r="D818" s="3" t="s">
        <v>1187</v>
      </c>
      <c r="E818" s="3" t="s">
        <v>1188</v>
      </c>
      <c r="F818" s="3">
        <v>-14562.18</v>
      </c>
      <c r="G818" s="3">
        <v>25029.19</v>
      </c>
    </row>
    <row r="819" spans="1:7" x14ac:dyDescent="0.2">
      <c r="A819" s="3" t="s">
        <v>1072</v>
      </c>
      <c r="B819" s="4">
        <v>44620</v>
      </c>
      <c r="C819" s="3" t="s">
        <v>1180</v>
      </c>
      <c r="D819" s="3" t="s">
        <v>1187</v>
      </c>
      <c r="E819" s="3" t="s">
        <v>1433</v>
      </c>
      <c r="F819" s="3">
        <v>414749.94</v>
      </c>
      <c r="G819" s="3">
        <v>427620.78</v>
      </c>
    </row>
    <row r="820" spans="1:7" x14ac:dyDescent="0.2">
      <c r="A820" s="3" t="s">
        <v>1072</v>
      </c>
      <c r="B820" s="4">
        <v>44620</v>
      </c>
      <c r="C820" s="3" t="s">
        <v>1180</v>
      </c>
      <c r="D820" s="3" t="s">
        <v>1189</v>
      </c>
      <c r="E820" s="3" t="s">
        <v>1434</v>
      </c>
      <c r="F820" s="3">
        <v>-1006.8</v>
      </c>
      <c r="G820" s="3">
        <v>0</v>
      </c>
    </row>
    <row r="821" spans="1:7" x14ac:dyDescent="0.2">
      <c r="A821" s="3" t="s">
        <v>1072</v>
      </c>
      <c r="B821" s="4">
        <v>44620</v>
      </c>
      <c r="C821" s="3" t="s">
        <v>1180</v>
      </c>
      <c r="D821" s="3" t="s">
        <v>1435</v>
      </c>
      <c r="E821" s="3" t="s">
        <v>1436</v>
      </c>
      <c r="F821" s="3">
        <v>1.8</v>
      </c>
      <c r="G821" s="3">
        <v>509.64</v>
      </c>
    </row>
    <row r="822" spans="1:7" x14ac:dyDescent="0.2">
      <c r="A822" s="3" t="s">
        <v>1069</v>
      </c>
      <c r="B822" s="4">
        <v>44620</v>
      </c>
      <c r="C822" s="3" t="s">
        <v>1180</v>
      </c>
      <c r="D822" s="3" t="s">
        <v>1243</v>
      </c>
      <c r="E822" s="3" t="s">
        <v>1244</v>
      </c>
      <c r="F822" s="3">
        <v>5.48</v>
      </c>
      <c r="G822" s="3">
        <v>784.95</v>
      </c>
    </row>
    <row r="823" spans="1:7" x14ac:dyDescent="0.2">
      <c r="A823" s="3" t="s">
        <v>1069</v>
      </c>
      <c r="B823" s="4">
        <v>44620</v>
      </c>
      <c r="C823" s="3" t="s">
        <v>1180</v>
      </c>
      <c r="D823" s="3" t="s">
        <v>1245</v>
      </c>
      <c r="E823" s="3" t="s">
        <v>1246</v>
      </c>
      <c r="F823" s="3">
        <v>-3086636.43</v>
      </c>
      <c r="G823" s="3">
        <v>4416019.37</v>
      </c>
    </row>
    <row r="824" spans="1:7" x14ac:dyDescent="0.2">
      <c r="A824" s="3" t="s">
        <v>1072</v>
      </c>
      <c r="B824" s="4">
        <v>44620</v>
      </c>
      <c r="C824" s="3" t="s">
        <v>1175</v>
      </c>
      <c r="D824" s="3" t="s">
        <v>1437</v>
      </c>
      <c r="E824" s="3" t="s">
        <v>1438</v>
      </c>
      <c r="F824" s="3">
        <v>0.02</v>
      </c>
      <c r="G824" s="3">
        <v>0.01</v>
      </c>
    </row>
    <row r="825" spans="1:7" x14ac:dyDescent="0.2">
      <c r="A825" s="3" t="s">
        <v>1069</v>
      </c>
      <c r="B825" s="4">
        <v>44620</v>
      </c>
      <c r="C825" s="3" t="s">
        <v>1175</v>
      </c>
      <c r="D825" s="3" t="s">
        <v>1437</v>
      </c>
      <c r="E825" s="3" t="s">
        <v>1438</v>
      </c>
      <c r="F825" s="3">
        <v>0</v>
      </c>
      <c r="G825" s="3">
        <v>0.01</v>
      </c>
    </row>
    <row r="826" spans="1:7" x14ac:dyDescent="0.2">
      <c r="A826" s="3" t="s">
        <v>1072</v>
      </c>
      <c r="B826" s="4">
        <v>44620</v>
      </c>
      <c r="C826" s="3" t="s">
        <v>1175</v>
      </c>
      <c r="D826" s="3" t="s">
        <v>1191</v>
      </c>
      <c r="E826" s="3" t="s">
        <v>1192</v>
      </c>
      <c r="F826" s="3">
        <v>-599204.17000000004</v>
      </c>
      <c r="G826" s="3">
        <v>-1940212.93</v>
      </c>
    </row>
    <row r="827" spans="1:7" x14ac:dyDescent="0.2">
      <c r="A827" s="3" t="s">
        <v>1069</v>
      </c>
      <c r="B827" s="4">
        <v>44620</v>
      </c>
      <c r="C827" s="3" t="s">
        <v>1175</v>
      </c>
      <c r="D827" s="3" t="s">
        <v>1191</v>
      </c>
      <c r="E827" s="3" t="s">
        <v>1192</v>
      </c>
      <c r="F827" s="3">
        <v>-396077.7</v>
      </c>
      <c r="G827" s="3">
        <v>-46223248.030000001</v>
      </c>
    </row>
    <row r="828" spans="1:7" x14ac:dyDescent="0.2">
      <c r="A828" s="3" t="s">
        <v>1072</v>
      </c>
      <c r="B828" s="4">
        <v>44620</v>
      </c>
      <c r="C828" s="3" t="s">
        <v>1175</v>
      </c>
      <c r="D828" s="3" t="s">
        <v>1488</v>
      </c>
      <c r="E828" s="3" t="s">
        <v>1489</v>
      </c>
      <c r="F828" s="3">
        <v>1186.1300000000001</v>
      </c>
      <c r="G828" s="3">
        <v>1186.1300000000001</v>
      </c>
    </row>
    <row r="829" spans="1:7" x14ac:dyDescent="0.2">
      <c r="A829" s="3" t="s">
        <v>1069</v>
      </c>
      <c r="B829" s="4">
        <v>44620</v>
      </c>
      <c r="C829" s="3" t="s">
        <v>1175</v>
      </c>
      <c r="D829" s="3" t="s">
        <v>1237</v>
      </c>
      <c r="E829" s="3" t="s">
        <v>1238</v>
      </c>
      <c r="F829" s="3">
        <v>-6223.51</v>
      </c>
      <c r="G829" s="3">
        <v>-6223.51</v>
      </c>
    </row>
    <row r="830" spans="1:7" x14ac:dyDescent="0.2">
      <c r="A830" s="3" t="s">
        <v>1072</v>
      </c>
      <c r="B830" s="4">
        <v>44620</v>
      </c>
      <c r="C830" s="3" t="s">
        <v>1175</v>
      </c>
      <c r="D830" s="3" t="s">
        <v>1439</v>
      </c>
      <c r="E830" s="3" t="s">
        <v>1440</v>
      </c>
      <c r="F830" s="3">
        <v>2336.8200000000002</v>
      </c>
      <c r="G830" s="3">
        <v>0</v>
      </c>
    </row>
    <row r="831" spans="1:7" x14ac:dyDescent="0.2">
      <c r="A831" s="3" t="s">
        <v>1072</v>
      </c>
      <c r="B831" s="4">
        <v>44620</v>
      </c>
      <c r="C831" s="3" t="s">
        <v>1175</v>
      </c>
      <c r="D831" s="3" t="s">
        <v>1441</v>
      </c>
      <c r="E831" s="3" t="s">
        <v>1442</v>
      </c>
      <c r="F831" s="3">
        <v>-48598.75</v>
      </c>
      <c r="G831" s="3">
        <v>-84559.37</v>
      </c>
    </row>
    <row r="832" spans="1:7" x14ac:dyDescent="0.2">
      <c r="A832" s="3" t="s">
        <v>1072</v>
      </c>
      <c r="B832" s="4">
        <v>44620</v>
      </c>
      <c r="C832" s="3" t="s">
        <v>1175</v>
      </c>
      <c r="D832" s="3" t="s">
        <v>1464</v>
      </c>
      <c r="E832" s="3" t="s">
        <v>1465</v>
      </c>
      <c r="F832" s="3">
        <v>-204.56</v>
      </c>
      <c r="G832" s="3">
        <v>-409.12</v>
      </c>
    </row>
    <row r="833" spans="1:7" x14ac:dyDescent="0.2">
      <c r="A833" s="3" t="s">
        <v>1072</v>
      </c>
      <c r="B833" s="4">
        <v>44620</v>
      </c>
      <c r="C833" s="3" t="s">
        <v>1175</v>
      </c>
      <c r="D833" s="3" t="s">
        <v>1193</v>
      </c>
      <c r="E833" s="3" t="s">
        <v>1443</v>
      </c>
      <c r="F833" s="3">
        <v>-153844.29999999999</v>
      </c>
      <c r="G833" s="3">
        <v>-893675.07</v>
      </c>
    </row>
    <row r="834" spans="1:7" x14ac:dyDescent="0.2">
      <c r="A834" s="3" t="s">
        <v>1069</v>
      </c>
      <c r="B834" s="4">
        <v>44620</v>
      </c>
      <c r="C834" s="3" t="s">
        <v>1175</v>
      </c>
      <c r="D834" s="3" t="s">
        <v>1193</v>
      </c>
      <c r="E834" s="3" t="s">
        <v>1194</v>
      </c>
      <c r="F834" s="3">
        <v>44552.02</v>
      </c>
      <c r="G834" s="3">
        <v>830091.07</v>
      </c>
    </row>
    <row r="835" spans="1:7" x14ac:dyDescent="0.2">
      <c r="A835" s="3" t="s">
        <v>1072</v>
      </c>
      <c r="B835" s="4">
        <v>44620</v>
      </c>
      <c r="C835" s="3" t="s">
        <v>1175</v>
      </c>
      <c r="D835" s="3" t="s">
        <v>1444</v>
      </c>
      <c r="E835" s="3" t="s">
        <v>1445</v>
      </c>
      <c r="F835" s="3">
        <v>-500</v>
      </c>
      <c r="G835" s="3">
        <v>1987.82</v>
      </c>
    </row>
    <row r="836" spans="1:7" x14ac:dyDescent="0.2">
      <c r="A836" s="3" t="s">
        <v>1072</v>
      </c>
      <c r="B836" s="4">
        <v>44620</v>
      </c>
      <c r="C836" s="3" t="s">
        <v>1175</v>
      </c>
      <c r="D836" s="3" t="s">
        <v>1446</v>
      </c>
      <c r="E836" s="3" t="s">
        <v>1447</v>
      </c>
      <c r="F836" s="3">
        <v>0</v>
      </c>
      <c r="G836" s="3">
        <v>-254.99</v>
      </c>
    </row>
    <row r="837" spans="1:7" x14ac:dyDescent="0.2">
      <c r="A837" s="3" t="s">
        <v>1072</v>
      </c>
      <c r="B837" s="4">
        <v>44651</v>
      </c>
      <c r="C837" s="3" t="s">
        <v>1210</v>
      </c>
      <c r="D837" s="3" t="s">
        <v>1448</v>
      </c>
      <c r="E837" s="3" t="s">
        <v>1449</v>
      </c>
      <c r="F837" s="3">
        <v>-1167362.94</v>
      </c>
      <c r="G837" s="3">
        <v>-1167362.94</v>
      </c>
    </row>
    <row r="838" spans="1:7" x14ac:dyDescent="0.2">
      <c r="A838" s="3" t="s">
        <v>1072</v>
      </c>
      <c r="B838" s="4">
        <v>44651</v>
      </c>
      <c r="C838" s="3" t="s">
        <v>1210</v>
      </c>
      <c r="D838" s="3" t="s">
        <v>1267</v>
      </c>
      <c r="E838" s="3" t="s">
        <v>1268</v>
      </c>
      <c r="F838" s="3">
        <v>-3723478.26</v>
      </c>
      <c r="G838" s="3">
        <v>-3723478.26</v>
      </c>
    </row>
    <row r="839" spans="1:7" x14ac:dyDescent="0.2">
      <c r="A839" s="3" t="s">
        <v>1072</v>
      </c>
      <c r="B839" s="4">
        <v>44651</v>
      </c>
      <c r="C839" s="3" t="s">
        <v>1210</v>
      </c>
      <c r="D839" s="3" t="s">
        <v>1273</v>
      </c>
      <c r="E839" s="3" t="s">
        <v>1274</v>
      </c>
      <c r="F839" s="3">
        <v>-3490.94</v>
      </c>
      <c r="G839" s="3">
        <v>-3490.94</v>
      </c>
    </row>
    <row r="840" spans="1:7" x14ac:dyDescent="0.2">
      <c r="A840" s="3" t="s">
        <v>1072</v>
      </c>
      <c r="B840" s="4">
        <v>44651</v>
      </c>
      <c r="C840" s="3" t="s">
        <v>1168</v>
      </c>
      <c r="D840" s="3" t="s">
        <v>1281</v>
      </c>
      <c r="E840" s="3" t="s">
        <v>1282</v>
      </c>
      <c r="F840" s="3">
        <v>3165566.09</v>
      </c>
      <c r="G840" s="3">
        <v>3165566.09</v>
      </c>
    </row>
    <row r="841" spans="1:7" x14ac:dyDescent="0.2">
      <c r="A841" s="3" t="s">
        <v>1072</v>
      </c>
      <c r="B841" s="4">
        <v>44651</v>
      </c>
      <c r="C841" s="3" t="s">
        <v>1168</v>
      </c>
      <c r="D841" s="3" t="s">
        <v>1283</v>
      </c>
      <c r="E841" s="3" t="s">
        <v>1284</v>
      </c>
      <c r="F841" s="3">
        <v>166564.88</v>
      </c>
      <c r="G841" s="3">
        <v>166564.88</v>
      </c>
    </row>
    <row r="842" spans="1:7" x14ac:dyDescent="0.2">
      <c r="A842" s="3" t="s">
        <v>1072</v>
      </c>
      <c r="B842" s="4">
        <v>44651</v>
      </c>
      <c r="C842" s="3" t="s">
        <v>1168</v>
      </c>
      <c r="D842" s="3" t="s">
        <v>1285</v>
      </c>
      <c r="E842" s="3" t="s">
        <v>1286</v>
      </c>
      <c r="F842" s="3">
        <v>2867.09</v>
      </c>
      <c r="G842" s="3">
        <v>2867.09</v>
      </c>
    </row>
    <row r="843" spans="1:7" x14ac:dyDescent="0.2">
      <c r="A843" s="3" t="s">
        <v>1072</v>
      </c>
      <c r="B843" s="4">
        <v>44651</v>
      </c>
      <c r="C843" s="3" t="s">
        <v>1168</v>
      </c>
      <c r="D843" s="3" t="s">
        <v>1289</v>
      </c>
      <c r="E843" s="3" t="s">
        <v>1290</v>
      </c>
      <c r="F843" s="3">
        <v>5500</v>
      </c>
      <c r="G843" s="3">
        <v>5500</v>
      </c>
    </row>
    <row r="844" spans="1:7" x14ac:dyDescent="0.2">
      <c r="A844" s="3" t="s">
        <v>1072</v>
      </c>
      <c r="B844" s="4">
        <v>44651</v>
      </c>
      <c r="C844" s="3" t="s">
        <v>1168</v>
      </c>
      <c r="D844" s="3" t="s">
        <v>1291</v>
      </c>
      <c r="E844" s="3" t="s">
        <v>1292</v>
      </c>
      <c r="F844" s="3">
        <v>4000</v>
      </c>
      <c r="G844" s="3">
        <v>4000</v>
      </c>
    </row>
    <row r="845" spans="1:7" x14ac:dyDescent="0.2">
      <c r="A845" s="3" t="s">
        <v>1072</v>
      </c>
      <c r="B845" s="4">
        <v>44651</v>
      </c>
      <c r="C845" s="3" t="s">
        <v>1168</v>
      </c>
      <c r="D845" s="3" t="s">
        <v>1301</v>
      </c>
      <c r="E845" s="3" t="s">
        <v>1302</v>
      </c>
      <c r="F845" s="3">
        <v>416.52</v>
      </c>
      <c r="G845" s="3">
        <v>416.52</v>
      </c>
    </row>
    <row r="846" spans="1:7" x14ac:dyDescent="0.2">
      <c r="A846" s="3" t="s">
        <v>1072</v>
      </c>
      <c r="B846" s="4">
        <v>44651</v>
      </c>
      <c r="C846" s="3" t="s">
        <v>1168</v>
      </c>
      <c r="D846" s="3" t="s">
        <v>1315</v>
      </c>
      <c r="E846" s="3" t="s">
        <v>1316</v>
      </c>
      <c r="F846" s="3">
        <v>268.05</v>
      </c>
      <c r="G846" s="3">
        <v>268.05</v>
      </c>
    </row>
    <row r="847" spans="1:7" x14ac:dyDescent="0.2">
      <c r="A847" s="3" t="s">
        <v>1072</v>
      </c>
      <c r="B847" s="4">
        <v>44651</v>
      </c>
      <c r="C847" s="3" t="s">
        <v>1168</v>
      </c>
      <c r="D847" s="3" t="s">
        <v>1450</v>
      </c>
      <c r="E847" s="3" t="s">
        <v>1451</v>
      </c>
      <c r="F847" s="3">
        <v>967790.23</v>
      </c>
      <c r="G847" s="3">
        <v>967790.23</v>
      </c>
    </row>
    <row r="848" spans="1:7" x14ac:dyDescent="0.2">
      <c r="A848" s="3" t="s">
        <v>1072</v>
      </c>
      <c r="B848" s="4">
        <v>44651</v>
      </c>
      <c r="C848" s="3" t="s">
        <v>1168</v>
      </c>
      <c r="D848" s="3" t="s">
        <v>1452</v>
      </c>
      <c r="E848" s="3" t="s">
        <v>1453</v>
      </c>
      <c r="F848" s="3">
        <v>92590.28</v>
      </c>
      <c r="G848" s="3">
        <v>92590.28</v>
      </c>
    </row>
    <row r="849" spans="1:7" x14ac:dyDescent="0.2">
      <c r="A849" s="3" t="s">
        <v>1072</v>
      </c>
      <c r="B849" s="4">
        <v>44651</v>
      </c>
      <c r="C849" s="3" t="s">
        <v>1168</v>
      </c>
      <c r="D849" s="3" t="s">
        <v>1454</v>
      </c>
      <c r="E849" s="3" t="s">
        <v>1455</v>
      </c>
      <c r="F849" s="3">
        <v>6286.3</v>
      </c>
      <c r="G849" s="3">
        <v>6286.3</v>
      </c>
    </row>
    <row r="850" spans="1:7" x14ac:dyDescent="0.2">
      <c r="A850" s="3" t="s">
        <v>1072</v>
      </c>
      <c r="B850" s="4">
        <v>44651</v>
      </c>
      <c r="C850" s="3" t="s">
        <v>1168</v>
      </c>
      <c r="D850" s="3" t="s">
        <v>1468</v>
      </c>
      <c r="E850" s="3" t="s">
        <v>1469</v>
      </c>
      <c r="F850" s="3">
        <v>545.59</v>
      </c>
      <c r="G850" s="3">
        <v>545.59</v>
      </c>
    </row>
    <row r="851" spans="1:7" x14ac:dyDescent="0.2">
      <c r="A851" s="3" t="s">
        <v>1072</v>
      </c>
      <c r="B851" s="4">
        <v>44651</v>
      </c>
      <c r="C851" s="3" t="s">
        <v>1210</v>
      </c>
      <c r="D851" s="3" t="s">
        <v>1323</v>
      </c>
      <c r="E851" s="3" t="s">
        <v>1324</v>
      </c>
      <c r="F851" s="3">
        <v>-2.02</v>
      </c>
      <c r="G851" s="3">
        <v>-2.02</v>
      </c>
    </row>
    <row r="852" spans="1:7" x14ac:dyDescent="0.2">
      <c r="A852" s="3" t="s">
        <v>1069</v>
      </c>
      <c r="B852" s="4">
        <v>44651</v>
      </c>
      <c r="C852" s="3" t="s">
        <v>1210</v>
      </c>
      <c r="D852" s="3" t="s">
        <v>1249</v>
      </c>
      <c r="E852" s="3" t="s">
        <v>1250</v>
      </c>
      <c r="F852" s="3">
        <v>-7698.07</v>
      </c>
      <c r="G852" s="3">
        <v>-7698.07</v>
      </c>
    </row>
    <row r="853" spans="1:7" x14ac:dyDescent="0.2">
      <c r="A853" s="3" t="s">
        <v>1072</v>
      </c>
      <c r="B853" s="4">
        <v>44651</v>
      </c>
      <c r="C853" s="3" t="s">
        <v>1168</v>
      </c>
      <c r="D853" s="3" t="s">
        <v>1169</v>
      </c>
      <c r="E853" s="3" t="s">
        <v>1079</v>
      </c>
      <c r="F853" s="3">
        <v>687.5</v>
      </c>
      <c r="G853" s="3">
        <v>687.5</v>
      </c>
    </row>
    <row r="854" spans="1:7" x14ac:dyDescent="0.2">
      <c r="A854" s="3" t="s">
        <v>1069</v>
      </c>
      <c r="B854" s="4">
        <v>44651</v>
      </c>
      <c r="C854" s="3" t="s">
        <v>1168</v>
      </c>
      <c r="D854" s="3" t="s">
        <v>1169</v>
      </c>
      <c r="E854" s="3" t="s">
        <v>1079</v>
      </c>
      <c r="F854" s="3">
        <v>550</v>
      </c>
      <c r="G854" s="3">
        <v>550</v>
      </c>
    </row>
    <row r="855" spans="1:7" x14ac:dyDescent="0.2">
      <c r="A855" s="3" t="s">
        <v>1072</v>
      </c>
      <c r="B855" s="4">
        <v>44651</v>
      </c>
      <c r="C855" s="3" t="s">
        <v>1168</v>
      </c>
      <c r="D855" s="3" t="s">
        <v>1195</v>
      </c>
      <c r="E855" s="3" t="s">
        <v>1085</v>
      </c>
      <c r="F855" s="3">
        <v>2575.09</v>
      </c>
      <c r="G855" s="3">
        <v>2575.09</v>
      </c>
    </row>
    <row r="856" spans="1:7" x14ac:dyDescent="0.2">
      <c r="A856" s="3" t="s">
        <v>1069</v>
      </c>
      <c r="B856" s="4">
        <v>44651</v>
      </c>
      <c r="C856" s="3" t="s">
        <v>1168</v>
      </c>
      <c r="D856" s="3" t="s">
        <v>1195</v>
      </c>
      <c r="E856" s="3" t="s">
        <v>1085</v>
      </c>
      <c r="F856" s="3">
        <v>653.70000000000005</v>
      </c>
      <c r="G856" s="3">
        <v>653.70000000000005</v>
      </c>
    </row>
    <row r="857" spans="1:7" x14ac:dyDescent="0.2">
      <c r="A857" s="3" t="s">
        <v>1072</v>
      </c>
      <c r="B857" s="4">
        <v>44651</v>
      </c>
      <c r="C857" s="3" t="s">
        <v>1168</v>
      </c>
      <c r="D857" s="3" t="s">
        <v>1340</v>
      </c>
      <c r="E857" s="3" t="s">
        <v>1141</v>
      </c>
      <c r="F857" s="3">
        <v>1736.89</v>
      </c>
      <c r="G857" s="3">
        <v>1736.89</v>
      </c>
    </row>
    <row r="858" spans="1:7" x14ac:dyDescent="0.2">
      <c r="A858" s="3" t="s">
        <v>1072</v>
      </c>
      <c r="B858" s="4">
        <v>44651</v>
      </c>
      <c r="C858" s="3" t="s">
        <v>1168</v>
      </c>
      <c r="D858" s="3" t="s">
        <v>1341</v>
      </c>
      <c r="E858" s="3" t="s">
        <v>1135</v>
      </c>
      <c r="F858" s="3">
        <v>621.83000000000004</v>
      </c>
      <c r="G858" s="3">
        <v>621.83000000000004</v>
      </c>
    </row>
    <row r="859" spans="1:7" x14ac:dyDescent="0.2">
      <c r="A859" s="3" t="s">
        <v>1072</v>
      </c>
      <c r="B859" s="4">
        <v>44651</v>
      </c>
      <c r="C859" s="3" t="s">
        <v>1168</v>
      </c>
      <c r="D859" s="3" t="s">
        <v>1342</v>
      </c>
      <c r="E859" s="3" t="s">
        <v>1080</v>
      </c>
      <c r="F859" s="3">
        <v>566.09</v>
      </c>
      <c r="G859" s="3">
        <v>566.09</v>
      </c>
    </row>
    <row r="860" spans="1:7" x14ac:dyDescent="0.2">
      <c r="A860" s="3" t="s">
        <v>1069</v>
      </c>
      <c r="B860" s="4">
        <v>44651</v>
      </c>
      <c r="C860" s="3" t="s">
        <v>1168</v>
      </c>
      <c r="D860" s="3" t="s">
        <v>1251</v>
      </c>
      <c r="E860" s="3" t="s">
        <v>1095</v>
      </c>
      <c r="F860" s="3">
        <v>67644.039999999994</v>
      </c>
      <c r="G860" s="3">
        <v>67644.039999999994</v>
      </c>
    </row>
    <row r="861" spans="1:7" x14ac:dyDescent="0.2">
      <c r="A861" s="3" t="s">
        <v>1072</v>
      </c>
      <c r="B861" s="4">
        <v>44651</v>
      </c>
      <c r="C861" s="3" t="s">
        <v>1168</v>
      </c>
      <c r="D861" s="3" t="s">
        <v>1251</v>
      </c>
      <c r="E861" s="3" t="s">
        <v>1345</v>
      </c>
      <c r="F861" s="3">
        <v>36000</v>
      </c>
      <c r="G861" s="3">
        <v>36000</v>
      </c>
    </row>
    <row r="862" spans="1:7" x14ac:dyDescent="0.2">
      <c r="A862" s="3" t="s">
        <v>1072</v>
      </c>
      <c r="B862" s="4">
        <v>44651</v>
      </c>
      <c r="C862" s="3" t="s">
        <v>1168</v>
      </c>
      <c r="D862" s="3" t="s">
        <v>1348</v>
      </c>
      <c r="E862" s="3" t="s">
        <v>1095</v>
      </c>
      <c r="F862" s="3">
        <v>94504.52</v>
      </c>
      <c r="G862" s="3">
        <v>94504.52</v>
      </c>
    </row>
    <row r="863" spans="1:7" x14ac:dyDescent="0.2">
      <c r="A863" s="3" t="s">
        <v>1069</v>
      </c>
      <c r="B863" s="4">
        <v>44651</v>
      </c>
      <c r="C863" s="3" t="s">
        <v>1168</v>
      </c>
      <c r="D863" s="3" t="s">
        <v>1252</v>
      </c>
      <c r="E863" s="3" t="s">
        <v>1120</v>
      </c>
      <c r="F863" s="3">
        <v>4000</v>
      </c>
      <c r="G863" s="3">
        <v>4000</v>
      </c>
    </row>
    <row r="864" spans="1:7" x14ac:dyDescent="0.2">
      <c r="A864" s="3" t="s">
        <v>1072</v>
      </c>
      <c r="B864" s="4">
        <v>44651</v>
      </c>
      <c r="C864" s="3" t="s">
        <v>1168</v>
      </c>
      <c r="D864" s="3" t="s">
        <v>1350</v>
      </c>
      <c r="E864" s="3" t="s">
        <v>1115</v>
      </c>
      <c r="F864" s="3">
        <v>1334.57</v>
      </c>
      <c r="G864" s="3">
        <v>1334.57</v>
      </c>
    </row>
    <row r="865" spans="1:7" x14ac:dyDescent="0.2">
      <c r="A865" s="3" t="s">
        <v>1072</v>
      </c>
      <c r="B865" s="4">
        <v>44651</v>
      </c>
      <c r="C865" s="3" t="s">
        <v>1168</v>
      </c>
      <c r="D865" s="3" t="s">
        <v>1351</v>
      </c>
      <c r="E865" s="3" t="s">
        <v>1096</v>
      </c>
      <c r="F865" s="3">
        <v>193.33</v>
      </c>
      <c r="G865" s="3">
        <v>193.33</v>
      </c>
    </row>
    <row r="866" spans="1:7" x14ac:dyDescent="0.2">
      <c r="A866" s="3" t="s">
        <v>1072</v>
      </c>
      <c r="B866" s="4">
        <v>44651</v>
      </c>
      <c r="C866" s="3" t="s">
        <v>1168</v>
      </c>
      <c r="D866" s="3" t="s">
        <v>1474</v>
      </c>
      <c r="E866" s="3" t="s">
        <v>1114</v>
      </c>
      <c r="F866" s="3">
        <v>427.21</v>
      </c>
      <c r="G866" s="3">
        <v>427.21</v>
      </c>
    </row>
    <row r="867" spans="1:7" x14ac:dyDescent="0.2">
      <c r="A867" s="3" t="s">
        <v>1069</v>
      </c>
      <c r="B867" s="4">
        <v>44651</v>
      </c>
      <c r="C867" s="3" t="s">
        <v>1168</v>
      </c>
      <c r="D867" s="3" t="s">
        <v>1229</v>
      </c>
      <c r="E867" s="3" t="s">
        <v>1136</v>
      </c>
      <c r="F867" s="3">
        <v>2215.9</v>
      </c>
      <c r="G867" s="3">
        <v>2215.9</v>
      </c>
    </row>
    <row r="868" spans="1:7" x14ac:dyDescent="0.2">
      <c r="A868" s="3" t="s">
        <v>1069</v>
      </c>
      <c r="B868" s="4">
        <v>44651</v>
      </c>
      <c r="C868" s="3" t="s">
        <v>1168</v>
      </c>
      <c r="D868" s="3" t="s">
        <v>1230</v>
      </c>
      <c r="E868" s="3" t="s">
        <v>1109</v>
      </c>
      <c r="F868" s="3">
        <v>10580.4</v>
      </c>
      <c r="G868" s="3">
        <v>10580.4</v>
      </c>
    </row>
    <row r="869" spans="1:7" x14ac:dyDescent="0.2">
      <c r="A869" s="3" t="s">
        <v>1072</v>
      </c>
      <c r="B869" s="4">
        <v>44651</v>
      </c>
      <c r="C869" s="3" t="s">
        <v>1168</v>
      </c>
      <c r="D869" s="3" t="s">
        <v>1196</v>
      </c>
      <c r="E869" s="3" t="s">
        <v>1131</v>
      </c>
      <c r="F869" s="3">
        <v>1801.52</v>
      </c>
      <c r="G869" s="3">
        <v>1801.52</v>
      </c>
    </row>
    <row r="870" spans="1:7" x14ac:dyDescent="0.2">
      <c r="A870" s="3" t="s">
        <v>1072</v>
      </c>
      <c r="B870" s="4">
        <v>44651</v>
      </c>
      <c r="C870" s="3" t="s">
        <v>1168</v>
      </c>
      <c r="D870" s="3" t="s">
        <v>1354</v>
      </c>
      <c r="E870" s="3" t="s">
        <v>1078</v>
      </c>
      <c r="F870" s="3">
        <v>1051.21</v>
      </c>
      <c r="G870" s="3">
        <v>1051.21</v>
      </c>
    </row>
    <row r="871" spans="1:7" x14ac:dyDescent="0.2">
      <c r="A871" s="3" t="s">
        <v>1072</v>
      </c>
      <c r="B871" s="4">
        <v>44651</v>
      </c>
      <c r="C871" s="3" t="s">
        <v>1168</v>
      </c>
      <c r="D871" s="3" t="s">
        <v>1355</v>
      </c>
      <c r="E871" s="3" t="s">
        <v>1356</v>
      </c>
      <c r="F871" s="3">
        <v>237.57</v>
      </c>
      <c r="G871" s="3">
        <v>237.57</v>
      </c>
    </row>
    <row r="872" spans="1:7" x14ac:dyDescent="0.2">
      <c r="A872" s="3" t="s">
        <v>1069</v>
      </c>
      <c r="B872" s="4">
        <v>44651</v>
      </c>
      <c r="C872" s="3" t="s">
        <v>1168</v>
      </c>
      <c r="D872" s="3" t="s">
        <v>1456</v>
      </c>
      <c r="E872" s="3" t="s">
        <v>1457</v>
      </c>
      <c r="F872" s="3">
        <v>54.64</v>
      </c>
      <c r="G872" s="3">
        <v>54.64</v>
      </c>
    </row>
    <row r="873" spans="1:7" x14ac:dyDescent="0.2">
      <c r="A873" s="3" t="s">
        <v>1069</v>
      </c>
      <c r="B873" s="4">
        <v>44651</v>
      </c>
      <c r="C873" s="3" t="s">
        <v>1168</v>
      </c>
      <c r="D873" s="3" t="s">
        <v>1253</v>
      </c>
      <c r="E873" s="3" t="s">
        <v>1103</v>
      </c>
      <c r="F873" s="3">
        <v>1156.4100000000001</v>
      </c>
      <c r="G873" s="3">
        <v>1156.4100000000001</v>
      </c>
    </row>
    <row r="874" spans="1:7" x14ac:dyDescent="0.2">
      <c r="A874" s="3" t="s">
        <v>1072</v>
      </c>
      <c r="B874" s="4">
        <v>44651</v>
      </c>
      <c r="C874" s="3" t="s">
        <v>1168</v>
      </c>
      <c r="D874" s="3" t="s">
        <v>1359</v>
      </c>
      <c r="E874" s="3" t="s">
        <v>1086</v>
      </c>
      <c r="F874" s="3">
        <v>1200</v>
      </c>
      <c r="G874" s="3">
        <v>1200</v>
      </c>
    </row>
    <row r="875" spans="1:7" x14ac:dyDescent="0.2">
      <c r="A875" s="3" t="s">
        <v>1072</v>
      </c>
      <c r="B875" s="4">
        <v>44651</v>
      </c>
      <c r="C875" s="3" t="s">
        <v>1168</v>
      </c>
      <c r="D875" s="3" t="s">
        <v>1201</v>
      </c>
      <c r="E875" s="3" t="s">
        <v>1112</v>
      </c>
      <c r="F875" s="3">
        <v>2729.89</v>
      </c>
      <c r="G875" s="3">
        <v>2729.89</v>
      </c>
    </row>
    <row r="876" spans="1:7" x14ac:dyDescent="0.2">
      <c r="A876" s="3" t="s">
        <v>1072</v>
      </c>
      <c r="B876" s="4">
        <v>44651</v>
      </c>
      <c r="C876" s="3" t="s">
        <v>1168</v>
      </c>
      <c r="D876" s="3" t="s">
        <v>1360</v>
      </c>
      <c r="E876" s="3" t="s">
        <v>1098</v>
      </c>
      <c r="F876" s="3">
        <v>1226.2</v>
      </c>
      <c r="G876" s="3">
        <v>1226.2</v>
      </c>
    </row>
    <row r="877" spans="1:7" x14ac:dyDescent="0.2">
      <c r="A877" s="3" t="s">
        <v>1072</v>
      </c>
      <c r="B877" s="4">
        <v>44651</v>
      </c>
      <c r="C877" s="3" t="s">
        <v>1168</v>
      </c>
      <c r="D877" s="3" t="s">
        <v>1361</v>
      </c>
      <c r="E877" s="3" t="s">
        <v>1121</v>
      </c>
      <c r="F877" s="3">
        <v>28087.5</v>
      </c>
      <c r="G877" s="3">
        <v>28087.5</v>
      </c>
    </row>
    <row r="878" spans="1:7" x14ac:dyDescent="0.2">
      <c r="A878" s="3" t="s">
        <v>1072</v>
      </c>
      <c r="B878" s="4">
        <v>44651</v>
      </c>
      <c r="C878" s="3" t="s">
        <v>1168</v>
      </c>
      <c r="D878" s="3" t="s">
        <v>1231</v>
      </c>
      <c r="E878" s="3" t="s">
        <v>1083</v>
      </c>
      <c r="F878" s="3">
        <v>843.6</v>
      </c>
      <c r="G878" s="3">
        <v>843.6</v>
      </c>
    </row>
    <row r="879" spans="1:7" x14ac:dyDescent="0.2">
      <c r="A879" s="3" t="s">
        <v>1069</v>
      </c>
      <c r="B879" s="4">
        <v>44651</v>
      </c>
      <c r="C879" s="3" t="s">
        <v>1168</v>
      </c>
      <c r="D879" s="3" t="s">
        <v>1231</v>
      </c>
      <c r="E879" s="3" t="s">
        <v>1070</v>
      </c>
      <c r="F879" s="3">
        <v>3170.13</v>
      </c>
      <c r="G879" s="3">
        <v>3170.13</v>
      </c>
    </row>
    <row r="880" spans="1:7" x14ac:dyDescent="0.2">
      <c r="A880" s="3" t="s">
        <v>1072</v>
      </c>
      <c r="B880" s="4">
        <v>44651</v>
      </c>
      <c r="C880" s="3" t="s">
        <v>1168</v>
      </c>
      <c r="D880" s="3" t="s">
        <v>1254</v>
      </c>
      <c r="E880" s="3" t="s">
        <v>1075</v>
      </c>
      <c r="F880" s="3">
        <v>450</v>
      </c>
      <c r="G880" s="3">
        <v>450</v>
      </c>
    </row>
    <row r="881" spans="1:7" x14ac:dyDescent="0.2">
      <c r="A881" s="3" t="s">
        <v>1072</v>
      </c>
      <c r="B881" s="4">
        <v>44651</v>
      </c>
      <c r="C881" s="3" t="s">
        <v>1168</v>
      </c>
      <c r="D881" s="3" t="s">
        <v>1362</v>
      </c>
      <c r="E881" s="3" t="s">
        <v>1123</v>
      </c>
      <c r="F881" s="3">
        <v>227696.84</v>
      </c>
      <c r="G881" s="3">
        <v>227696.84</v>
      </c>
    </row>
    <row r="882" spans="1:7" x14ac:dyDescent="0.2">
      <c r="A882" s="3" t="s">
        <v>1069</v>
      </c>
      <c r="B882" s="4">
        <v>44651</v>
      </c>
      <c r="C882" s="3" t="s">
        <v>1168</v>
      </c>
      <c r="D882" s="3" t="s">
        <v>1213</v>
      </c>
      <c r="E882" s="3" t="s">
        <v>1150</v>
      </c>
      <c r="F882" s="3">
        <v>285.26</v>
      </c>
      <c r="G882" s="3">
        <v>285.26</v>
      </c>
    </row>
    <row r="883" spans="1:7" x14ac:dyDescent="0.2">
      <c r="A883" s="3" t="s">
        <v>1072</v>
      </c>
      <c r="B883" s="4">
        <v>44651</v>
      </c>
      <c r="C883" s="3" t="s">
        <v>1168</v>
      </c>
      <c r="D883" s="3" t="s">
        <v>1367</v>
      </c>
      <c r="E883" s="3" t="s">
        <v>1147</v>
      </c>
      <c r="F883" s="3">
        <v>6800</v>
      </c>
      <c r="G883" s="3">
        <v>6800</v>
      </c>
    </row>
    <row r="884" spans="1:7" x14ac:dyDescent="0.2">
      <c r="A884" s="3" t="s">
        <v>1072</v>
      </c>
      <c r="B884" s="4">
        <v>44651</v>
      </c>
      <c r="C884" s="3" t="s">
        <v>1168</v>
      </c>
      <c r="D884" s="3" t="s">
        <v>1368</v>
      </c>
      <c r="E884" s="3" t="s">
        <v>1124</v>
      </c>
      <c r="F884" s="3">
        <v>1751.65</v>
      </c>
      <c r="G884" s="3">
        <v>1751.65</v>
      </c>
    </row>
    <row r="885" spans="1:7" x14ac:dyDescent="0.2">
      <c r="A885" s="3" t="s">
        <v>1072</v>
      </c>
      <c r="B885" s="4">
        <v>44651</v>
      </c>
      <c r="C885" s="3" t="s">
        <v>1168</v>
      </c>
      <c r="D885" s="3" t="s">
        <v>1370</v>
      </c>
      <c r="E885" s="3" t="s">
        <v>1129</v>
      </c>
      <c r="F885" s="3">
        <v>491</v>
      </c>
      <c r="G885" s="3">
        <v>491</v>
      </c>
    </row>
    <row r="886" spans="1:7" x14ac:dyDescent="0.2">
      <c r="A886" s="3" t="s">
        <v>1072</v>
      </c>
      <c r="B886" s="4">
        <v>44651</v>
      </c>
      <c r="C886" s="3" t="s">
        <v>1168</v>
      </c>
      <c r="D886" s="3" t="s">
        <v>1372</v>
      </c>
      <c r="E886" s="3" t="s">
        <v>1158</v>
      </c>
      <c r="F886" s="3">
        <v>600</v>
      </c>
      <c r="G886" s="3">
        <v>600</v>
      </c>
    </row>
    <row r="887" spans="1:7" x14ac:dyDescent="0.2">
      <c r="A887" s="3" t="s">
        <v>1072</v>
      </c>
      <c r="B887" s="4">
        <v>44651</v>
      </c>
      <c r="C887" s="3" t="s">
        <v>1168</v>
      </c>
      <c r="D887" s="3" t="s">
        <v>1373</v>
      </c>
      <c r="E887" s="3" t="s">
        <v>1092</v>
      </c>
      <c r="F887" s="3">
        <v>363</v>
      </c>
      <c r="G887" s="3">
        <v>363</v>
      </c>
    </row>
    <row r="888" spans="1:7" x14ac:dyDescent="0.2">
      <c r="A888" s="3" t="s">
        <v>1072</v>
      </c>
      <c r="B888" s="4">
        <v>44651</v>
      </c>
      <c r="C888" s="3" t="s">
        <v>1168</v>
      </c>
      <c r="D888" s="3" t="s">
        <v>1490</v>
      </c>
      <c r="E888" s="3" t="s">
        <v>1491</v>
      </c>
      <c r="F888" s="3">
        <v>3925</v>
      </c>
      <c r="G888" s="3">
        <v>3925</v>
      </c>
    </row>
    <row r="889" spans="1:7" x14ac:dyDescent="0.2">
      <c r="A889" s="3" t="s">
        <v>1069</v>
      </c>
      <c r="B889" s="4">
        <v>44651</v>
      </c>
      <c r="C889" s="3" t="s">
        <v>1168</v>
      </c>
      <c r="D889" s="3" t="s">
        <v>1232</v>
      </c>
      <c r="E889" s="3" t="s">
        <v>1105</v>
      </c>
      <c r="F889" s="3">
        <v>600</v>
      </c>
      <c r="G889" s="3">
        <v>600</v>
      </c>
    </row>
    <row r="890" spans="1:7" x14ac:dyDescent="0.2">
      <c r="A890" s="3" t="s">
        <v>1072</v>
      </c>
      <c r="B890" s="4">
        <v>44651</v>
      </c>
      <c r="C890" s="3" t="s">
        <v>1168</v>
      </c>
      <c r="D890" s="3" t="s">
        <v>1378</v>
      </c>
      <c r="E890" s="3" t="s">
        <v>1143</v>
      </c>
      <c r="F890" s="3">
        <v>45192.76</v>
      </c>
      <c r="G890" s="3">
        <v>45192.76</v>
      </c>
    </row>
    <row r="891" spans="1:7" x14ac:dyDescent="0.2">
      <c r="A891" s="3" t="s">
        <v>1072</v>
      </c>
      <c r="B891" s="4">
        <v>44651</v>
      </c>
      <c r="C891" s="3" t="s">
        <v>1168</v>
      </c>
      <c r="D891" s="3" t="s">
        <v>1379</v>
      </c>
      <c r="E891" s="3" t="s">
        <v>1107</v>
      </c>
      <c r="F891" s="3">
        <v>2534.4499999999998</v>
      </c>
      <c r="G891" s="3">
        <v>2534.4499999999998</v>
      </c>
    </row>
    <row r="892" spans="1:7" x14ac:dyDescent="0.2">
      <c r="A892" s="3" t="s">
        <v>1072</v>
      </c>
      <c r="B892" s="4">
        <v>44651</v>
      </c>
      <c r="C892" s="3" t="s">
        <v>1168</v>
      </c>
      <c r="D892" s="3" t="s">
        <v>1380</v>
      </c>
      <c r="E892" s="3" t="s">
        <v>1125</v>
      </c>
      <c r="F892" s="3">
        <v>1485.53</v>
      </c>
      <c r="G892" s="3">
        <v>1485.53</v>
      </c>
    </row>
    <row r="893" spans="1:7" x14ac:dyDescent="0.2">
      <c r="A893" s="3" t="s">
        <v>1072</v>
      </c>
      <c r="B893" s="4">
        <v>44651</v>
      </c>
      <c r="C893" s="3" t="s">
        <v>1168</v>
      </c>
      <c r="D893" s="3" t="s">
        <v>1381</v>
      </c>
      <c r="E893" s="3" t="s">
        <v>1130</v>
      </c>
      <c r="F893" s="3">
        <v>1485.53</v>
      </c>
      <c r="G893" s="3">
        <v>1485.53</v>
      </c>
    </row>
    <row r="894" spans="1:7" x14ac:dyDescent="0.2">
      <c r="A894" s="3" t="s">
        <v>1072</v>
      </c>
      <c r="B894" s="4">
        <v>44651</v>
      </c>
      <c r="C894" s="3" t="s">
        <v>1168</v>
      </c>
      <c r="D894" s="3" t="s">
        <v>1458</v>
      </c>
      <c r="E894" s="3" t="s">
        <v>1113</v>
      </c>
      <c r="F894" s="3">
        <v>146.78</v>
      </c>
      <c r="G894" s="3">
        <v>146.78</v>
      </c>
    </row>
    <row r="895" spans="1:7" x14ac:dyDescent="0.2">
      <c r="A895" s="3" t="s">
        <v>1072</v>
      </c>
      <c r="B895" s="4">
        <v>44651</v>
      </c>
      <c r="C895" s="3" t="s">
        <v>1168</v>
      </c>
      <c r="D895" s="3" t="s">
        <v>1459</v>
      </c>
      <c r="E895" s="3" t="s">
        <v>1139</v>
      </c>
      <c r="F895" s="3">
        <v>57.78</v>
      </c>
      <c r="G895" s="3">
        <v>57.78</v>
      </c>
    </row>
    <row r="896" spans="1:7" x14ac:dyDescent="0.2">
      <c r="A896" s="3" t="s">
        <v>1069</v>
      </c>
      <c r="B896" s="4">
        <v>44651</v>
      </c>
      <c r="C896" s="3" t="s">
        <v>1172</v>
      </c>
      <c r="D896" s="3" t="s">
        <v>1173</v>
      </c>
      <c r="E896" s="3" t="s">
        <v>1174</v>
      </c>
      <c r="F896" s="3">
        <v>0</v>
      </c>
      <c r="G896" s="3">
        <v>-100</v>
      </c>
    </row>
    <row r="897" spans="1:7" x14ac:dyDescent="0.2">
      <c r="A897" s="3" t="s">
        <v>1072</v>
      </c>
      <c r="B897" s="4">
        <v>44651</v>
      </c>
      <c r="C897" s="3" t="s">
        <v>1172</v>
      </c>
      <c r="D897" s="3" t="s">
        <v>1382</v>
      </c>
      <c r="E897" s="3" t="s">
        <v>1383</v>
      </c>
      <c r="F897" s="3">
        <v>0</v>
      </c>
      <c r="G897" s="3">
        <v>-120</v>
      </c>
    </row>
    <row r="898" spans="1:7" x14ac:dyDescent="0.2">
      <c r="A898" s="3" t="s">
        <v>1072</v>
      </c>
      <c r="B898" s="4">
        <v>44651</v>
      </c>
      <c r="C898" s="3" t="s">
        <v>1172</v>
      </c>
      <c r="D898" s="3" t="s">
        <v>1384</v>
      </c>
      <c r="E898" s="3" t="s">
        <v>1385</v>
      </c>
      <c r="F898" s="3">
        <v>0</v>
      </c>
      <c r="G898" s="3">
        <v>247347.05</v>
      </c>
    </row>
    <row r="899" spans="1:7" x14ac:dyDescent="0.2">
      <c r="A899" s="3" t="s">
        <v>1069</v>
      </c>
      <c r="B899" s="4">
        <v>44651</v>
      </c>
      <c r="C899" s="3" t="s">
        <v>1172</v>
      </c>
      <c r="D899" s="3" t="s">
        <v>1384</v>
      </c>
      <c r="E899" s="3" t="s">
        <v>1385</v>
      </c>
      <c r="F899" s="3">
        <v>0</v>
      </c>
      <c r="G899" s="3">
        <v>-17080353.050000001</v>
      </c>
    </row>
    <row r="900" spans="1:7" x14ac:dyDescent="0.2">
      <c r="A900" s="3" t="s">
        <v>1069</v>
      </c>
      <c r="B900" s="4">
        <v>44651</v>
      </c>
      <c r="C900" s="3" t="s">
        <v>1180</v>
      </c>
      <c r="D900" s="3" t="s">
        <v>1241</v>
      </c>
      <c r="E900" s="3" t="s">
        <v>1242</v>
      </c>
      <c r="F900" s="3">
        <v>0</v>
      </c>
      <c r="G900" s="3">
        <v>17562360.850000001</v>
      </c>
    </row>
    <row r="901" spans="1:7" x14ac:dyDescent="0.2">
      <c r="A901" s="3" t="s">
        <v>1072</v>
      </c>
      <c r="B901" s="4">
        <v>44651</v>
      </c>
      <c r="C901" s="3" t="s">
        <v>1180</v>
      </c>
      <c r="D901" s="3" t="s">
        <v>1460</v>
      </c>
      <c r="E901" s="3" t="s">
        <v>1461</v>
      </c>
      <c r="F901" s="3">
        <v>200000</v>
      </c>
      <c r="G901" s="3">
        <v>0</v>
      </c>
    </row>
    <row r="902" spans="1:7" x14ac:dyDescent="0.2">
      <c r="A902" s="3" t="s">
        <v>1072</v>
      </c>
      <c r="B902" s="4">
        <v>44651</v>
      </c>
      <c r="C902" s="3" t="s">
        <v>1180</v>
      </c>
      <c r="D902" s="3" t="s">
        <v>1483</v>
      </c>
      <c r="E902" s="3" t="s">
        <v>1177</v>
      </c>
      <c r="F902" s="3">
        <v>0</v>
      </c>
      <c r="G902" s="3">
        <v>2850000</v>
      </c>
    </row>
    <row r="903" spans="1:7" x14ac:dyDescent="0.2">
      <c r="A903" s="3" t="s">
        <v>1072</v>
      </c>
      <c r="B903" s="4">
        <v>44651</v>
      </c>
      <c r="C903" s="3" t="s">
        <v>1180</v>
      </c>
      <c r="D903" s="3" t="s">
        <v>1386</v>
      </c>
      <c r="E903" s="3" t="s">
        <v>1387</v>
      </c>
      <c r="F903" s="3">
        <v>38862.46</v>
      </c>
      <c r="G903" s="3">
        <v>0</v>
      </c>
    </row>
    <row r="904" spans="1:7" x14ac:dyDescent="0.2">
      <c r="A904" s="3" t="s">
        <v>1072</v>
      </c>
      <c r="B904" s="4">
        <v>44651</v>
      </c>
      <c r="C904" s="3" t="s">
        <v>1180</v>
      </c>
      <c r="D904" s="3" t="s">
        <v>1388</v>
      </c>
      <c r="E904" s="3" t="s">
        <v>1389</v>
      </c>
      <c r="F904" s="3">
        <v>-4342.5</v>
      </c>
      <c r="G904" s="3">
        <v>0</v>
      </c>
    </row>
    <row r="905" spans="1:7" x14ac:dyDescent="0.2">
      <c r="A905" s="3" t="s">
        <v>1072</v>
      </c>
      <c r="B905" s="4">
        <v>44651</v>
      </c>
      <c r="C905" s="3" t="s">
        <v>1180</v>
      </c>
      <c r="D905" s="3" t="s">
        <v>1390</v>
      </c>
      <c r="E905" s="3" t="s">
        <v>1391</v>
      </c>
      <c r="F905" s="3">
        <v>150000</v>
      </c>
      <c r="G905" s="3">
        <v>-30000</v>
      </c>
    </row>
    <row r="906" spans="1:7" x14ac:dyDescent="0.2">
      <c r="A906" s="3" t="s">
        <v>1072</v>
      </c>
      <c r="B906" s="4">
        <v>44651</v>
      </c>
      <c r="C906" s="3" t="s">
        <v>1180</v>
      </c>
      <c r="D906" s="3" t="s">
        <v>1392</v>
      </c>
      <c r="E906" s="3" t="s">
        <v>1393</v>
      </c>
      <c r="F906" s="3">
        <v>32031.77</v>
      </c>
      <c r="G906" s="3">
        <v>0</v>
      </c>
    </row>
    <row r="907" spans="1:7" x14ac:dyDescent="0.2">
      <c r="A907" s="3" t="s">
        <v>1072</v>
      </c>
      <c r="B907" s="4">
        <v>44651</v>
      </c>
      <c r="C907" s="3" t="s">
        <v>1180</v>
      </c>
      <c r="D907" s="3" t="s">
        <v>1394</v>
      </c>
      <c r="E907" s="3" t="s">
        <v>1256</v>
      </c>
      <c r="F907" s="3">
        <v>600</v>
      </c>
      <c r="G907" s="3">
        <v>-28800</v>
      </c>
    </row>
    <row r="908" spans="1:7" x14ac:dyDescent="0.2">
      <c r="A908" s="3" t="s">
        <v>1072</v>
      </c>
      <c r="B908" s="4">
        <v>44651</v>
      </c>
      <c r="C908" s="3" t="s">
        <v>1180</v>
      </c>
      <c r="D908" s="3" t="s">
        <v>1395</v>
      </c>
      <c r="E908" s="3" t="s">
        <v>1396</v>
      </c>
      <c r="F908" s="3">
        <v>-18000</v>
      </c>
      <c r="G908" s="3">
        <v>-3356000</v>
      </c>
    </row>
    <row r="909" spans="1:7" x14ac:dyDescent="0.2">
      <c r="A909" s="3" t="s">
        <v>1072</v>
      </c>
      <c r="B909" s="4">
        <v>44651</v>
      </c>
      <c r="C909" s="3" t="s">
        <v>1180</v>
      </c>
      <c r="D909" s="3" t="s">
        <v>1397</v>
      </c>
      <c r="E909" s="3" t="s">
        <v>1398</v>
      </c>
      <c r="F909" s="3">
        <v>600</v>
      </c>
      <c r="G909" s="3">
        <v>1200</v>
      </c>
    </row>
    <row r="910" spans="1:7" x14ac:dyDescent="0.2">
      <c r="A910" s="3" t="s">
        <v>1072</v>
      </c>
      <c r="B910" s="4">
        <v>44651</v>
      </c>
      <c r="C910" s="3" t="s">
        <v>1180</v>
      </c>
      <c r="D910" s="3" t="s">
        <v>1399</v>
      </c>
      <c r="E910" s="3" t="s">
        <v>1400</v>
      </c>
      <c r="F910" s="3">
        <v>0</v>
      </c>
      <c r="G910" s="3">
        <v>-25233.05</v>
      </c>
    </row>
    <row r="911" spans="1:7" x14ac:dyDescent="0.2">
      <c r="A911" s="3" t="s">
        <v>1074</v>
      </c>
      <c r="B911" s="4">
        <v>44651</v>
      </c>
      <c r="C911" s="3" t="s">
        <v>1175</v>
      </c>
      <c r="D911" s="3" t="s">
        <v>1492</v>
      </c>
      <c r="E911" s="3" t="s">
        <v>1493</v>
      </c>
      <c r="F911" s="3">
        <v>-4140</v>
      </c>
      <c r="G911" s="3">
        <v>-4140</v>
      </c>
    </row>
    <row r="912" spans="1:7" x14ac:dyDescent="0.2">
      <c r="A912" s="3" t="s">
        <v>1069</v>
      </c>
      <c r="B912" s="4">
        <v>44651</v>
      </c>
      <c r="C912" s="3" t="s">
        <v>1175</v>
      </c>
      <c r="D912" s="3" t="s">
        <v>1178</v>
      </c>
      <c r="E912" s="3" t="s">
        <v>1179</v>
      </c>
      <c r="F912" s="3">
        <v>18000</v>
      </c>
      <c r="G912" s="3">
        <v>3356000</v>
      </c>
    </row>
    <row r="913" spans="1:7" x14ac:dyDescent="0.2">
      <c r="A913" s="3" t="s">
        <v>1069</v>
      </c>
      <c r="B913" s="4">
        <v>44651</v>
      </c>
      <c r="C913" s="3" t="s">
        <v>1175</v>
      </c>
      <c r="D913" s="3" t="s">
        <v>1494</v>
      </c>
      <c r="E913" s="3" t="s">
        <v>1495</v>
      </c>
      <c r="F913" s="3">
        <v>4140</v>
      </c>
      <c r="G913" s="3">
        <v>4140</v>
      </c>
    </row>
    <row r="914" spans="1:7" x14ac:dyDescent="0.2">
      <c r="A914" s="3" t="s">
        <v>1072</v>
      </c>
      <c r="B914" s="4">
        <v>44651</v>
      </c>
      <c r="C914" s="3" t="s">
        <v>1175</v>
      </c>
      <c r="D914" s="3" t="s">
        <v>1405</v>
      </c>
      <c r="E914" s="3" t="s">
        <v>1406</v>
      </c>
      <c r="F914" s="3">
        <v>5195.2</v>
      </c>
      <c r="G914" s="3">
        <v>5195.2</v>
      </c>
    </row>
    <row r="915" spans="1:7" x14ac:dyDescent="0.2">
      <c r="A915" s="3" t="s">
        <v>1072</v>
      </c>
      <c r="B915" s="4">
        <v>44651</v>
      </c>
      <c r="C915" s="3" t="s">
        <v>1175</v>
      </c>
      <c r="D915" s="3" t="s">
        <v>1407</v>
      </c>
      <c r="E915" s="3" t="s">
        <v>1408</v>
      </c>
      <c r="F915" s="3">
        <v>0</v>
      </c>
      <c r="G915" s="3">
        <v>-58920.1</v>
      </c>
    </row>
    <row r="916" spans="1:7" x14ac:dyDescent="0.2">
      <c r="A916" s="3" t="s">
        <v>1072</v>
      </c>
      <c r="B916" s="4">
        <v>44651</v>
      </c>
      <c r="C916" s="3" t="s">
        <v>1180</v>
      </c>
      <c r="D916" s="3" t="s">
        <v>1409</v>
      </c>
      <c r="E916" s="3" t="s">
        <v>1410</v>
      </c>
      <c r="F916" s="3">
        <v>0</v>
      </c>
      <c r="G916" s="3">
        <v>216064.1</v>
      </c>
    </row>
    <row r="917" spans="1:7" x14ac:dyDescent="0.2">
      <c r="A917" s="3" t="s">
        <v>1072</v>
      </c>
      <c r="B917" s="4">
        <v>44651</v>
      </c>
      <c r="C917" s="3" t="s">
        <v>1180</v>
      </c>
      <c r="D917" s="3" t="s">
        <v>1411</v>
      </c>
      <c r="E917" s="3" t="s">
        <v>1412</v>
      </c>
      <c r="F917" s="3">
        <v>0</v>
      </c>
      <c r="G917" s="3">
        <v>-176453</v>
      </c>
    </row>
    <row r="918" spans="1:7" x14ac:dyDescent="0.2">
      <c r="A918" s="3" t="s">
        <v>1072</v>
      </c>
      <c r="B918" s="4">
        <v>44651</v>
      </c>
      <c r="C918" s="3" t="s">
        <v>1180</v>
      </c>
      <c r="D918" s="3" t="s">
        <v>1413</v>
      </c>
      <c r="E918" s="3" t="s">
        <v>1414</v>
      </c>
      <c r="F918" s="3">
        <v>0</v>
      </c>
      <c r="G918" s="3">
        <v>62174.35</v>
      </c>
    </row>
    <row r="919" spans="1:7" x14ac:dyDescent="0.2">
      <c r="A919" s="3" t="s">
        <v>1072</v>
      </c>
      <c r="B919" s="4">
        <v>44651</v>
      </c>
      <c r="C919" s="3" t="s">
        <v>1180</v>
      </c>
      <c r="D919" s="3" t="s">
        <v>1415</v>
      </c>
      <c r="E919" s="3" t="s">
        <v>1416</v>
      </c>
      <c r="F919" s="3">
        <v>-1334.57</v>
      </c>
      <c r="G919" s="3">
        <v>-20475.66</v>
      </c>
    </row>
    <row r="920" spans="1:7" x14ac:dyDescent="0.2">
      <c r="A920" s="3" t="s">
        <v>1072</v>
      </c>
      <c r="B920" s="4">
        <v>44651</v>
      </c>
      <c r="C920" s="3" t="s">
        <v>1180</v>
      </c>
      <c r="D920" s="3" t="s">
        <v>1462</v>
      </c>
      <c r="E920" s="3" t="s">
        <v>1463</v>
      </c>
      <c r="F920" s="3">
        <v>0</v>
      </c>
      <c r="G920" s="3">
        <v>29281.39</v>
      </c>
    </row>
    <row r="921" spans="1:7" x14ac:dyDescent="0.2">
      <c r="A921" s="3" t="s">
        <v>1072</v>
      </c>
      <c r="B921" s="4">
        <v>44651</v>
      </c>
      <c r="C921" s="3" t="s">
        <v>1180</v>
      </c>
      <c r="D921" s="3" t="s">
        <v>1484</v>
      </c>
      <c r="E921" s="3" t="s">
        <v>1485</v>
      </c>
      <c r="F921" s="3">
        <v>-427.21</v>
      </c>
      <c r="G921" s="3">
        <v>-833.9</v>
      </c>
    </row>
    <row r="922" spans="1:7" x14ac:dyDescent="0.2">
      <c r="A922" s="3" t="s">
        <v>1072</v>
      </c>
      <c r="B922" s="4">
        <v>44651</v>
      </c>
      <c r="C922" s="3" t="s">
        <v>1180</v>
      </c>
      <c r="D922" s="3" t="s">
        <v>1417</v>
      </c>
      <c r="E922" s="3" t="s">
        <v>1418</v>
      </c>
      <c r="F922" s="3">
        <v>0</v>
      </c>
      <c r="G922" s="3">
        <v>11600</v>
      </c>
    </row>
    <row r="923" spans="1:7" x14ac:dyDescent="0.2">
      <c r="A923" s="3" t="s">
        <v>1072</v>
      </c>
      <c r="B923" s="4">
        <v>44651</v>
      </c>
      <c r="C923" s="3" t="s">
        <v>1180</v>
      </c>
      <c r="D923" s="3" t="s">
        <v>1419</v>
      </c>
      <c r="E923" s="3" t="s">
        <v>1420</v>
      </c>
      <c r="F923" s="3">
        <v>-193.33</v>
      </c>
      <c r="G923" s="3">
        <v>-998.89</v>
      </c>
    </row>
    <row r="924" spans="1:7" x14ac:dyDescent="0.2">
      <c r="A924" s="3" t="s">
        <v>1069</v>
      </c>
      <c r="B924" s="4">
        <v>44651</v>
      </c>
      <c r="C924" s="3" t="s">
        <v>1180</v>
      </c>
      <c r="D924" s="3" t="s">
        <v>1421</v>
      </c>
      <c r="E924" s="3" t="s">
        <v>1422</v>
      </c>
      <c r="F924" s="3">
        <v>0</v>
      </c>
      <c r="G924" s="3">
        <v>261841.5</v>
      </c>
    </row>
    <row r="925" spans="1:7" x14ac:dyDescent="0.2">
      <c r="A925" s="3" t="s">
        <v>1069</v>
      </c>
      <c r="B925" s="4">
        <v>44651</v>
      </c>
      <c r="C925" s="3" t="s">
        <v>1180</v>
      </c>
      <c r="D925" s="3" t="s">
        <v>1214</v>
      </c>
      <c r="E925" s="3" t="s">
        <v>1215</v>
      </c>
      <c r="F925" s="3">
        <v>0</v>
      </c>
      <c r="G925" s="3">
        <v>26200000</v>
      </c>
    </row>
    <row r="926" spans="1:7" x14ac:dyDescent="0.2">
      <c r="A926" s="3" t="s">
        <v>1069</v>
      </c>
      <c r="B926" s="4">
        <v>44651</v>
      </c>
      <c r="C926" s="3" t="s">
        <v>1180</v>
      </c>
      <c r="D926" s="3" t="s">
        <v>1216</v>
      </c>
      <c r="E926" s="3" t="s">
        <v>1217</v>
      </c>
      <c r="F926" s="3">
        <v>0</v>
      </c>
      <c r="G926" s="3">
        <v>68427</v>
      </c>
    </row>
    <row r="927" spans="1:7" x14ac:dyDescent="0.2">
      <c r="A927" s="3" t="s">
        <v>1069</v>
      </c>
      <c r="B927" s="4">
        <v>44651</v>
      </c>
      <c r="C927" s="3" t="s">
        <v>1180</v>
      </c>
      <c r="D927" s="3" t="s">
        <v>1218</v>
      </c>
      <c r="E927" s="3" t="s">
        <v>1219</v>
      </c>
      <c r="F927" s="3">
        <v>0</v>
      </c>
      <c r="G927" s="3">
        <v>103812</v>
      </c>
    </row>
    <row r="928" spans="1:7" x14ac:dyDescent="0.2">
      <c r="A928" s="3" t="s">
        <v>1069</v>
      </c>
      <c r="B928" s="4">
        <v>44651</v>
      </c>
      <c r="C928" s="3" t="s">
        <v>1180</v>
      </c>
      <c r="D928" s="3" t="s">
        <v>1197</v>
      </c>
      <c r="E928" s="3" t="s">
        <v>1198</v>
      </c>
      <c r="F928" s="3">
        <v>4980</v>
      </c>
      <c r="G928" s="3">
        <v>146980</v>
      </c>
    </row>
    <row r="929" spans="1:7" x14ac:dyDescent="0.2">
      <c r="A929" s="3" t="s">
        <v>1069</v>
      </c>
      <c r="B929" s="4">
        <v>44651</v>
      </c>
      <c r="C929" s="3" t="s">
        <v>1180</v>
      </c>
      <c r="D929" s="3" t="s">
        <v>1496</v>
      </c>
      <c r="E929" s="3" t="s">
        <v>1497</v>
      </c>
      <c r="F929" s="3">
        <v>16000</v>
      </c>
      <c r="G929" s="3">
        <v>16000</v>
      </c>
    </row>
    <row r="930" spans="1:7" x14ac:dyDescent="0.2">
      <c r="A930" s="3" t="s">
        <v>1069</v>
      </c>
      <c r="B930" s="4">
        <v>44651</v>
      </c>
      <c r="C930" s="3" t="s">
        <v>1180</v>
      </c>
      <c r="D930" s="3" t="s">
        <v>1181</v>
      </c>
      <c r="E930" s="3" t="s">
        <v>1182</v>
      </c>
      <c r="F930" s="3">
        <v>302433</v>
      </c>
      <c r="G930" s="3">
        <v>5355349.5</v>
      </c>
    </row>
    <row r="931" spans="1:7" x14ac:dyDescent="0.2">
      <c r="A931" s="3" t="s">
        <v>1069</v>
      </c>
      <c r="B931" s="4">
        <v>44651</v>
      </c>
      <c r="C931" s="3" t="s">
        <v>1180</v>
      </c>
      <c r="D931" s="3" t="s">
        <v>1263</v>
      </c>
      <c r="E931" s="3" t="s">
        <v>1264</v>
      </c>
      <c r="F931" s="3">
        <v>0</v>
      </c>
      <c r="G931" s="3">
        <v>13807.78</v>
      </c>
    </row>
    <row r="932" spans="1:7" x14ac:dyDescent="0.2">
      <c r="A932" s="3" t="s">
        <v>1069</v>
      </c>
      <c r="B932" s="4">
        <v>44651</v>
      </c>
      <c r="C932" s="3" t="s">
        <v>1180</v>
      </c>
      <c r="D932" s="3" t="s">
        <v>1202</v>
      </c>
      <c r="E932" s="3" t="s">
        <v>1203</v>
      </c>
      <c r="F932" s="3">
        <v>0</v>
      </c>
      <c r="G932" s="3">
        <v>6350</v>
      </c>
    </row>
    <row r="933" spans="1:7" x14ac:dyDescent="0.2">
      <c r="A933" s="3" t="s">
        <v>1069</v>
      </c>
      <c r="B933" s="4">
        <v>44651</v>
      </c>
      <c r="C933" s="3" t="s">
        <v>1180</v>
      </c>
      <c r="D933" s="3" t="s">
        <v>1204</v>
      </c>
      <c r="E933" s="3" t="s">
        <v>1205</v>
      </c>
      <c r="F933" s="3">
        <v>0</v>
      </c>
      <c r="G933" s="3">
        <v>7500</v>
      </c>
    </row>
    <row r="934" spans="1:7" x14ac:dyDescent="0.2">
      <c r="A934" s="3" t="s">
        <v>1069</v>
      </c>
      <c r="B934" s="4">
        <v>44651</v>
      </c>
      <c r="C934" s="3" t="s">
        <v>1180</v>
      </c>
      <c r="D934" s="3" t="s">
        <v>1199</v>
      </c>
      <c r="E934" s="3" t="s">
        <v>1200</v>
      </c>
      <c r="F934" s="3">
        <v>0</v>
      </c>
      <c r="G934" s="3">
        <v>67400</v>
      </c>
    </row>
    <row r="935" spans="1:7" x14ac:dyDescent="0.2">
      <c r="A935" s="3" t="s">
        <v>1069</v>
      </c>
      <c r="B935" s="4">
        <v>44651</v>
      </c>
      <c r="C935" s="3" t="s">
        <v>1180</v>
      </c>
      <c r="D935" s="3" t="s">
        <v>1486</v>
      </c>
      <c r="E935" s="3" t="s">
        <v>1487</v>
      </c>
      <c r="F935" s="3">
        <v>1400</v>
      </c>
      <c r="G935" s="3">
        <v>8000</v>
      </c>
    </row>
    <row r="936" spans="1:7" x14ac:dyDescent="0.2">
      <c r="A936" s="3" t="s">
        <v>1069</v>
      </c>
      <c r="B936" s="4">
        <v>44651</v>
      </c>
      <c r="C936" s="3" t="s">
        <v>1180</v>
      </c>
      <c r="D936" s="3" t="s">
        <v>1220</v>
      </c>
      <c r="E936" s="3" t="s">
        <v>1221</v>
      </c>
      <c r="F936" s="3">
        <v>0</v>
      </c>
      <c r="G936" s="3">
        <v>15175</v>
      </c>
    </row>
    <row r="937" spans="1:7" x14ac:dyDescent="0.2">
      <c r="A937" s="3" t="s">
        <v>1069</v>
      </c>
      <c r="B937" s="4">
        <v>44651</v>
      </c>
      <c r="C937" s="3" t="s">
        <v>1180</v>
      </c>
      <c r="D937" s="3" t="s">
        <v>1498</v>
      </c>
      <c r="E937" s="3" t="s">
        <v>1499</v>
      </c>
      <c r="F937" s="3">
        <v>446460.38</v>
      </c>
      <c r="G937" s="3">
        <v>446460.38</v>
      </c>
    </row>
    <row r="938" spans="1:7" x14ac:dyDescent="0.2">
      <c r="A938" s="3" t="s">
        <v>1069</v>
      </c>
      <c r="B938" s="4">
        <v>44651</v>
      </c>
      <c r="C938" s="3" t="s">
        <v>1180</v>
      </c>
      <c r="D938" s="3" t="s">
        <v>1183</v>
      </c>
      <c r="E938" s="3" t="s">
        <v>1184</v>
      </c>
      <c r="F938" s="3">
        <v>1167362.94</v>
      </c>
      <c r="G938" s="3">
        <v>1354722.83</v>
      </c>
    </row>
    <row r="939" spans="1:7" x14ac:dyDescent="0.2">
      <c r="A939" s="3" t="s">
        <v>1069</v>
      </c>
      <c r="B939" s="4">
        <v>44651</v>
      </c>
      <c r="C939" s="3" t="s">
        <v>1180</v>
      </c>
      <c r="D939" s="3" t="s">
        <v>1222</v>
      </c>
      <c r="E939" s="3" t="s">
        <v>1223</v>
      </c>
      <c r="F939" s="3">
        <v>45697.93</v>
      </c>
      <c r="G939" s="3">
        <v>2376904.9900000002</v>
      </c>
    </row>
    <row r="940" spans="1:7" x14ac:dyDescent="0.2">
      <c r="A940" s="3" t="s">
        <v>1069</v>
      </c>
      <c r="B940" s="4">
        <v>44651</v>
      </c>
      <c r="C940" s="3" t="s">
        <v>1180</v>
      </c>
      <c r="D940" s="3" t="s">
        <v>1235</v>
      </c>
      <c r="E940" s="3" t="s">
        <v>1236</v>
      </c>
      <c r="F940" s="3">
        <v>0</v>
      </c>
      <c r="G940" s="3">
        <v>782608.07</v>
      </c>
    </row>
    <row r="941" spans="1:7" x14ac:dyDescent="0.2">
      <c r="A941" s="3" t="s">
        <v>1069</v>
      </c>
      <c r="B941" s="4">
        <v>44651</v>
      </c>
      <c r="C941" s="3" t="s">
        <v>1180</v>
      </c>
      <c r="D941" s="3" t="s">
        <v>1206</v>
      </c>
      <c r="E941" s="3" t="s">
        <v>1207</v>
      </c>
      <c r="F941" s="3">
        <v>0</v>
      </c>
      <c r="G941" s="3">
        <v>129550</v>
      </c>
    </row>
    <row r="942" spans="1:7" x14ac:dyDescent="0.2">
      <c r="A942" s="3" t="s">
        <v>1069</v>
      </c>
      <c r="B942" s="4">
        <v>44651</v>
      </c>
      <c r="C942" s="3" t="s">
        <v>1180</v>
      </c>
      <c r="D942" s="3" t="s">
        <v>1208</v>
      </c>
      <c r="E942" s="3" t="s">
        <v>1209</v>
      </c>
      <c r="F942" s="3">
        <v>0</v>
      </c>
      <c r="G942" s="3">
        <v>45000</v>
      </c>
    </row>
    <row r="943" spans="1:7" x14ac:dyDescent="0.2">
      <c r="A943" s="3" t="s">
        <v>1069</v>
      </c>
      <c r="B943" s="4">
        <v>44651</v>
      </c>
      <c r="C943" s="3" t="s">
        <v>1180</v>
      </c>
      <c r="D943" s="3" t="s">
        <v>1259</v>
      </c>
      <c r="E943" s="3" t="s">
        <v>1260</v>
      </c>
      <c r="F943" s="3">
        <v>6000</v>
      </c>
      <c r="G943" s="3">
        <v>60000</v>
      </c>
    </row>
    <row r="944" spans="1:7" x14ac:dyDescent="0.2">
      <c r="A944" s="3" t="s">
        <v>1069</v>
      </c>
      <c r="B944" s="4">
        <v>44651</v>
      </c>
      <c r="C944" s="3" t="s">
        <v>1180</v>
      </c>
      <c r="D944" s="3" t="s">
        <v>1265</v>
      </c>
      <c r="E944" s="3" t="s">
        <v>1266</v>
      </c>
      <c r="F944" s="3">
        <v>562.57000000000005</v>
      </c>
      <c r="G944" s="3">
        <v>740372.41</v>
      </c>
    </row>
    <row r="945" spans="1:7" x14ac:dyDescent="0.2">
      <c r="A945" s="3" t="s">
        <v>1069</v>
      </c>
      <c r="B945" s="4">
        <v>44651</v>
      </c>
      <c r="C945" s="3" t="s">
        <v>1180</v>
      </c>
      <c r="D945" s="3" t="s">
        <v>1423</v>
      </c>
      <c r="E945" s="3" t="s">
        <v>1424</v>
      </c>
      <c r="F945" s="3">
        <v>0</v>
      </c>
      <c r="G945" s="3">
        <v>622274.51</v>
      </c>
    </row>
    <row r="946" spans="1:7" x14ac:dyDescent="0.2">
      <c r="A946" s="3" t="s">
        <v>1072</v>
      </c>
      <c r="B946" s="4">
        <v>44651</v>
      </c>
      <c r="C946" s="3" t="s">
        <v>1180</v>
      </c>
      <c r="D946" s="3" t="s">
        <v>1425</v>
      </c>
      <c r="E946" s="3" t="s">
        <v>1426</v>
      </c>
      <c r="F946" s="3">
        <v>0</v>
      </c>
      <c r="G946" s="3">
        <v>6875.45</v>
      </c>
    </row>
    <row r="947" spans="1:7" x14ac:dyDescent="0.2">
      <c r="A947" s="3" t="s">
        <v>1072</v>
      </c>
      <c r="B947" s="4">
        <v>44651</v>
      </c>
      <c r="C947" s="3" t="s">
        <v>1180</v>
      </c>
      <c r="D947" s="3" t="s">
        <v>1427</v>
      </c>
      <c r="E947" s="3" t="s">
        <v>1428</v>
      </c>
      <c r="F947" s="3">
        <v>1419556.4</v>
      </c>
      <c r="G947" s="3">
        <v>4564116.91</v>
      </c>
    </row>
    <row r="948" spans="1:7" x14ac:dyDescent="0.2">
      <c r="A948" s="3" t="s">
        <v>1072</v>
      </c>
      <c r="B948" s="4">
        <v>44651</v>
      </c>
      <c r="C948" s="3" t="s">
        <v>1180</v>
      </c>
      <c r="D948" s="3" t="s">
        <v>1429</v>
      </c>
      <c r="E948" s="3" t="s">
        <v>1430</v>
      </c>
      <c r="F948" s="3">
        <v>31125.88</v>
      </c>
      <c r="G948" s="3">
        <v>45461.35</v>
      </c>
    </row>
    <row r="949" spans="1:7" x14ac:dyDescent="0.2">
      <c r="A949" s="3" t="s">
        <v>1069</v>
      </c>
      <c r="B949" s="4">
        <v>44651</v>
      </c>
      <c r="C949" s="3" t="s">
        <v>1180</v>
      </c>
      <c r="D949" s="3" t="s">
        <v>1257</v>
      </c>
      <c r="E949" s="3" t="s">
        <v>1258</v>
      </c>
      <c r="F949" s="3">
        <v>0</v>
      </c>
      <c r="G949" s="3">
        <v>300000</v>
      </c>
    </row>
    <row r="950" spans="1:7" x14ac:dyDescent="0.2">
      <c r="A950" s="3" t="s">
        <v>1069</v>
      </c>
      <c r="B950" s="4">
        <v>44651</v>
      </c>
      <c r="C950" s="3" t="s">
        <v>1180</v>
      </c>
      <c r="D950" s="3" t="s">
        <v>1187</v>
      </c>
      <c r="E950" s="3" t="s">
        <v>1188</v>
      </c>
      <c r="F950" s="3">
        <v>703690.79</v>
      </c>
      <c r="G950" s="3">
        <v>728719.98</v>
      </c>
    </row>
    <row r="951" spans="1:7" x14ac:dyDescent="0.2">
      <c r="A951" s="3" t="s">
        <v>1072</v>
      </c>
      <c r="B951" s="4">
        <v>44651</v>
      </c>
      <c r="C951" s="3" t="s">
        <v>1180</v>
      </c>
      <c r="D951" s="3" t="s">
        <v>1187</v>
      </c>
      <c r="E951" s="3" t="s">
        <v>1433</v>
      </c>
      <c r="F951" s="3">
        <v>-381692.36</v>
      </c>
      <c r="G951" s="3">
        <v>45928.42</v>
      </c>
    </row>
    <row r="952" spans="1:7" x14ac:dyDescent="0.2">
      <c r="A952" s="3" t="s">
        <v>1072</v>
      </c>
      <c r="B952" s="4">
        <v>44651</v>
      </c>
      <c r="C952" s="3" t="s">
        <v>1180</v>
      </c>
      <c r="D952" s="3" t="s">
        <v>1435</v>
      </c>
      <c r="E952" s="3" t="s">
        <v>1436</v>
      </c>
      <c r="F952" s="3">
        <v>2.02</v>
      </c>
      <c r="G952" s="3">
        <v>511.66</v>
      </c>
    </row>
    <row r="953" spans="1:7" x14ac:dyDescent="0.2">
      <c r="A953" s="3" t="s">
        <v>1069</v>
      </c>
      <c r="B953" s="4">
        <v>44651</v>
      </c>
      <c r="C953" s="3" t="s">
        <v>1180</v>
      </c>
      <c r="D953" s="3" t="s">
        <v>1243</v>
      </c>
      <c r="E953" s="3" t="s">
        <v>1244</v>
      </c>
      <c r="F953" s="3">
        <v>3.12</v>
      </c>
      <c r="G953" s="3">
        <v>788.07</v>
      </c>
    </row>
    <row r="954" spans="1:7" x14ac:dyDescent="0.2">
      <c r="A954" s="3" t="s">
        <v>1069</v>
      </c>
      <c r="B954" s="4">
        <v>44651</v>
      </c>
      <c r="C954" s="3" t="s">
        <v>1180</v>
      </c>
      <c r="D954" s="3" t="s">
        <v>1245</v>
      </c>
      <c r="E954" s="3" t="s">
        <v>1246</v>
      </c>
      <c r="F954" s="3">
        <v>-1393634.92</v>
      </c>
      <c r="G954" s="3">
        <v>3022384.45</v>
      </c>
    </row>
    <row r="955" spans="1:7" x14ac:dyDescent="0.2">
      <c r="A955" s="3" t="s">
        <v>1072</v>
      </c>
      <c r="B955" s="4">
        <v>44651</v>
      </c>
      <c r="C955" s="3" t="s">
        <v>1175</v>
      </c>
      <c r="D955" s="3" t="s">
        <v>1437</v>
      </c>
      <c r="E955" s="3" t="s">
        <v>1438</v>
      </c>
      <c r="F955" s="3">
        <v>-0.04</v>
      </c>
      <c r="G955" s="3">
        <v>-0.03</v>
      </c>
    </row>
    <row r="956" spans="1:7" x14ac:dyDescent="0.2">
      <c r="A956" s="3" t="s">
        <v>1069</v>
      </c>
      <c r="B956" s="4">
        <v>44651</v>
      </c>
      <c r="C956" s="3" t="s">
        <v>1175</v>
      </c>
      <c r="D956" s="3" t="s">
        <v>1437</v>
      </c>
      <c r="E956" s="3" t="s">
        <v>1438</v>
      </c>
      <c r="F956" s="3">
        <v>0</v>
      </c>
      <c r="G956" s="3">
        <v>0.01</v>
      </c>
    </row>
    <row r="957" spans="1:7" x14ac:dyDescent="0.2">
      <c r="A957" s="3" t="s">
        <v>1072</v>
      </c>
      <c r="B957" s="4">
        <v>44651</v>
      </c>
      <c r="C957" s="3" t="s">
        <v>1175</v>
      </c>
      <c r="D957" s="3" t="s">
        <v>1191</v>
      </c>
      <c r="E957" s="3" t="s">
        <v>1192</v>
      </c>
      <c r="F957" s="3">
        <v>-1344321.38</v>
      </c>
      <c r="G957" s="3">
        <v>-3284534.31</v>
      </c>
    </row>
    <row r="958" spans="1:7" x14ac:dyDescent="0.2">
      <c r="A958" s="3" t="s">
        <v>1069</v>
      </c>
      <c r="B958" s="4">
        <v>44651</v>
      </c>
      <c r="C958" s="3" t="s">
        <v>1175</v>
      </c>
      <c r="D958" s="3" t="s">
        <v>1191</v>
      </c>
      <c r="E958" s="3" t="s">
        <v>1192</v>
      </c>
      <c r="F958" s="3">
        <v>-715169.89</v>
      </c>
      <c r="G958" s="3">
        <v>-46938417.920000002</v>
      </c>
    </row>
    <row r="959" spans="1:7" x14ac:dyDescent="0.2">
      <c r="A959" s="3" t="s">
        <v>1074</v>
      </c>
      <c r="B959" s="4">
        <v>44651</v>
      </c>
      <c r="C959" s="3" t="s">
        <v>1175</v>
      </c>
      <c r="D959" s="3" t="s">
        <v>1191</v>
      </c>
      <c r="E959" s="3" t="s">
        <v>1192</v>
      </c>
      <c r="F959" s="3">
        <v>4140</v>
      </c>
      <c r="G959" s="3">
        <v>4140</v>
      </c>
    </row>
    <row r="960" spans="1:7" x14ac:dyDescent="0.2">
      <c r="A960" s="3" t="s">
        <v>1072</v>
      </c>
      <c r="B960" s="4">
        <v>44651</v>
      </c>
      <c r="C960" s="3" t="s">
        <v>1175</v>
      </c>
      <c r="D960" s="3" t="s">
        <v>1488</v>
      </c>
      <c r="E960" s="3" t="s">
        <v>1489</v>
      </c>
      <c r="F960" s="3">
        <v>0</v>
      </c>
      <c r="G960" s="3">
        <v>1186.1300000000001</v>
      </c>
    </row>
    <row r="961" spans="1:7" x14ac:dyDescent="0.2">
      <c r="A961" s="3" t="s">
        <v>1069</v>
      </c>
      <c r="B961" s="4">
        <v>44651</v>
      </c>
      <c r="C961" s="3" t="s">
        <v>1175</v>
      </c>
      <c r="D961" s="3" t="s">
        <v>1237</v>
      </c>
      <c r="E961" s="3" t="s">
        <v>1238</v>
      </c>
      <c r="F961" s="3">
        <v>6223.51</v>
      </c>
      <c r="G961" s="3">
        <v>0</v>
      </c>
    </row>
    <row r="962" spans="1:7" x14ac:dyDescent="0.2">
      <c r="A962" s="3" t="s">
        <v>1072</v>
      </c>
      <c r="B962" s="4">
        <v>44651</v>
      </c>
      <c r="C962" s="3" t="s">
        <v>1175</v>
      </c>
      <c r="D962" s="3" t="s">
        <v>1439</v>
      </c>
      <c r="E962" s="3" t="s">
        <v>1440</v>
      </c>
      <c r="F962" s="3">
        <v>5644.75</v>
      </c>
      <c r="G962" s="3">
        <v>5644.75</v>
      </c>
    </row>
    <row r="963" spans="1:7" x14ac:dyDescent="0.2">
      <c r="A963" s="3" t="s">
        <v>1072</v>
      </c>
      <c r="B963" s="4">
        <v>44651</v>
      </c>
      <c r="C963" s="3" t="s">
        <v>1175</v>
      </c>
      <c r="D963" s="3" t="s">
        <v>1441</v>
      </c>
      <c r="E963" s="3" t="s">
        <v>1442</v>
      </c>
      <c r="F963" s="3">
        <v>33861.1</v>
      </c>
      <c r="G963" s="3">
        <v>-50698.27</v>
      </c>
    </row>
    <row r="964" spans="1:7" x14ac:dyDescent="0.2">
      <c r="A964" s="3" t="s">
        <v>1072</v>
      </c>
      <c r="B964" s="4">
        <v>44651</v>
      </c>
      <c r="C964" s="3" t="s">
        <v>1175</v>
      </c>
      <c r="D964" s="3" t="s">
        <v>1464</v>
      </c>
      <c r="E964" s="3" t="s">
        <v>1465</v>
      </c>
      <c r="F964" s="3">
        <v>-204.56</v>
      </c>
      <c r="G964" s="3">
        <v>-613.67999999999995</v>
      </c>
    </row>
    <row r="965" spans="1:7" x14ac:dyDescent="0.2">
      <c r="A965" s="3" t="s">
        <v>1072</v>
      </c>
      <c r="B965" s="4">
        <v>44651</v>
      </c>
      <c r="C965" s="3" t="s">
        <v>1175</v>
      </c>
      <c r="D965" s="3" t="s">
        <v>1193</v>
      </c>
      <c r="E965" s="3" t="s">
        <v>1443</v>
      </c>
      <c r="F965" s="3">
        <v>-153711.32</v>
      </c>
      <c r="G965" s="3">
        <v>-1047386.39</v>
      </c>
    </row>
    <row r="966" spans="1:7" x14ac:dyDescent="0.2">
      <c r="A966" s="3" t="s">
        <v>1069</v>
      </c>
      <c r="B966" s="4">
        <v>44651</v>
      </c>
      <c r="C966" s="3" t="s">
        <v>1175</v>
      </c>
      <c r="D966" s="3" t="s">
        <v>1193</v>
      </c>
      <c r="E966" s="3" t="s">
        <v>1194</v>
      </c>
      <c r="F966" s="3">
        <v>-697361.84</v>
      </c>
      <c r="G966" s="3">
        <v>132729.23000000001</v>
      </c>
    </row>
    <row r="967" spans="1:7" x14ac:dyDescent="0.2">
      <c r="A967" s="3" t="s">
        <v>1072</v>
      </c>
      <c r="B967" s="4">
        <v>44651</v>
      </c>
      <c r="C967" s="3" t="s">
        <v>1175</v>
      </c>
      <c r="D967" s="3" t="s">
        <v>1444</v>
      </c>
      <c r="E967" s="3" t="s">
        <v>1445</v>
      </c>
      <c r="F967" s="3">
        <v>-118.02</v>
      </c>
      <c r="G967" s="3">
        <v>1869.8</v>
      </c>
    </row>
    <row r="968" spans="1:7" x14ac:dyDescent="0.2">
      <c r="A968" s="3" t="s">
        <v>1072</v>
      </c>
      <c r="B968" s="4">
        <v>44651</v>
      </c>
      <c r="C968" s="3" t="s">
        <v>1175</v>
      </c>
      <c r="D968" s="3" t="s">
        <v>1446</v>
      </c>
      <c r="E968" s="3" t="s">
        <v>1447</v>
      </c>
      <c r="F968" s="3">
        <v>0</v>
      </c>
      <c r="G968" s="3">
        <v>-254.99</v>
      </c>
    </row>
    <row r="969" spans="1:7" x14ac:dyDescent="0.2">
      <c r="A969" s="3" t="s">
        <v>1072</v>
      </c>
      <c r="B969" s="4">
        <v>44681</v>
      </c>
      <c r="C969" s="3" t="s">
        <v>1210</v>
      </c>
      <c r="D969" s="3" t="s">
        <v>1448</v>
      </c>
      <c r="E969" s="3" t="s">
        <v>1449</v>
      </c>
      <c r="F969" s="3">
        <v>-2316900.66</v>
      </c>
      <c r="G969" s="3">
        <v>-3484263.6</v>
      </c>
    </row>
    <row r="970" spans="1:7" x14ac:dyDescent="0.2">
      <c r="A970" s="3" t="s">
        <v>1072</v>
      </c>
      <c r="B970" s="4">
        <v>44681</v>
      </c>
      <c r="C970" s="3" t="s">
        <v>1210</v>
      </c>
      <c r="D970" s="3" t="s">
        <v>1267</v>
      </c>
      <c r="E970" s="3" t="s">
        <v>1268</v>
      </c>
      <c r="F970" s="3">
        <v>-3823586.17</v>
      </c>
      <c r="G970" s="3">
        <v>-7547064.4299999997</v>
      </c>
    </row>
    <row r="971" spans="1:7" x14ac:dyDescent="0.2">
      <c r="A971" s="3" t="s">
        <v>1072</v>
      </c>
      <c r="B971" s="4">
        <v>44681</v>
      </c>
      <c r="C971" s="3" t="s">
        <v>1210</v>
      </c>
      <c r="D971" s="3" t="s">
        <v>1273</v>
      </c>
      <c r="E971" s="3" t="s">
        <v>1274</v>
      </c>
      <c r="F971" s="3">
        <v>-3490.94</v>
      </c>
      <c r="G971" s="3">
        <v>-6981.88</v>
      </c>
    </row>
    <row r="972" spans="1:7" x14ac:dyDescent="0.2">
      <c r="A972" s="3" t="s">
        <v>1072</v>
      </c>
      <c r="B972" s="4">
        <v>44681</v>
      </c>
      <c r="C972" s="3" t="s">
        <v>1210</v>
      </c>
      <c r="D972" s="3" t="s">
        <v>1500</v>
      </c>
      <c r="E972" s="3" t="s">
        <v>1501</v>
      </c>
      <c r="F972" s="3">
        <v>-104</v>
      </c>
      <c r="G972" s="3">
        <v>-104</v>
      </c>
    </row>
    <row r="973" spans="1:7" x14ac:dyDescent="0.2">
      <c r="A973" s="3" t="s">
        <v>1072</v>
      </c>
      <c r="B973" s="4">
        <v>44681</v>
      </c>
      <c r="C973" s="3" t="s">
        <v>1168</v>
      </c>
      <c r="D973" s="3" t="s">
        <v>1466</v>
      </c>
      <c r="E973" s="3" t="s">
        <v>1467</v>
      </c>
      <c r="F973" s="3">
        <v>957.28</v>
      </c>
      <c r="G973" s="3">
        <v>957.28</v>
      </c>
    </row>
    <row r="974" spans="1:7" x14ac:dyDescent="0.2">
      <c r="A974" s="3" t="s">
        <v>1072</v>
      </c>
      <c r="B974" s="4">
        <v>44681</v>
      </c>
      <c r="C974" s="3" t="s">
        <v>1168</v>
      </c>
      <c r="D974" s="3" t="s">
        <v>1281</v>
      </c>
      <c r="E974" s="3" t="s">
        <v>1282</v>
      </c>
      <c r="F974" s="3">
        <v>3114643.78</v>
      </c>
      <c r="G974" s="3">
        <v>6280209.8700000001</v>
      </c>
    </row>
    <row r="975" spans="1:7" x14ac:dyDescent="0.2">
      <c r="A975" s="3" t="s">
        <v>1072</v>
      </c>
      <c r="B975" s="4">
        <v>44681</v>
      </c>
      <c r="C975" s="3" t="s">
        <v>1168</v>
      </c>
      <c r="D975" s="3" t="s">
        <v>1283</v>
      </c>
      <c r="E975" s="3" t="s">
        <v>1284</v>
      </c>
      <c r="F975" s="3">
        <v>94519</v>
      </c>
      <c r="G975" s="3">
        <v>261083.88</v>
      </c>
    </row>
    <row r="976" spans="1:7" x14ac:dyDescent="0.2">
      <c r="A976" s="3" t="s">
        <v>1072</v>
      </c>
      <c r="B976" s="4">
        <v>44681</v>
      </c>
      <c r="C976" s="3" t="s">
        <v>1168</v>
      </c>
      <c r="D976" s="3" t="s">
        <v>1285</v>
      </c>
      <c r="E976" s="3" t="s">
        <v>1286</v>
      </c>
      <c r="F976" s="3">
        <v>6946.25</v>
      </c>
      <c r="G976" s="3">
        <v>9813.34</v>
      </c>
    </row>
    <row r="977" spans="1:7" x14ac:dyDescent="0.2">
      <c r="A977" s="3" t="s">
        <v>1072</v>
      </c>
      <c r="B977" s="4">
        <v>44681</v>
      </c>
      <c r="C977" s="3" t="s">
        <v>1168</v>
      </c>
      <c r="D977" s="3" t="s">
        <v>1289</v>
      </c>
      <c r="E977" s="3" t="s">
        <v>1290</v>
      </c>
      <c r="F977" s="3">
        <v>0</v>
      </c>
      <c r="G977" s="3">
        <v>5500</v>
      </c>
    </row>
    <row r="978" spans="1:7" x14ac:dyDescent="0.2">
      <c r="A978" s="3" t="s">
        <v>1072</v>
      </c>
      <c r="B978" s="4">
        <v>44681</v>
      </c>
      <c r="C978" s="3" t="s">
        <v>1168</v>
      </c>
      <c r="D978" s="3" t="s">
        <v>1291</v>
      </c>
      <c r="E978" s="3" t="s">
        <v>1292</v>
      </c>
      <c r="F978" s="3">
        <v>4000</v>
      </c>
      <c r="G978" s="3">
        <v>8000</v>
      </c>
    </row>
    <row r="979" spans="1:7" x14ac:dyDescent="0.2">
      <c r="A979" s="3" t="s">
        <v>1072</v>
      </c>
      <c r="B979" s="4">
        <v>44681</v>
      </c>
      <c r="C979" s="3" t="s">
        <v>1168</v>
      </c>
      <c r="D979" s="3" t="s">
        <v>1299</v>
      </c>
      <c r="E979" s="3" t="s">
        <v>1300</v>
      </c>
      <c r="F979" s="3">
        <v>2473.65</v>
      </c>
      <c r="G979" s="3">
        <v>2473.65</v>
      </c>
    </row>
    <row r="980" spans="1:7" x14ac:dyDescent="0.2">
      <c r="A980" s="3" t="s">
        <v>1072</v>
      </c>
      <c r="B980" s="4">
        <v>44681</v>
      </c>
      <c r="C980" s="3" t="s">
        <v>1168</v>
      </c>
      <c r="D980" s="3" t="s">
        <v>1301</v>
      </c>
      <c r="E980" s="3" t="s">
        <v>1302</v>
      </c>
      <c r="F980" s="3">
        <v>520.87</v>
      </c>
      <c r="G980" s="3">
        <v>937.39</v>
      </c>
    </row>
    <row r="981" spans="1:7" x14ac:dyDescent="0.2">
      <c r="A981" s="3" t="s">
        <v>1072</v>
      </c>
      <c r="B981" s="4">
        <v>44681</v>
      </c>
      <c r="C981" s="3" t="s">
        <v>1168</v>
      </c>
      <c r="D981" s="3" t="s">
        <v>1315</v>
      </c>
      <c r="E981" s="3" t="s">
        <v>1316</v>
      </c>
      <c r="F981" s="3">
        <v>2415</v>
      </c>
      <c r="G981" s="3">
        <v>2683.05</v>
      </c>
    </row>
    <row r="982" spans="1:7" x14ac:dyDescent="0.2">
      <c r="A982" s="3" t="s">
        <v>1072</v>
      </c>
      <c r="B982" s="4">
        <v>44681</v>
      </c>
      <c r="C982" s="3" t="s">
        <v>1168</v>
      </c>
      <c r="D982" s="3" t="s">
        <v>1450</v>
      </c>
      <c r="E982" s="3" t="s">
        <v>1451</v>
      </c>
      <c r="F982" s="3">
        <v>2138785</v>
      </c>
      <c r="G982" s="3">
        <v>3106575.23</v>
      </c>
    </row>
    <row r="983" spans="1:7" x14ac:dyDescent="0.2">
      <c r="A983" s="3" t="s">
        <v>1072</v>
      </c>
      <c r="B983" s="4">
        <v>44681</v>
      </c>
      <c r="C983" s="3" t="s">
        <v>1168</v>
      </c>
      <c r="D983" s="3" t="s">
        <v>1452</v>
      </c>
      <c r="E983" s="3" t="s">
        <v>1453</v>
      </c>
      <c r="F983" s="3">
        <v>239884.17</v>
      </c>
      <c r="G983" s="3">
        <v>332474.45</v>
      </c>
    </row>
    <row r="984" spans="1:7" x14ac:dyDescent="0.2">
      <c r="A984" s="3" t="s">
        <v>1072</v>
      </c>
      <c r="B984" s="4">
        <v>44681</v>
      </c>
      <c r="C984" s="3" t="s">
        <v>1168</v>
      </c>
      <c r="D984" s="3" t="s">
        <v>1454</v>
      </c>
      <c r="E984" s="3" t="s">
        <v>1455</v>
      </c>
      <c r="F984" s="3">
        <v>4000</v>
      </c>
      <c r="G984" s="3">
        <v>10286.299999999999</v>
      </c>
    </row>
    <row r="985" spans="1:7" x14ac:dyDescent="0.2">
      <c r="A985" s="3" t="s">
        <v>1072</v>
      </c>
      <c r="B985" s="4">
        <v>44681</v>
      </c>
      <c r="C985" s="3" t="s">
        <v>1168</v>
      </c>
      <c r="D985" s="3" t="s">
        <v>1468</v>
      </c>
      <c r="E985" s="3" t="s">
        <v>1469</v>
      </c>
      <c r="F985" s="3">
        <v>1085.22</v>
      </c>
      <c r="G985" s="3">
        <v>1630.81</v>
      </c>
    </row>
    <row r="986" spans="1:7" x14ac:dyDescent="0.2">
      <c r="A986" s="3" t="s">
        <v>1072</v>
      </c>
      <c r="B986" s="4">
        <v>44681</v>
      </c>
      <c r="C986" s="3" t="s">
        <v>1168</v>
      </c>
      <c r="D986" s="3" t="s">
        <v>1502</v>
      </c>
      <c r="E986" s="3" t="s">
        <v>1503</v>
      </c>
      <c r="F986" s="3">
        <v>4782.6099999999997</v>
      </c>
      <c r="G986" s="3">
        <v>4782.6099999999997</v>
      </c>
    </row>
    <row r="987" spans="1:7" x14ac:dyDescent="0.2">
      <c r="A987" s="3" t="s">
        <v>1072</v>
      </c>
      <c r="B987" s="4">
        <v>44681</v>
      </c>
      <c r="C987" s="3" t="s">
        <v>1210</v>
      </c>
      <c r="D987" s="3" t="s">
        <v>1323</v>
      </c>
      <c r="E987" s="3" t="s">
        <v>1324</v>
      </c>
      <c r="F987" s="3">
        <v>0</v>
      </c>
      <c r="G987" s="3">
        <v>-2.02</v>
      </c>
    </row>
    <row r="988" spans="1:7" x14ac:dyDescent="0.2">
      <c r="A988" s="3" t="s">
        <v>1069</v>
      </c>
      <c r="B988" s="4">
        <v>44681</v>
      </c>
      <c r="C988" s="3" t="s">
        <v>1210</v>
      </c>
      <c r="D988" s="3" t="s">
        <v>1249</v>
      </c>
      <c r="E988" s="3" t="s">
        <v>1250</v>
      </c>
      <c r="F988" s="3">
        <v>-33568.160000000003</v>
      </c>
      <c r="G988" s="3">
        <v>-41266.230000000003</v>
      </c>
    </row>
    <row r="989" spans="1:7" x14ac:dyDescent="0.2">
      <c r="A989" s="3" t="s">
        <v>1072</v>
      </c>
      <c r="B989" s="4">
        <v>44681</v>
      </c>
      <c r="C989" s="3" t="s">
        <v>1168</v>
      </c>
      <c r="D989" s="3" t="s">
        <v>1326</v>
      </c>
      <c r="E989" s="3" t="s">
        <v>1088</v>
      </c>
      <c r="F989" s="3">
        <v>10600</v>
      </c>
      <c r="G989" s="3">
        <v>10600</v>
      </c>
    </row>
    <row r="990" spans="1:7" x14ac:dyDescent="0.2">
      <c r="A990" s="3" t="s">
        <v>1072</v>
      </c>
      <c r="B990" s="4">
        <v>44681</v>
      </c>
      <c r="C990" s="3" t="s">
        <v>1168</v>
      </c>
      <c r="D990" s="3" t="s">
        <v>1337</v>
      </c>
      <c r="E990" s="3" t="s">
        <v>1338</v>
      </c>
      <c r="F990" s="3">
        <v>639.13</v>
      </c>
      <c r="G990" s="3">
        <v>639.13</v>
      </c>
    </row>
    <row r="991" spans="1:7" x14ac:dyDescent="0.2">
      <c r="A991" s="3" t="s">
        <v>1072</v>
      </c>
      <c r="B991" s="4">
        <v>44681</v>
      </c>
      <c r="C991" s="3" t="s">
        <v>1168</v>
      </c>
      <c r="D991" s="3" t="s">
        <v>1169</v>
      </c>
      <c r="E991" s="3" t="s">
        <v>1079</v>
      </c>
      <c r="F991" s="3">
        <v>0</v>
      </c>
      <c r="G991" s="3">
        <v>687.5</v>
      </c>
    </row>
    <row r="992" spans="1:7" x14ac:dyDescent="0.2">
      <c r="A992" s="3" t="s">
        <v>1069</v>
      </c>
      <c r="B992" s="4">
        <v>44681</v>
      </c>
      <c r="C992" s="3" t="s">
        <v>1168</v>
      </c>
      <c r="D992" s="3" t="s">
        <v>1169</v>
      </c>
      <c r="E992" s="3" t="s">
        <v>1079</v>
      </c>
      <c r="F992" s="3">
        <v>55237.86</v>
      </c>
      <c r="G992" s="3">
        <v>55787.86</v>
      </c>
    </row>
    <row r="993" spans="1:7" x14ac:dyDescent="0.2">
      <c r="A993" s="3" t="s">
        <v>1069</v>
      </c>
      <c r="B993" s="4">
        <v>44681</v>
      </c>
      <c r="C993" s="3" t="s">
        <v>1168</v>
      </c>
      <c r="D993" s="3" t="s">
        <v>1261</v>
      </c>
      <c r="E993" s="3" t="s">
        <v>1145</v>
      </c>
      <c r="F993" s="3">
        <v>23112</v>
      </c>
      <c r="G993" s="3">
        <v>23112</v>
      </c>
    </row>
    <row r="994" spans="1:7" x14ac:dyDescent="0.2">
      <c r="A994" s="3" t="s">
        <v>1072</v>
      </c>
      <c r="B994" s="4">
        <v>44681</v>
      </c>
      <c r="C994" s="3" t="s">
        <v>1168</v>
      </c>
      <c r="D994" s="3" t="s">
        <v>1195</v>
      </c>
      <c r="E994" s="3" t="s">
        <v>1085</v>
      </c>
      <c r="F994" s="3">
        <v>2938.93</v>
      </c>
      <c r="G994" s="3">
        <v>5514.02</v>
      </c>
    </row>
    <row r="995" spans="1:7" x14ac:dyDescent="0.2">
      <c r="A995" s="3" t="s">
        <v>1069</v>
      </c>
      <c r="B995" s="4">
        <v>44681</v>
      </c>
      <c r="C995" s="3" t="s">
        <v>1168</v>
      </c>
      <c r="D995" s="3" t="s">
        <v>1195</v>
      </c>
      <c r="E995" s="3" t="s">
        <v>1085</v>
      </c>
      <c r="F995" s="3">
        <v>714.16</v>
      </c>
      <c r="G995" s="3">
        <v>1367.86</v>
      </c>
    </row>
    <row r="996" spans="1:7" x14ac:dyDescent="0.2">
      <c r="A996" s="3" t="s">
        <v>1072</v>
      </c>
      <c r="B996" s="4">
        <v>44681</v>
      </c>
      <c r="C996" s="3" t="s">
        <v>1168</v>
      </c>
      <c r="D996" s="3" t="s">
        <v>1340</v>
      </c>
      <c r="E996" s="3" t="s">
        <v>1141</v>
      </c>
      <c r="F996" s="3">
        <v>250</v>
      </c>
      <c r="G996" s="3">
        <v>1986.89</v>
      </c>
    </row>
    <row r="997" spans="1:7" x14ac:dyDescent="0.2">
      <c r="A997" s="3" t="s">
        <v>1072</v>
      </c>
      <c r="B997" s="4">
        <v>44681</v>
      </c>
      <c r="C997" s="3" t="s">
        <v>1168</v>
      </c>
      <c r="D997" s="3" t="s">
        <v>1341</v>
      </c>
      <c r="E997" s="3" t="s">
        <v>1135</v>
      </c>
      <c r="F997" s="3">
        <v>662.7</v>
      </c>
      <c r="G997" s="3">
        <v>1284.53</v>
      </c>
    </row>
    <row r="998" spans="1:7" x14ac:dyDescent="0.2">
      <c r="A998" s="3" t="s">
        <v>1072</v>
      </c>
      <c r="B998" s="4">
        <v>44681</v>
      </c>
      <c r="C998" s="3" t="s">
        <v>1168</v>
      </c>
      <c r="D998" s="3" t="s">
        <v>1342</v>
      </c>
      <c r="E998" s="3" t="s">
        <v>1080</v>
      </c>
      <c r="F998" s="3">
        <v>0</v>
      </c>
      <c r="G998" s="3">
        <v>566.09</v>
      </c>
    </row>
    <row r="999" spans="1:7" x14ac:dyDescent="0.2">
      <c r="A999" s="3" t="s">
        <v>1072</v>
      </c>
      <c r="B999" s="4">
        <v>44681</v>
      </c>
      <c r="C999" s="3" t="s">
        <v>1168</v>
      </c>
      <c r="D999" s="3" t="s">
        <v>1504</v>
      </c>
      <c r="E999" s="3" t="s">
        <v>1142</v>
      </c>
      <c r="F999" s="3">
        <v>3130</v>
      </c>
      <c r="G999" s="3">
        <v>3130</v>
      </c>
    </row>
    <row r="1000" spans="1:7" x14ac:dyDescent="0.2">
      <c r="A1000" s="3" t="s">
        <v>1069</v>
      </c>
      <c r="B1000" s="4">
        <v>44681</v>
      </c>
      <c r="C1000" s="3" t="s">
        <v>1168</v>
      </c>
      <c r="D1000" s="3" t="s">
        <v>1251</v>
      </c>
      <c r="E1000" s="3" t="s">
        <v>1095</v>
      </c>
      <c r="F1000" s="3">
        <v>78771.649999999994</v>
      </c>
      <c r="G1000" s="3">
        <v>146415.69</v>
      </c>
    </row>
    <row r="1001" spans="1:7" x14ac:dyDescent="0.2">
      <c r="A1001" s="3" t="s">
        <v>1072</v>
      </c>
      <c r="B1001" s="4">
        <v>44681</v>
      </c>
      <c r="C1001" s="3" t="s">
        <v>1168</v>
      </c>
      <c r="D1001" s="3" t="s">
        <v>1251</v>
      </c>
      <c r="E1001" s="3" t="s">
        <v>1345</v>
      </c>
      <c r="F1001" s="3">
        <v>36000</v>
      </c>
      <c r="G1001" s="3">
        <v>72000</v>
      </c>
    </row>
    <row r="1002" spans="1:7" x14ac:dyDescent="0.2">
      <c r="A1002" s="3" t="s">
        <v>1072</v>
      </c>
      <c r="B1002" s="4">
        <v>44681</v>
      </c>
      <c r="C1002" s="3" t="s">
        <v>1168</v>
      </c>
      <c r="D1002" s="3" t="s">
        <v>1348</v>
      </c>
      <c r="E1002" s="3" t="s">
        <v>1095</v>
      </c>
      <c r="F1002" s="3">
        <v>119917.35</v>
      </c>
      <c r="G1002" s="3">
        <v>214421.87</v>
      </c>
    </row>
    <row r="1003" spans="1:7" x14ac:dyDescent="0.2">
      <c r="A1003" s="3" t="s">
        <v>1069</v>
      </c>
      <c r="B1003" s="4">
        <v>44681</v>
      </c>
      <c r="C1003" s="3" t="s">
        <v>1168</v>
      </c>
      <c r="D1003" s="3" t="s">
        <v>1252</v>
      </c>
      <c r="E1003" s="3" t="s">
        <v>1120</v>
      </c>
      <c r="F1003" s="3">
        <v>0</v>
      </c>
      <c r="G1003" s="3">
        <v>4000</v>
      </c>
    </row>
    <row r="1004" spans="1:7" x14ac:dyDescent="0.2">
      <c r="A1004" s="3" t="s">
        <v>1072</v>
      </c>
      <c r="B1004" s="4">
        <v>44681</v>
      </c>
      <c r="C1004" s="3" t="s">
        <v>1168</v>
      </c>
      <c r="D1004" s="3" t="s">
        <v>1350</v>
      </c>
      <c r="E1004" s="3" t="s">
        <v>1115</v>
      </c>
      <c r="F1004" s="3">
        <v>1539.82</v>
      </c>
      <c r="G1004" s="3">
        <v>2874.39</v>
      </c>
    </row>
    <row r="1005" spans="1:7" x14ac:dyDescent="0.2">
      <c r="A1005" s="3" t="s">
        <v>1072</v>
      </c>
      <c r="B1005" s="4">
        <v>44681</v>
      </c>
      <c r="C1005" s="3" t="s">
        <v>1168</v>
      </c>
      <c r="D1005" s="3" t="s">
        <v>1351</v>
      </c>
      <c r="E1005" s="3" t="s">
        <v>1096</v>
      </c>
      <c r="F1005" s="3">
        <v>193.34</v>
      </c>
      <c r="G1005" s="3">
        <v>386.67</v>
      </c>
    </row>
    <row r="1006" spans="1:7" x14ac:dyDescent="0.2">
      <c r="A1006" s="3" t="s">
        <v>1072</v>
      </c>
      <c r="B1006" s="4">
        <v>44681</v>
      </c>
      <c r="C1006" s="3" t="s">
        <v>1168</v>
      </c>
      <c r="D1006" s="3" t="s">
        <v>1474</v>
      </c>
      <c r="E1006" s="3" t="s">
        <v>1114</v>
      </c>
      <c r="F1006" s="3">
        <v>427.2</v>
      </c>
      <c r="G1006" s="3">
        <v>854.41</v>
      </c>
    </row>
    <row r="1007" spans="1:7" x14ac:dyDescent="0.2">
      <c r="A1007" s="3" t="s">
        <v>1069</v>
      </c>
      <c r="B1007" s="4">
        <v>44681</v>
      </c>
      <c r="C1007" s="3" t="s">
        <v>1168</v>
      </c>
      <c r="D1007" s="3" t="s">
        <v>1229</v>
      </c>
      <c r="E1007" s="3" t="s">
        <v>1136</v>
      </c>
      <c r="F1007" s="3">
        <v>0</v>
      </c>
      <c r="G1007" s="3">
        <v>2215.9</v>
      </c>
    </row>
    <row r="1008" spans="1:7" x14ac:dyDescent="0.2">
      <c r="A1008" s="3" t="s">
        <v>1072</v>
      </c>
      <c r="B1008" s="4">
        <v>44681</v>
      </c>
      <c r="C1008" s="3" t="s">
        <v>1168</v>
      </c>
      <c r="D1008" s="3" t="s">
        <v>1229</v>
      </c>
      <c r="E1008" s="3" t="s">
        <v>1106</v>
      </c>
      <c r="F1008" s="3">
        <v>7622.4</v>
      </c>
      <c r="G1008" s="3">
        <v>7622.4</v>
      </c>
    </row>
    <row r="1009" spans="1:7" x14ac:dyDescent="0.2">
      <c r="A1009" s="3" t="s">
        <v>1069</v>
      </c>
      <c r="B1009" s="4">
        <v>44681</v>
      </c>
      <c r="C1009" s="3" t="s">
        <v>1168</v>
      </c>
      <c r="D1009" s="3" t="s">
        <v>1230</v>
      </c>
      <c r="E1009" s="3" t="s">
        <v>1109</v>
      </c>
      <c r="F1009" s="3">
        <v>0</v>
      </c>
      <c r="G1009" s="3">
        <v>10580.4</v>
      </c>
    </row>
    <row r="1010" spans="1:7" x14ac:dyDescent="0.2">
      <c r="A1010" s="3" t="s">
        <v>1072</v>
      </c>
      <c r="B1010" s="4">
        <v>44681</v>
      </c>
      <c r="C1010" s="3" t="s">
        <v>1168</v>
      </c>
      <c r="D1010" s="3" t="s">
        <v>1196</v>
      </c>
      <c r="E1010" s="3" t="s">
        <v>1131</v>
      </c>
      <c r="F1010" s="3">
        <v>0</v>
      </c>
      <c r="G1010" s="3">
        <v>1801.52</v>
      </c>
    </row>
    <row r="1011" spans="1:7" x14ac:dyDescent="0.2">
      <c r="A1011" s="3" t="s">
        <v>1072</v>
      </c>
      <c r="B1011" s="4">
        <v>44681</v>
      </c>
      <c r="C1011" s="3" t="s">
        <v>1168</v>
      </c>
      <c r="D1011" s="3" t="s">
        <v>1354</v>
      </c>
      <c r="E1011" s="3" t="s">
        <v>1078</v>
      </c>
      <c r="F1011" s="3">
        <v>2461.8000000000002</v>
      </c>
      <c r="G1011" s="3">
        <v>3513.01</v>
      </c>
    </row>
    <row r="1012" spans="1:7" x14ac:dyDescent="0.2">
      <c r="A1012" s="3" t="s">
        <v>1072</v>
      </c>
      <c r="B1012" s="4">
        <v>44681</v>
      </c>
      <c r="C1012" s="3" t="s">
        <v>1168</v>
      </c>
      <c r="D1012" s="3" t="s">
        <v>1355</v>
      </c>
      <c r="E1012" s="3" t="s">
        <v>1356</v>
      </c>
      <c r="F1012" s="3">
        <v>237.57</v>
      </c>
      <c r="G1012" s="3">
        <v>475.14</v>
      </c>
    </row>
    <row r="1013" spans="1:7" x14ac:dyDescent="0.2">
      <c r="A1013" s="3" t="s">
        <v>1069</v>
      </c>
      <c r="B1013" s="4">
        <v>44681</v>
      </c>
      <c r="C1013" s="3" t="s">
        <v>1168</v>
      </c>
      <c r="D1013" s="3" t="s">
        <v>1456</v>
      </c>
      <c r="E1013" s="3" t="s">
        <v>1457</v>
      </c>
      <c r="F1013" s="3">
        <v>0</v>
      </c>
      <c r="G1013" s="3">
        <v>54.64</v>
      </c>
    </row>
    <row r="1014" spans="1:7" x14ac:dyDescent="0.2">
      <c r="A1014" s="3" t="s">
        <v>1069</v>
      </c>
      <c r="B1014" s="4">
        <v>44681</v>
      </c>
      <c r="C1014" s="3" t="s">
        <v>1168</v>
      </c>
      <c r="D1014" s="3" t="s">
        <v>1253</v>
      </c>
      <c r="E1014" s="3" t="s">
        <v>1103</v>
      </c>
      <c r="F1014" s="3">
        <v>19858.78</v>
      </c>
      <c r="G1014" s="3">
        <v>21015.19</v>
      </c>
    </row>
    <row r="1015" spans="1:7" x14ac:dyDescent="0.2">
      <c r="A1015" s="3" t="s">
        <v>1072</v>
      </c>
      <c r="B1015" s="4">
        <v>44681</v>
      </c>
      <c r="C1015" s="3" t="s">
        <v>1168</v>
      </c>
      <c r="D1015" s="3" t="s">
        <v>1359</v>
      </c>
      <c r="E1015" s="3" t="s">
        <v>1086</v>
      </c>
      <c r="F1015" s="3">
        <v>0</v>
      </c>
      <c r="G1015" s="3">
        <v>1200</v>
      </c>
    </row>
    <row r="1016" spans="1:7" x14ac:dyDescent="0.2">
      <c r="A1016" s="3" t="s">
        <v>1072</v>
      </c>
      <c r="B1016" s="4">
        <v>44681</v>
      </c>
      <c r="C1016" s="3" t="s">
        <v>1168</v>
      </c>
      <c r="D1016" s="3" t="s">
        <v>1201</v>
      </c>
      <c r="E1016" s="3" t="s">
        <v>1112</v>
      </c>
      <c r="F1016" s="3">
        <v>768.08</v>
      </c>
      <c r="G1016" s="3">
        <v>3497.97</v>
      </c>
    </row>
    <row r="1017" spans="1:7" x14ac:dyDescent="0.2">
      <c r="A1017" s="3" t="s">
        <v>1072</v>
      </c>
      <c r="B1017" s="4">
        <v>44681</v>
      </c>
      <c r="C1017" s="3" t="s">
        <v>1168</v>
      </c>
      <c r="D1017" s="3" t="s">
        <v>1360</v>
      </c>
      <c r="E1017" s="3" t="s">
        <v>1098</v>
      </c>
      <c r="F1017" s="3">
        <v>0</v>
      </c>
      <c r="G1017" s="3">
        <v>1226.2</v>
      </c>
    </row>
    <row r="1018" spans="1:7" x14ac:dyDescent="0.2">
      <c r="A1018" s="3" t="s">
        <v>1072</v>
      </c>
      <c r="B1018" s="4">
        <v>44681</v>
      </c>
      <c r="C1018" s="3" t="s">
        <v>1168</v>
      </c>
      <c r="D1018" s="3" t="s">
        <v>1361</v>
      </c>
      <c r="E1018" s="3" t="s">
        <v>1121</v>
      </c>
      <c r="F1018" s="3">
        <v>28087.5</v>
      </c>
      <c r="G1018" s="3">
        <v>56175</v>
      </c>
    </row>
    <row r="1019" spans="1:7" x14ac:dyDescent="0.2">
      <c r="A1019" s="3" t="s">
        <v>1072</v>
      </c>
      <c r="B1019" s="4">
        <v>44681</v>
      </c>
      <c r="C1019" s="3" t="s">
        <v>1168</v>
      </c>
      <c r="D1019" s="3" t="s">
        <v>1231</v>
      </c>
      <c r="E1019" s="3" t="s">
        <v>1083</v>
      </c>
      <c r="F1019" s="3">
        <v>843.6</v>
      </c>
      <c r="G1019" s="3">
        <v>1687.2</v>
      </c>
    </row>
    <row r="1020" spans="1:7" x14ac:dyDescent="0.2">
      <c r="A1020" s="3" t="s">
        <v>1069</v>
      </c>
      <c r="B1020" s="4">
        <v>44681</v>
      </c>
      <c r="C1020" s="3" t="s">
        <v>1168</v>
      </c>
      <c r="D1020" s="3" t="s">
        <v>1231</v>
      </c>
      <c r="E1020" s="3" t="s">
        <v>1070</v>
      </c>
      <c r="F1020" s="3">
        <v>0</v>
      </c>
      <c r="G1020" s="3">
        <v>3170.13</v>
      </c>
    </row>
    <row r="1021" spans="1:7" x14ac:dyDescent="0.2">
      <c r="A1021" s="3" t="s">
        <v>1072</v>
      </c>
      <c r="B1021" s="4">
        <v>44681</v>
      </c>
      <c r="C1021" s="3" t="s">
        <v>1168</v>
      </c>
      <c r="D1021" s="3" t="s">
        <v>1254</v>
      </c>
      <c r="E1021" s="3" t="s">
        <v>1075</v>
      </c>
      <c r="F1021" s="3">
        <v>0</v>
      </c>
      <c r="G1021" s="3">
        <v>450</v>
      </c>
    </row>
    <row r="1022" spans="1:7" x14ac:dyDescent="0.2">
      <c r="A1022" s="3" t="s">
        <v>1072</v>
      </c>
      <c r="B1022" s="4">
        <v>44681</v>
      </c>
      <c r="C1022" s="3" t="s">
        <v>1168</v>
      </c>
      <c r="D1022" s="3" t="s">
        <v>1362</v>
      </c>
      <c r="E1022" s="3" t="s">
        <v>1123</v>
      </c>
      <c r="F1022" s="3">
        <v>229998.21</v>
      </c>
      <c r="G1022" s="3">
        <v>457695.05</v>
      </c>
    </row>
    <row r="1023" spans="1:7" x14ac:dyDescent="0.2">
      <c r="A1023" s="3" t="s">
        <v>1069</v>
      </c>
      <c r="B1023" s="4">
        <v>44681</v>
      </c>
      <c r="C1023" s="3" t="s">
        <v>1168</v>
      </c>
      <c r="D1023" s="3" t="s">
        <v>1213</v>
      </c>
      <c r="E1023" s="3" t="s">
        <v>1150</v>
      </c>
      <c r="F1023" s="3">
        <v>302.64999999999998</v>
      </c>
      <c r="G1023" s="3">
        <v>587.91</v>
      </c>
    </row>
    <row r="1024" spans="1:7" x14ac:dyDescent="0.2">
      <c r="A1024" s="3" t="s">
        <v>1072</v>
      </c>
      <c r="B1024" s="4">
        <v>44681</v>
      </c>
      <c r="C1024" s="3" t="s">
        <v>1168</v>
      </c>
      <c r="D1024" s="3" t="s">
        <v>1367</v>
      </c>
      <c r="E1024" s="3" t="s">
        <v>1147</v>
      </c>
      <c r="F1024" s="3">
        <v>0</v>
      </c>
      <c r="G1024" s="3">
        <v>6800</v>
      </c>
    </row>
    <row r="1025" spans="1:7" x14ac:dyDescent="0.2">
      <c r="A1025" s="3" t="s">
        <v>1072</v>
      </c>
      <c r="B1025" s="4">
        <v>44681</v>
      </c>
      <c r="C1025" s="3" t="s">
        <v>1168</v>
      </c>
      <c r="D1025" s="3" t="s">
        <v>1368</v>
      </c>
      <c r="E1025" s="3" t="s">
        <v>1124</v>
      </c>
      <c r="F1025" s="3">
        <v>0</v>
      </c>
      <c r="G1025" s="3">
        <v>1751.65</v>
      </c>
    </row>
    <row r="1026" spans="1:7" x14ac:dyDescent="0.2">
      <c r="A1026" s="3" t="s">
        <v>1072</v>
      </c>
      <c r="B1026" s="4">
        <v>44681</v>
      </c>
      <c r="C1026" s="3" t="s">
        <v>1168</v>
      </c>
      <c r="D1026" s="3" t="s">
        <v>1370</v>
      </c>
      <c r="E1026" s="3" t="s">
        <v>1129</v>
      </c>
      <c r="F1026" s="3">
        <v>491</v>
      </c>
      <c r="G1026" s="3">
        <v>982</v>
      </c>
    </row>
    <row r="1027" spans="1:7" x14ac:dyDescent="0.2">
      <c r="A1027" s="3" t="s">
        <v>1072</v>
      </c>
      <c r="B1027" s="4">
        <v>44681</v>
      </c>
      <c r="C1027" s="3" t="s">
        <v>1168</v>
      </c>
      <c r="D1027" s="3" t="s">
        <v>1372</v>
      </c>
      <c r="E1027" s="3" t="s">
        <v>1158</v>
      </c>
      <c r="F1027" s="3">
        <v>600</v>
      </c>
      <c r="G1027" s="3">
        <v>1200</v>
      </c>
    </row>
    <row r="1028" spans="1:7" x14ac:dyDescent="0.2">
      <c r="A1028" s="3" t="s">
        <v>1072</v>
      </c>
      <c r="B1028" s="4">
        <v>44681</v>
      </c>
      <c r="C1028" s="3" t="s">
        <v>1168</v>
      </c>
      <c r="D1028" s="3" t="s">
        <v>1373</v>
      </c>
      <c r="E1028" s="3" t="s">
        <v>1092</v>
      </c>
      <c r="F1028" s="3">
        <v>0</v>
      </c>
      <c r="G1028" s="3">
        <v>363</v>
      </c>
    </row>
    <row r="1029" spans="1:7" x14ac:dyDescent="0.2">
      <c r="A1029" s="3" t="s">
        <v>1072</v>
      </c>
      <c r="B1029" s="4">
        <v>44681</v>
      </c>
      <c r="C1029" s="3" t="s">
        <v>1168</v>
      </c>
      <c r="D1029" s="3" t="s">
        <v>1490</v>
      </c>
      <c r="E1029" s="3" t="s">
        <v>1491</v>
      </c>
      <c r="F1029" s="3">
        <v>1640</v>
      </c>
      <c r="G1029" s="3">
        <v>5565</v>
      </c>
    </row>
    <row r="1030" spans="1:7" x14ac:dyDescent="0.2">
      <c r="A1030" s="3" t="s">
        <v>1069</v>
      </c>
      <c r="B1030" s="4">
        <v>44681</v>
      </c>
      <c r="C1030" s="3" t="s">
        <v>1168</v>
      </c>
      <c r="D1030" s="3" t="s">
        <v>1232</v>
      </c>
      <c r="E1030" s="3" t="s">
        <v>1105</v>
      </c>
      <c r="F1030" s="3">
        <v>600</v>
      </c>
      <c r="G1030" s="3">
        <v>1200</v>
      </c>
    </row>
    <row r="1031" spans="1:7" x14ac:dyDescent="0.2">
      <c r="A1031" s="3" t="s">
        <v>1074</v>
      </c>
      <c r="B1031" s="4">
        <v>44681</v>
      </c>
      <c r="C1031" s="3" t="s">
        <v>1168</v>
      </c>
      <c r="D1031" s="3" t="s">
        <v>1232</v>
      </c>
      <c r="E1031" s="3" t="s">
        <v>1105</v>
      </c>
      <c r="F1031" s="3">
        <v>1200</v>
      </c>
      <c r="G1031" s="3">
        <v>1200</v>
      </c>
    </row>
    <row r="1032" spans="1:7" x14ac:dyDescent="0.2">
      <c r="A1032" s="3" t="s">
        <v>1072</v>
      </c>
      <c r="B1032" s="4">
        <v>44681</v>
      </c>
      <c r="C1032" s="3" t="s">
        <v>1168</v>
      </c>
      <c r="D1032" s="3" t="s">
        <v>1378</v>
      </c>
      <c r="E1032" s="3" t="s">
        <v>1143</v>
      </c>
      <c r="F1032" s="3">
        <v>46961.19</v>
      </c>
      <c r="G1032" s="3">
        <v>92153.95</v>
      </c>
    </row>
    <row r="1033" spans="1:7" x14ac:dyDescent="0.2">
      <c r="A1033" s="3" t="s">
        <v>1072</v>
      </c>
      <c r="B1033" s="4">
        <v>44681</v>
      </c>
      <c r="C1033" s="3" t="s">
        <v>1168</v>
      </c>
      <c r="D1033" s="3" t="s">
        <v>1379</v>
      </c>
      <c r="E1033" s="3" t="s">
        <v>1107</v>
      </c>
      <c r="F1033" s="3">
        <v>2714.99</v>
      </c>
      <c r="G1033" s="3">
        <v>5249.44</v>
      </c>
    </row>
    <row r="1034" spans="1:7" x14ac:dyDescent="0.2">
      <c r="A1034" s="3" t="s">
        <v>1072</v>
      </c>
      <c r="B1034" s="4">
        <v>44681</v>
      </c>
      <c r="C1034" s="3" t="s">
        <v>1168</v>
      </c>
      <c r="D1034" s="3" t="s">
        <v>1380</v>
      </c>
      <c r="E1034" s="3" t="s">
        <v>1125</v>
      </c>
      <c r="F1034" s="3">
        <v>1621.66</v>
      </c>
      <c r="G1034" s="3">
        <v>3107.19</v>
      </c>
    </row>
    <row r="1035" spans="1:7" x14ac:dyDescent="0.2">
      <c r="A1035" s="3" t="s">
        <v>1072</v>
      </c>
      <c r="B1035" s="4">
        <v>44681</v>
      </c>
      <c r="C1035" s="3" t="s">
        <v>1168</v>
      </c>
      <c r="D1035" s="3" t="s">
        <v>1381</v>
      </c>
      <c r="E1035" s="3" t="s">
        <v>1130</v>
      </c>
      <c r="F1035" s="3">
        <v>1621.66</v>
      </c>
      <c r="G1035" s="3">
        <v>3107.19</v>
      </c>
    </row>
    <row r="1036" spans="1:7" x14ac:dyDescent="0.2">
      <c r="A1036" s="3" t="s">
        <v>1072</v>
      </c>
      <c r="B1036" s="4">
        <v>44681</v>
      </c>
      <c r="C1036" s="3" t="s">
        <v>1168</v>
      </c>
      <c r="D1036" s="3" t="s">
        <v>1458</v>
      </c>
      <c r="E1036" s="3" t="s">
        <v>1113</v>
      </c>
      <c r="F1036" s="3">
        <v>146.78</v>
      </c>
      <c r="G1036" s="3">
        <v>293.56</v>
      </c>
    </row>
    <row r="1037" spans="1:7" x14ac:dyDescent="0.2">
      <c r="A1037" s="3" t="s">
        <v>1072</v>
      </c>
      <c r="B1037" s="4">
        <v>44681</v>
      </c>
      <c r="C1037" s="3" t="s">
        <v>1168</v>
      </c>
      <c r="D1037" s="3" t="s">
        <v>1459</v>
      </c>
      <c r="E1037" s="3" t="s">
        <v>1139</v>
      </c>
      <c r="F1037" s="3">
        <v>57.78</v>
      </c>
      <c r="G1037" s="3">
        <v>115.56</v>
      </c>
    </row>
    <row r="1038" spans="1:7" x14ac:dyDescent="0.2">
      <c r="A1038" s="3" t="s">
        <v>1069</v>
      </c>
      <c r="B1038" s="4">
        <v>44681</v>
      </c>
      <c r="C1038" s="3" t="s">
        <v>1172</v>
      </c>
      <c r="D1038" s="3" t="s">
        <v>1173</v>
      </c>
      <c r="E1038" s="3" t="s">
        <v>1174</v>
      </c>
      <c r="F1038" s="3">
        <v>0</v>
      </c>
      <c r="G1038" s="3">
        <v>-100</v>
      </c>
    </row>
    <row r="1039" spans="1:7" x14ac:dyDescent="0.2">
      <c r="A1039" s="3" t="s">
        <v>1072</v>
      </c>
      <c r="B1039" s="4">
        <v>44681</v>
      </c>
      <c r="C1039" s="3" t="s">
        <v>1172</v>
      </c>
      <c r="D1039" s="3" t="s">
        <v>1382</v>
      </c>
      <c r="E1039" s="3" t="s">
        <v>1383</v>
      </c>
      <c r="F1039" s="3">
        <v>0</v>
      </c>
      <c r="G1039" s="3">
        <v>-120</v>
      </c>
    </row>
    <row r="1040" spans="1:7" x14ac:dyDescent="0.2">
      <c r="A1040" s="3" t="s">
        <v>1072</v>
      </c>
      <c r="B1040" s="4">
        <v>44681</v>
      </c>
      <c r="C1040" s="3" t="s">
        <v>1172</v>
      </c>
      <c r="D1040" s="3" t="s">
        <v>1384</v>
      </c>
      <c r="E1040" s="3" t="s">
        <v>1385</v>
      </c>
      <c r="F1040" s="3">
        <v>0</v>
      </c>
      <c r="G1040" s="3">
        <v>247347.05</v>
      </c>
    </row>
    <row r="1041" spans="1:7" x14ac:dyDescent="0.2">
      <c r="A1041" s="3" t="s">
        <v>1069</v>
      </c>
      <c r="B1041" s="4">
        <v>44681</v>
      </c>
      <c r="C1041" s="3" t="s">
        <v>1172</v>
      </c>
      <c r="D1041" s="3" t="s">
        <v>1384</v>
      </c>
      <c r="E1041" s="3" t="s">
        <v>1385</v>
      </c>
      <c r="F1041" s="3">
        <v>0</v>
      </c>
      <c r="G1041" s="3">
        <v>-17080353.050000001</v>
      </c>
    </row>
    <row r="1042" spans="1:7" x14ac:dyDescent="0.2">
      <c r="A1042" s="3" t="s">
        <v>1069</v>
      </c>
      <c r="B1042" s="4">
        <v>44681</v>
      </c>
      <c r="C1042" s="3" t="s">
        <v>1180</v>
      </c>
      <c r="D1042" s="3" t="s">
        <v>1241</v>
      </c>
      <c r="E1042" s="3" t="s">
        <v>1242</v>
      </c>
      <c r="F1042" s="3">
        <v>0</v>
      </c>
      <c r="G1042" s="3">
        <v>17562360.850000001</v>
      </c>
    </row>
    <row r="1043" spans="1:7" x14ac:dyDescent="0.2">
      <c r="A1043" s="3" t="s">
        <v>1072</v>
      </c>
      <c r="B1043" s="4">
        <v>44681</v>
      </c>
      <c r="C1043" s="3" t="s">
        <v>1180</v>
      </c>
      <c r="D1043" s="3" t="s">
        <v>1483</v>
      </c>
      <c r="E1043" s="3" t="s">
        <v>1177</v>
      </c>
      <c r="F1043" s="3">
        <v>0</v>
      </c>
      <c r="G1043" s="3">
        <v>2850000</v>
      </c>
    </row>
    <row r="1044" spans="1:7" x14ac:dyDescent="0.2">
      <c r="A1044" s="3" t="s">
        <v>1072</v>
      </c>
      <c r="B1044" s="4">
        <v>44681</v>
      </c>
      <c r="C1044" s="3" t="s">
        <v>1180</v>
      </c>
      <c r="D1044" s="3" t="s">
        <v>1390</v>
      </c>
      <c r="E1044" s="3" t="s">
        <v>1391</v>
      </c>
      <c r="F1044" s="3">
        <v>-178000</v>
      </c>
      <c r="G1044" s="3">
        <v>-208000</v>
      </c>
    </row>
    <row r="1045" spans="1:7" x14ac:dyDescent="0.2">
      <c r="A1045" s="3" t="s">
        <v>1072</v>
      </c>
      <c r="B1045" s="4">
        <v>44681</v>
      </c>
      <c r="C1045" s="3" t="s">
        <v>1180</v>
      </c>
      <c r="D1045" s="3" t="s">
        <v>1394</v>
      </c>
      <c r="E1045" s="3" t="s">
        <v>1256</v>
      </c>
      <c r="F1045" s="3">
        <v>29400</v>
      </c>
      <c r="G1045" s="3">
        <v>600</v>
      </c>
    </row>
    <row r="1046" spans="1:7" x14ac:dyDescent="0.2">
      <c r="A1046" s="3" t="s">
        <v>1072</v>
      </c>
      <c r="B1046" s="4">
        <v>44681</v>
      </c>
      <c r="C1046" s="3" t="s">
        <v>1180</v>
      </c>
      <c r="D1046" s="3" t="s">
        <v>1395</v>
      </c>
      <c r="E1046" s="3" t="s">
        <v>1396</v>
      </c>
      <c r="F1046" s="3">
        <v>-625000</v>
      </c>
      <c r="G1046" s="3">
        <v>-3981000</v>
      </c>
    </row>
    <row r="1047" spans="1:7" x14ac:dyDescent="0.2">
      <c r="A1047" s="3" t="s">
        <v>1072</v>
      </c>
      <c r="B1047" s="4">
        <v>44681</v>
      </c>
      <c r="C1047" s="3" t="s">
        <v>1180</v>
      </c>
      <c r="D1047" s="3" t="s">
        <v>1397</v>
      </c>
      <c r="E1047" s="3" t="s">
        <v>1398</v>
      </c>
      <c r="F1047" s="3">
        <v>-600</v>
      </c>
      <c r="G1047" s="3">
        <v>600</v>
      </c>
    </row>
    <row r="1048" spans="1:7" x14ac:dyDescent="0.2">
      <c r="A1048" s="3" t="s">
        <v>1072</v>
      </c>
      <c r="B1048" s="4">
        <v>44681</v>
      </c>
      <c r="C1048" s="3" t="s">
        <v>1180</v>
      </c>
      <c r="D1048" s="3" t="s">
        <v>1399</v>
      </c>
      <c r="E1048" s="3" t="s">
        <v>1400</v>
      </c>
      <c r="F1048" s="3">
        <v>-30000</v>
      </c>
      <c r="G1048" s="3">
        <v>-55233.05</v>
      </c>
    </row>
    <row r="1049" spans="1:7" x14ac:dyDescent="0.2">
      <c r="A1049" s="3" t="s">
        <v>1074</v>
      </c>
      <c r="B1049" s="4">
        <v>44681</v>
      </c>
      <c r="C1049" s="3" t="s">
        <v>1175</v>
      </c>
      <c r="D1049" s="3" t="s">
        <v>1492</v>
      </c>
      <c r="E1049" s="3" t="s">
        <v>1493</v>
      </c>
      <c r="F1049" s="3">
        <v>-1380</v>
      </c>
      <c r="G1049" s="3">
        <v>-5520</v>
      </c>
    </row>
    <row r="1050" spans="1:7" x14ac:dyDescent="0.2">
      <c r="A1050" s="3" t="s">
        <v>1069</v>
      </c>
      <c r="B1050" s="4">
        <v>44681</v>
      </c>
      <c r="C1050" s="3" t="s">
        <v>1175</v>
      </c>
      <c r="D1050" s="3" t="s">
        <v>1178</v>
      </c>
      <c r="E1050" s="3" t="s">
        <v>1179</v>
      </c>
      <c r="F1050" s="3">
        <v>625000</v>
      </c>
      <c r="G1050" s="3">
        <v>3981000</v>
      </c>
    </row>
    <row r="1051" spans="1:7" x14ac:dyDescent="0.2">
      <c r="A1051" s="3" t="s">
        <v>1069</v>
      </c>
      <c r="B1051" s="4">
        <v>44681</v>
      </c>
      <c r="C1051" s="3" t="s">
        <v>1175</v>
      </c>
      <c r="D1051" s="3" t="s">
        <v>1494</v>
      </c>
      <c r="E1051" s="3" t="s">
        <v>1495</v>
      </c>
      <c r="F1051" s="3">
        <v>1380</v>
      </c>
      <c r="G1051" s="3">
        <v>5520</v>
      </c>
    </row>
    <row r="1052" spans="1:7" x14ac:dyDescent="0.2">
      <c r="A1052" s="3" t="s">
        <v>1072</v>
      </c>
      <c r="B1052" s="4">
        <v>44681</v>
      </c>
      <c r="C1052" s="3" t="s">
        <v>1175</v>
      </c>
      <c r="D1052" s="3" t="s">
        <v>1405</v>
      </c>
      <c r="E1052" s="3" t="s">
        <v>1406</v>
      </c>
      <c r="F1052" s="3">
        <v>10396.469999999999</v>
      </c>
      <c r="G1052" s="3">
        <v>15591.67</v>
      </c>
    </row>
    <row r="1053" spans="1:7" x14ac:dyDescent="0.2">
      <c r="A1053" s="3" t="s">
        <v>1072</v>
      </c>
      <c r="B1053" s="4">
        <v>44681</v>
      </c>
      <c r="C1053" s="3" t="s">
        <v>1175</v>
      </c>
      <c r="D1053" s="3" t="s">
        <v>1407</v>
      </c>
      <c r="E1053" s="3" t="s">
        <v>1408</v>
      </c>
      <c r="F1053" s="3">
        <v>0</v>
      </c>
      <c r="G1053" s="3">
        <v>-58920.1</v>
      </c>
    </row>
    <row r="1054" spans="1:7" x14ac:dyDescent="0.2">
      <c r="A1054" s="3" t="s">
        <v>1072</v>
      </c>
      <c r="B1054" s="4">
        <v>44681</v>
      </c>
      <c r="C1054" s="3" t="s">
        <v>1180</v>
      </c>
      <c r="D1054" s="3" t="s">
        <v>1409</v>
      </c>
      <c r="E1054" s="3" t="s">
        <v>1410</v>
      </c>
      <c r="F1054" s="3">
        <v>0</v>
      </c>
      <c r="G1054" s="3">
        <v>216064.1</v>
      </c>
    </row>
    <row r="1055" spans="1:7" x14ac:dyDescent="0.2">
      <c r="A1055" s="3" t="s">
        <v>1072</v>
      </c>
      <c r="B1055" s="4">
        <v>44681</v>
      </c>
      <c r="C1055" s="3" t="s">
        <v>1180</v>
      </c>
      <c r="D1055" s="3" t="s">
        <v>1411</v>
      </c>
      <c r="E1055" s="3" t="s">
        <v>1412</v>
      </c>
      <c r="F1055" s="3">
        <v>0</v>
      </c>
      <c r="G1055" s="3">
        <v>-176453</v>
      </c>
    </row>
    <row r="1056" spans="1:7" x14ac:dyDescent="0.2">
      <c r="A1056" s="3" t="s">
        <v>1072</v>
      </c>
      <c r="B1056" s="4">
        <v>44681</v>
      </c>
      <c r="C1056" s="3" t="s">
        <v>1180</v>
      </c>
      <c r="D1056" s="3" t="s">
        <v>1413</v>
      </c>
      <c r="E1056" s="3" t="s">
        <v>1414</v>
      </c>
      <c r="F1056" s="3">
        <v>7389.56</v>
      </c>
      <c r="G1056" s="3">
        <v>69563.91</v>
      </c>
    </row>
    <row r="1057" spans="1:7" x14ac:dyDescent="0.2">
      <c r="A1057" s="3" t="s">
        <v>1072</v>
      </c>
      <c r="B1057" s="4">
        <v>44681</v>
      </c>
      <c r="C1057" s="3" t="s">
        <v>1180</v>
      </c>
      <c r="D1057" s="3" t="s">
        <v>1415</v>
      </c>
      <c r="E1057" s="3" t="s">
        <v>1416</v>
      </c>
      <c r="F1057" s="3">
        <v>-1539.82</v>
      </c>
      <c r="G1057" s="3">
        <v>-22015.48</v>
      </c>
    </row>
    <row r="1058" spans="1:7" x14ac:dyDescent="0.2">
      <c r="A1058" s="3" t="s">
        <v>1072</v>
      </c>
      <c r="B1058" s="4">
        <v>44681</v>
      </c>
      <c r="C1058" s="3" t="s">
        <v>1180</v>
      </c>
      <c r="D1058" s="3" t="s">
        <v>1462</v>
      </c>
      <c r="E1058" s="3" t="s">
        <v>1463</v>
      </c>
      <c r="F1058" s="3">
        <v>0</v>
      </c>
      <c r="G1058" s="3">
        <v>29281.39</v>
      </c>
    </row>
    <row r="1059" spans="1:7" x14ac:dyDescent="0.2">
      <c r="A1059" s="3" t="s">
        <v>1072</v>
      </c>
      <c r="B1059" s="4">
        <v>44681</v>
      </c>
      <c r="C1059" s="3" t="s">
        <v>1180</v>
      </c>
      <c r="D1059" s="3" t="s">
        <v>1484</v>
      </c>
      <c r="E1059" s="3" t="s">
        <v>1485</v>
      </c>
      <c r="F1059" s="3">
        <v>-427.2</v>
      </c>
      <c r="G1059" s="3">
        <v>-1261.0999999999999</v>
      </c>
    </row>
    <row r="1060" spans="1:7" x14ac:dyDescent="0.2">
      <c r="A1060" s="3" t="s">
        <v>1072</v>
      </c>
      <c r="B1060" s="4">
        <v>44681</v>
      </c>
      <c r="C1060" s="3" t="s">
        <v>1180</v>
      </c>
      <c r="D1060" s="3" t="s">
        <v>1417</v>
      </c>
      <c r="E1060" s="3" t="s">
        <v>1418</v>
      </c>
      <c r="F1060" s="3">
        <v>0</v>
      </c>
      <c r="G1060" s="3">
        <v>11600</v>
      </c>
    </row>
    <row r="1061" spans="1:7" x14ac:dyDescent="0.2">
      <c r="A1061" s="3" t="s">
        <v>1072</v>
      </c>
      <c r="B1061" s="4">
        <v>44681</v>
      </c>
      <c r="C1061" s="3" t="s">
        <v>1180</v>
      </c>
      <c r="D1061" s="3" t="s">
        <v>1419</v>
      </c>
      <c r="E1061" s="3" t="s">
        <v>1420</v>
      </c>
      <c r="F1061" s="3">
        <v>-193.34</v>
      </c>
      <c r="G1061" s="3">
        <v>-1192.23</v>
      </c>
    </row>
    <row r="1062" spans="1:7" x14ac:dyDescent="0.2">
      <c r="A1062" s="3" t="s">
        <v>1069</v>
      </c>
      <c r="B1062" s="4">
        <v>44681</v>
      </c>
      <c r="C1062" s="3" t="s">
        <v>1180</v>
      </c>
      <c r="D1062" s="3" t="s">
        <v>1421</v>
      </c>
      <c r="E1062" s="3" t="s">
        <v>1422</v>
      </c>
      <c r="F1062" s="3">
        <v>612664.25</v>
      </c>
      <c r="G1062" s="3">
        <v>874505.75</v>
      </c>
    </row>
    <row r="1063" spans="1:7" x14ac:dyDescent="0.2">
      <c r="A1063" s="3" t="s">
        <v>1069</v>
      </c>
      <c r="B1063" s="4">
        <v>44681</v>
      </c>
      <c r="C1063" s="3" t="s">
        <v>1180</v>
      </c>
      <c r="D1063" s="3" t="s">
        <v>1214</v>
      </c>
      <c r="E1063" s="3" t="s">
        <v>1215</v>
      </c>
      <c r="F1063" s="3">
        <v>0</v>
      </c>
      <c r="G1063" s="3">
        <v>26200000</v>
      </c>
    </row>
    <row r="1064" spans="1:7" x14ac:dyDescent="0.2">
      <c r="A1064" s="3" t="s">
        <v>1069</v>
      </c>
      <c r="B1064" s="4">
        <v>44681</v>
      </c>
      <c r="C1064" s="3" t="s">
        <v>1180</v>
      </c>
      <c r="D1064" s="3" t="s">
        <v>1216</v>
      </c>
      <c r="E1064" s="3" t="s">
        <v>1217</v>
      </c>
      <c r="F1064" s="3">
        <v>0</v>
      </c>
      <c r="G1064" s="3">
        <v>68427</v>
      </c>
    </row>
    <row r="1065" spans="1:7" x14ac:dyDescent="0.2">
      <c r="A1065" s="3" t="s">
        <v>1069</v>
      </c>
      <c r="B1065" s="4">
        <v>44681</v>
      </c>
      <c r="C1065" s="3" t="s">
        <v>1180</v>
      </c>
      <c r="D1065" s="3" t="s">
        <v>1218</v>
      </c>
      <c r="E1065" s="3" t="s">
        <v>1219</v>
      </c>
      <c r="F1065" s="3">
        <v>0</v>
      </c>
      <c r="G1065" s="3">
        <v>103812</v>
      </c>
    </row>
    <row r="1066" spans="1:7" x14ac:dyDescent="0.2">
      <c r="A1066" s="3" t="s">
        <v>1069</v>
      </c>
      <c r="B1066" s="4">
        <v>44681</v>
      </c>
      <c r="C1066" s="3" t="s">
        <v>1180</v>
      </c>
      <c r="D1066" s="3" t="s">
        <v>1197</v>
      </c>
      <c r="E1066" s="3" t="s">
        <v>1198</v>
      </c>
      <c r="F1066" s="3">
        <v>3800</v>
      </c>
      <c r="G1066" s="3">
        <v>150780</v>
      </c>
    </row>
    <row r="1067" spans="1:7" x14ac:dyDescent="0.2">
      <c r="A1067" s="3" t="s">
        <v>1069</v>
      </c>
      <c r="B1067" s="4">
        <v>44681</v>
      </c>
      <c r="C1067" s="3" t="s">
        <v>1180</v>
      </c>
      <c r="D1067" s="3" t="s">
        <v>1496</v>
      </c>
      <c r="E1067" s="3" t="s">
        <v>1497</v>
      </c>
      <c r="F1067" s="3">
        <v>11000</v>
      </c>
      <c r="G1067" s="3">
        <v>27000</v>
      </c>
    </row>
    <row r="1068" spans="1:7" x14ac:dyDescent="0.2">
      <c r="A1068" s="3" t="s">
        <v>1069</v>
      </c>
      <c r="B1068" s="4">
        <v>44681</v>
      </c>
      <c r="C1068" s="3" t="s">
        <v>1180</v>
      </c>
      <c r="D1068" s="3" t="s">
        <v>1181</v>
      </c>
      <c r="E1068" s="3" t="s">
        <v>1182</v>
      </c>
      <c r="F1068" s="3">
        <v>135158.78</v>
      </c>
      <c r="G1068" s="3">
        <v>5490508.2800000003</v>
      </c>
    </row>
    <row r="1069" spans="1:7" x14ac:dyDescent="0.2">
      <c r="A1069" s="3" t="s">
        <v>1069</v>
      </c>
      <c r="B1069" s="4">
        <v>44681</v>
      </c>
      <c r="C1069" s="3" t="s">
        <v>1180</v>
      </c>
      <c r="D1069" s="3" t="s">
        <v>1263</v>
      </c>
      <c r="E1069" s="3" t="s">
        <v>1264</v>
      </c>
      <c r="F1069" s="3">
        <v>0</v>
      </c>
      <c r="G1069" s="3">
        <v>13807.78</v>
      </c>
    </row>
    <row r="1070" spans="1:7" x14ac:dyDescent="0.2">
      <c r="A1070" s="3" t="s">
        <v>1069</v>
      </c>
      <c r="B1070" s="4">
        <v>44681</v>
      </c>
      <c r="C1070" s="3" t="s">
        <v>1180</v>
      </c>
      <c r="D1070" s="3" t="s">
        <v>1202</v>
      </c>
      <c r="E1070" s="3" t="s">
        <v>1203</v>
      </c>
      <c r="F1070" s="3">
        <v>37676.089999999997</v>
      </c>
      <c r="G1070" s="3">
        <v>44026.09</v>
      </c>
    </row>
    <row r="1071" spans="1:7" x14ac:dyDescent="0.2">
      <c r="A1071" s="3" t="s">
        <v>1069</v>
      </c>
      <c r="B1071" s="4">
        <v>44681</v>
      </c>
      <c r="C1071" s="3" t="s">
        <v>1180</v>
      </c>
      <c r="D1071" s="3" t="s">
        <v>1204</v>
      </c>
      <c r="E1071" s="3" t="s">
        <v>1205</v>
      </c>
      <c r="F1071" s="3">
        <v>0</v>
      </c>
      <c r="G1071" s="3">
        <v>7500</v>
      </c>
    </row>
    <row r="1072" spans="1:7" x14ac:dyDescent="0.2">
      <c r="A1072" s="3" t="s">
        <v>1069</v>
      </c>
      <c r="B1072" s="4">
        <v>44681</v>
      </c>
      <c r="C1072" s="3" t="s">
        <v>1180</v>
      </c>
      <c r="D1072" s="3" t="s">
        <v>1199</v>
      </c>
      <c r="E1072" s="3" t="s">
        <v>1200</v>
      </c>
      <c r="F1072" s="3">
        <v>0</v>
      </c>
      <c r="G1072" s="3">
        <v>67400</v>
      </c>
    </row>
    <row r="1073" spans="1:7" x14ac:dyDescent="0.2">
      <c r="A1073" s="3" t="s">
        <v>1069</v>
      </c>
      <c r="B1073" s="4">
        <v>44681</v>
      </c>
      <c r="C1073" s="3" t="s">
        <v>1180</v>
      </c>
      <c r="D1073" s="3" t="s">
        <v>1486</v>
      </c>
      <c r="E1073" s="3" t="s">
        <v>1487</v>
      </c>
      <c r="F1073" s="3">
        <v>1400</v>
      </c>
      <c r="G1073" s="3">
        <v>9400</v>
      </c>
    </row>
    <row r="1074" spans="1:7" x14ac:dyDescent="0.2">
      <c r="A1074" s="3" t="s">
        <v>1069</v>
      </c>
      <c r="B1074" s="4">
        <v>44681</v>
      </c>
      <c r="C1074" s="3" t="s">
        <v>1180</v>
      </c>
      <c r="D1074" s="3" t="s">
        <v>1220</v>
      </c>
      <c r="E1074" s="3" t="s">
        <v>1221</v>
      </c>
      <c r="F1074" s="3">
        <v>0</v>
      </c>
      <c r="G1074" s="3">
        <v>15175</v>
      </c>
    </row>
    <row r="1075" spans="1:7" x14ac:dyDescent="0.2">
      <c r="A1075" s="3" t="s">
        <v>1069</v>
      </c>
      <c r="B1075" s="4">
        <v>44681</v>
      </c>
      <c r="C1075" s="3" t="s">
        <v>1180</v>
      </c>
      <c r="D1075" s="3" t="s">
        <v>1498</v>
      </c>
      <c r="E1075" s="3" t="s">
        <v>1499</v>
      </c>
      <c r="F1075" s="3">
        <v>124395.7</v>
      </c>
      <c r="G1075" s="3">
        <v>570856.07999999996</v>
      </c>
    </row>
    <row r="1076" spans="1:7" x14ac:dyDescent="0.2">
      <c r="A1076" s="3" t="s">
        <v>1069</v>
      </c>
      <c r="B1076" s="4">
        <v>44681</v>
      </c>
      <c r="C1076" s="3" t="s">
        <v>1180</v>
      </c>
      <c r="D1076" s="3" t="s">
        <v>1183</v>
      </c>
      <c r="E1076" s="3" t="s">
        <v>1184</v>
      </c>
      <c r="F1076" s="3">
        <v>2316900.66</v>
      </c>
      <c r="G1076" s="3">
        <v>3671623.49</v>
      </c>
    </row>
    <row r="1077" spans="1:7" x14ac:dyDescent="0.2">
      <c r="A1077" s="3" t="s">
        <v>1069</v>
      </c>
      <c r="B1077" s="4">
        <v>44681</v>
      </c>
      <c r="C1077" s="3" t="s">
        <v>1180</v>
      </c>
      <c r="D1077" s="3" t="s">
        <v>1222</v>
      </c>
      <c r="E1077" s="3" t="s">
        <v>1223</v>
      </c>
      <c r="F1077" s="3">
        <v>0</v>
      </c>
      <c r="G1077" s="3">
        <v>2376904.9900000002</v>
      </c>
    </row>
    <row r="1078" spans="1:7" x14ac:dyDescent="0.2">
      <c r="A1078" s="3" t="s">
        <v>1069</v>
      </c>
      <c r="B1078" s="4">
        <v>44681</v>
      </c>
      <c r="C1078" s="3" t="s">
        <v>1180</v>
      </c>
      <c r="D1078" s="3" t="s">
        <v>1235</v>
      </c>
      <c r="E1078" s="3" t="s">
        <v>1236</v>
      </c>
      <c r="F1078" s="3">
        <v>0</v>
      </c>
      <c r="G1078" s="3">
        <v>782608.07</v>
      </c>
    </row>
    <row r="1079" spans="1:7" x14ac:dyDescent="0.2">
      <c r="A1079" s="3" t="s">
        <v>1069</v>
      </c>
      <c r="B1079" s="4">
        <v>44681</v>
      </c>
      <c r="C1079" s="3" t="s">
        <v>1180</v>
      </c>
      <c r="D1079" s="3" t="s">
        <v>1206</v>
      </c>
      <c r="E1079" s="3" t="s">
        <v>1207</v>
      </c>
      <c r="F1079" s="3">
        <v>0</v>
      </c>
      <c r="G1079" s="3">
        <v>129550</v>
      </c>
    </row>
    <row r="1080" spans="1:7" x14ac:dyDescent="0.2">
      <c r="A1080" s="3" t="s">
        <v>1069</v>
      </c>
      <c r="B1080" s="4">
        <v>44681</v>
      </c>
      <c r="C1080" s="3" t="s">
        <v>1180</v>
      </c>
      <c r="D1080" s="3" t="s">
        <v>1208</v>
      </c>
      <c r="E1080" s="3" t="s">
        <v>1209</v>
      </c>
      <c r="F1080" s="3">
        <v>0</v>
      </c>
      <c r="G1080" s="3">
        <v>45000</v>
      </c>
    </row>
    <row r="1081" spans="1:7" x14ac:dyDescent="0.2">
      <c r="A1081" s="3" t="s">
        <v>1069</v>
      </c>
      <c r="B1081" s="4">
        <v>44681</v>
      </c>
      <c r="C1081" s="3" t="s">
        <v>1180</v>
      </c>
      <c r="D1081" s="3" t="s">
        <v>1259</v>
      </c>
      <c r="E1081" s="3" t="s">
        <v>1260</v>
      </c>
      <c r="F1081" s="3">
        <v>11000</v>
      </c>
      <c r="G1081" s="3">
        <v>71000</v>
      </c>
    </row>
    <row r="1082" spans="1:7" x14ac:dyDescent="0.2">
      <c r="A1082" s="3" t="s">
        <v>1069</v>
      </c>
      <c r="B1082" s="4">
        <v>44681</v>
      </c>
      <c r="C1082" s="3" t="s">
        <v>1180</v>
      </c>
      <c r="D1082" s="3" t="s">
        <v>1265</v>
      </c>
      <c r="E1082" s="3" t="s">
        <v>1266</v>
      </c>
      <c r="F1082" s="3">
        <v>9600</v>
      </c>
      <c r="G1082" s="3">
        <v>749972.41</v>
      </c>
    </row>
    <row r="1083" spans="1:7" x14ac:dyDescent="0.2">
      <c r="A1083" s="3" t="s">
        <v>1069</v>
      </c>
      <c r="B1083" s="4">
        <v>44681</v>
      </c>
      <c r="C1083" s="3" t="s">
        <v>1180</v>
      </c>
      <c r="D1083" s="3" t="s">
        <v>1423</v>
      </c>
      <c r="E1083" s="3" t="s">
        <v>1424</v>
      </c>
      <c r="F1083" s="3">
        <v>0</v>
      </c>
      <c r="G1083" s="3">
        <v>622274.51</v>
      </c>
    </row>
    <row r="1084" spans="1:7" x14ac:dyDescent="0.2">
      <c r="A1084" s="3" t="s">
        <v>1072</v>
      </c>
      <c r="B1084" s="4">
        <v>44681</v>
      </c>
      <c r="C1084" s="3" t="s">
        <v>1180</v>
      </c>
      <c r="D1084" s="3" t="s">
        <v>1425</v>
      </c>
      <c r="E1084" s="3" t="s">
        <v>1426</v>
      </c>
      <c r="F1084" s="3">
        <v>0</v>
      </c>
      <c r="G1084" s="3">
        <v>6875.45</v>
      </c>
    </row>
    <row r="1085" spans="1:7" x14ac:dyDescent="0.2">
      <c r="A1085" s="3" t="s">
        <v>1072</v>
      </c>
      <c r="B1085" s="4">
        <v>44681</v>
      </c>
      <c r="C1085" s="3" t="s">
        <v>1180</v>
      </c>
      <c r="D1085" s="3" t="s">
        <v>1427</v>
      </c>
      <c r="E1085" s="3" t="s">
        <v>1428</v>
      </c>
      <c r="F1085" s="3">
        <v>1105559.8500000001</v>
      </c>
      <c r="G1085" s="3">
        <v>5669676.7599999998</v>
      </c>
    </row>
    <row r="1086" spans="1:7" x14ac:dyDescent="0.2">
      <c r="A1086" s="3" t="s">
        <v>1072</v>
      </c>
      <c r="B1086" s="4">
        <v>44681</v>
      </c>
      <c r="C1086" s="3" t="s">
        <v>1180</v>
      </c>
      <c r="D1086" s="3" t="s">
        <v>1429</v>
      </c>
      <c r="E1086" s="3" t="s">
        <v>1430</v>
      </c>
      <c r="F1086" s="3">
        <v>-6946.25</v>
      </c>
      <c r="G1086" s="3">
        <v>38515.1</v>
      </c>
    </row>
    <row r="1087" spans="1:7" x14ac:dyDescent="0.2">
      <c r="A1087" s="3" t="s">
        <v>1069</v>
      </c>
      <c r="B1087" s="4">
        <v>44681</v>
      </c>
      <c r="C1087" s="3" t="s">
        <v>1180</v>
      </c>
      <c r="D1087" s="3" t="s">
        <v>1257</v>
      </c>
      <c r="E1087" s="3" t="s">
        <v>1258</v>
      </c>
      <c r="F1087" s="3">
        <v>0</v>
      </c>
      <c r="G1087" s="3">
        <v>300000</v>
      </c>
    </row>
    <row r="1088" spans="1:7" x14ac:dyDescent="0.2">
      <c r="A1088" s="3" t="s">
        <v>1069</v>
      </c>
      <c r="B1088" s="4">
        <v>44681</v>
      </c>
      <c r="C1088" s="3" t="s">
        <v>1180</v>
      </c>
      <c r="D1088" s="3" t="s">
        <v>1187</v>
      </c>
      <c r="E1088" s="3" t="s">
        <v>1188</v>
      </c>
      <c r="F1088" s="3">
        <v>-712650.9</v>
      </c>
      <c r="G1088" s="3">
        <v>16069.08</v>
      </c>
    </row>
    <row r="1089" spans="1:7" x14ac:dyDescent="0.2">
      <c r="A1089" s="3" t="s">
        <v>1072</v>
      </c>
      <c r="B1089" s="4">
        <v>44681</v>
      </c>
      <c r="C1089" s="3" t="s">
        <v>1180</v>
      </c>
      <c r="D1089" s="3" t="s">
        <v>1187</v>
      </c>
      <c r="E1089" s="3" t="s">
        <v>1433</v>
      </c>
      <c r="F1089" s="3">
        <v>137387.03</v>
      </c>
      <c r="G1089" s="3">
        <v>183315.45</v>
      </c>
    </row>
    <row r="1090" spans="1:7" x14ac:dyDescent="0.2">
      <c r="A1090" s="3" t="s">
        <v>1072</v>
      </c>
      <c r="B1090" s="4">
        <v>44681</v>
      </c>
      <c r="C1090" s="3" t="s">
        <v>1180</v>
      </c>
      <c r="D1090" s="3" t="s">
        <v>1435</v>
      </c>
      <c r="E1090" s="3" t="s">
        <v>1436</v>
      </c>
      <c r="F1090" s="3">
        <v>0</v>
      </c>
      <c r="G1090" s="3">
        <v>511.66</v>
      </c>
    </row>
    <row r="1091" spans="1:7" x14ac:dyDescent="0.2">
      <c r="A1091" s="3" t="s">
        <v>1069</v>
      </c>
      <c r="B1091" s="4">
        <v>44681</v>
      </c>
      <c r="C1091" s="3" t="s">
        <v>1180</v>
      </c>
      <c r="D1091" s="3" t="s">
        <v>1243</v>
      </c>
      <c r="E1091" s="3" t="s">
        <v>1244</v>
      </c>
      <c r="F1091" s="3">
        <v>2.33</v>
      </c>
      <c r="G1091" s="3">
        <v>790.4</v>
      </c>
    </row>
    <row r="1092" spans="1:7" x14ac:dyDescent="0.2">
      <c r="A1092" s="3" t="s">
        <v>1069</v>
      </c>
      <c r="B1092" s="4">
        <v>44681</v>
      </c>
      <c r="C1092" s="3" t="s">
        <v>1180</v>
      </c>
      <c r="D1092" s="3" t="s">
        <v>1245</v>
      </c>
      <c r="E1092" s="3" t="s">
        <v>1246</v>
      </c>
      <c r="F1092" s="3">
        <v>-1255266.78</v>
      </c>
      <c r="G1092" s="3">
        <v>1767117.67</v>
      </c>
    </row>
    <row r="1093" spans="1:7" x14ac:dyDescent="0.2">
      <c r="A1093" s="3" t="s">
        <v>1072</v>
      </c>
      <c r="B1093" s="4">
        <v>44681</v>
      </c>
      <c r="C1093" s="3" t="s">
        <v>1175</v>
      </c>
      <c r="D1093" s="3" t="s">
        <v>1437</v>
      </c>
      <c r="E1093" s="3" t="s">
        <v>1438</v>
      </c>
      <c r="F1093" s="3">
        <v>0</v>
      </c>
      <c r="G1093" s="3">
        <v>-0.03</v>
      </c>
    </row>
    <row r="1094" spans="1:7" x14ac:dyDescent="0.2">
      <c r="A1094" s="3" t="s">
        <v>1069</v>
      </c>
      <c r="B1094" s="4">
        <v>44681</v>
      </c>
      <c r="C1094" s="3" t="s">
        <v>1175</v>
      </c>
      <c r="D1094" s="3" t="s">
        <v>1437</v>
      </c>
      <c r="E1094" s="3" t="s">
        <v>1438</v>
      </c>
      <c r="F1094" s="3">
        <v>0</v>
      </c>
      <c r="G1094" s="3">
        <v>0.01</v>
      </c>
    </row>
    <row r="1095" spans="1:7" x14ac:dyDescent="0.2">
      <c r="A1095" s="3" t="s">
        <v>1072</v>
      </c>
      <c r="B1095" s="4">
        <v>44681</v>
      </c>
      <c r="C1095" s="3" t="s">
        <v>1175</v>
      </c>
      <c r="D1095" s="3" t="s">
        <v>1191</v>
      </c>
      <c r="E1095" s="3" t="s">
        <v>1192</v>
      </c>
      <c r="F1095" s="3">
        <v>-563883.97</v>
      </c>
      <c r="G1095" s="3">
        <v>-3848418.28</v>
      </c>
    </row>
    <row r="1096" spans="1:7" x14ac:dyDescent="0.2">
      <c r="A1096" s="3" t="s">
        <v>1069</v>
      </c>
      <c r="B1096" s="4">
        <v>44681</v>
      </c>
      <c r="C1096" s="3" t="s">
        <v>1175</v>
      </c>
      <c r="D1096" s="3" t="s">
        <v>1191</v>
      </c>
      <c r="E1096" s="3" t="s">
        <v>1192</v>
      </c>
      <c r="F1096" s="3">
        <v>-2481281.73</v>
      </c>
      <c r="G1096" s="3">
        <v>-49419699.649999999</v>
      </c>
    </row>
    <row r="1097" spans="1:7" x14ac:dyDescent="0.2">
      <c r="A1097" s="3" t="s">
        <v>1074</v>
      </c>
      <c r="B1097" s="4">
        <v>44681</v>
      </c>
      <c r="C1097" s="3" t="s">
        <v>1175</v>
      </c>
      <c r="D1097" s="3" t="s">
        <v>1191</v>
      </c>
      <c r="E1097" s="3" t="s">
        <v>1192</v>
      </c>
      <c r="F1097" s="3">
        <v>0</v>
      </c>
      <c r="G1097" s="3">
        <v>4140</v>
      </c>
    </row>
    <row r="1098" spans="1:7" x14ac:dyDescent="0.2">
      <c r="A1098" s="3" t="s">
        <v>1072</v>
      </c>
      <c r="B1098" s="4">
        <v>44681</v>
      </c>
      <c r="C1098" s="3" t="s">
        <v>1175</v>
      </c>
      <c r="D1098" s="3" t="s">
        <v>1488</v>
      </c>
      <c r="E1098" s="3" t="s">
        <v>1489</v>
      </c>
      <c r="F1098" s="3">
        <v>0</v>
      </c>
      <c r="G1098" s="3">
        <v>1186.1300000000001</v>
      </c>
    </row>
    <row r="1099" spans="1:7" x14ac:dyDescent="0.2">
      <c r="A1099" s="3" t="s">
        <v>1072</v>
      </c>
      <c r="B1099" s="4">
        <v>44681</v>
      </c>
      <c r="C1099" s="3" t="s">
        <v>1175</v>
      </c>
      <c r="D1099" s="3" t="s">
        <v>1439</v>
      </c>
      <c r="E1099" s="3" t="s">
        <v>1440</v>
      </c>
      <c r="F1099" s="3">
        <v>15113.79</v>
      </c>
      <c r="G1099" s="3">
        <v>20758.54</v>
      </c>
    </row>
    <row r="1100" spans="1:7" x14ac:dyDescent="0.2">
      <c r="A1100" s="3" t="s">
        <v>1072</v>
      </c>
      <c r="B1100" s="4">
        <v>44681</v>
      </c>
      <c r="C1100" s="3" t="s">
        <v>1175</v>
      </c>
      <c r="D1100" s="3" t="s">
        <v>1441</v>
      </c>
      <c r="E1100" s="3" t="s">
        <v>1442</v>
      </c>
      <c r="F1100" s="3">
        <v>-510.68</v>
      </c>
      <c r="G1100" s="3">
        <v>-51208.95</v>
      </c>
    </row>
    <row r="1101" spans="1:7" x14ac:dyDescent="0.2">
      <c r="A1101" s="3" t="s">
        <v>1072</v>
      </c>
      <c r="B1101" s="4">
        <v>44681</v>
      </c>
      <c r="C1101" s="3" t="s">
        <v>1175</v>
      </c>
      <c r="D1101" s="3" t="s">
        <v>1464</v>
      </c>
      <c r="E1101" s="3" t="s">
        <v>1465</v>
      </c>
      <c r="F1101" s="3">
        <v>-204.56</v>
      </c>
      <c r="G1101" s="3">
        <v>-818.24</v>
      </c>
    </row>
    <row r="1102" spans="1:7" x14ac:dyDescent="0.2">
      <c r="A1102" s="3" t="s">
        <v>1072</v>
      </c>
      <c r="B1102" s="4">
        <v>44681</v>
      </c>
      <c r="C1102" s="3" t="s">
        <v>1175</v>
      </c>
      <c r="D1102" s="3" t="s">
        <v>1193</v>
      </c>
      <c r="E1102" s="3" t="s">
        <v>1443</v>
      </c>
      <c r="F1102" s="3">
        <v>-39490.879999999997</v>
      </c>
      <c r="G1102" s="3">
        <v>-1086877.27</v>
      </c>
    </row>
    <row r="1103" spans="1:7" x14ac:dyDescent="0.2">
      <c r="A1103" s="3" t="s">
        <v>1069</v>
      </c>
      <c r="B1103" s="4">
        <v>44681</v>
      </c>
      <c r="C1103" s="3" t="s">
        <v>1175</v>
      </c>
      <c r="D1103" s="3" t="s">
        <v>1193</v>
      </c>
      <c r="E1103" s="3" t="s">
        <v>1194</v>
      </c>
      <c r="F1103" s="3">
        <v>414192.66</v>
      </c>
      <c r="G1103" s="3">
        <v>546921.89</v>
      </c>
    </row>
    <row r="1104" spans="1:7" x14ac:dyDescent="0.2">
      <c r="A1104" s="3" t="s">
        <v>1074</v>
      </c>
      <c r="B1104" s="4">
        <v>44681</v>
      </c>
      <c r="C1104" s="3" t="s">
        <v>1175</v>
      </c>
      <c r="D1104" s="3" t="s">
        <v>1193</v>
      </c>
      <c r="E1104" s="3" t="s">
        <v>1194</v>
      </c>
      <c r="F1104" s="3">
        <v>180</v>
      </c>
      <c r="G1104" s="3">
        <v>180</v>
      </c>
    </row>
    <row r="1105" spans="1:7" x14ac:dyDescent="0.2">
      <c r="A1105" s="3" t="s">
        <v>1072</v>
      </c>
      <c r="B1105" s="4">
        <v>44681</v>
      </c>
      <c r="C1105" s="3" t="s">
        <v>1175</v>
      </c>
      <c r="D1105" s="3" t="s">
        <v>1505</v>
      </c>
      <c r="E1105" s="3" t="s">
        <v>1506</v>
      </c>
      <c r="F1105" s="3">
        <v>168446.25</v>
      </c>
      <c r="G1105" s="3">
        <v>168446.25</v>
      </c>
    </row>
    <row r="1106" spans="1:7" x14ac:dyDescent="0.2">
      <c r="A1106" s="3" t="s">
        <v>1072</v>
      </c>
      <c r="B1106" s="4">
        <v>44681</v>
      </c>
      <c r="C1106" s="3" t="s">
        <v>1175</v>
      </c>
      <c r="D1106" s="3" t="s">
        <v>1444</v>
      </c>
      <c r="E1106" s="3" t="s">
        <v>1445</v>
      </c>
      <c r="F1106" s="3">
        <v>0</v>
      </c>
      <c r="G1106" s="3">
        <v>1869.8</v>
      </c>
    </row>
    <row r="1107" spans="1:7" x14ac:dyDescent="0.2">
      <c r="A1107" s="3" t="s">
        <v>1072</v>
      </c>
      <c r="B1107" s="4">
        <v>44681</v>
      </c>
      <c r="C1107" s="3" t="s">
        <v>1175</v>
      </c>
      <c r="D1107" s="3" t="s">
        <v>1446</v>
      </c>
      <c r="E1107" s="3" t="s">
        <v>1447</v>
      </c>
      <c r="F1107" s="3">
        <v>0</v>
      </c>
      <c r="G1107" s="3">
        <v>-254.99</v>
      </c>
    </row>
    <row r="1108" spans="1:7" x14ac:dyDescent="0.2">
      <c r="A1108" s="3" t="s">
        <v>1072</v>
      </c>
      <c r="B1108" s="4">
        <v>44712</v>
      </c>
      <c r="C1108" s="3" t="s">
        <v>1210</v>
      </c>
      <c r="D1108" s="3" t="s">
        <v>1448</v>
      </c>
      <c r="E1108" s="3" t="s">
        <v>1449</v>
      </c>
      <c r="F1108" s="3">
        <v>-2231250.1</v>
      </c>
      <c r="G1108" s="3">
        <v>-5715513.7000000002</v>
      </c>
    </row>
    <row r="1109" spans="1:7" x14ac:dyDescent="0.2">
      <c r="A1109" s="3" t="s">
        <v>1072</v>
      </c>
      <c r="B1109" s="4">
        <v>44712</v>
      </c>
      <c r="C1109" s="3" t="s">
        <v>1210</v>
      </c>
      <c r="D1109" s="3" t="s">
        <v>1267</v>
      </c>
      <c r="E1109" s="3" t="s">
        <v>1268</v>
      </c>
      <c r="F1109" s="3">
        <v>-3566047.38</v>
      </c>
      <c r="G1109" s="3">
        <v>-11113111.810000001</v>
      </c>
    </row>
    <row r="1110" spans="1:7" x14ac:dyDescent="0.2">
      <c r="A1110" s="3" t="s">
        <v>1072</v>
      </c>
      <c r="B1110" s="4">
        <v>44712</v>
      </c>
      <c r="C1110" s="3" t="s">
        <v>1210</v>
      </c>
      <c r="D1110" s="3" t="s">
        <v>1507</v>
      </c>
      <c r="E1110" s="3" t="s">
        <v>1508</v>
      </c>
      <c r="F1110" s="3">
        <v>-1782369.8</v>
      </c>
      <c r="G1110" s="3">
        <v>-1782369.8</v>
      </c>
    </row>
    <row r="1111" spans="1:7" x14ac:dyDescent="0.2">
      <c r="A1111" s="3" t="s">
        <v>1072</v>
      </c>
      <c r="B1111" s="4">
        <v>44712</v>
      </c>
      <c r="C1111" s="3" t="s">
        <v>1210</v>
      </c>
      <c r="D1111" s="3" t="s">
        <v>1271</v>
      </c>
      <c r="E1111" s="3" t="s">
        <v>1272</v>
      </c>
      <c r="F1111" s="3">
        <v>-2839.7</v>
      </c>
      <c r="G1111" s="3">
        <v>-2839.7</v>
      </c>
    </row>
    <row r="1112" spans="1:7" x14ac:dyDescent="0.2">
      <c r="A1112" s="3" t="s">
        <v>1072</v>
      </c>
      <c r="B1112" s="4">
        <v>44712</v>
      </c>
      <c r="C1112" s="3" t="s">
        <v>1210</v>
      </c>
      <c r="D1112" s="3" t="s">
        <v>1273</v>
      </c>
      <c r="E1112" s="3" t="s">
        <v>1274</v>
      </c>
      <c r="F1112" s="3">
        <v>-3490.94</v>
      </c>
      <c r="G1112" s="3">
        <v>-10472.82</v>
      </c>
    </row>
    <row r="1113" spans="1:7" x14ac:dyDescent="0.2">
      <c r="A1113" s="3" t="s">
        <v>1072</v>
      </c>
      <c r="B1113" s="4">
        <v>44712</v>
      </c>
      <c r="C1113" s="3" t="s">
        <v>1210</v>
      </c>
      <c r="D1113" s="3" t="s">
        <v>1500</v>
      </c>
      <c r="E1113" s="3" t="s">
        <v>1501</v>
      </c>
      <c r="F1113" s="3">
        <v>0</v>
      </c>
      <c r="G1113" s="3">
        <v>-104</v>
      </c>
    </row>
    <row r="1114" spans="1:7" x14ac:dyDescent="0.2">
      <c r="A1114" s="3" t="s">
        <v>1072</v>
      </c>
      <c r="B1114" s="4">
        <v>44712</v>
      </c>
      <c r="C1114" s="3" t="s">
        <v>1168</v>
      </c>
      <c r="D1114" s="3" t="s">
        <v>1466</v>
      </c>
      <c r="E1114" s="3" t="s">
        <v>1467</v>
      </c>
      <c r="F1114" s="3">
        <v>0</v>
      </c>
      <c r="G1114" s="3">
        <v>957.28</v>
      </c>
    </row>
    <row r="1115" spans="1:7" x14ac:dyDescent="0.2">
      <c r="A1115" s="3" t="s">
        <v>1072</v>
      </c>
      <c r="B1115" s="4">
        <v>44712</v>
      </c>
      <c r="C1115" s="3" t="s">
        <v>1168</v>
      </c>
      <c r="D1115" s="3" t="s">
        <v>1281</v>
      </c>
      <c r="E1115" s="3" t="s">
        <v>1282</v>
      </c>
      <c r="F1115" s="3">
        <v>2992307.2</v>
      </c>
      <c r="G1115" s="3">
        <v>9272517.0700000003</v>
      </c>
    </row>
    <row r="1116" spans="1:7" x14ac:dyDescent="0.2">
      <c r="A1116" s="3" t="s">
        <v>1072</v>
      </c>
      <c r="B1116" s="4">
        <v>44712</v>
      </c>
      <c r="C1116" s="3" t="s">
        <v>1168</v>
      </c>
      <c r="D1116" s="3" t="s">
        <v>1283</v>
      </c>
      <c r="E1116" s="3" t="s">
        <v>1284</v>
      </c>
      <c r="F1116" s="3">
        <v>176708.88</v>
      </c>
      <c r="G1116" s="3">
        <v>437792.76</v>
      </c>
    </row>
    <row r="1117" spans="1:7" x14ac:dyDescent="0.2">
      <c r="A1117" s="3" t="s">
        <v>1072</v>
      </c>
      <c r="B1117" s="4">
        <v>44712</v>
      </c>
      <c r="C1117" s="3" t="s">
        <v>1168</v>
      </c>
      <c r="D1117" s="3" t="s">
        <v>1285</v>
      </c>
      <c r="E1117" s="3" t="s">
        <v>1286</v>
      </c>
      <c r="F1117" s="3">
        <v>5586.53</v>
      </c>
      <c r="G1117" s="3">
        <v>15399.87</v>
      </c>
    </row>
    <row r="1118" spans="1:7" x14ac:dyDescent="0.2">
      <c r="A1118" s="3" t="s">
        <v>1072</v>
      </c>
      <c r="B1118" s="4">
        <v>44712</v>
      </c>
      <c r="C1118" s="3" t="s">
        <v>1168</v>
      </c>
      <c r="D1118" s="3" t="s">
        <v>1287</v>
      </c>
      <c r="E1118" s="3" t="s">
        <v>1288</v>
      </c>
      <c r="F1118" s="3">
        <v>269.64999999999998</v>
      </c>
      <c r="G1118" s="3">
        <v>269.64999999999998</v>
      </c>
    </row>
    <row r="1119" spans="1:7" x14ac:dyDescent="0.2">
      <c r="A1119" s="3" t="s">
        <v>1072</v>
      </c>
      <c r="B1119" s="4">
        <v>44712</v>
      </c>
      <c r="C1119" s="3" t="s">
        <v>1168</v>
      </c>
      <c r="D1119" s="3" t="s">
        <v>1289</v>
      </c>
      <c r="E1119" s="3" t="s">
        <v>1290</v>
      </c>
      <c r="F1119" s="3">
        <v>5500</v>
      </c>
      <c r="G1119" s="3">
        <v>11000</v>
      </c>
    </row>
    <row r="1120" spans="1:7" x14ac:dyDescent="0.2">
      <c r="A1120" s="3" t="s">
        <v>1072</v>
      </c>
      <c r="B1120" s="4">
        <v>44712</v>
      </c>
      <c r="C1120" s="3" t="s">
        <v>1168</v>
      </c>
      <c r="D1120" s="3" t="s">
        <v>1291</v>
      </c>
      <c r="E1120" s="3" t="s">
        <v>1292</v>
      </c>
      <c r="F1120" s="3">
        <v>4000</v>
      </c>
      <c r="G1120" s="3">
        <v>12000</v>
      </c>
    </row>
    <row r="1121" spans="1:7" x14ac:dyDescent="0.2">
      <c r="A1121" s="3" t="s">
        <v>1072</v>
      </c>
      <c r="B1121" s="4">
        <v>44712</v>
      </c>
      <c r="C1121" s="3" t="s">
        <v>1168</v>
      </c>
      <c r="D1121" s="3" t="s">
        <v>1299</v>
      </c>
      <c r="E1121" s="3" t="s">
        <v>1300</v>
      </c>
      <c r="F1121" s="3">
        <v>0</v>
      </c>
      <c r="G1121" s="3">
        <v>2473.65</v>
      </c>
    </row>
    <row r="1122" spans="1:7" x14ac:dyDescent="0.2">
      <c r="A1122" s="3" t="s">
        <v>1072</v>
      </c>
      <c r="B1122" s="4">
        <v>44712</v>
      </c>
      <c r="C1122" s="3" t="s">
        <v>1168</v>
      </c>
      <c r="D1122" s="3" t="s">
        <v>1301</v>
      </c>
      <c r="E1122" s="3" t="s">
        <v>1302</v>
      </c>
      <c r="F1122" s="3">
        <v>0</v>
      </c>
      <c r="G1122" s="3">
        <v>937.39</v>
      </c>
    </row>
    <row r="1123" spans="1:7" x14ac:dyDescent="0.2">
      <c r="A1123" s="3" t="s">
        <v>1072</v>
      </c>
      <c r="B1123" s="4">
        <v>44712</v>
      </c>
      <c r="C1123" s="3" t="s">
        <v>1168</v>
      </c>
      <c r="D1123" s="3" t="s">
        <v>1305</v>
      </c>
      <c r="E1123" s="3" t="s">
        <v>1306</v>
      </c>
      <c r="F1123" s="3">
        <v>2418.2600000000002</v>
      </c>
      <c r="G1123" s="3">
        <v>2418.2600000000002</v>
      </c>
    </row>
    <row r="1124" spans="1:7" x14ac:dyDescent="0.2">
      <c r="A1124" s="3" t="s">
        <v>1072</v>
      </c>
      <c r="B1124" s="4">
        <v>44712</v>
      </c>
      <c r="C1124" s="3" t="s">
        <v>1168</v>
      </c>
      <c r="D1124" s="3" t="s">
        <v>1315</v>
      </c>
      <c r="E1124" s="3" t="s">
        <v>1316</v>
      </c>
      <c r="F1124" s="3">
        <v>269.64999999999998</v>
      </c>
      <c r="G1124" s="3">
        <v>2952.7</v>
      </c>
    </row>
    <row r="1125" spans="1:7" x14ac:dyDescent="0.2">
      <c r="A1125" s="3" t="s">
        <v>1072</v>
      </c>
      <c r="B1125" s="4">
        <v>44712</v>
      </c>
      <c r="C1125" s="3" t="s">
        <v>1168</v>
      </c>
      <c r="D1125" s="3" t="s">
        <v>1450</v>
      </c>
      <c r="E1125" s="3" t="s">
        <v>1451</v>
      </c>
      <c r="F1125" s="3">
        <v>3587901.07</v>
      </c>
      <c r="G1125" s="3">
        <v>6694476.2999999998</v>
      </c>
    </row>
    <row r="1126" spans="1:7" x14ac:dyDescent="0.2">
      <c r="A1126" s="3" t="s">
        <v>1072</v>
      </c>
      <c r="B1126" s="4">
        <v>44712</v>
      </c>
      <c r="C1126" s="3" t="s">
        <v>1168</v>
      </c>
      <c r="D1126" s="3" t="s">
        <v>1452</v>
      </c>
      <c r="E1126" s="3" t="s">
        <v>1453</v>
      </c>
      <c r="F1126" s="3">
        <v>265346.33</v>
      </c>
      <c r="G1126" s="3">
        <v>597820.78</v>
      </c>
    </row>
    <row r="1127" spans="1:7" x14ac:dyDescent="0.2">
      <c r="A1127" s="3" t="s">
        <v>1072</v>
      </c>
      <c r="B1127" s="4">
        <v>44712</v>
      </c>
      <c r="C1127" s="3" t="s">
        <v>1168</v>
      </c>
      <c r="D1127" s="3" t="s">
        <v>1454</v>
      </c>
      <c r="E1127" s="3" t="s">
        <v>1455</v>
      </c>
      <c r="F1127" s="3">
        <v>4000</v>
      </c>
      <c r="G1127" s="3">
        <v>14286.3</v>
      </c>
    </row>
    <row r="1128" spans="1:7" x14ac:dyDescent="0.2">
      <c r="A1128" s="3" t="s">
        <v>1072</v>
      </c>
      <c r="B1128" s="4">
        <v>44712</v>
      </c>
      <c r="C1128" s="3" t="s">
        <v>1168</v>
      </c>
      <c r="D1128" s="3" t="s">
        <v>1468</v>
      </c>
      <c r="E1128" s="3" t="s">
        <v>1469</v>
      </c>
      <c r="F1128" s="3">
        <v>0</v>
      </c>
      <c r="G1128" s="3">
        <v>1630.81</v>
      </c>
    </row>
    <row r="1129" spans="1:7" x14ac:dyDescent="0.2">
      <c r="A1129" s="3" t="s">
        <v>1072</v>
      </c>
      <c r="B1129" s="4">
        <v>44712</v>
      </c>
      <c r="C1129" s="3" t="s">
        <v>1168</v>
      </c>
      <c r="D1129" s="3" t="s">
        <v>1502</v>
      </c>
      <c r="E1129" s="3" t="s">
        <v>1503</v>
      </c>
      <c r="F1129" s="3">
        <v>0</v>
      </c>
      <c r="G1129" s="3">
        <v>4782.6099999999997</v>
      </c>
    </row>
    <row r="1130" spans="1:7" x14ac:dyDescent="0.2">
      <c r="A1130" s="3" t="s">
        <v>1072</v>
      </c>
      <c r="B1130" s="4">
        <v>44712</v>
      </c>
      <c r="C1130" s="3" t="s">
        <v>1210</v>
      </c>
      <c r="D1130" s="3" t="s">
        <v>1509</v>
      </c>
      <c r="E1130" s="3" t="s">
        <v>1510</v>
      </c>
      <c r="F1130" s="3">
        <v>-3.49</v>
      </c>
      <c r="G1130" s="3">
        <v>-3.49</v>
      </c>
    </row>
    <row r="1131" spans="1:7" x14ac:dyDescent="0.2">
      <c r="A1131" s="3" t="s">
        <v>1072</v>
      </c>
      <c r="B1131" s="4">
        <v>44712</v>
      </c>
      <c r="C1131" s="3" t="s">
        <v>1210</v>
      </c>
      <c r="D1131" s="3" t="s">
        <v>1323</v>
      </c>
      <c r="E1131" s="3" t="s">
        <v>1324</v>
      </c>
      <c r="F1131" s="3">
        <v>-4.12</v>
      </c>
      <c r="G1131" s="3">
        <v>-6.14</v>
      </c>
    </row>
    <row r="1132" spans="1:7" x14ac:dyDescent="0.2">
      <c r="A1132" s="3" t="s">
        <v>1069</v>
      </c>
      <c r="B1132" s="4">
        <v>44712</v>
      </c>
      <c r="C1132" s="3" t="s">
        <v>1210</v>
      </c>
      <c r="D1132" s="3" t="s">
        <v>1249</v>
      </c>
      <c r="E1132" s="3" t="s">
        <v>1250</v>
      </c>
      <c r="F1132" s="3">
        <v>-19914.54</v>
      </c>
      <c r="G1132" s="3">
        <v>-61180.77</v>
      </c>
    </row>
    <row r="1133" spans="1:7" x14ac:dyDescent="0.2">
      <c r="A1133" s="3" t="s">
        <v>1072</v>
      </c>
      <c r="B1133" s="4">
        <v>44712</v>
      </c>
      <c r="C1133" s="3" t="s">
        <v>1168</v>
      </c>
      <c r="D1133" s="3" t="s">
        <v>1326</v>
      </c>
      <c r="E1133" s="3" t="s">
        <v>1088</v>
      </c>
      <c r="F1133" s="3">
        <v>0</v>
      </c>
      <c r="G1133" s="3">
        <v>10600</v>
      </c>
    </row>
    <row r="1134" spans="1:7" x14ac:dyDescent="0.2">
      <c r="A1134" s="3" t="s">
        <v>1072</v>
      </c>
      <c r="B1134" s="4">
        <v>44712</v>
      </c>
      <c r="C1134" s="3" t="s">
        <v>1168</v>
      </c>
      <c r="D1134" s="3" t="s">
        <v>1337</v>
      </c>
      <c r="E1134" s="3" t="s">
        <v>1338</v>
      </c>
      <c r="F1134" s="3">
        <v>13500</v>
      </c>
      <c r="G1134" s="3">
        <v>14139.13</v>
      </c>
    </row>
    <row r="1135" spans="1:7" x14ac:dyDescent="0.2">
      <c r="A1135" s="3" t="s">
        <v>1072</v>
      </c>
      <c r="B1135" s="4">
        <v>44712</v>
      </c>
      <c r="C1135" s="3" t="s">
        <v>1168</v>
      </c>
      <c r="D1135" s="3" t="s">
        <v>1169</v>
      </c>
      <c r="E1135" s="3" t="s">
        <v>1079</v>
      </c>
      <c r="F1135" s="3">
        <v>0</v>
      </c>
      <c r="G1135" s="3">
        <v>687.5</v>
      </c>
    </row>
    <row r="1136" spans="1:7" x14ac:dyDescent="0.2">
      <c r="A1136" s="3" t="s">
        <v>1069</v>
      </c>
      <c r="B1136" s="4">
        <v>44712</v>
      </c>
      <c r="C1136" s="3" t="s">
        <v>1168</v>
      </c>
      <c r="D1136" s="3" t="s">
        <v>1169</v>
      </c>
      <c r="E1136" s="3" t="s">
        <v>1079</v>
      </c>
      <c r="F1136" s="3">
        <v>7620</v>
      </c>
      <c r="G1136" s="3">
        <v>63407.86</v>
      </c>
    </row>
    <row r="1137" spans="1:7" x14ac:dyDescent="0.2">
      <c r="A1137" s="3" t="s">
        <v>1069</v>
      </c>
      <c r="B1137" s="4">
        <v>44712</v>
      </c>
      <c r="C1137" s="3" t="s">
        <v>1168</v>
      </c>
      <c r="D1137" s="3" t="s">
        <v>1261</v>
      </c>
      <c r="E1137" s="3" t="s">
        <v>1145</v>
      </c>
      <c r="F1137" s="3">
        <v>11556</v>
      </c>
      <c r="G1137" s="3">
        <v>34668</v>
      </c>
    </row>
    <row r="1138" spans="1:7" x14ac:dyDescent="0.2">
      <c r="A1138" s="3" t="s">
        <v>1072</v>
      </c>
      <c r="B1138" s="4">
        <v>44712</v>
      </c>
      <c r="C1138" s="3" t="s">
        <v>1168</v>
      </c>
      <c r="D1138" s="3" t="s">
        <v>1339</v>
      </c>
      <c r="E1138" s="3" t="s">
        <v>1087</v>
      </c>
      <c r="F1138" s="3">
        <v>137.5</v>
      </c>
      <c r="G1138" s="3">
        <v>137.5</v>
      </c>
    </row>
    <row r="1139" spans="1:7" x14ac:dyDescent="0.2">
      <c r="A1139" s="3" t="s">
        <v>1072</v>
      </c>
      <c r="B1139" s="4">
        <v>44712</v>
      </c>
      <c r="C1139" s="3" t="s">
        <v>1168</v>
      </c>
      <c r="D1139" s="3" t="s">
        <v>1195</v>
      </c>
      <c r="E1139" s="3" t="s">
        <v>1085</v>
      </c>
      <c r="F1139" s="3">
        <v>3257.75</v>
      </c>
      <c r="G1139" s="3">
        <v>8771.77</v>
      </c>
    </row>
    <row r="1140" spans="1:7" x14ac:dyDescent="0.2">
      <c r="A1140" s="3" t="s">
        <v>1069</v>
      </c>
      <c r="B1140" s="4">
        <v>44712</v>
      </c>
      <c r="C1140" s="3" t="s">
        <v>1168</v>
      </c>
      <c r="D1140" s="3" t="s">
        <v>1195</v>
      </c>
      <c r="E1140" s="3" t="s">
        <v>1085</v>
      </c>
      <c r="F1140" s="3">
        <v>698.54</v>
      </c>
      <c r="G1140" s="3">
        <v>2066.4</v>
      </c>
    </row>
    <row r="1141" spans="1:7" x14ac:dyDescent="0.2">
      <c r="A1141" s="3" t="s">
        <v>1072</v>
      </c>
      <c r="B1141" s="4">
        <v>44712</v>
      </c>
      <c r="C1141" s="3" t="s">
        <v>1168</v>
      </c>
      <c r="D1141" s="3" t="s">
        <v>1340</v>
      </c>
      <c r="E1141" s="3" t="s">
        <v>1141</v>
      </c>
      <c r="F1141" s="3">
        <v>0</v>
      </c>
      <c r="G1141" s="3">
        <v>1986.89</v>
      </c>
    </row>
    <row r="1142" spans="1:7" x14ac:dyDescent="0.2">
      <c r="A1142" s="3" t="s">
        <v>1072</v>
      </c>
      <c r="B1142" s="4">
        <v>44712</v>
      </c>
      <c r="C1142" s="3" t="s">
        <v>1168</v>
      </c>
      <c r="D1142" s="3" t="s">
        <v>1341</v>
      </c>
      <c r="E1142" s="3" t="s">
        <v>1135</v>
      </c>
      <c r="F1142" s="3">
        <v>656.62</v>
      </c>
      <c r="G1142" s="3">
        <v>1941.15</v>
      </c>
    </row>
    <row r="1143" spans="1:7" x14ac:dyDescent="0.2">
      <c r="A1143" s="3" t="s">
        <v>1072</v>
      </c>
      <c r="B1143" s="4">
        <v>44712</v>
      </c>
      <c r="C1143" s="3" t="s">
        <v>1168</v>
      </c>
      <c r="D1143" s="3" t="s">
        <v>1342</v>
      </c>
      <c r="E1143" s="3" t="s">
        <v>1080</v>
      </c>
      <c r="F1143" s="3">
        <v>0</v>
      </c>
      <c r="G1143" s="3">
        <v>566.09</v>
      </c>
    </row>
    <row r="1144" spans="1:7" x14ac:dyDescent="0.2">
      <c r="A1144" s="3" t="s">
        <v>1072</v>
      </c>
      <c r="B1144" s="4">
        <v>44712</v>
      </c>
      <c r="C1144" s="3" t="s">
        <v>1168</v>
      </c>
      <c r="D1144" s="3" t="s">
        <v>1504</v>
      </c>
      <c r="E1144" s="3" t="s">
        <v>1142</v>
      </c>
      <c r="F1144" s="3">
        <v>10823</v>
      </c>
      <c r="G1144" s="3">
        <v>13953</v>
      </c>
    </row>
    <row r="1145" spans="1:7" x14ac:dyDescent="0.2">
      <c r="A1145" s="3" t="s">
        <v>1069</v>
      </c>
      <c r="B1145" s="4">
        <v>44712</v>
      </c>
      <c r="C1145" s="3" t="s">
        <v>1168</v>
      </c>
      <c r="D1145" s="3" t="s">
        <v>1251</v>
      </c>
      <c r="E1145" s="3" t="s">
        <v>1095</v>
      </c>
      <c r="F1145" s="3">
        <v>86424.99</v>
      </c>
      <c r="G1145" s="3">
        <v>232840.68</v>
      </c>
    </row>
    <row r="1146" spans="1:7" x14ac:dyDescent="0.2">
      <c r="A1146" s="3" t="s">
        <v>1072</v>
      </c>
      <c r="B1146" s="4">
        <v>44712</v>
      </c>
      <c r="C1146" s="3" t="s">
        <v>1168</v>
      </c>
      <c r="D1146" s="3" t="s">
        <v>1251</v>
      </c>
      <c r="E1146" s="3" t="s">
        <v>1345</v>
      </c>
      <c r="F1146" s="3">
        <v>36000</v>
      </c>
      <c r="G1146" s="3">
        <v>108000</v>
      </c>
    </row>
    <row r="1147" spans="1:7" x14ac:dyDescent="0.2">
      <c r="A1147" s="3" t="s">
        <v>1072</v>
      </c>
      <c r="B1147" s="4">
        <v>44712</v>
      </c>
      <c r="C1147" s="3" t="s">
        <v>1168</v>
      </c>
      <c r="D1147" s="3" t="s">
        <v>1348</v>
      </c>
      <c r="E1147" s="3" t="s">
        <v>1095</v>
      </c>
      <c r="F1147" s="3">
        <v>132650</v>
      </c>
      <c r="G1147" s="3">
        <v>347071.87</v>
      </c>
    </row>
    <row r="1148" spans="1:7" x14ac:dyDescent="0.2">
      <c r="A1148" s="3" t="s">
        <v>1069</v>
      </c>
      <c r="B1148" s="4">
        <v>44712</v>
      </c>
      <c r="C1148" s="3" t="s">
        <v>1168</v>
      </c>
      <c r="D1148" s="3" t="s">
        <v>1252</v>
      </c>
      <c r="E1148" s="3" t="s">
        <v>1120</v>
      </c>
      <c r="F1148" s="3">
        <v>24000</v>
      </c>
      <c r="G1148" s="3">
        <v>28000</v>
      </c>
    </row>
    <row r="1149" spans="1:7" x14ac:dyDescent="0.2">
      <c r="A1149" s="3" t="s">
        <v>1072</v>
      </c>
      <c r="B1149" s="4">
        <v>44712</v>
      </c>
      <c r="C1149" s="3" t="s">
        <v>1168</v>
      </c>
      <c r="D1149" s="3" t="s">
        <v>1350</v>
      </c>
      <c r="E1149" s="3" t="s">
        <v>1115</v>
      </c>
      <c r="F1149" s="3">
        <v>1926.81</v>
      </c>
      <c r="G1149" s="3">
        <v>4801.2</v>
      </c>
    </row>
    <row r="1150" spans="1:7" x14ac:dyDescent="0.2">
      <c r="A1150" s="3" t="s">
        <v>1072</v>
      </c>
      <c r="B1150" s="4">
        <v>44712</v>
      </c>
      <c r="C1150" s="3" t="s">
        <v>1168</v>
      </c>
      <c r="D1150" s="3" t="s">
        <v>1351</v>
      </c>
      <c r="E1150" s="3" t="s">
        <v>1096</v>
      </c>
      <c r="F1150" s="3">
        <v>193.33</v>
      </c>
      <c r="G1150" s="3">
        <v>580</v>
      </c>
    </row>
    <row r="1151" spans="1:7" x14ac:dyDescent="0.2">
      <c r="A1151" s="3" t="s">
        <v>1072</v>
      </c>
      <c r="B1151" s="4">
        <v>44712</v>
      </c>
      <c r="C1151" s="3" t="s">
        <v>1168</v>
      </c>
      <c r="D1151" s="3" t="s">
        <v>1474</v>
      </c>
      <c r="E1151" s="3" t="s">
        <v>1114</v>
      </c>
      <c r="F1151" s="3">
        <v>427.21</v>
      </c>
      <c r="G1151" s="3">
        <v>1281.6199999999999</v>
      </c>
    </row>
    <row r="1152" spans="1:7" x14ac:dyDescent="0.2">
      <c r="A1152" s="3" t="s">
        <v>1069</v>
      </c>
      <c r="B1152" s="4">
        <v>44712</v>
      </c>
      <c r="C1152" s="3" t="s">
        <v>1168</v>
      </c>
      <c r="D1152" s="3" t="s">
        <v>1229</v>
      </c>
      <c r="E1152" s="3" t="s">
        <v>1136</v>
      </c>
      <c r="F1152" s="3">
        <v>4886.7299999999996</v>
      </c>
      <c r="G1152" s="3">
        <v>7102.63</v>
      </c>
    </row>
    <row r="1153" spans="1:7" x14ac:dyDescent="0.2">
      <c r="A1153" s="3" t="s">
        <v>1072</v>
      </c>
      <c r="B1153" s="4">
        <v>44712</v>
      </c>
      <c r="C1153" s="3" t="s">
        <v>1168</v>
      </c>
      <c r="D1153" s="3" t="s">
        <v>1229</v>
      </c>
      <c r="E1153" s="3" t="s">
        <v>1106</v>
      </c>
      <c r="F1153" s="3">
        <v>4899.68</v>
      </c>
      <c r="G1153" s="3">
        <v>12522.08</v>
      </c>
    </row>
    <row r="1154" spans="1:7" x14ac:dyDescent="0.2">
      <c r="A1154" s="3" t="s">
        <v>1069</v>
      </c>
      <c r="B1154" s="4">
        <v>44712</v>
      </c>
      <c r="C1154" s="3" t="s">
        <v>1168</v>
      </c>
      <c r="D1154" s="3" t="s">
        <v>1230</v>
      </c>
      <c r="E1154" s="3" t="s">
        <v>1109</v>
      </c>
      <c r="F1154" s="3">
        <v>9207.4</v>
      </c>
      <c r="G1154" s="3">
        <v>19787.8</v>
      </c>
    </row>
    <row r="1155" spans="1:7" x14ac:dyDescent="0.2">
      <c r="A1155" s="3" t="s">
        <v>1072</v>
      </c>
      <c r="B1155" s="4">
        <v>44712</v>
      </c>
      <c r="C1155" s="3" t="s">
        <v>1168</v>
      </c>
      <c r="D1155" s="3" t="s">
        <v>1196</v>
      </c>
      <c r="E1155" s="3" t="s">
        <v>1131</v>
      </c>
      <c r="F1155" s="3">
        <v>0</v>
      </c>
      <c r="G1155" s="3">
        <v>1801.52</v>
      </c>
    </row>
    <row r="1156" spans="1:7" x14ac:dyDescent="0.2">
      <c r="A1156" s="3" t="s">
        <v>1072</v>
      </c>
      <c r="B1156" s="4">
        <v>44712</v>
      </c>
      <c r="C1156" s="3" t="s">
        <v>1168</v>
      </c>
      <c r="D1156" s="3" t="s">
        <v>1354</v>
      </c>
      <c r="E1156" s="3" t="s">
        <v>1078</v>
      </c>
      <c r="F1156" s="3">
        <v>0</v>
      </c>
      <c r="G1156" s="3">
        <v>3513.01</v>
      </c>
    </row>
    <row r="1157" spans="1:7" x14ac:dyDescent="0.2">
      <c r="A1157" s="3" t="s">
        <v>1072</v>
      </c>
      <c r="B1157" s="4">
        <v>44712</v>
      </c>
      <c r="C1157" s="3" t="s">
        <v>1168</v>
      </c>
      <c r="D1157" s="3" t="s">
        <v>1355</v>
      </c>
      <c r="E1157" s="3" t="s">
        <v>1356</v>
      </c>
      <c r="F1157" s="3">
        <v>237.57</v>
      </c>
      <c r="G1157" s="3">
        <v>712.71</v>
      </c>
    </row>
    <row r="1158" spans="1:7" x14ac:dyDescent="0.2">
      <c r="A1158" s="3" t="s">
        <v>1069</v>
      </c>
      <c r="B1158" s="4">
        <v>44712</v>
      </c>
      <c r="C1158" s="3" t="s">
        <v>1168</v>
      </c>
      <c r="D1158" s="3" t="s">
        <v>1456</v>
      </c>
      <c r="E1158" s="3" t="s">
        <v>1457</v>
      </c>
      <c r="F1158" s="3">
        <v>0</v>
      </c>
      <c r="G1158" s="3">
        <v>54.64</v>
      </c>
    </row>
    <row r="1159" spans="1:7" x14ac:dyDescent="0.2">
      <c r="A1159" s="3" t="s">
        <v>1069</v>
      </c>
      <c r="B1159" s="4">
        <v>44712</v>
      </c>
      <c r="C1159" s="3" t="s">
        <v>1168</v>
      </c>
      <c r="D1159" s="3" t="s">
        <v>1253</v>
      </c>
      <c r="E1159" s="3" t="s">
        <v>1103</v>
      </c>
      <c r="F1159" s="3">
        <v>49434.6</v>
      </c>
      <c r="G1159" s="3">
        <v>70449.789999999994</v>
      </c>
    </row>
    <row r="1160" spans="1:7" x14ac:dyDescent="0.2">
      <c r="A1160" s="3" t="s">
        <v>1072</v>
      </c>
      <c r="B1160" s="4">
        <v>44712</v>
      </c>
      <c r="C1160" s="3" t="s">
        <v>1168</v>
      </c>
      <c r="D1160" s="3" t="s">
        <v>1359</v>
      </c>
      <c r="E1160" s="3" t="s">
        <v>1086</v>
      </c>
      <c r="F1160" s="3">
        <v>0</v>
      </c>
      <c r="G1160" s="3">
        <v>1200</v>
      </c>
    </row>
    <row r="1161" spans="1:7" x14ac:dyDescent="0.2">
      <c r="A1161" s="3" t="s">
        <v>1072</v>
      </c>
      <c r="B1161" s="4">
        <v>44712</v>
      </c>
      <c r="C1161" s="3" t="s">
        <v>1168</v>
      </c>
      <c r="D1161" s="3" t="s">
        <v>1201</v>
      </c>
      <c r="E1161" s="3" t="s">
        <v>1112</v>
      </c>
      <c r="F1161" s="3">
        <v>1164.19</v>
      </c>
      <c r="G1161" s="3">
        <v>4662.16</v>
      </c>
    </row>
    <row r="1162" spans="1:7" x14ac:dyDescent="0.2">
      <c r="A1162" s="3" t="s">
        <v>1072</v>
      </c>
      <c r="B1162" s="4">
        <v>44712</v>
      </c>
      <c r="C1162" s="3" t="s">
        <v>1168</v>
      </c>
      <c r="D1162" s="3" t="s">
        <v>1360</v>
      </c>
      <c r="E1162" s="3" t="s">
        <v>1098</v>
      </c>
      <c r="F1162" s="3">
        <v>616.23</v>
      </c>
      <c r="G1162" s="3">
        <v>1842.43</v>
      </c>
    </row>
    <row r="1163" spans="1:7" x14ac:dyDescent="0.2">
      <c r="A1163" s="3" t="s">
        <v>1072</v>
      </c>
      <c r="B1163" s="4">
        <v>44712</v>
      </c>
      <c r="C1163" s="3" t="s">
        <v>1168</v>
      </c>
      <c r="D1163" s="3" t="s">
        <v>1361</v>
      </c>
      <c r="E1163" s="3" t="s">
        <v>1121</v>
      </c>
      <c r="F1163" s="3">
        <v>28087.5</v>
      </c>
      <c r="G1163" s="3">
        <v>84262.5</v>
      </c>
    </row>
    <row r="1164" spans="1:7" x14ac:dyDescent="0.2">
      <c r="A1164" s="3" t="s">
        <v>1072</v>
      </c>
      <c r="B1164" s="4">
        <v>44712</v>
      </c>
      <c r="C1164" s="3" t="s">
        <v>1168</v>
      </c>
      <c r="D1164" s="3" t="s">
        <v>1231</v>
      </c>
      <c r="E1164" s="3" t="s">
        <v>1083</v>
      </c>
      <c r="F1164" s="3">
        <v>843.6</v>
      </c>
      <c r="G1164" s="3">
        <v>2530.8000000000002</v>
      </c>
    </row>
    <row r="1165" spans="1:7" x14ac:dyDescent="0.2">
      <c r="A1165" s="3" t="s">
        <v>1069</v>
      </c>
      <c r="B1165" s="4">
        <v>44712</v>
      </c>
      <c r="C1165" s="3" t="s">
        <v>1168</v>
      </c>
      <c r="D1165" s="3" t="s">
        <v>1231</v>
      </c>
      <c r="E1165" s="3" t="s">
        <v>1070</v>
      </c>
      <c r="F1165" s="3">
        <v>6340.26</v>
      </c>
      <c r="G1165" s="3">
        <v>9510.39</v>
      </c>
    </row>
    <row r="1166" spans="1:7" x14ac:dyDescent="0.2">
      <c r="A1166" s="3" t="s">
        <v>1072</v>
      </c>
      <c r="B1166" s="4">
        <v>44712</v>
      </c>
      <c r="C1166" s="3" t="s">
        <v>1168</v>
      </c>
      <c r="D1166" s="3" t="s">
        <v>1254</v>
      </c>
      <c r="E1166" s="3" t="s">
        <v>1075</v>
      </c>
      <c r="F1166" s="3">
        <v>0</v>
      </c>
      <c r="G1166" s="3">
        <v>450</v>
      </c>
    </row>
    <row r="1167" spans="1:7" x14ac:dyDescent="0.2">
      <c r="A1167" s="3" t="s">
        <v>1072</v>
      </c>
      <c r="B1167" s="4">
        <v>44712</v>
      </c>
      <c r="C1167" s="3" t="s">
        <v>1168</v>
      </c>
      <c r="D1167" s="3" t="s">
        <v>1362</v>
      </c>
      <c r="E1167" s="3" t="s">
        <v>1123</v>
      </c>
      <c r="F1167" s="3">
        <v>231061.89</v>
      </c>
      <c r="G1167" s="3">
        <v>688756.94</v>
      </c>
    </row>
    <row r="1168" spans="1:7" x14ac:dyDescent="0.2">
      <c r="A1168" s="3" t="s">
        <v>1072</v>
      </c>
      <c r="B1168" s="4">
        <v>44712</v>
      </c>
      <c r="C1168" s="3" t="s">
        <v>1168</v>
      </c>
      <c r="D1168" s="3" t="s">
        <v>1511</v>
      </c>
      <c r="E1168" s="3" t="s">
        <v>1104</v>
      </c>
      <c r="F1168" s="3">
        <v>328.7</v>
      </c>
      <c r="G1168" s="3">
        <v>328.7</v>
      </c>
    </row>
    <row r="1169" spans="1:7" x14ac:dyDescent="0.2">
      <c r="A1169" s="3" t="s">
        <v>1072</v>
      </c>
      <c r="B1169" s="4">
        <v>44712</v>
      </c>
      <c r="C1169" s="3" t="s">
        <v>1168</v>
      </c>
      <c r="D1169" s="3" t="s">
        <v>1366</v>
      </c>
      <c r="E1169" s="3" t="s">
        <v>1144</v>
      </c>
      <c r="F1169" s="3">
        <v>898</v>
      </c>
      <c r="G1169" s="3">
        <v>898</v>
      </c>
    </row>
    <row r="1170" spans="1:7" x14ac:dyDescent="0.2">
      <c r="A1170" s="3" t="s">
        <v>1069</v>
      </c>
      <c r="B1170" s="4">
        <v>44712</v>
      </c>
      <c r="C1170" s="3" t="s">
        <v>1168</v>
      </c>
      <c r="D1170" s="3" t="s">
        <v>1213</v>
      </c>
      <c r="E1170" s="3" t="s">
        <v>1150</v>
      </c>
      <c r="F1170" s="3">
        <v>302.64999999999998</v>
      </c>
      <c r="G1170" s="3">
        <v>890.56</v>
      </c>
    </row>
    <row r="1171" spans="1:7" x14ac:dyDescent="0.2">
      <c r="A1171" s="3" t="s">
        <v>1072</v>
      </c>
      <c r="B1171" s="4">
        <v>44712</v>
      </c>
      <c r="C1171" s="3" t="s">
        <v>1168</v>
      </c>
      <c r="D1171" s="3" t="s">
        <v>1367</v>
      </c>
      <c r="E1171" s="3" t="s">
        <v>1147</v>
      </c>
      <c r="F1171" s="3">
        <v>0</v>
      </c>
      <c r="G1171" s="3">
        <v>6800</v>
      </c>
    </row>
    <row r="1172" spans="1:7" x14ac:dyDescent="0.2">
      <c r="A1172" s="3" t="s">
        <v>1072</v>
      </c>
      <c r="B1172" s="4">
        <v>44712</v>
      </c>
      <c r="C1172" s="3" t="s">
        <v>1168</v>
      </c>
      <c r="D1172" s="3" t="s">
        <v>1368</v>
      </c>
      <c r="E1172" s="3" t="s">
        <v>1124</v>
      </c>
      <c r="F1172" s="3">
        <v>922.85</v>
      </c>
      <c r="G1172" s="3">
        <v>2674.5</v>
      </c>
    </row>
    <row r="1173" spans="1:7" x14ac:dyDescent="0.2">
      <c r="A1173" s="3" t="s">
        <v>1072</v>
      </c>
      <c r="B1173" s="4">
        <v>44712</v>
      </c>
      <c r="C1173" s="3" t="s">
        <v>1168</v>
      </c>
      <c r="D1173" s="3" t="s">
        <v>1370</v>
      </c>
      <c r="E1173" s="3" t="s">
        <v>1129</v>
      </c>
      <c r="F1173" s="3">
        <v>491</v>
      </c>
      <c r="G1173" s="3">
        <v>1473</v>
      </c>
    </row>
    <row r="1174" spans="1:7" x14ac:dyDescent="0.2">
      <c r="A1174" s="3" t="s">
        <v>1072</v>
      </c>
      <c r="B1174" s="4">
        <v>44712</v>
      </c>
      <c r="C1174" s="3" t="s">
        <v>1168</v>
      </c>
      <c r="D1174" s="3" t="s">
        <v>1372</v>
      </c>
      <c r="E1174" s="3" t="s">
        <v>1158</v>
      </c>
      <c r="F1174" s="3">
        <v>600</v>
      </c>
      <c r="G1174" s="3">
        <v>1800</v>
      </c>
    </row>
    <row r="1175" spans="1:7" x14ac:dyDescent="0.2">
      <c r="A1175" s="3" t="s">
        <v>1072</v>
      </c>
      <c r="B1175" s="4">
        <v>44712</v>
      </c>
      <c r="C1175" s="3" t="s">
        <v>1168</v>
      </c>
      <c r="D1175" s="3" t="s">
        <v>1373</v>
      </c>
      <c r="E1175" s="3" t="s">
        <v>1092</v>
      </c>
      <c r="F1175" s="3">
        <v>726</v>
      </c>
      <c r="G1175" s="3">
        <v>1089</v>
      </c>
    </row>
    <row r="1176" spans="1:7" x14ac:dyDescent="0.2">
      <c r="A1176" s="3" t="s">
        <v>1072</v>
      </c>
      <c r="B1176" s="4">
        <v>44712</v>
      </c>
      <c r="C1176" s="3" t="s">
        <v>1168</v>
      </c>
      <c r="D1176" s="3" t="s">
        <v>1490</v>
      </c>
      <c r="E1176" s="3" t="s">
        <v>1491</v>
      </c>
      <c r="F1176" s="3">
        <v>1640</v>
      </c>
      <c r="G1176" s="3">
        <v>7205</v>
      </c>
    </row>
    <row r="1177" spans="1:7" x14ac:dyDescent="0.2">
      <c r="A1177" s="3" t="s">
        <v>1069</v>
      </c>
      <c r="B1177" s="4">
        <v>44712</v>
      </c>
      <c r="C1177" s="3" t="s">
        <v>1168</v>
      </c>
      <c r="D1177" s="3" t="s">
        <v>1232</v>
      </c>
      <c r="E1177" s="3" t="s">
        <v>1105</v>
      </c>
      <c r="F1177" s="3">
        <v>600</v>
      </c>
      <c r="G1177" s="3">
        <v>1800</v>
      </c>
    </row>
    <row r="1178" spans="1:7" x14ac:dyDescent="0.2">
      <c r="A1178" s="3" t="s">
        <v>1074</v>
      </c>
      <c r="B1178" s="4">
        <v>44712</v>
      </c>
      <c r="C1178" s="3" t="s">
        <v>1168</v>
      </c>
      <c r="D1178" s="3" t="s">
        <v>1232</v>
      </c>
      <c r="E1178" s="3" t="s">
        <v>1105</v>
      </c>
      <c r="F1178" s="3">
        <v>600</v>
      </c>
      <c r="G1178" s="3">
        <v>1800</v>
      </c>
    </row>
    <row r="1179" spans="1:7" x14ac:dyDescent="0.2">
      <c r="A1179" s="3" t="s">
        <v>1072</v>
      </c>
      <c r="B1179" s="4">
        <v>44712</v>
      </c>
      <c r="C1179" s="3" t="s">
        <v>1168</v>
      </c>
      <c r="D1179" s="3" t="s">
        <v>1378</v>
      </c>
      <c r="E1179" s="3" t="s">
        <v>1143</v>
      </c>
      <c r="F1179" s="3">
        <v>36200.89</v>
      </c>
      <c r="G1179" s="3">
        <v>128354.84</v>
      </c>
    </row>
    <row r="1180" spans="1:7" x14ac:dyDescent="0.2">
      <c r="A1180" s="3" t="s">
        <v>1072</v>
      </c>
      <c r="B1180" s="4">
        <v>44712</v>
      </c>
      <c r="C1180" s="3" t="s">
        <v>1168</v>
      </c>
      <c r="D1180" s="3" t="s">
        <v>1379</v>
      </c>
      <c r="E1180" s="3" t="s">
        <v>1107</v>
      </c>
      <c r="F1180" s="3">
        <v>2541.9899999999998</v>
      </c>
      <c r="G1180" s="3">
        <v>7791.43</v>
      </c>
    </row>
    <row r="1181" spans="1:7" x14ac:dyDescent="0.2">
      <c r="A1181" s="3" t="s">
        <v>1072</v>
      </c>
      <c r="B1181" s="4">
        <v>44712</v>
      </c>
      <c r="C1181" s="3" t="s">
        <v>1168</v>
      </c>
      <c r="D1181" s="3" t="s">
        <v>1380</v>
      </c>
      <c r="E1181" s="3" t="s">
        <v>1125</v>
      </c>
      <c r="F1181" s="3">
        <v>1802.24</v>
      </c>
      <c r="G1181" s="3">
        <v>4909.43</v>
      </c>
    </row>
    <row r="1182" spans="1:7" x14ac:dyDescent="0.2">
      <c r="A1182" s="3" t="s">
        <v>1072</v>
      </c>
      <c r="B1182" s="4">
        <v>44712</v>
      </c>
      <c r="C1182" s="3" t="s">
        <v>1168</v>
      </c>
      <c r="D1182" s="3" t="s">
        <v>1381</v>
      </c>
      <c r="E1182" s="3" t="s">
        <v>1130</v>
      </c>
      <c r="F1182" s="3">
        <v>1802.24</v>
      </c>
      <c r="G1182" s="3">
        <v>4909.43</v>
      </c>
    </row>
    <row r="1183" spans="1:7" x14ac:dyDescent="0.2">
      <c r="A1183" s="3" t="s">
        <v>1072</v>
      </c>
      <c r="B1183" s="4">
        <v>44712</v>
      </c>
      <c r="C1183" s="3" t="s">
        <v>1168</v>
      </c>
      <c r="D1183" s="3" t="s">
        <v>1458</v>
      </c>
      <c r="E1183" s="3" t="s">
        <v>1113</v>
      </c>
      <c r="F1183" s="3">
        <v>2579.79</v>
      </c>
      <c r="G1183" s="3">
        <v>2873.35</v>
      </c>
    </row>
    <row r="1184" spans="1:7" x14ac:dyDescent="0.2">
      <c r="A1184" s="3" t="s">
        <v>1072</v>
      </c>
      <c r="B1184" s="4">
        <v>44712</v>
      </c>
      <c r="C1184" s="3" t="s">
        <v>1168</v>
      </c>
      <c r="D1184" s="3" t="s">
        <v>1459</v>
      </c>
      <c r="E1184" s="3" t="s">
        <v>1139</v>
      </c>
      <c r="F1184" s="3">
        <v>2579.79</v>
      </c>
      <c r="G1184" s="3">
        <v>2695.35</v>
      </c>
    </row>
    <row r="1185" spans="1:7" x14ac:dyDescent="0.2">
      <c r="A1185" s="3" t="s">
        <v>1069</v>
      </c>
      <c r="B1185" s="4">
        <v>44712</v>
      </c>
      <c r="C1185" s="3" t="s">
        <v>1172</v>
      </c>
      <c r="D1185" s="3" t="s">
        <v>1173</v>
      </c>
      <c r="E1185" s="3" t="s">
        <v>1174</v>
      </c>
      <c r="F1185" s="3">
        <v>0</v>
      </c>
      <c r="G1185" s="3">
        <v>-100</v>
      </c>
    </row>
    <row r="1186" spans="1:7" x14ac:dyDescent="0.2">
      <c r="A1186" s="3" t="s">
        <v>1072</v>
      </c>
      <c r="B1186" s="4">
        <v>44712</v>
      </c>
      <c r="C1186" s="3" t="s">
        <v>1172</v>
      </c>
      <c r="D1186" s="3" t="s">
        <v>1382</v>
      </c>
      <c r="E1186" s="3" t="s">
        <v>1383</v>
      </c>
      <c r="F1186" s="3">
        <v>0</v>
      </c>
      <c r="G1186" s="3">
        <v>-120</v>
      </c>
    </row>
    <row r="1187" spans="1:7" x14ac:dyDescent="0.2">
      <c r="A1187" s="3" t="s">
        <v>1072</v>
      </c>
      <c r="B1187" s="4">
        <v>44712</v>
      </c>
      <c r="C1187" s="3" t="s">
        <v>1172</v>
      </c>
      <c r="D1187" s="3" t="s">
        <v>1384</v>
      </c>
      <c r="E1187" s="3" t="s">
        <v>1385</v>
      </c>
      <c r="F1187" s="3">
        <v>0</v>
      </c>
      <c r="G1187" s="3">
        <v>247347.05</v>
      </c>
    </row>
    <row r="1188" spans="1:7" x14ac:dyDescent="0.2">
      <c r="A1188" s="3" t="s">
        <v>1069</v>
      </c>
      <c r="B1188" s="4">
        <v>44712</v>
      </c>
      <c r="C1188" s="3" t="s">
        <v>1172</v>
      </c>
      <c r="D1188" s="3" t="s">
        <v>1384</v>
      </c>
      <c r="E1188" s="3" t="s">
        <v>1385</v>
      </c>
      <c r="F1188" s="3">
        <v>0</v>
      </c>
      <c r="G1188" s="3">
        <v>-17080353.050000001</v>
      </c>
    </row>
    <row r="1189" spans="1:7" x14ac:dyDescent="0.2">
      <c r="A1189" s="3" t="s">
        <v>1069</v>
      </c>
      <c r="B1189" s="4">
        <v>44712</v>
      </c>
      <c r="C1189" s="3" t="s">
        <v>1180</v>
      </c>
      <c r="D1189" s="3" t="s">
        <v>1241</v>
      </c>
      <c r="E1189" s="3" t="s">
        <v>1242</v>
      </c>
      <c r="F1189" s="3">
        <v>0</v>
      </c>
      <c r="G1189" s="3">
        <v>17562360.850000001</v>
      </c>
    </row>
    <row r="1190" spans="1:7" x14ac:dyDescent="0.2">
      <c r="A1190" s="3" t="s">
        <v>1072</v>
      </c>
      <c r="B1190" s="4">
        <v>44712</v>
      </c>
      <c r="C1190" s="3" t="s">
        <v>1180</v>
      </c>
      <c r="D1190" s="3" t="s">
        <v>1483</v>
      </c>
      <c r="E1190" s="3" t="s">
        <v>1177</v>
      </c>
      <c r="F1190" s="3">
        <v>0</v>
      </c>
      <c r="G1190" s="3">
        <v>2850000</v>
      </c>
    </row>
    <row r="1191" spans="1:7" x14ac:dyDescent="0.2">
      <c r="A1191" s="3" t="s">
        <v>1072</v>
      </c>
      <c r="B1191" s="4">
        <v>44712</v>
      </c>
      <c r="C1191" s="3" t="s">
        <v>1180</v>
      </c>
      <c r="D1191" s="3" t="s">
        <v>1390</v>
      </c>
      <c r="E1191" s="3" t="s">
        <v>1391</v>
      </c>
      <c r="F1191" s="3">
        <v>-115000</v>
      </c>
      <c r="G1191" s="3">
        <v>-323000</v>
      </c>
    </row>
    <row r="1192" spans="1:7" x14ac:dyDescent="0.2">
      <c r="A1192" s="3" t="s">
        <v>1072</v>
      </c>
      <c r="B1192" s="4">
        <v>44712</v>
      </c>
      <c r="C1192" s="3" t="s">
        <v>1180</v>
      </c>
      <c r="D1192" s="3" t="s">
        <v>1394</v>
      </c>
      <c r="E1192" s="3" t="s">
        <v>1256</v>
      </c>
      <c r="F1192" s="3">
        <v>-600</v>
      </c>
      <c r="G1192" s="3">
        <v>0</v>
      </c>
    </row>
    <row r="1193" spans="1:7" x14ac:dyDescent="0.2">
      <c r="A1193" s="3" t="s">
        <v>1072</v>
      </c>
      <c r="B1193" s="4">
        <v>44712</v>
      </c>
      <c r="C1193" s="3" t="s">
        <v>1180</v>
      </c>
      <c r="D1193" s="3" t="s">
        <v>1395</v>
      </c>
      <c r="E1193" s="3" t="s">
        <v>1396</v>
      </c>
      <c r="F1193" s="3">
        <v>270000</v>
      </c>
      <c r="G1193" s="3">
        <v>-3711000</v>
      </c>
    </row>
    <row r="1194" spans="1:7" x14ac:dyDescent="0.2">
      <c r="A1194" s="3" t="s">
        <v>1072</v>
      </c>
      <c r="B1194" s="4">
        <v>44712</v>
      </c>
      <c r="C1194" s="3" t="s">
        <v>1180</v>
      </c>
      <c r="D1194" s="3" t="s">
        <v>1397</v>
      </c>
      <c r="E1194" s="3" t="s">
        <v>1398</v>
      </c>
      <c r="F1194" s="3">
        <v>-600</v>
      </c>
      <c r="G1194" s="3">
        <v>0</v>
      </c>
    </row>
    <row r="1195" spans="1:7" x14ac:dyDescent="0.2">
      <c r="A1195" s="3" t="s">
        <v>1072</v>
      </c>
      <c r="B1195" s="4">
        <v>44712</v>
      </c>
      <c r="C1195" s="3" t="s">
        <v>1180</v>
      </c>
      <c r="D1195" s="3" t="s">
        <v>1512</v>
      </c>
      <c r="E1195" s="3" t="s">
        <v>1513</v>
      </c>
      <c r="F1195" s="3">
        <v>-162675.54</v>
      </c>
      <c r="G1195" s="3">
        <v>-162675.54</v>
      </c>
    </row>
    <row r="1196" spans="1:7" x14ac:dyDescent="0.2">
      <c r="A1196" s="3" t="s">
        <v>1072</v>
      </c>
      <c r="B1196" s="4">
        <v>44712</v>
      </c>
      <c r="C1196" s="3" t="s">
        <v>1180</v>
      </c>
      <c r="D1196" s="3" t="s">
        <v>1399</v>
      </c>
      <c r="E1196" s="3" t="s">
        <v>1400</v>
      </c>
      <c r="F1196" s="3">
        <v>5233.05</v>
      </c>
      <c r="G1196" s="3">
        <v>-50000</v>
      </c>
    </row>
    <row r="1197" spans="1:7" x14ac:dyDescent="0.2">
      <c r="A1197" s="3" t="s">
        <v>1074</v>
      </c>
      <c r="B1197" s="4">
        <v>44712</v>
      </c>
      <c r="C1197" s="3" t="s">
        <v>1175</v>
      </c>
      <c r="D1197" s="3" t="s">
        <v>1492</v>
      </c>
      <c r="E1197" s="3" t="s">
        <v>1493</v>
      </c>
      <c r="F1197" s="3">
        <v>-5200</v>
      </c>
      <c r="G1197" s="3">
        <v>-10720</v>
      </c>
    </row>
    <row r="1198" spans="1:7" x14ac:dyDescent="0.2">
      <c r="A1198" s="3" t="s">
        <v>1069</v>
      </c>
      <c r="B1198" s="4">
        <v>44712</v>
      </c>
      <c r="C1198" s="3" t="s">
        <v>1175</v>
      </c>
      <c r="D1198" s="3" t="s">
        <v>1178</v>
      </c>
      <c r="E1198" s="3" t="s">
        <v>1179</v>
      </c>
      <c r="F1198" s="3">
        <v>-270000</v>
      </c>
      <c r="G1198" s="3">
        <v>3711000</v>
      </c>
    </row>
    <row r="1199" spans="1:7" x14ac:dyDescent="0.2">
      <c r="A1199" s="3" t="s">
        <v>1069</v>
      </c>
      <c r="B1199" s="4">
        <v>44712</v>
      </c>
      <c r="C1199" s="3" t="s">
        <v>1175</v>
      </c>
      <c r="D1199" s="3" t="s">
        <v>1494</v>
      </c>
      <c r="E1199" s="3" t="s">
        <v>1495</v>
      </c>
      <c r="F1199" s="3">
        <v>5200</v>
      </c>
      <c r="G1199" s="3">
        <v>10720</v>
      </c>
    </row>
    <row r="1200" spans="1:7" x14ac:dyDescent="0.2">
      <c r="A1200" s="3" t="s">
        <v>1072</v>
      </c>
      <c r="B1200" s="4">
        <v>44712</v>
      </c>
      <c r="C1200" s="3" t="s">
        <v>1175</v>
      </c>
      <c r="D1200" s="3" t="s">
        <v>1405</v>
      </c>
      <c r="E1200" s="3" t="s">
        <v>1406</v>
      </c>
      <c r="F1200" s="3">
        <v>0</v>
      </c>
      <c r="G1200" s="3">
        <v>15591.67</v>
      </c>
    </row>
    <row r="1201" spans="1:7" x14ac:dyDescent="0.2">
      <c r="A1201" s="3" t="s">
        <v>1072</v>
      </c>
      <c r="B1201" s="4">
        <v>44712</v>
      </c>
      <c r="C1201" s="3" t="s">
        <v>1175</v>
      </c>
      <c r="D1201" s="3" t="s">
        <v>1407</v>
      </c>
      <c r="E1201" s="3" t="s">
        <v>1408</v>
      </c>
      <c r="F1201" s="3">
        <v>0</v>
      </c>
      <c r="G1201" s="3">
        <v>-58920.1</v>
      </c>
    </row>
    <row r="1202" spans="1:7" x14ac:dyDescent="0.2">
      <c r="A1202" s="3" t="s">
        <v>1072</v>
      </c>
      <c r="B1202" s="4">
        <v>44712</v>
      </c>
      <c r="C1202" s="3" t="s">
        <v>1180</v>
      </c>
      <c r="D1202" s="3" t="s">
        <v>1409</v>
      </c>
      <c r="E1202" s="3" t="s">
        <v>1410</v>
      </c>
      <c r="F1202" s="3">
        <v>0</v>
      </c>
      <c r="G1202" s="3">
        <v>216064.1</v>
      </c>
    </row>
    <row r="1203" spans="1:7" x14ac:dyDescent="0.2">
      <c r="A1203" s="3" t="s">
        <v>1072</v>
      </c>
      <c r="B1203" s="4">
        <v>44712</v>
      </c>
      <c r="C1203" s="3" t="s">
        <v>1180</v>
      </c>
      <c r="D1203" s="3" t="s">
        <v>1411</v>
      </c>
      <c r="E1203" s="3" t="s">
        <v>1412</v>
      </c>
      <c r="F1203" s="3">
        <v>0</v>
      </c>
      <c r="G1203" s="3">
        <v>-176453</v>
      </c>
    </row>
    <row r="1204" spans="1:7" x14ac:dyDescent="0.2">
      <c r="A1204" s="3" t="s">
        <v>1072</v>
      </c>
      <c r="B1204" s="4">
        <v>44712</v>
      </c>
      <c r="C1204" s="3" t="s">
        <v>1180</v>
      </c>
      <c r="D1204" s="3" t="s">
        <v>1413</v>
      </c>
      <c r="E1204" s="3" t="s">
        <v>1414</v>
      </c>
      <c r="F1204" s="3">
        <v>13931</v>
      </c>
      <c r="G1204" s="3">
        <v>83494.91</v>
      </c>
    </row>
    <row r="1205" spans="1:7" x14ac:dyDescent="0.2">
      <c r="A1205" s="3" t="s">
        <v>1072</v>
      </c>
      <c r="B1205" s="4">
        <v>44712</v>
      </c>
      <c r="C1205" s="3" t="s">
        <v>1180</v>
      </c>
      <c r="D1205" s="3" t="s">
        <v>1415</v>
      </c>
      <c r="E1205" s="3" t="s">
        <v>1416</v>
      </c>
      <c r="F1205" s="3">
        <v>-1926.81</v>
      </c>
      <c r="G1205" s="3">
        <v>-23942.29</v>
      </c>
    </row>
    <row r="1206" spans="1:7" x14ac:dyDescent="0.2">
      <c r="A1206" s="3" t="s">
        <v>1072</v>
      </c>
      <c r="B1206" s="4">
        <v>44712</v>
      </c>
      <c r="C1206" s="3" t="s">
        <v>1180</v>
      </c>
      <c r="D1206" s="3" t="s">
        <v>1462</v>
      </c>
      <c r="E1206" s="3" t="s">
        <v>1463</v>
      </c>
      <c r="F1206" s="3">
        <v>0</v>
      </c>
      <c r="G1206" s="3">
        <v>29281.39</v>
      </c>
    </row>
    <row r="1207" spans="1:7" x14ac:dyDescent="0.2">
      <c r="A1207" s="3" t="s">
        <v>1072</v>
      </c>
      <c r="B1207" s="4">
        <v>44712</v>
      </c>
      <c r="C1207" s="3" t="s">
        <v>1180</v>
      </c>
      <c r="D1207" s="3" t="s">
        <v>1484</v>
      </c>
      <c r="E1207" s="3" t="s">
        <v>1485</v>
      </c>
      <c r="F1207" s="3">
        <v>-427.21</v>
      </c>
      <c r="G1207" s="3">
        <v>-1688.31</v>
      </c>
    </row>
    <row r="1208" spans="1:7" x14ac:dyDescent="0.2">
      <c r="A1208" s="3" t="s">
        <v>1072</v>
      </c>
      <c r="B1208" s="4">
        <v>44712</v>
      </c>
      <c r="C1208" s="3" t="s">
        <v>1180</v>
      </c>
      <c r="D1208" s="3" t="s">
        <v>1417</v>
      </c>
      <c r="E1208" s="3" t="s">
        <v>1418</v>
      </c>
      <c r="F1208" s="3">
        <v>0</v>
      </c>
      <c r="G1208" s="3">
        <v>11600</v>
      </c>
    </row>
    <row r="1209" spans="1:7" x14ac:dyDescent="0.2">
      <c r="A1209" s="3" t="s">
        <v>1072</v>
      </c>
      <c r="B1209" s="4">
        <v>44712</v>
      </c>
      <c r="C1209" s="3" t="s">
        <v>1180</v>
      </c>
      <c r="D1209" s="3" t="s">
        <v>1419</v>
      </c>
      <c r="E1209" s="3" t="s">
        <v>1420</v>
      </c>
      <c r="F1209" s="3">
        <v>-193.33</v>
      </c>
      <c r="G1209" s="3">
        <v>-1385.56</v>
      </c>
    </row>
    <row r="1210" spans="1:7" x14ac:dyDescent="0.2">
      <c r="A1210" s="3" t="s">
        <v>1069</v>
      </c>
      <c r="B1210" s="4">
        <v>44712</v>
      </c>
      <c r="C1210" s="3" t="s">
        <v>1180</v>
      </c>
      <c r="D1210" s="3" t="s">
        <v>1421</v>
      </c>
      <c r="E1210" s="3" t="s">
        <v>1422</v>
      </c>
      <c r="F1210" s="3">
        <v>0</v>
      </c>
      <c r="G1210" s="3">
        <v>874505.75</v>
      </c>
    </row>
    <row r="1211" spans="1:7" x14ac:dyDescent="0.2">
      <c r="A1211" s="3" t="s">
        <v>1069</v>
      </c>
      <c r="B1211" s="4">
        <v>44712</v>
      </c>
      <c r="C1211" s="3" t="s">
        <v>1180</v>
      </c>
      <c r="D1211" s="3" t="s">
        <v>1214</v>
      </c>
      <c r="E1211" s="3" t="s">
        <v>1215</v>
      </c>
      <c r="F1211" s="3">
        <v>0</v>
      </c>
      <c r="G1211" s="3">
        <v>26200000</v>
      </c>
    </row>
    <row r="1212" spans="1:7" x14ac:dyDescent="0.2">
      <c r="A1212" s="3" t="s">
        <v>1069</v>
      </c>
      <c r="B1212" s="4">
        <v>44712</v>
      </c>
      <c r="C1212" s="3" t="s">
        <v>1180</v>
      </c>
      <c r="D1212" s="3" t="s">
        <v>1216</v>
      </c>
      <c r="E1212" s="3" t="s">
        <v>1217</v>
      </c>
      <c r="F1212" s="3">
        <v>0</v>
      </c>
      <c r="G1212" s="3">
        <v>68427</v>
      </c>
    </row>
    <row r="1213" spans="1:7" x14ac:dyDescent="0.2">
      <c r="A1213" s="3" t="s">
        <v>1069</v>
      </c>
      <c r="B1213" s="4">
        <v>44712</v>
      </c>
      <c r="C1213" s="3" t="s">
        <v>1180</v>
      </c>
      <c r="D1213" s="3" t="s">
        <v>1218</v>
      </c>
      <c r="E1213" s="3" t="s">
        <v>1219</v>
      </c>
      <c r="F1213" s="3">
        <v>0</v>
      </c>
      <c r="G1213" s="3">
        <v>103812</v>
      </c>
    </row>
    <row r="1214" spans="1:7" x14ac:dyDescent="0.2">
      <c r="A1214" s="3" t="s">
        <v>1069</v>
      </c>
      <c r="B1214" s="4">
        <v>44712</v>
      </c>
      <c r="C1214" s="3" t="s">
        <v>1180</v>
      </c>
      <c r="D1214" s="3" t="s">
        <v>1197</v>
      </c>
      <c r="E1214" s="3" t="s">
        <v>1198</v>
      </c>
      <c r="F1214" s="3">
        <v>0</v>
      </c>
      <c r="G1214" s="3">
        <v>150780</v>
      </c>
    </row>
    <row r="1215" spans="1:7" x14ac:dyDescent="0.2">
      <c r="A1215" s="3" t="s">
        <v>1069</v>
      </c>
      <c r="B1215" s="4">
        <v>44712</v>
      </c>
      <c r="C1215" s="3" t="s">
        <v>1180</v>
      </c>
      <c r="D1215" s="3" t="s">
        <v>1496</v>
      </c>
      <c r="E1215" s="3" t="s">
        <v>1497</v>
      </c>
      <c r="F1215" s="3">
        <v>11000</v>
      </c>
      <c r="G1215" s="3">
        <v>38000</v>
      </c>
    </row>
    <row r="1216" spans="1:7" x14ac:dyDescent="0.2">
      <c r="A1216" s="3" t="s">
        <v>1069</v>
      </c>
      <c r="B1216" s="4">
        <v>44712</v>
      </c>
      <c r="C1216" s="3" t="s">
        <v>1180</v>
      </c>
      <c r="D1216" s="3" t="s">
        <v>1181</v>
      </c>
      <c r="E1216" s="3" t="s">
        <v>1182</v>
      </c>
      <c r="F1216" s="3">
        <v>272866.52</v>
      </c>
      <c r="G1216" s="3">
        <v>5763374.7999999998</v>
      </c>
    </row>
    <row r="1217" spans="1:7" x14ac:dyDescent="0.2">
      <c r="A1217" s="3" t="s">
        <v>1069</v>
      </c>
      <c r="B1217" s="4">
        <v>44712</v>
      </c>
      <c r="C1217" s="3" t="s">
        <v>1180</v>
      </c>
      <c r="D1217" s="3" t="s">
        <v>1263</v>
      </c>
      <c r="E1217" s="3" t="s">
        <v>1264</v>
      </c>
      <c r="F1217" s="3">
        <v>0</v>
      </c>
      <c r="G1217" s="3">
        <v>13807.78</v>
      </c>
    </row>
    <row r="1218" spans="1:7" x14ac:dyDescent="0.2">
      <c r="A1218" s="3" t="s">
        <v>1069</v>
      </c>
      <c r="B1218" s="4">
        <v>44712</v>
      </c>
      <c r="C1218" s="3" t="s">
        <v>1180</v>
      </c>
      <c r="D1218" s="3" t="s">
        <v>1202</v>
      </c>
      <c r="E1218" s="3" t="s">
        <v>1203</v>
      </c>
      <c r="F1218" s="3">
        <v>0</v>
      </c>
      <c r="G1218" s="3">
        <v>44026.09</v>
      </c>
    </row>
    <row r="1219" spans="1:7" x14ac:dyDescent="0.2">
      <c r="A1219" s="3" t="s">
        <v>1069</v>
      </c>
      <c r="B1219" s="4">
        <v>44712</v>
      </c>
      <c r="C1219" s="3" t="s">
        <v>1180</v>
      </c>
      <c r="D1219" s="3" t="s">
        <v>1204</v>
      </c>
      <c r="E1219" s="3" t="s">
        <v>1205</v>
      </c>
      <c r="F1219" s="3">
        <v>0</v>
      </c>
      <c r="G1219" s="3">
        <v>7500</v>
      </c>
    </row>
    <row r="1220" spans="1:7" x14ac:dyDescent="0.2">
      <c r="A1220" s="3" t="s">
        <v>1069</v>
      </c>
      <c r="B1220" s="4">
        <v>44712</v>
      </c>
      <c r="C1220" s="3" t="s">
        <v>1180</v>
      </c>
      <c r="D1220" s="3" t="s">
        <v>1199</v>
      </c>
      <c r="E1220" s="3" t="s">
        <v>1200</v>
      </c>
      <c r="F1220" s="3">
        <v>0</v>
      </c>
      <c r="G1220" s="3">
        <v>67400</v>
      </c>
    </row>
    <row r="1221" spans="1:7" x14ac:dyDescent="0.2">
      <c r="A1221" s="3" t="s">
        <v>1069</v>
      </c>
      <c r="B1221" s="4">
        <v>44712</v>
      </c>
      <c r="C1221" s="3" t="s">
        <v>1180</v>
      </c>
      <c r="D1221" s="3" t="s">
        <v>1486</v>
      </c>
      <c r="E1221" s="3" t="s">
        <v>1487</v>
      </c>
      <c r="F1221" s="3">
        <v>1400</v>
      </c>
      <c r="G1221" s="3">
        <v>10800</v>
      </c>
    </row>
    <row r="1222" spans="1:7" x14ac:dyDescent="0.2">
      <c r="A1222" s="3" t="s">
        <v>1069</v>
      </c>
      <c r="B1222" s="4">
        <v>44712</v>
      </c>
      <c r="C1222" s="3" t="s">
        <v>1180</v>
      </c>
      <c r="D1222" s="3" t="s">
        <v>1220</v>
      </c>
      <c r="E1222" s="3" t="s">
        <v>1221</v>
      </c>
      <c r="F1222" s="3">
        <v>0</v>
      </c>
      <c r="G1222" s="3">
        <v>15175</v>
      </c>
    </row>
    <row r="1223" spans="1:7" x14ac:dyDescent="0.2">
      <c r="A1223" s="3" t="s">
        <v>1069</v>
      </c>
      <c r="B1223" s="4">
        <v>44712</v>
      </c>
      <c r="C1223" s="3" t="s">
        <v>1180</v>
      </c>
      <c r="D1223" s="3" t="s">
        <v>1498</v>
      </c>
      <c r="E1223" s="3" t="s">
        <v>1499</v>
      </c>
      <c r="F1223" s="3">
        <v>0</v>
      </c>
      <c r="G1223" s="3">
        <v>570856.07999999996</v>
      </c>
    </row>
    <row r="1224" spans="1:7" x14ac:dyDescent="0.2">
      <c r="A1224" s="3" t="s">
        <v>1069</v>
      </c>
      <c r="B1224" s="4">
        <v>44712</v>
      </c>
      <c r="C1224" s="3" t="s">
        <v>1180</v>
      </c>
      <c r="D1224" s="3" t="s">
        <v>1183</v>
      </c>
      <c r="E1224" s="3" t="s">
        <v>1184</v>
      </c>
      <c r="F1224" s="3">
        <v>4013619.9</v>
      </c>
      <c r="G1224" s="3">
        <v>7685243.3899999997</v>
      </c>
    </row>
    <row r="1225" spans="1:7" x14ac:dyDescent="0.2">
      <c r="A1225" s="3" t="s">
        <v>1069</v>
      </c>
      <c r="B1225" s="4">
        <v>44712</v>
      </c>
      <c r="C1225" s="3" t="s">
        <v>1180</v>
      </c>
      <c r="D1225" s="3" t="s">
        <v>1222</v>
      </c>
      <c r="E1225" s="3" t="s">
        <v>1223</v>
      </c>
      <c r="F1225" s="3">
        <v>0</v>
      </c>
      <c r="G1225" s="3">
        <v>2376904.9900000002</v>
      </c>
    </row>
    <row r="1226" spans="1:7" x14ac:dyDescent="0.2">
      <c r="A1226" s="3" t="s">
        <v>1069</v>
      </c>
      <c r="B1226" s="4">
        <v>44712</v>
      </c>
      <c r="C1226" s="3" t="s">
        <v>1180</v>
      </c>
      <c r="D1226" s="3" t="s">
        <v>1235</v>
      </c>
      <c r="E1226" s="3" t="s">
        <v>1236</v>
      </c>
      <c r="F1226" s="3">
        <v>0</v>
      </c>
      <c r="G1226" s="3">
        <v>782608.07</v>
      </c>
    </row>
    <row r="1227" spans="1:7" x14ac:dyDescent="0.2">
      <c r="A1227" s="3" t="s">
        <v>1069</v>
      </c>
      <c r="B1227" s="4">
        <v>44712</v>
      </c>
      <c r="C1227" s="3" t="s">
        <v>1180</v>
      </c>
      <c r="D1227" s="3" t="s">
        <v>1206</v>
      </c>
      <c r="E1227" s="3" t="s">
        <v>1207</v>
      </c>
      <c r="F1227" s="3">
        <v>0</v>
      </c>
      <c r="G1227" s="3">
        <v>129550</v>
      </c>
    </row>
    <row r="1228" spans="1:7" x14ac:dyDescent="0.2">
      <c r="A1228" s="3" t="s">
        <v>1069</v>
      </c>
      <c r="B1228" s="4">
        <v>44712</v>
      </c>
      <c r="C1228" s="3" t="s">
        <v>1180</v>
      </c>
      <c r="D1228" s="3" t="s">
        <v>1208</v>
      </c>
      <c r="E1228" s="3" t="s">
        <v>1209</v>
      </c>
      <c r="F1228" s="3">
        <v>0</v>
      </c>
      <c r="G1228" s="3">
        <v>45000</v>
      </c>
    </row>
    <row r="1229" spans="1:7" x14ac:dyDescent="0.2">
      <c r="A1229" s="3" t="s">
        <v>1069</v>
      </c>
      <c r="B1229" s="4">
        <v>44712</v>
      </c>
      <c r="C1229" s="3" t="s">
        <v>1180</v>
      </c>
      <c r="D1229" s="3" t="s">
        <v>1259</v>
      </c>
      <c r="E1229" s="3" t="s">
        <v>1260</v>
      </c>
      <c r="F1229" s="3">
        <v>6000</v>
      </c>
      <c r="G1229" s="3">
        <v>77000</v>
      </c>
    </row>
    <row r="1230" spans="1:7" x14ac:dyDescent="0.2">
      <c r="A1230" s="3" t="s">
        <v>1069</v>
      </c>
      <c r="B1230" s="4">
        <v>44712</v>
      </c>
      <c r="C1230" s="3" t="s">
        <v>1180</v>
      </c>
      <c r="D1230" s="3" t="s">
        <v>1265</v>
      </c>
      <c r="E1230" s="3" t="s">
        <v>1266</v>
      </c>
      <c r="F1230" s="3">
        <v>0</v>
      </c>
      <c r="G1230" s="3">
        <v>749972.41</v>
      </c>
    </row>
    <row r="1231" spans="1:7" x14ac:dyDescent="0.2">
      <c r="A1231" s="3" t="s">
        <v>1069</v>
      </c>
      <c r="B1231" s="4">
        <v>44712</v>
      </c>
      <c r="C1231" s="3" t="s">
        <v>1180</v>
      </c>
      <c r="D1231" s="3" t="s">
        <v>1423</v>
      </c>
      <c r="E1231" s="3" t="s">
        <v>1424</v>
      </c>
      <c r="F1231" s="3">
        <v>0</v>
      </c>
      <c r="G1231" s="3">
        <v>622274.51</v>
      </c>
    </row>
    <row r="1232" spans="1:7" x14ac:dyDescent="0.2">
      <c r="A1232" s="3" t="s">
        <v>1072</v>
      </c>
      <c r="B1232" s="4">
        <v>44712</v>
      </c>
      <c r="C1232" s="3" t="s">
        <v>1180</v>
      </c>
      <c r="D1232" s="3" t="s">
        <v>1425</v>
      </c>
      <c r="E1232" s="3" t="s">
        <v>1426</v>
      </c>
      <c r="F1232" s="3">
        <v>0</v>
      </c>
      <c r="G1232" s="3">
        <v>6875.45</v>
      </c>
    </row>
    <row r="1233" spans="1:7" x14ac:dyDescent="0.2">
      <c r="A1233" s="3" t="s">
        <v>1072</v>
      </c>
      <c r="B1233" s="4">
        <v>44712</v>
      </c>
      <c r="C1233" s="3" t="s">
        <v>1180</v>
      </c>
      <c r="D1233" s="3" t="s">
        <v>1427</v>
      </c>
      <c r="E1233" s="3" t="s">
        <v>1428</v>
      </c>
      <c r="F1233" s="3">
        <v>1985117.36</v>
      </c>
      <c r="G1233" s="3">
        <v>7654794.1200000001</v>
      </c>
    </row>
    <row r="1234" spans="1:7" x14ac:dyDescent="0.2">
      <c r="A1234" s="3" t="s">
        <v>1072</v>
      </c>
      <c r="B1234" s="4">
        <v>44712</v>
      </c>
      <c r="C1234" s="3" t="s">
        <v>1180</v>
      </c>
      <c r="D1234" s="3" t="s">
        <v>1429</v>
      </c>
      <c r="E1234" s="3" t="s">
        <v>1430</v>
      </c>
      <c r="F1234" s="3">
        <v>-5586.53</v>
      </c>
      <c r="G1234" s="3">
        <v>32928.57</v>
      </c>
    </row>
    <row r="1235" spans="1:7" x14ac:dyDescent="0.2">
      <c r="A1235" s="3" t="s">
        <v>1069</v>
      </c>
      <c r="B1235" s="4">
        <v>44712</v>
      </c>
      <c r="C1235" s="3" t="s">
        <v>1180</v>
      </c>
      <c r="D1235" s="3" t="s">
        <v>1257</v>
      </c>
      <c r="E1235" s="3" t="s">
        <v>1258</v>
      </c>
      <c r="F1235" s="3">
        <v>-300000</v>
      </c>
      <c r="G1235" s="3">
        <v>0</v>
      </c>
    </row>
    <row r="1236" spans="1:7" x14ac:dyDescent="0.2">
      <c r="A1236" s="3" t="s">
        <v>1069</v>
      </c>
      <c r="B1236" s="4">
        <v>44712</v>
      </c>
      <c r="C1236" s="3" t="s">
        <v>1180</v>
      </c>
      <c r="D1236" s="3" t="s">
        <v>1187</v>
      </c>
      <c r="E1236" s="3" t="s">
        <v>1188</v>
      </c>
      <c r="F1236" s="3">
        <v>1373413.49</v>
      </c>
      <c r="G1236" s="3">
        <v>1389482.57</v>
      </c>
    </row>
    <row r="1237" spans="1:7" x14ac:dyDescent="0.2">
      <c r="A1237" s="3" t="s">
        <v>1072</v>
      </c>
      <c r="B1237" s="4">
        <v>44712</v>
      </c>
      <c r="C1237" s="3" t="s">
        <v>1180</v>
      </c>
      <c r="D1237" s="3" t="s">
        <v>1187</v>
      </c>
      <c r="E1237" s="3" t="s">
        <v>1433</v>
      </c>
      <c r="F1237" s="3">
        <v>-135598.42000000001</v>
      </c>
      <c r="G1237" s="3">
        <v>47717.03</v>
      </c>
    </row>
    <row r="1238" spans="1:7" x14ac:dyDescent="0.2">
      <c r="A1238" s="3" t="s">
        <v>1072</v>
      </c>
      <c r="B1238" s="4">
        <v>44712</v>
      </c>
      <c r="C1238" s="3" t="s">
        <v>1180</v>
      </c>
      <c r="D1238" s="3" t="s">
        <v>1435</v>
      </c>
      <c r="E1238" s="3" t="s">
        <v>1436</v>
      </c>
      <c r="F1238" s="3">
        <v>4.12</v>
      </c>
      <c r="G1238" s="3">
        <v>515.78</v>
      </c>
    </row>
    <row r="1239" spans="1:7" x14ac:dyDescent="0.2">
      <c r="A1239" s="3" t="s">
        <v>1069</v>
      </c>
      <c r="B1239" s="4">
        <v>44712</v>
      </c>
      <c r="C1239" s="3" t="s">
        <v>1180</v>
      </c>
      <c r="D1239" s="3" t="s">
        <v>1243</v>
      </c>
      <c r="E1239" s="3" t="s">
        <v>1244</v>
      </c>
      <c r="F1239" s="3">
        <v>2.88</v>
      </c>
      <c r="G1239" s="3">
        <v>793.28</v>
      </c>
    </row>
    <row r="1240" spans="1:7" x14ac:dyDescent="0.2">
      <c r="A1240" s="3" t="s">
        <v>1069</v>
      </c>
      <c r="B1240" s="4">
        <v>44712</v>
      </c>
      <c r="C1240" s="3" t="s">
        <v>1180</v>
      </c>
      <c r="D1240" s="3" t="s">
        <v>1245</v>
      </c>
      <c r="E1240" s="3" t="s">
        <v>1246</v>
      </c>
      <c r="F1240" s="3">
        <v>6595964.96</v>
      </c>
      <c r="G1240" s="3">
        <v>8363082.6299999999</v>
      </c>
    </row>
    <row r="1241" spans="1:7" x14ac:dyDescent="0.2">
      <c r="A1241" s="3" t="s">
        <v>1072</v>
      </c>
      <c r="B1241" s="4">
        <v>44712</v>
      </c>
      <c r="C1241" s="3" t="s">
        <v>1175</v>
      </c>
      <c r="D1241" s="3" t="s">
        <v>1437</v>
      </c>
      <c r="E1241" s="3" t="s">
        <v>1438</v>
      </c>
      <c r="F1241" s="3">
        <v>0</v>
      </c>
      <c r="G1241" s="3">
        <v>-0.03</v>
      </c>
    </row>
    <row r="1242" spans="1:7" x14ac:dyDescent="0.2">
      <c r="A1242" s="3" t="s">
        <v>1069</v>
      </c>
      <c r="B1242" s="4">
        <v>44712</v>
      </c>
      <c r="C1242" s="3" t="s">
        <v>1175</v>
      </c>
      <c r="D1242" s="3" t="s">
        <v>1437</v>
      </c>
      <c r="E1242" s="3" t="s">
        <v>1438</v>
      </c>
      <c r="F1242" s="3">
        <v>0</v>
      </c>
      <c r="G1242" s="3">
        <v>0.01</v>
      </c>
    </row>
    <row r="1243" spans="1:7" x14ac:dyDescent="0.2">
      <c r="A1243" s="3" t="s">
        <v>1072</v>
      </c>
      <c r="B1243" s="4">
        <v>44712</v>
      </c>
      <c r="C1243" s="3" t="s">
        <v>1175</v>
      </c>
      <c r="D1243" s="3" t="s">
        <v>1191</v>
      </c>
      <c r="E1243" s="3" t="s">
        <v>1192</v>
      </c>
      <c r="F1243" s="3">
        <v>-1431977.96</v>
      </c>
      <c r="G1243" s="3">
        <v>-5280396.24</v>
      </c>
    </row>
    <row r="1244" spans="1:7" x14ac:dyDescent="0.2">
      <c r="A1244" s="3" t="s">
        <v>1069</v>
      </c>
      <c r="B1244" s="4">
        <v>44712</v>
      </c>
      <c r="C1244" s="3" t="s">
        <v>1175</v>
      </c>
      <c r="D1244" s="3" t="s">
        <v>1191</v>
      </c>
      <c r="E1244" s="3" t="s">
        <v>1192</v>
      </c>
      <c r="F1244" s="3">
        <v>-12561963.99</v>
      </c>
      <c r="G1244" s="3">
        <v>-61981663.640000001</v>
      </c>
    </row>
    <row r="1245" spans="1:7" x14ac:dyDescent="0.2">
      <c r="A1245" s="3" t="s">
        <v>1074</v>
      </c>
      <c r="B1245" s="4">
        <v>44712</v>
      </c>
      <c r="C1245" s="3" t="s">
        <v>1175</v>
      </c>
      <c r="D1245" s="3" t="s">
        <v>1191</v>
      </c>
      <c r="E1245" s="3" t="s">
        <v>1192</v>
      </c>
      <c r="F1245" s="3">
        <v>4510</v>
      </c>
      <c r="G1245" s="3">
        <v>8650</v>
      </c>
    </row>
    <row r="1246" spans="1:7" x14ac:dyDescent="0.2">
      <c r="A1246" s="3" t="s">
        <v>1072</v>
      </c>
      <c r="B1246" s="4">
        <v>44712</v>
      </c>
      <c r="C1246" s="3" t="s">
        <v>1175</v>
      </c>
      <c r="D1246" s="3" t="s">
        <v>1488</v>
      </c>
      <c r="E1246" s="3" t="s">
        <v>1489</v>
      </c>
      <c r="F1246" s="3">
        <v>0</v>
      </c>
      <c r="G1246" s="3">
        <v>1186.1300000000001</v>
      </c>
    </row>
    <row r="1247" spans="1:7" x14ac:dyDescent="0.2">
      <c r="A1247" s="3" t="s">
        <v>1072</v>
      </c>
      <c r="B1247" s="4">
        <v>44712</v>
      </c>
      <c r="C1247" s="3" t="s">
        <v>1175</v>
      </c>
      <c r="D1247" s="3" t="s">
        <v>1439</v>
      </c>
      <c r="E1247" s="3" t="s">
        <v>1440</v>
      </c>
      <c r="F1247" s="3">
        <v>0</v>
      </c>
      <c r="G1247" s="3">
        <v>20758.54</v>
      </c>
    </row>
    <row r="1248" spans="1:7" x14ac:dyDescent="0.2">
      <c r="A1248" s="3" t="s">
        <v>1072</v>
      </c>
      <c r="B1248" s="4">
        <v>44712</v>
      </c>
      <c r="C1248" s="3" t="s">
        <v>1175</v>
      </c>
      <c r="D1248" s="3" t="s">
        <v>1441</v>
      </c>
      <c r="E1248" s="3" t="s">
        <v>1442</v>
      </c>
      <c r="F1248" s="3">
        <v>10572.14</v>
      </c>
      <c r="G1248" s="3">
        <v>-40636.81</v>
      </c>
    </row>
    <row r="1249" spans="1:7" x14ac:dyDescent="0.2">
      <c r="A1249" s="3" t="s">
        <v>1072</v>
      </c>
      <c r="B1249" s="4">
        <v>44712</v>
      </c>
      <c r="C1249" s="3" t="s">
        <v>1175</v>
      </c>
      <c r="D1249" s="3" t="s">
        <v>1464</v>
      </c>
      <c r="E1249" s="3" t="s">
        <v>1465</v>
      </c>
      <c r="F1249" s="3">
        <v>-5159.58</v>
      </c>
      <c r="G1249" s="3">
        <v>-5977.82</v>
      </c>
    </row>
    <row r="1250" spans="1:7" x14ac:dyDescent="0.2">
      <c r="A1250" s="3" t="s">
        <v>1072</v>
      </c>
      <c r="B1250" s="4">
        <v>44712</v>
      </c>
      <c r="C1250" s="3" t="s">
        <v>1175</v>
      </c>
      <c r="D1250" s="3" t="s">
        <v>1193</v>
      </c>
      <c r="E1250" s="3" t="s">
        <v>1443</v>
      </c>
      <c r="F1250" s="3">
        <v>-234644.45</v>
      </c>
      <c r="G1250" s="3">
        <v>-1321521.72</v>
      </c>
    </row>
    <row r="1251" spans="1:7" x14ac:dyDescent="0.2">
      <c r="A1251" s="3" t="s">
        <v>1069</v>
      </c>
      <c r="B1251" s="4">
        <v>44712</v>
      </c>
      <c r="C1251" s="3" t="s">
        <v>1175</v>
      </c>
      <c r="D1251" s="3" t="s">
        <v>1193</v>
      </c>
      <c r="E1251" s="3" t="s">
        <v>1194</v>
      </c>
      <c r="F1251" s="3">
        <v>671339.61</v>
      </c>
      <c r="G1251" s="3">
        <v>1218261.5</v>
      </c>
    </row>
    <row r="1252" spans="1:7" x14ac:dyDescent="0.2">
      <c r="A1252" s="3" t="s">
        <v>1074</v>
      </c>
      <c r="B1252" s="4">
        <v>44712</v>
      </c>
      <c r="C1252" s="3" t="s">
        <v>1175</v>
      </c>
      <c r="D1252" s="3" t="s">
        <v>1193</v>
      </c>
      <c r="E1252" s="3" t="s">
        <v>1194</v>
      </c>
      <c r="F1252" s="3">
        <v>90</v>
      </c>
      <c r="G1252" s="3">
        <v>270</v>
      </c>
    </row>
    <row r="1253" spans="1:7" x14ac:dyDescent="0.2">
      <c r="A1253" s="3" t="s">
        <v>1072</v>
      </c>
      <c r="B1253" s="4">
        <v>44712</v>
      </c>
      <c r="C1253" s="3" t="s">
        <v>1175</v>
      </c>
      <c r="D1253" s="3" t="s">
        <v>1505</v>
      </c>
      <c r="E1253" s="3" t="s">
        <v>1506</v>
      </c>
      <c r="F1253" s="3">
        <v>-168366.25</v>
      </c>
      <c r="G1253" s="3">
        <v>80</v>
      </c>
    </row>
    <row r="1254" spans="1:7" x14ac:dyDescent="0.2">
      <c r="A1254" s="3" t="s">
        <v>1072</v>
      </c>
      <c r="B1254" s="4">
        <v>44712</v>
      </c>
      <c r="C1254" s="3" t="s">
        <v>1175</v>
      </c>
      <c r="D1254" s="3" t="s">
        <v>1444</v>
      </c>
      <c r="E1254" s="3" t="s">
        <v>1445</v>
      </c>
      <c r="F1254" s="3">
        <v>0</v>
      </c>
      <c r="G1254" s="3">
        <v>1869.8</v>
      </c>
    </row>
    <row r="1255" spans="1:7" x14ac:dyDescent="0.2">
      <c r="A1255" s="3" t="s">
        <v>1072</v>
      </c>
      <c r="B1255" s="4">
        <v>44712</v>
      </c>
      <c r="C1255" s="3" t="s">
        <v>1175</v>
      </c>
      <c r="D1255" s="3" t="s">
        <v>1446</v>
      </c>
      <c r="E1255" s="3" t="s">
        <v>1447</v>
      </c>
      <c r="F1255" s="3">
        <v>0</v>
      </c>
      <c r="G1255" s="3">
        <v>-254.99</v>
      </c>
    </row>
    <row r="1256" spans="1:7" x14ac:dyDescent="0.2">
      <c r="A1256" s="3" t="s">
        <v>1072</v>
      </c>
      <c r="B1256" s="4">
        <v>44742</v>
      </c>
      <c r="C1256" s="3" t="s">
        <v>1210</v>
      </c>
      <c r="D1256" s="3" t="s">
        <v>1448</v>
      </c>
      <c r="E1256" s="3" t="s">
        <v>1449</v>
      </c>
      <c r="F1256" s="3">
        <v>-5468173.6200000001</v>
      </c>
      <c r="G1256" s="3">
        <v>-11183687.32</v>
      </c>
    </row>
    <row r="1257" spans="1:7" x14ac:dyDescent="0.2">
      <c r="A1257" s="3" t="s">
        <v>1072</v>
      </c>
      <c r="B1257" s="4">
        <v>44742</v>
      </c>
      <c r="C1257" s="3" t="s">
        <v>1210</v>
      </c>
      <c r="D1257" s="3" t="s">
        <v>1267</v>
      </c>
      <c r="E1257" s="3" t="s">
        <v>1268</v>
      </c>
      <c r="F1257" s="3">
        <v>-11339330.6</v>
      </c>
      <c r="G1257" s="3">
        <v>-22452442.41</v>
      </c>
    </row>
    <row r="1258" spans="1:7" x14ac:dyDescent="0.2">
      <c r="A1258" s="3" t="s">
        <v>1072</v>
      </c>
      <c r="B1258" s="4">
        <v>44742</v>
      </c>
      <c r="C1258" s="3" t="s">
        <v>1210</v>
      </c>
      <c r="D1258" s="3" t="s">
        <v>1507</v>
      </c>
      <c r="E1258" s="3" t="s">
        <v>1508</v>
      </c>
      <c r="F1258" s="3">
        <v>0</v>
      </c>
      <c r="G1258" s="3">
        <v>-1782369.8</v>
      </c>
    </row>
    <row r="1259" spans="1:7" x14ac:dyDescent="0.2">
      <c r="A1259" s="3" t="s">
        <v>1072</v>
      </c>
      <c r="B1259" s="4">
        <v>44742</v>
      </c>
      <c r="C1259" s="3" t="s">
        <v>1210</v>
      </c>
      <c r="D1259" s="3" t="s">
        <v>1271</v>
      </c>
      <c r="E1259" s="3" t="s">
        <v>1272</v>
      </c>
      <c r="F1259" s="3">
        <v>0</v>
      </c>
      <c r="G1259" s="3">
        <v>-2839.7</v>
      </c>
    </row>
    <row r="1260" spans="1:7" x14ac:dyDescent="0.2">
      <c r="A1260" s="3" t="s">
        <v>1072</v>
      </c>
      <c r="B1260" s="4">
        <v>44742</v>
      </c>
      <c r="C1260" s="3" t="s">
        <v>1210</v>
      </c>
      <c r="D1260" s="3" t="s">
        <v>1273</v>
      </c>
      <c r="E1260" s="3" t="s">
        <v>1274</v>
      </c>
      <c r="F1260" s="3">
        <v>-3490.94</v>
      </c>
      <c r="G1260" s="3">
        <v>-13963.76</v>
      </c>
    </row>
    <row r="1261" spans="1:7" x14ac:dyDescent="0.2">
      <c r="A1261" s="3" t="s">
        <v>1072</v>
      </c>
      <c r="B1261" s="4">
        <v>44742</v>
      </c>
      <c r="C1261" s="3" t="s">
        <v>1210</v>
      </c>
      <c r="D1261" s="3" t="s">
        <v>1500</v>
      </c>
      <c r="E1261" s="3" t="s">
        <v>1501</v>
      </c>
      <c r="F1261" s="3">
        <v>104</v>
      </c>
      <c r="G1261" s="3">
        <v>0</v>
      </c>
    </row>
    <row r="1262" spans="1:7" x14ac:dyDescent="0.2">
      <c r="A1262" s="3" t="s">
        <v>1069</v>
      </c>
      <c r="B1262" s="4">
        <v>44742</v>
      </c>
      <c r="C1262" s="3" t="s">
        <v>1168</v>
      </c>
      <c r="D1262" s="3" t="s">
        <v>1514</v>
      </c>
      <c r="E1262" s="3" t="s">
        <v>1515</v>
      </c>
      <c r="F1262" s="3">
        <v>86956.52</v>
      </c>
      <c r="G1262" s="3">
        <v>86956.52</v>
      </c>
    </row>
    <row r="1263" spans="1:7" x14ac:dyDescent="0.2">
      <c r="A1263" s="3" t="s">
        <v>1072</v>
      </c>
      <c r="B1263" s="4">
        <v>44742</v>
      </c>
      <c r="C1263" s="3" t="s">
        <v>1168</v>
      </c>
      <c r="D1263" s="3" t="s">
        <v>1466</v>
      </c>
      <c r="E1263" s="3" t="s">
        <v>1467</v>
      </c>
      <c r="F1263" s="3">
        <v>0</v>
      </c>
      <c r="G1263" s="3">
        <v>957.28</v>
      </c>
    </row>
    <row r="1264" spans="1:7" x14ac:dyDescent="0.2">
      <c r="A1264" s="3" t="s">
        <v>1072</v>
      </c>
      <c r="B1264" s="4">
        <v>44742</v>
      </c>
      <c r="C1264" s="3" t="s">
        <v>1168</v>
      </c>
      <c r="D1264" s="3" t="s">
        <v>1281</v>
      </c>
      <c r="E1264" s="3" t="s">
        <v>1282</v>
      </c>
      <c r="F1264" s="3">
        <v>2300399.5099999998</v>
      </c>
      <c r="G1264" s="3">
        <v>11572916.58</v>
      </c>
    </row>
    <row r="1265" spans="1:7" x14ac:dyDescent="0.2">
      <c r="A1265" s="3" t="s">
        <v>1072</v>
      </c>
      <c r="B1265" s="4">
        <v>44742</v>
      </c>
      <c r="C1265" s="3" t="s">
        <v>1168</v>
      </c>
      <c r="D1265" s="3" t="s">
        <v>1283</v>
      </c>
      <c r="E1265" s="3" t="s">
        <v>1284</v>
      </c>
      <c r="F1265" s="3">
        <v>141455.82999999999</v>
      </c>
      <c r="G1265" s="3">
        <v>579248.59</v>
      </c>
    </row>
    <row r="1266" spans="1:7" x14ac:dyDescent="0.2">
      <c r="A1266" s="3" t="s">
        <v>1072</v>
      </c>
      <c r="B1266" s="4">
        <v>44742</v>
      </c>
      <c r="C1266" s="3" t="s">
        <v>1168</v>
      </c>
      <c r="D1266" s="3" t="s">
        <v>1285</v>
      </c>
      <c r="E1266" s="3" t="s">
        <v>1286</v>
      </c>
      <c r="F1266" s="3">
        <v>5586.53</v>
      </c>
      <c r="G1266" s="3">
        <v>20986.400000000001</v>
      </c>
    </row>
    <row r="1267" spans="1:7" x14ac:dyDescent="0.2">
      <c r="A1267" s="3" t="s">
        <v>1072</v>
      </c>
      <c r="B1267" s="4">
        <v>44742</v>
      </c>
      <c r="C1267" s="3" t="s">
        <v>1168</v>
      </c>
      <c r="D1267" s="3" t="s">
        <v>1287</v>
      </c>
      <c r="E1267" s="3" t="s">
        <v>1288</v>
      </c>
      <c r="F1267" s="3">
        <v>0</v>
      </c>
      <c r="G1267" s="3">
        <v>269.64999999999998</v>
      </c>
    </row>
    <row r="1268" spans="1:7" x14ac:dyDescent="0.2">
      <c r="A1268" s="3" t="s">
        <v>1072</v>
      </c>
      <c r="B1268" s="4">
        <v>44742</v>
      </c>
      <c r="C1268" s="3" t="s">
        <v>1168</v>
      </c>
      <c r="D1268" s="3" t="s">
        <v>1289</v>
      </c>
      <c r="E1268" s="3" t="s">
        <v>1290</v>
      </c>
      <c r="F1268" s="3">
        <v>0</v>
      </c>
      <c r="G1268" s="3">
        <v>11000</v>
      </c>
    </row>
    <row r="1269" spans="1:7" x14ac:dyDescent="0.2">
      <c r="A1269" s="3" t="s">
        <v>1072</v>
      </c>
      <c r="B1269" s="4">
        <v>44742</v>
      </c>
      <c r="C1269" s="3" t="s">
        <v>1168</v>
      </c>
      <c r="D1269" s="3" t="s">
        <v>1291</v>
      </c>
      <c r="E1269" s="3" t="s">
        <v>1292</v>
      </c>
      <c r="F1269" s="3">
        <v>4000</v>
      </c>
      <c r="G1269" s="3">
        <v>16000</v>
      </c>
    </row>
    <row r="1270" spans="1:7" x14ac:dyDescent="0.2">
      <c r="A1270" s="3" t="s">
        <v>1072</v>
      </c>
      <c r="B1270" s="4">
        <v>44742</v>
      </c>
      <c r="C1270" s="3" t="s">
        <v>1168</v>
      </c>
      <c r="D1270" s="3" t="s">
        <v>1299</v>
      </c>
      <c r="E1270" s="3" t="s">
        <v>1300</v>
      </c>
      <c r="F1270" s="3">
        <v>0</v>
      </c>
      <c r="G1270" s="3">
        <v>2473.65</v>
      </c>
    </row>
    <row r="1271" spans="1:7" x14ac:dyDescent="0.2">
      <c r="A1271" s="3" t="s">
        <v>1072</v>
      </c>
      <c r="B1271" s="4">
        <v>44742</v>
      </c>
      <c r="C1271" s="3" t="s">
        <v>1168</v>
      </c>
      <c r="D1271" s="3" t="s">
        <v>1301</v>
      </c>
      <c r="E1271" s="3" t="s">
        <v>1302</v>
      </c>
      <c r="F1271" s="3">
        <v>0</v>
      </c>
      <c r="G1271" s="3">
        <v>937.39</v>
      </c>
    </row>
    <row r="1272" spans="1:7" x14ac:dyDescent="0.2">
      <c r="A1272" s="3" t="s">
        <v>1072</v>
      </c>
      <c r="B1272" s="4">
        <v>44742</v>
      </c>
      <c r="C1272" s="3" t="s">
        <v>1168</v>
      </c>
      <c r="D1272" s="3" t="s">
        <v>1305</v>
      </c>
      <c r="E1272" s="3" t="s">
        <v>1306</v>
      </c>
      <c r="F1272" s="3">
        <v>0</v>
      </c>
      <c r="G1272" s="3">
        <v>2418.2600000000002</v>
      </c>
    </row>
    <row r="1273" spans="1:7" x14ac:dyDescent="0.2">
      <c r="A1273" s="3" t="s">
        <v>1072</v>
      </c>
      <c r="B1273" s="4">
        <v>44742</v>
      </c>
      <c r="C1273" s="3" t="s">
        <v>1168</v>
      </c>
      <c r="D1273" s="3" t="s">
        <v>1315</v>
      </c>
      <c r="E1273" s="3" t="s">
        <v>1316</v>
      </c>
      <c r="F1273" s="3">
        <v>0</v>
      </c>
      <c r="G1273" s="3">
        <v>2952.7</v>
      </c>
    </row>
    <row r="1274" spans="1:7" x14ac:dyDescent="0.2">
      <c r="A1274" s="3" t="s">
        <v>1072</v>
      </c>
      <c r="B1274" s="4">
        <v>44742</v>
      </c>
      <c r="C1274" s="3" t="s">
        <v>1168</v>
      </c>
      <c r="D1274" s="3" t="s">
        <v>1450</v>
      </c>
      <c r="E1274" s="3" t="s">
        <v>1451</v>
      </c>
      <c r="F1274" s="3">
        <v>2326102.06</v>
      </c>
      <c r="G1274" s="3">
        <v>9020578.3599999994</v>
      </c>
    </row>
    <row r="1275" spans="1:7" x14ac:dyDescent="0.2">
      <c r="A1275" s="3" t="s">
        <v>1072</v>
      </c>
      <c r="B1275" s="4">
        <v>44742</v>
      </c>
      <c r="C1275" s="3" t="s">
        <v>1168</v>
      </c>
      <c r="D1275" s="3" t="s">
        <v>1452</v>
      </c>
      <c r="E1275" s="3" t="s">
        <v>1453</v>
      </c>
      <c r="F1275" s="3">
        <v>246746.39</v>
      </c>
      <c r="G1275" s="3">
        <v>844567.17</v>
      </c>
    </row>
    <row r="1276" spans="1:7" x14ac:dyDescent="0.2">
      <c r="A1276" s="3" t="s">
        <v>1072</v>
      </c>
      <c r="B1276" s="4">
        <v>44742</v>
      </c>
      <c r="C1276" s="3" t="s">
        <v>1168</v>
      </c>
      <c r="D1276" s="3" t="s">
        <v>1454</v>
      </c>
      <c r="E1276" s="3" t="s">
        <v>1455</v>
      </c>
      <c r="F1276" s="3">
        <v>4000</v>
      </c>
      <c r="G1276" s="3">
        <v>18286.3</v>
      </c>
    </row>
    <row r="1277" spans="1:7" x14ac:dyDescent="0.2">
      <c r="A1277" s="3" t="s">
        <v>1072</v>
      </c>
      <c r="B1277" s="4">
        <v>44742</v>
      </c>
      <c r="C1277" s="3" t="s">
        <v>1168</v>
      </c>
      <c r="D1277" s="3" t="s">
        <v>1468</v>
      </c>
      <c r="E1277" s="3" t="s">
        <v>1469</v>
      </c>
      <c r="F1277" s="3">
        <v>607.83000000000004</v>
      </c>
      <c r="G1277" s="3">
        <v>2238.64</v>
      </c>
    </row>
    <row r="1278" spans="1:7" x14ac:dyDescent="0.2">
      <c r="A1278" s="3" t="s">
        <v>1072</v>
      </c>
      <c r="B1278" s="4">
        <v>44742</v>
      </c>
      <c r="C1278" s="3" t="s">
        <v>1168</v>
      </c>
      <c r="D1278" s="3" t="s">
        <v>1502</v>
      </c>
      <c r="E1278" s="3" t="s">
        <v>1503</v>
      </c>
      <c r="F1278" s="3">
        <v>4782.6099999999997</v>
      </c>
      <c r="G1278" s="3">
        <v>9565.2199999999993</v>
      </c>
    </row>
    <row r="1279" spans="1:7" x14ac:dyDescent="0.2">
      <c r="A1279" s="3" t="s">
        <v>1072</v>
      </c>
      <c r="B1279" s="4">
        <v>44742</v>
      </c>
      <c r="C1279" s="3" t="s">
        <v>1210</v>
      </c>
      <c r="D1279" s="3" t="s">
        <v>1509</v>
      </c>
      <c r="E1279" s="3" t="s">
        <v>1510</v>
      </c>
      <c r="F1279" s="3">
        <v>0</v>
      </c>
      <c r="G1279" s="3">
        <v>-3.49</v>
      </c>
    </row>
    <row r="1280" spans="1:7" x14ac:dyDescent="0.2">
      <c r="A1280" s="3" t="s">
        <v>1072</v>
      </c>
      <c r="B1280" s="4">
        <v>44742</v>
      </c>
      <c r="C1280" s="3" t="s">
        <v>1210</v>
      </c>
      <c r="D1280" s="3" t="s">
        <v>1323</v>
      </c>
      <c r="E1280" s="3" t="s">
        <v>1324</v>
      </c>
      <c r="F1280" s="3">
        <v>-2.15</v>
      </c>
      <c r="G1280" s="3">
        <v>-8.2899999999999991</v>
      </c>
    </row>
    <row r="1281" spans="1:7" x14ac:dyDescent="0.2">
      <c r="A1281" s="3" t="s">
        <v>1069</v>
      </c>
      <c r="B1281" s="4">
        <v>44742</v>
      </c>
      <c r="C1281" s="3" t="s">
        <v>1210</v>
      </c>
      <c r="D1281" s="3" t="s">
        <v>1249</v>
      </c>
      <c r="E1281" s="3" t="s">
        <v>1250</v>
      </c>
      <c r="F1281" s="3">
        <v>-59954.34</v>
      </c>
      <c r="G1281" s="3">
        <v>-121135.11</v>
      </c>
    </row>
    <row r="1282" spans="1:7" x14ac:dyDescent="0.2">
      <c r="A1282" s="3" t="s">
        <v>1072</v>
      </c>
      <c r="B1282" s="4">
        <v>44742</v>
      </c>
      <c r="C1282" s="3" t="s">
        <v>1168</v>
      </c>
      <c r="D1282" s="3" t="s">
        <v>1326</v>
      </c>
      <c r="E1282" s="3" t="s">
        <v>1088</v>
      </c>
      <c r="F1282" s="3">
        <v>0</v>
      </c>
      <c r="G1282" s="3">
        <v>10600</v>
      </c>
    </row>
    <row r="1283" spans="1:7" x14ac:dyDescent="0.2">
      <c r="A1283" s="3" t="s">
        <v>1072</v>
      </c>
      <c r="B1283" s="4">
        <v>44742</v>
      </c>
      <c r="C1283" s="3" t="s">
        <v>1168</v>
      </c>
      <c r="D1283" s="3" t="s">
        <v>1337</v>
      </c>
      <c r="E1283" s="3" t="s">
        <v>1338</v>
      </c>
      <c r="F1283" s="3">
        <v>0</v>
      </c>
      <c r="G1283" s="3">
        <v>14139.13</v>
      </c>
    </row>
    <row r="1284" spans="1:7" x14ac:dyDescent="0.2">
      <c r="A1284" s="3" t="s">
        <v>1072</v>
      </c>
      <c r="B1284" s="4">
        <v>44742</v>
      </c>
      <c r="C1284" s="3" t="s">
        <v>1168</v>
      </c>
      <c r="D1284" s="3" t="s">
        <v>1169</v>
      </c>
      <c r="E1284" s="3" t="s">
        <v>1079</v>
      </c>
      <c r="F1284" s="3">
        <v>0</v>
      </c>
      <c r="G1284" s="3">
        <v>687.5</v>
      </c>
    </row>
    <row r="1285" spans="1:7" x14ac:dyDescent="0.2">
      <c r="A1285" s="3" t="s">
        <v>1069</v>
      </c>
      <c r="B1285" s="4">
        <v>44742</v>
      </c>
      <c r="C1285" s="3" t="s">
        <v>1168</v>
      </c>
      <c r="D1285" s="3" t="s">
        <v>1169</v>
      </c>
      <c r="E1285" s="3" t="s">
        <v>1079</v>
      </c>
      <c r="F1285" s="3">
        <v>0</v>
      </c>
      <c r="G1285" s="3">
        <v>63407.86</v>
      </c>
    </row>
    <row r="1286" spans="1:7" x14ac:dyDescent="0.2">
      <c r="A1286" s="3" t="s">
        <v>1069</v>
      </c>
      <c r="B1286" s="4">
        <v>44742</v>
      </c>
      <c r="C1286" s="3" t="s">
        <v>1168</v>
      </c>
      <c r="D1286" s="3" t="s">
        <v>1261</v>
      </c>
      <c r="E1286" s="3" t="s">
        <v>1145</v>
      </c>
      <c r="F1286" s="3">
        <v>11556</v>
      </c>
      <c r="G1286" s="3">
        <v>46224</v>
      </c>
    </row>
    <row r="1287" spans="1:7" x14ac:dyDescent="0.2">
      <c r="A1287" s="3" t="s">
        <v>1072</v>
      </c>
      <c r="B1287" s="4">
        <v>44742</v>
      </c>
      <c r="C1287" s="3" t="s">
        <v>1168</v>
      </c>
      <c r="D1287" s="3" t="s">
        <v>1339</v>
      </c>
      <c r="E1287" s="3" t="s">
        <v>1087</v>
      </c>
      <c r="F1287" s="3">
        <v>0</v>
      </c>
      <c r="G1287" s="3">
        <v>137.5</v>
      </c>
    </row>
    <row r="1288" spans="1:7" x14ac:dyDescent="0.2">
      <c r="A1288" s="3" t="s">
        <v>1072</v>
      </c>
      <c r="B1288" s="4">
        <v>44742</v>
      </c>
      <c r="C1288" s="3" t="s">
        <v>1168</v>
      </c>
      <c r="D1288" s="3" t="s">
        <v>1195</v>
      </c>
      <c r="E1288" s="3" t="s">
        <v>1085</v>
      </c>
      <c r="F1288" s="3">
        <v>3186.59</v>
      </c>
      <c r="G1288" s="3">
        <v>11958.36</v>
      </c>
    </row>
    <row r="1289" spans="1:7" x14ac:dyDescent="0.2">
      <c r="A1289" s="3" t="s">
        <v>1069</v>
      </c>
      <c r="B1289" s="4">
        <v>44742</v>
      </c>
      <c r="C1289" s="3" t="s">
        <v>1168</v>
      </c>
      <c r="D1289" s="3" t="s">
        <v>1195</v>
      </c>
      <c r="E1289" s="3" t="s">
        <v>1085</v>
      </c>
      <c r="F1289" s="3">
        <v>633.27</v>
      </c>
      <c r="G1289" s="3">
        <v>2699.67</v>
      </c>
    </row>
    <row r="1290" spans="1:7" x14ac:dyDescent="0.2">
      <c r="A1290" s="3" t="s">
        <v>1072</v>
      </c>
      <c r="B1290" s="4">
        <v>44742</v>
      </c>
      <c r="C1290" s="3" t="s">
        <v>1168</v>
      </c>
      <c r="D1290" s="3" t="s">
        <v>1340</v>
      </c>
      <c r="E1290" s="3" t="s">
        <v>1141</v>
      </c>
      <c r="F1290" s="3">
        <v>0</v>
      </c>
      <c r="G1290" s="3">
        <v>1986.89</v>
      </c>
    </row>
    <row r="1291" spans="1:7" x14ac:dyDescent="0.2">
      <c r="A1291" s="3" t="s">
        <v>1072</v>
      </c>
      <c r="B1291" s="4">
        <v>44742</v>
      </c>
      <c r="C1291" s="3" t="s">
        <v>1168</v>
      </c>
      <c r="D1291" s="3" t="s">
        <v>1341</v>
      </c>
      <c r="E1291" s="3" t="s">
        <v>1135</v>
      </c>
      <c r="F1291" s="3">
        <v>662.7</v>
      </c>
      <c r="G1291" s="3">
        <v>2603.85</v>
      </c>
    </row>
    <row r="1292" spans="1:7" x14ac:dyDescent="0.2">
      <c r="A1292" s="3" t="s">
        <v>1072</v>
      </c>
      <c r="B1292" s="4">
        <v>44742</v>
      </c>
      <c r="C1292" s="3" t="s">
        <v>1168</v>
      </c>
      <c r="D1292" s="3" t="s">
        <v>1342</v>
      </c>
      <c r="E1292" s="3" t="s">
        <v>1080</v>
      </c>
      <c r="F1292" s="3">
        <v>742.6</v>
      </c>
      <c r="G1292" s="3">
        <v>1308.69</v>
      </c>
    </row>
    <row r="1293" spans="1:7" x14ac:dyDescent="0.2">
      <c r="A1293" s="3" t="s">
        <v>1072</v>
      </c>
      <c r="B1293" s="4">
        <v>44742</v>
      </c>
      <c r="C1293" s="3" t="s">
        <v>1168</v>
      </c>
      <c r="D1293" s="3" t="s">
        <v>1504</v>
      </c>
      <c r="E1293" s="3" t="s">
        <v>1142</v>
      </c>
      <c r="F1293" s="3">
        <v>4430</v>
      </c>
      <c r="G1293" s="3">
        <v>18383</v>
      </c>
    </row>
    <row r="1294" spans="1:7" x14ac:dyDescent="0.2">
      <c r="A1294" s="3" t="s">
        <v>1069</v>
      </c>
      <c r="B1294" s="4">
        <v>44742</v>
      </c>
      <c r="C1294" s="3" t="s">
        <v>1168</v>
      </c>
      <c r="D1294" s="3" t="s">
        <v>1251</v>
      </c>
      <c r="E1294" s="3" t="s">
        <v>1095</v>
      </c>
      <c r="F1294" s="3">
        <v>86425</v>
      </c>
      <c r="G1294" s="3">
        <v>319265.68</v>
      </c>
    </row>
    <row r="1295" spans="1:7" x14ac:dyDescent="0.2">
      <c r="A1295" s="3" t="s">
        <v>1072</v>
      </c>
      <c r="B1295" s="4">
        <v>44742</v>
      </c>
      <c r="C1295" s="3" t="s">
        <v>1168</v>
      </c>
      <c r="D1295" s="3" t="s">
        <v>1251</v>
      </c>
      <c r="E1295" s="3" t="s">
        <v>1345</v>
      </c>
      <c r="F1295" s="3">
        <v>36000</v>
      </c>
      <c r="G1295" s="3">
        <v>144000</v>
      </c>
    </row>
    <row r="1296" spans="1:7" x14ac:dyDescent="0.2">
      <c r="A1296" s="3" t="s">
        <v>1072</v>
      </c>
      <c r="B1296" s="4">
        <v>44742</v>
      </c>
      <c r="C1296" s="3" t="s">
        <v>1168</v>
      </c>
      <c r="D1296" s="3" t="s">
        <v>1348</v>
      </c>
      <c r="E1296" s="3" t="s">
        <v>1095</v>
      </c>
      <c r="F1296" s="3">
        <v>132650</v>
      </c>
      <c r="G1296" s="3">
        <v>479721.87</v>
      </c>
    </row>
    <row r="1297" spans="1:7" x14ac:dyDescent="0.2">
      <c r="A1297" s="3" t="s">
        <v>1069</v>
      </c>
      <c r="B1297" s="4">
        <v>44742</v>
      </c>
      <c r="C1297" s="3" t="s">
        <v>1168</v>
      </c>
      <c r="D1297" s="3" t="s">
        <v>1252</v>
      </c>
      <c r="E1297" s="3" t="s">
        <v>1120</v>
      </c>
      <c r="F1297" s="3">
        <v>4000</v>
      </c>
      <c r="G1297" s="3">
        <v>32000</v>
      </c>
    </row>
    <row r="1298" spans="1:7" x14ac:dyDescent="0.2">
      <c r="A1298" s="3" t="s">
        <v>1072</v>
      </c>
      <c r="B1298" s="4">
        <v>44742</v>
      </c>
      <c r="C1298" s="3" t="s">
        <v>1168</v>
      </c>
      <c r="D1298" s="3" t="s">
        <v>1349</v>
      </c>
      <c r="E1298" s="3" t="s">
        <v>1089</v>
      </c>
      <c r="F1298" s="3">
        <v>160.87</v>
      </c>
      <c r="G1298" s="3">
        <v>160.87</v>
      </c>
    </row>
    <row r="1299" spans="1:7" x14ac:dyDescent="0.2">
      <c r="A1299" s="3" t="s">
        <v>1072</v>
      </c>
      <c r="B1299" s="4">
        <v>44742</v>
      </c>
      <c r="C1299" s="3" t="s">
        <v>1168</v>
      </c>
      <c r="D1299" s="3" t="s">
        <v>1350</v>
      </c>
      <c r="E1299" s="3" t="s">
        <v>1115</v>
      </c>
      <c r="F1299" s="3">
        <v>1926.8</v>
      </c>
      <c r="G1299" s="3">
        <v>6728</v>
      </c>
    </row>
    <row r="1300" spans="1:7" x14ac:dyDescent="0.2">
      <c r="A1300" s="3" t="s">
        <v>1072</v>
      </c>
      <c r="B1300" s="4">
        <v>44742</v>
      </c>
      <c r="C1300" s="3" t="s">
        <v>1168</v>
      </c>
      <c r="D1300" s="3" t="s">
        <v>1351</v>
      </c>
      <c r="E1300" s="3" t="s">
        <v>1096</v>
      </c>
      <c r="F1300" s="3">
        <v>193.33</v>
      </c>
      <c r="G1300" s="3">
        <v>773.33</v>
      </c>
    </row>
    <row r="1301" spans="1:7" x14ac:dyDescent="0.2">
      <c r="A1301" s="3" t="s">
        <v>1072</v>
      </c>
      <c r="B1301" s="4">
        <v>44742</v>
      </c>
      <c r="C1301" s="3" t="s">
        <v>1168</v>
      </c>
      <c r="D1301" s="3" t="s">
        <v>1474</v>
      </c>
      <c r="E1301" s="3" t="s">
        <v>1114</v>
      </c>
      <c r="F1301" s="3">
        <v>427.2</v>
      </c>
      <c r="G1301" s="3">
        <v>1708.82</v>
      </c>
    </row>
    <row r="1302" spans="1:7" x14ac:dyDescent="0.2">
      <c r="A1302" s="3" t="s">
        <v>1069</v>
      </c>
      <c r="B1302" s="4">
        <v>44742</v>
      </c>
      <c r="C1302" s="3" t="s">
        <v>1168</v>
      </c>
      <c r="D1302" s="3" t="s">
        <v>1229</v>
      </c>
      <c r="E1302" s="3" t="s">
        <v>1136</v>
      </c>
      <c r="F1302" s="3">
        <v>2619.62</v>
      </c>
      <c r="G1302" s="3">
        <v>9722.25</v>
      </c>
    </row>
    <row r="1303" spans="1:7" x14ac:dyDescent="0.2">
      <c r="A1303" s="3" t="s">
        <v>1072</v>
      </c>
      <c r="B1303" s="4">
        <v>44742</v>
      </c>
      <c r="C1303" s="3" t="s">
        <v>1168</v>
      </c>
      <c r="D1303" s="3" t="s">
        <v>1229</v>
      </c>
      <c r="E1303" s="3" t="s">
        <v>1106</v>
      </c>
      <c r="F1303" s="3">
        <v>5224.1499999999996</v>
      </c>
      <c r="G1303" s="3">
        <v>17746.23</v>
      </c>
    </row>
    <row r="1304" spans="1:7" x14ac:dyDescent="0.2">
      <c r="A1304" s="3" t="s">
        <v>1069</v>
      </c>
      <c r="B1304" s="4">
        <v>44742</v>
      </c>
      <c r="C1304" s="3" t="s">
        <v>1168</v>
      </c>
      <c r="D1304" s="3" t="s">
        <v>1230</v>
      </c>
      <c r="E1304" s="3" t="s">
        <v>1109</v>
      </c>
      <c r="F1304" s="3">
        <v>4339.57</v>
      </c>
      <c r="G1304" s="3">
        <v>24127.37</v>
      </c>
    </row>
    <row r="1305" spans="1:7" x14ac:dyDescent="0.2">
      <c r="A1305" s="3" t="s">
        <v>1072</v>
      </c>
      <c r="B1305" s="4">
        <v>44742</v>
      </c>
      <c r="C1305" s="3" t="s">
        <v>1168</v>
      </c>
      <c r="D1305" s="3" t="s">
        <v>1196</v>
      </c>
      <c r="E1305" s="3" t="s">
        <v>1131</v>
      </c>
      <c r="F1305" s="3">
        <v>0</v>
      </c>
      <c r="G1305" s="3">
        <v>1801.52</v>
      </c>
    </row>
    <row r="1306" spans="1:7" x14ac:dyDescent="0.2">
      <c r="A1306" s="3" t="s">
        <v>1072</v>
      </c>
      <c r="B1306" s="4">
        <v>44742</v>
      </c>
      <c r="C1306" s="3" t="s">
        <v>1168</v>
      </c>
      <c r="D1306" s="3" t="s">
        <v>1354</v>
      </c>
      <c r="E1306" s="3" t="s">
        <v>1078</v>
      </c>
      <c r="F1306" s="3">
        <v>1194.1500000000001</v>
      </c>
      <c r="G1306" s="3">
        <v>4707.16</v>
      </c>
    </row>
    <row r="1307" spans="1:7" x14ac:dyDescent="0.2">
      <c r="A1307" s="3" t="s">
        <v>1072</v>
      </c>
      <c r="B1307" s="4">
        <v>44742</v>
      </c>
      <c r="C1307" s="3" t="s">
        <v>1168</v>
      </c>
      <c r="D1307" s="3" t="s">
        <v>1355</v>
      </c>
      <c r="E1307" s="3" t="s">
        <v>1356</v>
      </c>
      <c r="F1307" s="3">
        <v>237.57</v>
      </c>
      <c r="G1307" s="3">
        <v>950.28</v>
      </c>
    </row>
    <row r="1308" spans="1:7" x14ac:dyDescent="0.2">
      <c r="A1308" s="3" t="s">
        <v>1069</v>
      </c>
      <c r="B1308" s="4">
        <v>44742</v>
      </c>
      <c r="C1308" s="3" t="s">
        <v>1168</v>
      </c>
      <c r="D1308" s="3" t="s">
        <v>1456</v>
      </c>
      <c r="E1308" s="3" t="s">
        <v>1457</v>
      </c>
      <c r="F1308" s="3">
        <v>158.56</v>
      </c>
      <c r="G1308" s="3">
        <v>213.2</v>
      </c>
    </row>
    <row r="1309" spans="1:7" x14ac:dyDescent="0.2">
      <c r="A1309" s="3" t="s">
        <v>1069</v>
      </c>
      <c r="B1309" s="4">
        <v>44742</v>
      </c>
      <c r="C1309" s="3" t="s">
        <v>1168</v>
      </c>
      <c r="D1309" s="3" t="s">
        <v>1253</v>
      </c>
      <c r="E1309" s="3" t="s">
        <v>1103</v>
      </c>
      <c r="F1309" s="3">
        <v>73214.48</v>
      </c>
      <c r="G1309" s="3">
        <v>143664.26999999999</v>
      </c>
    </row>
    <row r="1310" spans="1:7" x14ac:dyDescent="0.2">
      <c r="A1310" s="3" t="s">
        <v>1072</v>
      </c>
      <c r="B1310" s="4">
        <v>44742</v>
      </c>
      <c r="C1310" s="3" t="s">
        <v>1168</v>
      </c>
      <c r="D1310" s="3" t="s">
        <v>1359</v>
      </c>
      <c r="E1310" s="3" t="s">
        <v>1086</v>
      </c>
      <c r="F1310" s="3">
        <v>0</v>
      </c>
      <c r="G1310" s="3">
        <v>1200</v>
      </c>
    </row>
    <row r="1311" spans="1:7" x14ac:dyDescent="0.2">
      <c r="A1311" s="3" t="s">
        <v>1072</v>
      </c>
      <c r="B1311" s="4">
        <v>44742</v>
      </c>
      <c r="C1311" s="3" t="s">
        <v>1168</v>
      </c>
      <c r="D1311" s="3" t="s">
        <v>1201</v>
      </c>
      <c r="E1311" s="3" t="s">
        <v>1112</v>
      </c>
      <c r="F1311" s="3">
        <v>927.52</v>
      </c>
      <c r="G1311" s="3">
        <v>5589.68</v>
      </c>
    </row>
    <row r="1312" spans="1:7" x14ac:dyDescent="0.2">
      <c r="A1312" s="3" t="s">
        <v>1072</v>
      </c>
      <c r="B1312" s="4">
        <v>44742</v>
      </c>
      <c r="C1312" s="3" t="s">
        <v>1168</v>
      </c>
      <c r="D1312" s="3" t="s">
        <v>1360</v>
      </c>
      <c r="E1312" s="3" t="s">
        <v>1098</v>
      </c>
      <c r="F1312" s="3">
        <v>1232.46</v>
      </c>
      <c r="G1312" s="3">
        <v>3074.89</v>
      </c>
    </row>
    <row r="1313" spans="1:7" x14ac:dyDescent="0.2">
      <c r="A1313" s="3" t="s">
        <v>1072</v>
      </c>
      <c r="B1313" s="4">
        <v>44742</v>
      </c>
      <c r="C1313" s="3" t="s">
        <v>1168</v>
      </c>
      <c r="D1313" s="3" t="s">
        <v>1361</v>
      </c>
      <c r="E1313" s="3" t="s">
        <v>1121</v>
      </c>
      <c r="F1313" s="3">
        <v>28087.5</v>
      </c>
      <c r="G1313" s="3">
        <v>112350</v>
      </c>
    </row>
    <row r="1314" spans="1:7" x14ac:dyDescent="0.2">
      <c r="A1314" s="3" t="s">
        <v>1072</v>
      </c>
      <c r="B1314" s="4">
        <v>44742</v>
      </c>
      <c r="C1314" s="3" t="s">
        <v>1168</v>
      </c>
      <c r="D1314" s="3" t="s">
        <v>1231</v>
      </c>
      <c r="E1314" s="3" t="s">
        <v>1083</v>
      </c>
      <c r="F1314" s="3">
        <v>843.6</v>
      </c>
      <c r="G1314" s="3">
        <v>3374.4</v>
      </c>
    </row>
    <row r="1315" spans="1:7" x14ac:dyDescent="0.2">
      <c r="A1315" s="3" t="s">
        <v>1069</v>
      </c>
      <c r="B1315" s="4">
        <v>44742</v>
      </c>
      <c r="C1315" s="3" t="s">
        <v>1168</v>
      </c>
      <c r="D1315" s="3" t="s">
        <v>1231</v>
      </c>
      <c r="E1315" s="3" t="s">
        <v>1070</v>
      </c>
      <c r="F1315" s="3">
        <v>3067.87</v>
      </c>
      <c r="G1315" s="3">
        <v>12578.26</v>
      </c>
    </row>
    <row r="1316" spans="1:7" x14ac:dyDescent="0.2">
      <c r="A1316" s="3" t="s">
        <v>1072</v>
      </c>
      <c r="B1316" s="4">
        <v>44742</v>
      </c>
      <c r="C1316" s="3" t="s">
        <v>1168</v>
      </c>
      <c r="D1316" s="3" t="s">
        <v>1254</v>
      </c>
      <c r="E1316" s="3" t="s">
        <v>1075</v>
      </c>
      <c r="F1316" s="3">
        <v>2250</v>
      </c>
      <c r="G1316" s="3">
        <v>2700</v>
      </c>
    </row>
    <row r="1317" spans="1:7" x14ac:dyDescent="0.2">
      <c r="A1317" s="3" t="s">
        <v>1072</v>
      </c>
      <c r="B1317" s="4">
        <v>44742</v>
      </c>
      <c r="C1317" s="3" t="s">
        <v>1168</v>
      </c>
      <c r="D1317" s="3" t="s">
        <v>1362</v>
      </c>
      <c r="E1317" s="3" t="s">
        <v>1123</v>
      </c>
      <c r="F1317" s="3">
        <v>162299.9</v>
      </c>
      <c r="G1317" s="3">
        <v>851056.84</v>
      </c>
    </row>
    <row r="1318" spans="1:7" x14ac:dyDescent="0.2">
      <c r="A1318" s="3" t="s">
        <v>1072</v>
      </c>
      <c r="B1318" s="4">
        <v>44742</v>
      </c>
      <c r="C1318" s="3" t="s">
        <v>1168</v>
      </c>
      <c r="D1318" s="3" t="s">
        <v>1511</v>
      </c>
      <c r="E1318" s="3" t="s">
        <v>1104</v>
      </c>
      <c r="F1318" s="3">
        <v>164.35</v>
      </c>
      <c r="G1318" s="3">
        <v>493.05</v>
      </c>
    </row>
    <row r="1319" spans="1:7" x14ac:dyDescent="0.2">
      <c r="A1319" s="3" t="s">
        <v>1072</v>
      </c>
      <c r="B1319" s="4">
        <v>44742</v>
      </c>
      <c r="C1319" s="3" t="s">
        <v>1168</v>
      </c>
      <c r="D1319" s="3" t="s">
        <v>1366</v>
      </c>
      <c r="E1319" s="3" t="s">
        <v>1144</v>
      </c>
      <c r="F1319" s="3">
        <v>638.96</v>
      </c>
      <c r="G1319" s="3">
        <v>1536.96</v>
      </c>
    </row>
    <row r="1320" spans="1:7" x14ac:dyDescent="0.2">
      <c r="A1320" s="3" t="s">
        <v>1069</v>
      </c>
      <c r="B1320" s="4">
        <v>44742</v>
      </c>
      <c r="C1320" s="3" t="s">
        <v>1168</v>
      </c>
      <c r="D1320" s="3" t="s">
        <v>1213</v>
      </c>
      <c r="E1320" s="3" t="s">
        <v>1150</v>
      </c>
      <c r="F1320" s="3">
        <v>1723.38</v>
      </c>
      <c r="G1320" s="3">
        <v>2613.94</v>
      </c>
    </row>
    <row r="1321" spans="1:7" x14ac:dyDescent="0.2">
      <c r="A1321" s="3" t="s">
        <v>1072</v>
      </c>
      <c r="B1321" s="4">
        <v>44742</v>
      </c>
      <c r="C1321" s="3" t="s">
        <v>1168</v>
      </c>
      <c r="D1321" s="3" t="s">
        <v>1367</v>
      </c>
      <c r="E1321" s="3" t="s">
        <v>1147</v>
      </c>
      <c r="F1321" s="3">
        <v>0</v>
      </c>
      <c r="G1321" s="3">
        <v>6800</v>
      </c>
    </row>
    <row r="1322" spans="1:7" x14ac:dyDescent="0.2">
      <c r="A1322" s="3" t="s">
        <v>1072</v>
      </c>
      <c r="B1322" s="4">
        <v>44742</v>
      </c>
      <c r="C1322" s="3" t="s">
        <v>1168</v>
      </c>
      <c r="D1322" s="3" t="s">
        <v>1368</v>
      </c>
      <c r="E1322" s="3" t="s">
        <v>1124</v>
      </c>
      <c r="F1322" s="3">
        <v>0</v>
      </c>
      <c r="G1322" s="3">
        <v>2674.5</v>
      </c>
    </row>
    <row r="1323" spans="1:7" x14ac:dyDescent="0.2">
      <c r="A1323" s="3" t="s">
        <v>1072</v>
      </c>
      <c r="B1323" s="4">
        <v>44742</v>
      </c>
      <c r="C1323" s="3" t="s">
        <v>1168</v>
      </c>
      <c r="D1323" s="3" t="s">
        <v>1369</v>
      </c>
      <c r="E1323" s="3" t="s">
        <v>1099</v>
      </c>
      <c r="F1323" s="3">
        <v>526.32000000000005</v>
      </c>
      <c r="G1323" s="3">
        <v>526.32000000000005</v>
      </c>
    </row>
    <row r="1324" spans="1:7" x14ac:dyDescent="0.2">
      <c r="A1324" s="3" t="s">
        <v>1072</v>
      </c>
      <c r="B1324" s="4">
        <v>44742</v>
      </c>
      <c r="C1324" s="3" t="s">
        <v>1168</v>
      </c>
      <c r="D1324" s="3" t="s">
        <v>1370</v>
      </c>
      <c r="E1324" s="3" t="s">
        <v>1129</v>
      </c>
      <c r="F1324" s="3">
        <v>491</v>
      </c>
      <c r="G1324" s="3">
        <v>1964</v>
      </c>
    </row>
    <row r="1325" spans="1:7" x14ac:dyDescent="0.2">
      <c r="A1325" s="3" t="s">
        <v>1072</v>
      </c>
      <c r="B1325" s="4">
        <v>44742</v>
      </c>
      <c r="C1325" s="3" t="s">
        <v>1168</v>
      </c>
      <c r="D1325" s="3" t="s">
        <v>1372</v>
      </c>
      <c r="E1325" s="3" t="s">
        <v>1158</v>
      </c>
      <c r="F1325" s="3">
        <v>600</v>
      </c>
      <c r="G1325" s="3">
        <v>2400</v>
      </c>
    </row>
    <row r="1326" spans="1:7" x14ac:dyDescent="0.2">
      <c r="A1326" s="3" t="s">
        <v>1072</v>
      </c>
      <c r="B1326" s="4">
        <v>44742</v>
      </c>
      <c r="C1326" s="3" t="s">
        <v>1168</v>
      </c>
      <c r="D1326" s="3" t="s">
        <v>1373</v>
      </c>
      <c r="E1326" s="3" t="s">
        <v>1092</v>
      </c>
      <c r="F1326" s="3">
        <v>363</v>
      </c>
      <c r="G1326" s="3">
        <v>1452</v>
      </c>
    </row>
    <row r="1327" spans="1:7" x14ac:dyDescent="0.2">
      <c r="A1327" s="3" t="s">
        <v>1072</v>
      </c>
      <c r="B1327" s="4">
        <v>44742</v>
      </c>
      <c r="C1327" s="3" t="s">
        <v>1168</v>
      </c>
      <c r="D1327" s="3" t="s">
        <v>1490</v>
      </c>
      <c r="E1327" s="3" t="s">
        <v>1491</v>
      </c>
      <c r="F1327" s="3">
        <v>1640</v>
      </c>
      <c r="G1327" s="3">
        <v>8845</v>
      </c>
    </row>
    <row r="1328" spans="1:7" x14ac:dyDescent="0.2">
      <c r="A1328" s="3" t="s">
        <v>1069</v>
      </c>
      <c r="B1328" s="4">
        <v>44742</v>
      </c>
      <c r="C1328" s="3" t="s">
        <v>1168</v>
      </c>
      <c r="D1328" s="3" t="s">
        <v>1232</v>
      </c>
      <c r="E1328" s="3" t="s">
        <v>1105</v>
      </c>
      <c r="F1328" s="3">
        <v>600</v>
      </c>
      <c r="G1328" s="3">
        <v>2400</v>
      </c>
    </row>
    <row r="1329" spans="1:7" x14ac:dyDescent="0.2">
      <c r="A1329" s="3" t="s">
        <v>1074</v>
      </c>
      <c r="B1329" s="4">
        <v>44742</v>
      </c>
      <c r="C1329" s="3" t="s">
        <v>1168</v>
      </c>
      <c r="D1329" s="3" t="s">
        <v>1232</v>
      </c>
      <c r="E1329" s="3" t="s">
        <v>1105</v>
      </c>
      <c r="F1329" s="3">
        <v>600</v>
      </c>
      <c r="G1329" s="3">
        <v>2400</v>
      </c>
    </row>
    <row r="1330" spans="1:7" x14ac:dyDescent="0.2">
      <c r="A1330" s="3" t="s">
        <v>1072</v>
      </c>
      <c r="B1330" s="4">
        <v>44742</v>
      </c>
      <c r="C1330" s="3" t="s">
        <v>1168</v>
      </c>
      <c r="D1330" s="3" t="s">
        <v>1374</v>
      </c>
      <c r="E1330" s="3" t="s">
        <v>1108</v>
      </c>
      <c r="F1330" s="3">
        <v>2500</v>
      </c>
      <c r="G1330" s="3">
        <v>2500</v>
      </c>
    </row>
    <row r="1331" spans="1:7" x14ac:dyDescent="0.2">
      <c r="A1331" s="3" t="s">
        <v>1072</v>
      </c>
      <c r="B1331" s="4">
        <v>44742</v>
      </c>
      <c r="C1331" s="3" t="s">
        <v>1168</v>
      </c>
      <c r="D1331" s="3" t="s">
        <v>1378</v>
      </c>
      <c r="E1331" s="3" t="s">
        <v>1143</v>
      </c>
      <c r="F1331" s="3">
        <v>21588.6</v>
      </c>
      <c r="G1331" s="3">
        <v>149943.44</v>
      </c>
    </row>
    <row r="1332" spans="1:7" x14ac:dyDescent="0.2">
      <c r="A1332" s="3" t="s">
        <v>1072</v>
      </c>
      <c r="B1332" s="4">
        <v>44742</v>
      </c>
      <c r="C1332" s="3" t="s">
        <v>1168</v>
      </c>
      <c r="D1332" s="3" t="s">
        <v>1379</v>
      </c>
      <c r="E1332" s="3" t="s">
        <v>1107</v>
      </c>
      <c r="F1332" s="3">
        <v>1747.83</v>
      </c>
      <c r="G1332" s="3">
        <v>9539.26</v>
      </c>
    </row>
    <row r="1333" spans="1:7" x14ac:dyDescent="0.2">
      <c r="A1333" s="3" t="s">
        <v>1072</v>
      </c>
      <c r="B1333" s="4">
        <v>44742</v>
      </c>
      <c r="C1333" s="3" t="s">
        <v>1168</v>
      </c>
      <c r="D1333" s="3" t="s">
        <v>1380</v>
      </c>
      <c r="E1333" s="3" t="s">
        <v>1125</v>
      </c>
      <c r="F1333" s="3">
        <v>1446.19</v>
      </c>
      <c r="G1333" s="3">
        <v>6355.62</v>
      </c>
    </row>
    <row r="1334" spans="1:7" x14ac:dyDescent="0.2">
      <c r="A1334" s="3" t="s">
        <v>1072</v>
      </c>
      <c r="B1334" s="4">
        <v>44742</v>
      </c>
      <c r="C1334" s="3" t="s">
        <v>1168</v>
      </c>
      <c r="D1334" s="3" t="s">
        <v>1381</v>
      </c>
      <c r="E1334" s="3" t="s">
        <v>1130</v>
      </c>
      <c r="F1334" s="3">
        <v>1446.19</v>
      </c>
      <c r="G1334" s="3">
        <v>6355.62</v>
      </c>
    </row>
    <row r="1335" spans="1:7" x14ac:dyDescent="0.2">
      <c r="A1335" s="3" t="s">
        <v>1072</v>
      </c>
      <c r="B1335" s="4">
        <v>44742</v>
      </c>
      <c r="C1335" s="3" t="s">
        <v>1168</v>
      </c>
      <c r="D1335" s="3" t="s">
        <v>1458</v>
      </c>
      <c r="E1335" s="3" t="s">
        <v>1113</v>
      </c>
      <c r="F1335" s="3">
        <v>3717.96</v>
      </c>
      <c r="G1335" s="3">
        <v>6591.31</v>
      </c>
    </row>
    <row r="1336" spans="1:7" x14ac:dyDescent="0.2">
      <c r="A1336" s="3" t="s">
        <v>1072</v>
      </c>
      <c r="B1336" s="4">
        <v>44742</v>
      </c>
      <c r="C1336" s="3" t="s">
        <v>1168</v>
      </c>
      <c r="D1336" s="3" t="s">
        <v>1459</v>
      </c>
      <c r="E1336" s="3" t="s">
        <v>1139</v>
      </c>
      <c r="F1336" s="3">
        <v>3717.96</v>
      </c>
      <c r="G1336" s="3">
        <v>6413.31</v>
      </c>
    </row>
    <row r="1337" spans="1:7" x14ac:dyDescent="0.2">
      <c r="A1337" s="3" t="s">
        <v>1069</v>
      </c>
      <c r="B1337" s="4">
        <v>44742</v>
      </c>
      <c r="C1337" s="3" t="s">
        <v>1172</v>
      </c>
      <c r="D1337" s="3" t="s">
        <v>1173</v>
      </c>
      <c r="E1337" s="3" t="s">
        <v>1174</v>
      </c>
      <c r="F1337" s="3">
        <v>0</v>
      </c>
      <c r="G1337" s="3">
        <v>-100</v>
      </c>
    </row>
    <row r="1338" spans="1:7" x14ac:dyDescent="0.2">
      <c r="A1338" s="3" t="s">
        <v>1072</v>
      </c>
      <c r="B1338" s="4">
        <v>44742</v>
      </c>
      <c r="C1338" s="3" t="s">
        <v>1172</v>
      </c>
      <c r="D1338" s="3" t="s">
        <v>1382</v>
      </c>
      <c r="E1338" s="3" t="s">
        <v>1383</v>
      </c>
      <c r="F1338" s="3">
        <v>0</v>
      </c>
      <c r="G1338" s="3">
        <v>-120</v>
      </c>
    </row>
    <row r="1339" spans="1:7" x14ac:dyDescent="0.2">
      <c r="A1339" s="3" t="s">
        <v>1072</v>
      </c>
      <c r="B1339" s="4">
        <v>44742</v>
      </c>
      <c r="C1339" s="3" t="s">
        <v>1172</v>
      </c>
      <c r="D1339" s="3" t="s">
        <v>1384</v>
      </c>
      <c r="E1339" s="3" t="s">
        <v>1385</v>
      </c>
      <c r="F1339" s="3">
        <v>0</v>
      </c>
      <c r="G1339" s="3">
        <v>247347.05</v>
      </c>
    </row>
    <row r="1340" spans="1:7" x14ac:dyDescent="0.2">
      <c r="A1340" s="3" t="s">
        <v>1069</v>
      </c>
      <c r="B1340" s="4">
        <v>44742</v>
      </c>
      <c r="C1340" s="3" t="s">
        <v>1172</v>
      </c>
      <c r="D1340" s="3" t="s">
        <v>1384</v>
      </c>
      <c r="E1340" s="3" t="s">
        <v>1385</v>
      </c>
      <c r="F1340" s="3">
        <v>0</v>
      </c>
      <c r="G1340" s="3">
        <v>-17080353.050000001</v>
      </c>
    </row>
    <row r="1341" spans="1:7" x14ac:dyDescent="0.2">
      <c r="A1341" s="3" t="s">
        <v>1069</v>
      </c>
      <c r="B1341" s="4">
        <v>44742</v>
      </c>
      <c r="C1341" s="3" t="s">
        <v>1180</v>
      </c>
      <c r="D1341" s="3" t="s">
        <v>1241</v>
      </c>
      <c r="E1341" s="3" t="s">
        <v>1242</v>
      </c>
      <c r="F1341" s="3">
        <v>0</v>
      </c>
      <c r="G1341" s="3">
        <v>17562360.850000001</v>
      </c>
    </row>
    <row r="1342" spans="1:7" x14ac:dyDescent="0.2">
      <c r="A1342" s="3" t="s">
        <v>1072</v>
      </c>
      <c r="B1342" s="4">
        <v>44742</v>
      </c>
      <c r="C1342" s="3" t="s">
        <v>1180</v>
      </c>
      <c r="D1342" s="3" t="s">
        <v>1483</v>
      </c>
      <c r="E1342" s="3" t="s">
        <v>1177</v>
      </c>
      <c r="F1342" s="3">
        <v>0</v>
      </c>
      <c r="G1342" s="3">
        <v>2850000</v>
      </c>
    </row>
    <row r="1343" spans="1:7" x14ac:dyDescent="0.2">
      <c r="A1343" s="3" t="s">
        <v>1072</v>
      </c>
      <c r="B1343" s="4">
        <v>44742</v>
      </c>
      <c r="C1343" s="3" t="s">
        <v>1180</v>
      </c>
      <c r="D1343" s="3" t="s">
        <v>1390</v>
      </c>
      <c r="E1343" s="3" t="s">
        <v>1391</v>
      </c>
      <c r="F1343" s="3">
        <v>313000</v>
      </c>
      <c r="G1343" s="3">
        <v>-10000</v>
      </c>
    </row>
    <row r="1344" spans="1:7" x14ac:dyDescent="0.2">
      <c r="A1344" s="3" t="s">
        <v>1072</v>
      </c>
      <c r="B1344" s="4">
        <v>44742</v>
      </c>
      <c r="C1344" s="3" t="s">
        <v>1180</v>
      </c>
      <c r="D1344" s="3" t="s">
        <v>1394</v>
      </c>
      <c r="E1344" s="3" t="s">
        <v>1256</v>
      </c>
      <c r="F1344" s="3">
        <v>600</v>
      </c>
      <c r="G1344" s="3">
        <v>600</v>
      </c>
    </row>
    <row r="1345" spans="1:7" x14ac:dyDescent="0.2">
      <c r="A1345" s="3" t="s">
        <v>1072</v>
      </c>
      <c r="B1345" s="4">
        <v>44742</v>
      </c>
      <c r="C1345" s="3" t="s">
        <v>1180</v>
      </c>
      <c r="D1345" s="3" t="s">
        <v>1395</v>
      </c>
      <c r="E1345" s="3" t="s">
        <v>1396</v>
      </c>
      <c r="F1345" s="3">
        <v>551000</v>
      </c>
      <c r="G1345" s="3">
        <v>-3160000</v>
      </c>
    </row>
    <row r="1346" spans="1:7" x14ac:dyDescent="0.2">
      <c r="A1346" s="3" t="s">
        <v>1072</v>
      </c>
      <c r="B1346" s="4">
        <v>44742</v>
      </c>
      <c r="C1346" s="3" t="s">
        <v>1180</v>
      </c>
      <c r="D1346" s="3" t="s">
        <v>1397</v>
      </c>
      <c r="E1346" s="3" t="s">
        <v>1398</v>
      </c>
      <c r="F1346" s="3">
        <v>600</v>
      </c>
      <c r="G1346" s="3">
        <v>600</v>
      </c>
    </row>
    <row r="1347" spans="1:7" x14ac:dyDescent="0.2">
      <c r="A1347" s="3" t="s">
        <v>1072</v>
      </c>
      <c r="B1347" s="4">
        <v>44742</v>
      </c>
      <c r="C1347" s="3" t="s">
        <v>1180</v>
      </c>
      <c r="D1347" s="3" t="s">
        <v>1512</v>
      </c>
      <c r="E1347" s="3" t="s">
        <v>1513</v>
      </c>
      <c r="F1347" s="3">
        <v>162675.54</v>
      </c>
      <c r="G1347" s="3">
        <v>0</v>
      </c>
    </row>
    <row r="1348" spans="1:7" x14ac:dyDescent="0.2">
      <c r="A1348" s="3" t="s">
        <v>1072</v>
      </c>
      <c r="B1348" s="4">
        <v>44742</v>
      </c>
      <c r="C1348" s="3" t="s">
        <v>1180</v>
      </c>
      <c r="D1348" s="3" t="s">
        <v>1399</v>
      </c>
      <c r="E1348" s="3" t="s">
        <v>1400</v>
      </c>
      <c r="F1348" s="3">
        <v>50000</v>
      </c>
      <c r="G1348" s="3">
        <v>0</v>
      </c>
    </row>
    <row r="1349" spans="1:7" x14ac:dyDescent="0.2">
      <c r="A1349" s="3" t="s">
        <v>1074</v>
      </c>
      <c r="B1349" s="4">
        <v>44742</v>
      </c>
      <c r="C1349" s="3" t="s">
        <v>1175</v>
      </c>
      <c r="D1349" s="3" t="s">
        <v>1492</v>
      </c>
      <c r="E1349" s="3" t="s">
        <v>1493</v>
      </c>
      <c r="F1349" s="3">
        <v>-1420041.22</v>
      </c>
      <c r="G1349" s="3">
        <v>-1430761.22</v>
      </c>
    </row>
    <row r="1350" spans="1:7" x14ac:dyDescent="0.2">
      <c r="A1350" s="3" t="s">
        <v>1069</v>
      </c>
      <c r="B1350" s="4">
        <v>44742</v>
      </c>
      <c r="C1350" s="3" t="s">
        <v>1175</v>
      </c>
      <c r="D1350" s="3" t="s">
        <v>1176</v>
      </c>
      <c r="E1350" s="3" t="s">
        <v>1177</v>
      </c>
      <c r="F1350" s="3">
        <v>-420000</v>
      </c>
      <c r="G1350" s="3">
        <v>-420000</v>
      </c>
    </row>
    <row r="1351" spans="1:7" x14ac:dyDescent="0.2">
      <c r="A1351" s="3" t="s">
        <v>1069</v>
      </c>
      <c r="B1351" s="4">
        <v>44742</v>
      </c>
      <c r="C1351" s="3" t="s">
        <v>1175</v>
      </c>
      <c r="D1351" s="3" t="s">
        <v>1178</v>
      </c>
      <c r="E1351" s="3" t="s">
        <v>1179</v>
      </c>
      <c r="F1351" s="3">
        <v>-551000</v>
      </c>
      <c r="G1351" s="3">
        <v>3160000</v>
      </c>
    </row>
    <row r="1352" spans="1:7" x14ac:dyDescent="0.2">
      <c r="A1352" s="3" t="s">
        <v>1069</v>
      </c>
      <c r="B1352" s="4">
        <v>44742</v>
      </c>
      <c r="C1352" s="3" t="s">
        <v>1175</v>
      </c>
      <c r="D1352" s="3" t="s">
        <v>1233</v>
      </c>
      <c r="E1352" s="3" t="s">
        <v>1234</v>
      </c>
      <c r="F1352" s="3">
        <v>-127000</v>
      </c>
      <c r="G1352" s="3">
        <v>-127000</v>
      </c>
    </row>
    <row r="1353" spans="1:7" x14ac:dyDescent="0.2">
      <c r="A1353" s="3" t="s">
        <v>1069</v>
      </c>
      <c r="B1353" s="4">
        <v>44742</v>
      </c>
      <c r="C1353" s="3" t="s">
        <v>1175</v>
      </c>
      <c r="D1353" s="3" t="s">
        <v>1255</v>
      </c>
      <c r="E1353" s="3" t="s">
        <v>1256</v>
      </c>
      <c r="F1353" s="3">
        <v>-45000</v>
      </c>
      <c r="G1353" s="3">
        <v>-45000</v>
      </c>
    </row>
    <row r="1354" spans="1:7" x14ac:dyDescent="0.2">
      <c r="A1354" s="3" t="s">
        <v>1069</v>
      </c>
      <c r="B1354" s="4">
        <v>44742</v>
      </c>
      <c r="C1354" s="3" t="s">
        <v>1175</v>
      </c>
      <c r="D1354" s="3" t="s">
        <v>1494</v>
      </c>
      <c r="E1354" s="3" t="s">
        <v>1495</v>
      </c>
      <c r="F1354" s="3">
        <v>1420041.22</v>
      </c>
      <c r="G1354" s="3">
        <v>1430761.22</v>
      </c>
    </row>
    <row r="1355" spans="1:7" x14ac:dyDescent="0.2">
      <c r="A1355" s="3" t="s">
        <v>1069</v>
      </c>
      <c r="B1355" s="4">
        <v>44742</v>
      </c>
      <c r="C1355" s="3" t="s">
        <v>1175</v>
      </c>
      <c r="D1355" s="3" t="s">
        <v>1516</v>
      </c>
      <c r="E1355" s="3" t="s">
        <v>1400</v>
      </c>
      <c r="F1355" s="3">
        <v>-127000</v>
      </c>
      <c r="G1355" s="3">
        <v>-127000</v>
      </c>
    </row>
    <row r="1356" spans="1:7" x14ac:dyDescent="0.2">
      <c r="A1356" s="3" t="s">
        <v>1069</v>
      </c>
      <c r="B1356" s="4">
        <v>44742</v>
      </c>
      <c r="C1356" s="3" t="s">
        <v>1175</v>
      </c>
      <c r="D1356" s="3" t="s">
        <v>1517</v>
      </c>
      <c r="E1356" s="3" t="s">
        <v>1398</v>
      </c>
      <c r="F1356" s="3">
        <v>-11000</v>
      </c>
      <c r="G1356" s="3">
        <v>-11000</v>
      </c>
    </row>
    <row r="1357" spans="1:7" x14ac:dyDescent="0.2">
      <c r="A1357" s="3" t="s">
        <v>1072</v>
      </c>
      <c r="B1357" s="4">
        <v>44742</v>
      </c>
      <c r="C1357" s="3" t="s">
        <v>1175</v>
      </c>
      <c r="D1357" s="3" t="s">
        <v>1405</v>
      </c>
      <c r="E1357" s="3" t="s">
        <v>1406</v>
      </c>
      <c r="F1357" s="3">
        <v>5201.2700000000004</v>
      </c>
      <c r="G1357" s="3">
        <v>20792.939999999999</v>
      </c>
    </row>
    <row r="1358" spans="1:7" x14ac:dyDescent="0.2">
      <c r="A1358" s="3" t="s">
        <v>1072</v>
      </c>
      <c r="B1358" s="4">
        <v>44742</v>
      </c>
      <c r="C1358" s="3" t="s">
        <v>1175</v>
      </c>
      <c r="D1358" s="3" t="s">
        <v>1407</v>
      </c>
      <c r="E1358" s="3" t="s">
        <v>1408</v>
      </c>
      <c r="F1358" s="3">
        <v>0</v>
      </c>
      <c r="G1358" s="3">
        <v>-58920.1</v>
      </c>
    </row>
    <row r="1359" spans="1:7" x14ac:dyDescent="0.2">
      <c r="A1359" s="3" t="s">
        <v>1072</v>
      </c>
      <c r="B1359" s="4">
        <v>44742</v>
      </c>
      <c r="C1359" s="3" t="s">
        <v>1180</v>
      </c>
      <c r="D1359" s="3" t="s">
        <v>1409</v>
      </c>
      <c r="E1359" s="3" t="s">
        <v>1410</v>
      </c>
      <c r="F1359" s="3">
        <v>0</v>
      </c>
      <c r="G1359" s="3">
        <v>216064.1</v>
      </c>
    </row>
    <row r="1360" spans="1:7" x14ac:dyDescent="0.2">
      <c r="A1360" s="3" t="s">
        <v>1072</v>
      </c>
      <c r="B1360" s="4">
        <v>44742</v>
      </c>
      <c r="C1360" s="3" t="s">
        <v>1180</v>
      </c>
      <c r="D1360" s="3" t="s">
        <v>1411</v>
      </c>
      <c r="E1360" s="3" t="s">
        <v>1412</v>
      </c>
      <c r="F1360" s="3">
        <v>0</v>
      </c>
      <c r="G1360" s="3">
        <v>-176453</v>
      </c>
    </row>
    <row r="1361" spans="1:7" x14ac:dyDescent="0.2">
      <c r="A1361" s="3" t="s">
        <v>1072</v>
      </c>
      <c r="B1361" s="4">
        <v>44742</v>
      </c>
      <c r="C1361" s="3" t="s">
        <v>1180</v>
      </c>
      <c r="D1361" s="3" t="s">
        <v>1413</v>
      </c>
      <c r="E1361" s="3" t="s">
        <v>1414</v>
      </c>
      <c r="F1361" s="3">
        <v>0</v>
      </c>
      <c r="G1361" s="3">
        <v>83494.91</v>
      </c>
    </row>
    <row r="1362" spans="1:7" x14ac:dyDescent="0.2">
      <c r="A1362" s="3" t="s">
        <v>1072</v>
      </c>
      <c r="B1362" s="4">
        <v>44742</v>
      </c>
      <c r="C1362" s="3" t="s">
        <v>1180</v>
      </c>
      <c r="D1362" s="3" t="s">
        <v>1415</v>
      </c>
      <c r="E1362" s="3" t="s">
        <v>1416</v>
      </c>
      <c r="F1362" s="3">
        <v>-1926.8</v>
      </c>
      <c r="G1362" s="3">
        <v>-25869.09</v>
      </c>
    </row>
    <row r="1363" spans="1:7" x14ac:dyDescent="0.2">
      <c r="A1363" s="3" t="s">
        <v>1072</v>
      </c>
      <c r="B1363" s="4">
        <v>44742</v>
      </c>
      <c r="C1363" s="3" t="s">
        <v>1180</v>
      </c>
      <c r="D1363" s="3" t="s">
        <v>1462</v>
      </c>
      <c r="E1363" s="3" t="s">
        <v>1463</v>
      </c>
      <c r="F1363" s="3">
        <v>0</v>
      </c>
      <c r="G1363" s="3">
        <v>29281.39</v>
      </c>
    </row>
    <row r="1364" spans="1:7" x14ac:dyDescent="0.2">
      <c r="A1364" s="3" t="s">
        <v>1072</v>
      </c>
      <c r="B1364" s="4">
        <v>44742</v>
      </c>
      <c r="C1364" s="3" t="s">
        <v>1180</v>
      </c>
      <c r="D1364" s="3" t="s">
        <v>1484</v>
      </c>
      <c r="E1364" s="3" t="s">
        <v>1485</v>
      </c>
      <c r="F1364" s="3">
        <v>-427.2</v>
      </c>
      <c r="G1364" s="3">
        <v>-2115.5100000000002</v>
      </c>
    </row>
    <row r="1365" spans="1:7" x14ac:dyDescent="0.2">
      <c r="A1365" s="3" t="s">
        <v>1072</v>
      </c>
      <c r="B1365" s="4">
        <v>44742</v>
      </c>
      <c r="C1365" s="3" t="s">
        <v>1180</v>
      </c>
      <c r="D1365" s="3" t="s">
        <v>1417</v>
      </c>
      <c r="E1365" s="3" t="s">
        <v>1418</v>
      </c>
      <c r="F1365" s="3">
        <v>0</v>
      </c>
      <c r="G1365" s="3">
        <v>11600</v>
      </c>
    </row>
    <row r="1366" spans="1:7" x14ac:dyDescent="0.2">
      <c r="A1366" s="3" t="s">
        <v>1072</v>
      </c>
      <c r="B1366" s="4">
        <v>44742</v>
      </c>
      <c r="C1366" s="3" t="s">
        <v>1180</v>
      </c>
      <c r="D1366" s="3" t="s">
        <v>1419</v>
      </c>
      <c r="E1366" s="3" t="s">
        <v>1420</v>
      </c>
      <c r="F1366" s="3">
        <v>-193.33</v>
      </c>
      <c r="G1366" s="3">
        <v>-1578.89</v>
      </c>
    </row>
    <row r="1367" spans="1:7" x14ac:dyDescent="0.2">
      <c r="A1367" s="3" t="s">
        <v>1069</v>
      </c>
      <c r="B1367" s="4">
        <v>44742</v>
      </c>
      <c r="C1367" s="3" t="s">
        <v>1180</v>
      </c>
      <c r="D1367" s="3" t="s">
        <v>1421</v>
      </c>
      <c r="E1367" s="3" t="s">
        <v>1422</v>
      </c>
      <c r="F1367" s="3">
        <v>0</v>
      </c>
      <c r="G1367" s="3">
        <v>874505.75</v>
      </c>
    </row>
    <row r="1368" spans="1:7" x14ac:dyDescent="0.2">
      <c r="A1368" s="3" t="s">
        <v>1069</v>
      </c>
      <c r="B1368" s="4">
        <v>44742</v>
      </c>
      <c r="C1368" s="3" t="s">
        <v>1180</v>
      </c>
      <c r="D1368" s="3" t="s">
        <v>1214</v>
      </c>
      <c r="E1368" s="3" t="s">
        <v>1215</v>
      </c>
      <c r="F1368" s="3">
        <v>0</v>
      </c>
      <c r="G1368" s="3">
        <v>26200000</v>
      </c>
    </row>
    <row r="1369" spans="1:7" x14ac:dyDescent="0.2">
      <c r="A1369" s="3" t="s">
        <v>1069</v>
      </c>
      <c r="B1369" s="4">
        <v>44742</v>
      </c>
      <c r="C1369" s="3" t="s">
        <v>1180</v>
      </c>
      <c r="D1369" s="3" t="s">
        <v>1216</v>
      </c>
      <c r="E1369" s="3" t="s">
        <v>1217</v>
      </c>
      <c r="F1369" s="3">
        <v>0</v>
      </c>
      <c r="G1369" s="3">
        <v>68427</v>
      </c>
    </row>
    <row r="1370" spans="1:7" x14ac:dyDescent="0.2">
      <c r="A1370" s="3" t="s">
        <v>1069</v>
      </c>
      <c r="B1370" s="4">
        <v>44742</v>
      </c>
      <c r="C1370" s="3" t="s">
        <v>1180</v>
      </c>
      <c r="D1370" s="3" t="s">
        <v>1218</v>
      </c>
      <c r="E1370" s="3" t="s">
        <v>1219</v>
      </c>
      <c r="F1370" s="3">
        <v>0</v>
      </c>
      <c r="G1370" s="3">
        <v>103812</v>
      </c>
    </row>
    <row r="1371" spans="1:7" x14ac:dyDescent="0.2">
      <c r="A1371" s="3" t="s">
        <v>1069</v>
      </c>
      <c r="B1371" s="4">
        <v>44742</v>
      </c>
      <c r="C1371" s="3" t="s">
        <v>1180</v>
      </c>
      <c r="D1371" s="3" t="s">
        <v>1197</v>
      </c>
      <c r="E1371" s="3" t="s">
        <v>1198</v>
      </c>
      <c r="F1371" s="3">
        <v>0</v>
      </c>
      <c r="G1371" s="3">
        <v>150780</v>
      </c>
    </row>
    <row r="1372" spans="1:7" x14ac:dyDescent="0.2">
      <c r="A1372" s="3" t="s">
        <v>1069</v>
      </c>
      <c r="B1372" s="4">
        <v>44742</v>
      </c>
      <c r="C1372" s="3" t="s">
        <v>1180</v>
      </c>
      <c r="D1372" s="3" t="s">
        <v>1496</v>
      </c>
      <c r="E1372" s="3" t="s">
        <v>1497</v>
      </c>
      <c r="F1372" s="3">
        <v>11000</v>
      </c>
      <c r="G1372" s="3">
        <v>49000</v>
      </c>
    </row>
    <row r="1373" spans="1:7" x14ac:dyDescent="0.2">
      <c r="A1373" s="3" t="s">
        <v>1069</v>
      </c>
      <c r="B1373" s="4">
        <v>44742</v>
      </c>
      <c r="C1373" s="3" t="s">
        <v>1180</v>
      </c>
      <c r="D1373" s="3" t="s">
        <v>1181</v>
      </c>
      <c r="E1373" s="3" t="s">
        <v>1182</v>
      </c>
      <c r="F1373" s="3">
        <v>425220</v>
      </c>
      <c r="G1373" s="3">
        <v>6188594.7999999998</v>
      </c>
    </row>
    <row r="1374" spans="1:7" x14ac:dyDescent="0.2">
      <c r="A1374" s="3" t="s">
        <v>1069</v>
      </c>
      <c r="B1374" s="4">
        <v>44742</v>
      </c>
      <c r="C1374" s="3" t="s">
        <v>1180</v>
      </c>
      <c r="D1374" s="3" t="s">
        <v>1263</v>
      </c>
      <c r="E1374" s="3" t="s">
        <v>1264</v>
      </c>
      <c r="F1374" s="3">
        <v>0</v>
      </c>
      <c r="G1374" s="3">
        <v>13807.78</v>
      </c>
    </row>
    <row r="1375" spans="1:7" x14ac:dyDescent="0.2">
      <c r="A1375" s="3" t="s">
        <v>1069</v>
      </c>
      <c r="B1375" s="4">
        <v>44742</v>
      </c>
      <c r="C1375" s="3" t="s">
        <v>1180</v>
      </c>
      <c r="D1375" s="3" t="s">
        <v>1202</v>
      </c>
      <c r="E1375" s="3" t="s">
        <v>1203</v>
      </c>
      <c r="F1375" s="3">
        <v>0</v>
      </c>
      <c r="G1375" s="3">
        <v>44026.09</v>
      </c>
    </row>
    <row r="1376" spans="1:7" x14ac:dyDescent="0.2">
      <c r="A1376" s="3" t="s">
        <v>1069</v>
      </c>
      <c r="B1376" s="4">
        <v>44742</v>
      </c>
      <c r="C1376" s="3" t="s">
        <v>1180</v>
      </c>
      <c r="D1376" s="3" t="s">
        <v>1204</v>
      </c>
      <c r="E1376" s="3" t="s">
        <v>1205</v>
      </c>
      <c r="F1376" s="3">
        <v>0</v>
      </c>
      <c r="G1376" s="3">
        <v>7500</v>
      </c>
    </row>
    <row r="1377" spans="1:7" x14ac:dyDescent="0.2">
      <c r="A1377" s="3" t="s">
        <v>1069</v>
      </c>
      <c r="B1377" s="4">
        <v>44742</v>
      </c>
      <c r="C1377" s="3" t="s">
        <v>1180</v>
      </c>
      <c r="D1377" s="3" t="s">
        <v>1199</v>
      </c>
      <c r="E1377" s="3" t="s">
        <v>1200</v>
      </c>
      <c r="F1377" s="3">
        <v>0</v>
      </c>
      <c r="G1377" s="3">
        <v>67400</v>
      </c>
    </row>
    <row r="1378" spans="1:7" x14ac:dyDescent="0.2">
      <c r="A1378" s="3" t="s">
        <v>1069</v>
      </c>
      <c r="B1378" s="4">
        <v>44742</v>
      </c>
      <c r="C1378" s="3" t="s">
        <v>1180</v>
      </c>
      <c r="D1378" s="3" t="s">
        <v>1486</v>
      </c>
      <c r="E1378" s="3" t="s">
        <v>1487</v>
      </c>
      <c r="F1378" s="3">
        <v>1400</v>
      </c>
      <c r="G1378" s="3">
        <v>12200</v>
      </c>
    </row>
    <row r="1379" spans="1:7" x14ac:dyDescent="0.2">
      <c r="A1379" s="3" t="s">
        <v>1069</v>
      </c>
      <c r="B1379" s="4">
        <v>44742</v>
      </c>
      <c r="C1379" s="3" t="s">
        <v>1180</v>
      </c>
      <c r="D1379" s="3" t="s">
        <v>1220</v>
      </c>
      <c r="E1379" s="3" t="s">
        <v>1221</v>
      </c>
      <c r="F1379" s="3">
        <v>0</v>
      </c>
      <c r="G1379" s="3">
        <v>15175</v>
      </c>
    </row>
    <row r="1380" spans="1:7" x14ac:dyDescent="0.2">
      <c r="A1380" s="3" t="s">
        <v>1069</v>
      </c>
      <c r="B1380" s="4">
        <v>44742</v>
      </c>
      <c r="C1380" s="3" t="s">
        <v>1180</v>
      </c>
      <c r="D1380" s="3" t="s">
        <v>1498</v>
      </c>
      <c r="E1380" s="3" t="s">
        <v>1499</v>
      </c>
      <c r="F1380" s="3">
        <v>0</v>
      </c>
      <c r="G1380" s="3">
        <v>570856.07999999996</v>
      </c>
    </row>
    <row r="1381" spans="1:7" x14ac:dyDescent="0.2">
      <c r="A1381" s="3" t="s">
        <v>1069</v>
      </c>
      <c r="B1381" s="4">
        <v>44742</v>
      </c>
      <c r="C1381" s="3" t="s">
        <v>1180</v>
      </c>
      <c r="D1381" s="3" t="s">
        <v>1183</v>
      </c>
      <c r="E1381" s="3" t="s">
        <v>1184</v>
      </c>
      <c r="F1381" s="3">
        <v>5855130.1399999997</v>
      </c>
      <c r="G1381" s="3">
        <v>13540373.529999999</v>
      </c>
    </row>
    <row r="1382" spans="1:7" x14ac:dyDescent="0.2">
      <c r="A1382" s="3" t="s">
        <v>1069</v>
      </c>
      <c r="B1382" s="4">
        <v>44742</v>
      </c>
      <c r="C1382" s="3" t="s">
        <v>1180</v>
      </c>
      <c r="D1382" s="3" t="s">
        <v>1222</v>
      </c>
      <c r="E1382" s="3" t="s">
        <v>1223</v>
      </c>
      <c r="F1382" s="3">
        <v>0</v>
      </c>
      <c r="G1382" s="3">
        <v>2376904.9900000002</v>
      </c>
    </row>
    <row r="1383" spans="1:7" x14ac:dyDescent="0.2">
      <c r="A1383" s="3" t="s">
        <v>1069</v>
      </c>
      <c r="B1383" s="4">
        <v>44742</v>
      </c>
      <c r="C1383" s="3" t="s">
        <v>1180</v>
      </c>
      <c r="D1383" s="3" t="s">
        <v>1235</v>
      </c>
      <c r="E1383" s="3" t="s">
        <v>1236</v>
      </c>
      <c r="F1383" s="3">
        <v>0</v>
      </c>
      <c r="G1383" s="3">
        <v>782608.07</v>
      </c>
    </row>
    <row r="1384" spans="1:7" x14ac:dyDescent="0.2">
      <c r="A1384" s="3" t="s">
        <v>1069</v>
      </c>
      <c r="B1384" s="4">
        <v>44742</v>
      </c>
      <c r="C1384" s="3" t="s">
        <v>1180</v>
      </c>
      <c r="D1384" s="3" t="s">
        <v>1206</v>
      </c>
      <c r="E1384" s="3" t="s">
        <v>1207</v>
      </c>
      <c r="F1384" s="3">
        <v>34000</v>
      </c>
      <c r="G1384" s="3">
        <v>163550</v>
      </c>
    </row>
    <row r="1385" spans="1:7" x14ac:dyDescent="0.2">
      <c r="A1385" s="3" t="s">
        <v>1069</v>
      </c>
      <c r="B1385" s="4">
        <v>44742</v>
      </c>
      <c r="C1385" s="3" t="s">
        <v>1180</v>
      </c>
      <c r="D1385" s="3" t="s">
        <v>1208</v>
      </c>
      <c r="E1385" s="3" t="s">
        <v>1209</v>
      </c>
      <c r="F1385" s="3">
        <v>0</v>
      </c>
      <c r="G1385" s="3">
        <v>45000</v>
      </c>
    </row>
    <row r="1386" spans="1:7" x14ac:dyDescent="0.2">
      <c r="A1386" s="3" t="s">
        <v>1069</v>
      </c>
      <c r="B1386" s="4">
        <v>44742</v>
      </c>
      <c r="C1386" s="3" t="s">
        <v>1180</v>
      </c>
      <c r="D1386" s="3" t="s">
        <v>1259</v>
      </c>
      <c r="E1386" s="3" t="s">
        <v>1260</v>
      </c>
      <c r="F1386" s="3">
        <v>6000</v>
      </c>
      <c r="G1386" s="3">
        <v>83000</v>
      </c>
    </row>
    <row r="1387" spans="1:7" x14ac:dyDescent="0.2">
      <c r="A1387" s="3" t="s">
        <v>1069</v>
      </c>
      <c r="B1387" s="4">
        <v>44742</v>
      </c>
      <c r="C1387" s="3" t="s">
        <v>1180</v>
      </c>
      <c r="D1387" s="3" t="s">
        <v>1265</v>
      </c>
      <c r="E1387" s="3" t="s">
        <v>1266</v>
      </c>
      <c r="F1387" s="3">
        <v>223707.3</v>
      </c>
      <c r="G1387" s="3">
        <v>973679.71</v>
      </c>
    </row>
    <row r="1388" spans="1:7" x14ac:dyDescent="0.2">
      <c r="A1388" s="3" t="s">
        <v>1074</v>
      </c>
      <c r="B1388" s="4">
        <v>44742</v>
      </c>
      <c r="C1388" s="3" t="s">
        <v>1180</v>
      </c>
      <c r="D1388" s="3" t="s">
        <v>1265</v>
      </c>
      <c r="E1388" s="3" t="s">
        <v>1518</v>
      </c>
      <c r="F1388" s="3">
        <v>1233261.93</v>
      </c>
      <c r="G1388" s="3">
        <v>1233261.93</v>
      </c>
    </row>
    <row r="1389" spans="1:7" x14ac:dyDescent="0.2">
      <c r="A1389" s="3" t="s">
        <v>1069</v>
      </c>
      <c r="B1389" s="4">
        <v>44742</v>
      </c>
      <c r="C1389" s="3" t="s">
        <v>1180</v>
      </c>
      <c r="D1389" s="3" t="s">
        <v>1423</v>
      </c>
      <c r="E1389" s="3" t="s">
        <v>1424</v>
      </c>
      <c r="F1389" s="3">
        <v>0</v>
      </c>
      <c r="G1389" s="3">
        <v>622274.51</v>
      </c>
    </row>
    <row r="1390" spans="1:7" x14ac:dyDescent="0.2">
      <c r="A1390" s="3" t="s">
        <v>1069</v>
      </c>
      <c r="B1390" s="4">
        <v>44742</v>
      </c>
      <c r="C1390" s="3" t="s">
        <v>1180</v>
      </c>
      <c r="D1390" s="3" t="s">
        <v>1519</v>
      </c>
      <c r="E1390" s="3" t="s">
        <v>1520</v>
      </c>
      <c r="F1390" s="3">
        <v>475734.17</v>
      </c>
      <c r="G1390" s="3">
        <v>475734.17</v>
      </c>
    </row>
    <row r="1391" spans="1:7" x14ac:dyDescent="0.2">
      <c r="A1391" s="3" t="s">
        <v>1074</v>
      </c>
      <c r="B1391" s="4">
        <v>44742</v>
      </c>
      <c r="C1391" s="3" t="s">
        <v>1180</v>
      </c>
      <c r="D1391" s="3" t="s">
        <v>1521</v>
      </c>
      <c r="E1391" s="3" t="s">
        <v>1522</v>
      </c>
      <c r="F1391" s="3">
        <v>1100</v>
      </c>
      <c r="G1391" s="3">
        <v>1100</v>
      </c>
    </row>
    <row r="1392" spans="1:7" x14ac:dyDescent="0.2">
      <c r="A1392" s="3" t="s">
        <v>1072</v>
      </c>
      <c r="B1392" s="4">
        <v>44742</v>
      </c>
      <c r="C1392" s="3" t="s">
        <v>1180</v>
      </c>
      <c r="D1392" s="3" t="s">
        <v>1425</v>
      </c>
      <c r="E1392" s="3" t="s">
        <v>1426</v>
      </c>
      <c r="F1392" s="3">
        <v>0</v>
      </c>
      <c r="G1392" s="3">
        <v>6875.45</v>
      </c>
    </row>
    <row r="1393" spans="1:7" x14ac:dyDescent="0.2">
      <c r="A1393" s="3" t="s">
        <v>1072</v>
      </c>
      <c r="B1393" s="4">
        <v>44742</v>
      </c>
      <c r="C1393" s="3" t="s">
        <v>1180</v>
      </c>
      <c r="D1393" s="3" t="s">
        <v>1427</v>
      </c>
      <c r="E1393" s="3" t="s">
        <v>1428</v>
      </c>
      <c r="F1393" s="3">
        <v>11920629.859999999</v>
      </c>
      <c r="G1393" s="3">
        <v>19575423.98</v>
      </c>
    </row>
    <row r="1394" spans="1:7" x14ac:dyDescent="0.2">
      <c r="A1394" s="3" t="s">
        <v>1072</v>
      </c>
      <c r="B1394" s="4">
        <v>44742</v>
      </c>
      <c r="C1394" s="3" t="s">
        <v>1180</v>
      </c>
      <c r="D1394" s="3" t="s">
        <v>1429</v>
      </c>
      <c r="E1394" s="3" t="s">
        <v>1430</v>
      </c>
      <c r="F1394" s="3">
        <v>-5586.53</v>
      </c>
      <c r="G1394" s="3">
        <v>27342.04</v>
      </c>
    </row>
    <row r="1395" spans="1:7" x14ac:dyDescent="0.2">
      <c r="A1395" s="3" t="s">
        <v>1069</v>
      </c>
      <c r="B1395" s="4">
        <v>44742</v>
      </c>
      <c r="C1395" s="3" t="s">
        <v>1180</v>
      </c>
      <c r="D1395" s="3" t="s">
        <v>1187</v>
      </c>
      <c r="E1395" s="3" t="s">
        <v>1188</v>
      </c>
      <c r="F1395" s="3">
        <v>3796064.73</v>
      </c>
      <c r="G1395" s="3">
        <v>5185547.3</v>
      </c>
    </row>
    <row r="1396" spans="1:7" x14ac:dyDescent="0.2">
      <c r="A1396" s="3" t="s">
        <v>1072</v>
      </c>
      <c r="B1396" s="4">
        <v>44742</v>
      </c>
      <c r="C1396" s="3" t="s">
        <v>1180</v>
      </c>
      <c r="D1396" s="3" t="s">
        <v>1187</v>
      </c>
      <c r="E1396" s="3" t="s">
        <v>1433</v>
      </c>
      <c r="F1396" s="3">
        <v>-31615.39</v>
      </c>
      <c r="G1396" s="3">
        <v>16101.64</v>
      </c>
    </row>
    <row r="1397" spans="1:7" x14ac:dyDescent="0.2">
      <c r="A1397" s="3" t="s">
        <v>1072</v>
      </c>
      <c r="B1397" s="4">
        <v>44742</v>
      </c>
      <c r="C1397" s="3" t="s">
        <v>1180</v>
      </c>
      <c r="D1397" s="3" t="s">
        <v>1435</v>
      </c>
      <c r="E1397" s="3" t="s">
        <v>1436</v>
      </c>
      <c r="F1397" s="3">
        <v>2.15</v>
      </c>
      <c r="G1397" s="3">
        <v>517.92999999999995</v>
      </c>
    </row>
    <row r="1398" spans="1:7" x14ac:dyDescent="0.2">
      <c r="A1398" s="3" t="s">
        <v>1069</v>
      </c>
      <c r="B1398" s="4">
        <v>44742</v>
      </c>
      <c r="C1398" s="3" t="s">
        <v>1180</v>
      </c>
      <c r="D1398" s="3" t="s">
        <v>1243</v>
      </c>
      <c r="E1398" s="3" t="s">
        <v>1244</v>
      </c>
      <c r="F1398" s="3">
        <v>2.92</v>
      </c>
      <c r="G1398" s="3">
        <v>796.2</v>
      </c>
    </row>
    <row r="1399" spans="1:7" x14ac:dyDescent="0.2">
      <c r="A1399" s="3" t="s">
        <v>1069</v>
      </c>
      <c r="B1399" s="4">
        <v>44742</v>
      </c>
      <c r="C1399" s="3" t="s">
        <v>1180</v>
      </c>
      <c r="D1399" s="3" t="s">
        <v>1245</v>
      </c>
      <c r="E1399" s="3" t="s">
        <v>1246</v>
      </c>
      <c r="F1399" s="3">
        <v>1659015.12</v>
      </c>
      <c r="G1399" s="3">
        <v>10022097.75</v>
      </c>
    </row>
    <row r="1400" spans="1:7" x14ac:dyDescent="0.2">
      <c r="A1400" s="3" t="s">
        <v>1069</v>
      </c>
      <c r="B1400" s="4">
        <v>44742</v>
      </c>
      <c r="C1400" s="3" t="s">
        <v>1180</v>
      </c>
      <c r="D1400" s="3" t="s">
        <v>1523</v>
      </c>
      <c r="E1400" s="3" t="s">
        <v>1524</v>
      </c>
      <c r="F1400" s="3">
        <v>500000</v>
      </c>
      <c r="G1400" s="3">
        <v>500000</v>
      </c>
    </row>
    <row r="1401" spans="1:7" x14ac:dyDescent="0.2">
      <c r="A1401" s="3" t="s">
        <v>1072</v>
      </c>
      <c r="B1401" s="4">
        <v>44742</v>
      </c>
      <c r="C1401" s="3" t="s">
        <v>1175</v>
      </c>
      <c r="D1401" s="3" t="s">
        <v>1437</v>
      </c>
      <c r="E1401" s="3" t="s">
        <v>1438</v>
      </c>
      <c r="F1401" s="3">
        <v>-0.01</v>
      </c>
      <c r="G1401" s="3">
        <v>-0.04</v>
      </c>
    </row>
    <row r="1402" spans="1:7" x14ac:dyDescent="0.2">
      <c r="A1402" s="3" t="s">
        <v>1069</v>
      </c>
      <c r="B1402" s="4">
        <v>44742</v>
      </c>
      <c r="C1402" s="3" t="s">
        <v>1175</v>
      </c>
      <c r="D1402" s="3" t="s">
        <v>1437</v>
      </c>
      <c r="E1402" s="3" t="s">
        <v>1438</v>
      </c>
      <c r="F1402" s="3">
        <v>-0.01</v>
      </c>
      <c r="G1402" s="3">
        <v>0</v>
      </c>
    </row>
    <row r="1403" spans="1:7" x14ac:dyDescent="0.2">
      <c r="A1403" s="3" t="s">
        <v>1072</v>
      </c>
      <c r="B1403" s="4">
        <v>44742</v>
      </c>
      <c r="C1403" s="3" t="s">
        <v>1175</v>
      </c>
      <c r="D1403" s="3" t="s">
        <v>1191</v>
      </c>
      <c r="E1403" s="3" t="s">
        <v>1192</v>
      </c>
      <c r="F1403" s="3">
        <v>246690.54</v>
      </c>
      <c r="G1403" s="3">
        <v>-5033705.7</v>
      </c>
    </row>
    <row r="1404" spans="1:7" x14ac:dyDescent="0.2">
      <c r="A1404" s="3" t="s">
        <v>1069</v>
      </c>
      <c r="B1404" s="4">
        <v>44742</v>
      </c>
      <c r="C1404" s="3" t="s">
        <v>1175</v>
      </c>
      <c r="D1404" s="3" t="s">
        <v>1191</v>
      </c>
      <c r="E1404" s="3" t="s">
        <v>1192</v>
      </c>
      <c r="F1404" s="3">
        <v>-14434834.460000001</v>
      </c>
      <c r="G1404" s="3">
        <v>-76416498.099999994</v>
      </c>
    </row>
    <row r="1405" spans="1:7" x14ac:dyDescent="0.2">
      <c r="A1405" s="3" t="s">
        <v>1074</v>
      </c>
      <c r="B1405" s="4">
        <v>44742</v>
      </c>
      <c r="C1405" s="3" t="s">
        <v>1175</v>
      </c>
      <c r="D1405" s="3" t="s">
        <v>1191</v>
      </c>
      <c r="E1405" s="3" t="s">
        <v>1192</v>
      </c>
      <c r="F1405" s="3">
        <v>0</v>
      </c>
      <c r="G1405" s="3">
        <v>8650</v>
      </c>
    </row>
    <row r="1406" spans="1:7" x14ac:dyDescent="0.2">
      <c r="A1406" s="3" t="s">
        <v>1072</v>
      </c>
      <c r="B1406" s="4">
        <v>44742</v>
      </c>
      <c r="C1406" s="3" t="s">
        <v>1175</v>
      </c>
      <c r="D1406" s="3" t="s">
        <v>1488</v>
      </c>
      <c r="E1406" s="3" t="s">
        <v>1489</v>
      </c>
      <c r="F1406" s="3">
        <v>0</v>
      </c>
      <c r="G1406" s="3">
        <v>1186.1300000000001</v>
      </c>
    </row>
    <row r="1407" spans="1:7" x14ac:dyDescent="0.2">
      <c r="A1407" s="3" t="s">
        <v>1072</v>
      </c>
      <c r="B1407" s="4">
        <v>44742</v>
      </c>
      <c r="C1407" s="3" t="s">
        <v>1175</v>
      </c>
      <c r="D1407" s="3" t="s">
        <v>1439</v>
      </c>
      <c r="E1407" s="3" t="s">
        <v>1440</v>
      </c>
      <c r="F1407" s="3">
        <v>0.01</v>
      </c>
      <c r="G1407" s="3">
        <v>20758.55</v>
      </c>
    </row>
    <row r="1408" spans="1:7" x14ac:dyDescent="0.2">
      <c r="A1408" s="3" t="s">
        <v>1072</v>
      </c>
      <c r="B1408" s="4">
        <v>44742</v>
      </c>
      <c r="C1408" s="3" t="s">
        <v>1175</v>
      </c>
      <c r="D1408" s="3" t="s">
        <v>1441</v>
      </c>
      <c r="E1408" s="3" t="s">
        <v>1442</v>
      </c>
      <c r="F1408" s="3">
        <v>16118.55</v>
      </c>
      <c r="G1408" s="3">
        <v>-24518.26</v>
      </c>
    </row>
    <row r="1409" spans="1:7" x14ac:dyDescent="0.2">
      <c r="A1409" s="3" t="s">
        <v>1072</v>
      </c>
      <c r="B1409" s="4">
        <v>44742</v>
      </c>
      <c r="C1409" s="3" t="s">
        <v>1175</v>
      </c>
      <c r="D1409" s="3" t="s">
        <v>1464</v>
      </c>
      <c r="E1409" s="3" t="s">
        <v>1465</v>
      </c>
      <c r="F1409" s="3">
        <v>-7435.92</v>
      </c>
      <c r="G1409" s="3">
        <v>-13413.74</v>
      </c>
    </row>
    <row r="1410" spans="1:7" x14ac:dyDescent="0.2">
      <c r="A1410" s="3" t="s">
        <v>1072</v>
      </c>
      <c r="B1410" s="4">
        <v>44742</v>
      </c>
      <c r="C1410" s="3" t="s">
        <v>1175</v>
      </c>
      <c r="D1410" s="3" t="s">
        <v>1193</v>
      </c>
      <c r="E1410" s="3" t="s">
        <v>1443</v>
      </c>
      <c r="F1410" s="3">
        <v>-1865385.49</v>
      </c>
      <c r="G1410" s="3">
        <v>-3186907.21</v>
      </c>
    </row>
    <row r="1411" spans="1:7" x14ac:dyDescent="0.2">
      <c r="A1411" s="3" t="s">
        <v>1069</v>
      </c>
      <c r="B1411" s="4">
        <v>44742</v>
      </c>
      <c r="C1411" s="3" t="s">
        <v>1175</v>
      </c>
      <c r="D1411" s="3" t="s">
        <v>1193</v>
      </c>
      <c r="E1411" s="3" t="s">
        <v>1194</v>
      </c>
      <c r="F1411" s="3">
        <v>1093178.94</v>
      </c>
      <c r="G1411" s="3">
        <v>2311440.44</v>
      </c>
    </row>
    <row r="1412" spans="1:7" x14ac:dyDescent="0.2">
      <c r="A1412" s="3" t="s">
        <v>1074</v>
      </c>
      <c r="B1412" s="4">
        <v>44742</v>
      </c>
      <c r="C1412" s="3" t="s">
        <v>1175</v>
      </c>
      <c r="D1412" s="3" t="s">
        <v>1193</v>
      </c>
      <c r="E1412" s="3" t="s">
        <v>1194</v>
      </c>
      <c r="F1412" s="3">
        <v>185079.29</v>
      </c>
      <c r="G1412" s="3">
        <v>185349.29</v>
      </c>
    </row>
    <row r="1413" spans="1:7" x14ac:dyDescent="0.2">
      <c r="A1413" s="3" t="s">
        <v>1072</v>
      </c>
      <c r="B1413" s="4">
        <v>44742</v>
      </c>
      <c r="C1413" s="3" t="s">
        <v>1175</v>
      </c>
      <c r="D1413" s="3" t="s">
        <v>1505</v>
      </c>
      <c r="E1413" s="3" t="s">
        <v>1506</v>
      </c>
      <c r="F1413" s="3">
        <v>0</v>
      </c>
      <c r="G1413" s="3">
        <v>80</v>
      </c>
    </row>
    <row r="1414" spans="1:7" x14ac:dyDescent="0.2">
      <c r="A1414" s="3" t="s">
        <v>1072</v>
      </c>
      <c r="B1414" s="4">
        <v>44742</v>
      </c>
      <c r="C1414" s="3" t="s">
        <v>1175</v>
      </c>
      <c r="D1414" s="3" t="s">
        <v>1444</v>
      </c>
      <c r="E1414" s="3" t="s">
        <v>1445</v>
      </c>
      <c r="F1414" s="3">
        <v>0</v>
      </c>
      <c r="G1414" s="3">
        <v>1869.8</v>
      </c>
    </row>
    <row r="1415" spans="1:7" x14ac:dyDescent="0.2">
      <c r="A1415" s="3" t="s">
        <v>1072</v>
      </c>
      <c r="B1415" s="4">
        <v>44742</v>
      </c>
      <c r="C1415" s="3" t="s">
        <v>1175</v>
      </c>
      <c r="D1415" s="3" t="s">
        <v>1446</v>
      </c>
      <c r="E1415" s="3" t="s">
        <v>1447</v>
      </c>
      <c r="F1415" s="3">
        <v>0</v>
      </c>
      <c r="G1415" s="3">
        <v>-254.99</v>
      </c>
    </row>
    <row r="1416" spans="1:7" x14ac:dyDescent="0.2">
      <c r="A1416" s="3" t="s">
        <v>1072</v>
      </c>
      <c r="B1416" s="4">
        <v>44773</v>
      </c>
      <c r="C1416" s="3" t="s">
        <v>1210</v>
      </c>
      <c r="D1416" s="3" t="s">
        <v>1448</v>
      </c>
      <c r="E1416" s="3" t="s">
        <v>1449</v>
      </c>
      <c r="F1416" s="3">
        <v>-6000215.8799999999</v>
      </c>
      <c r="G1416" s="3">
        <v>-17183903.199999999</v>
      </c>
    </row>
    <row r="1417" spans="1:7" x14ac:dyDescent="0.2">
      <c r="A1417" s="3" t="s">
        <v>1072</v>
      </c>
      <c r="B1417" s="4">
        <v>44773</v>
      </c>
      <c r="C1417" s="3" t="s">
        <v>1210</v>
      </c>
      <c r="D1417" s="3" t="s">
        <v>1267</v>
      </c>
      <c r="E1417" s="3" t="s">
        <v>1268</v>
      </c>
      <c r="F1417" s="3">
        <v>10393543.48</v>
      </c>
      <c r="G1417" s="3">
        <v>-12058898.93</v>
      </c>
    </row>
    <row r="1418" spans="1:7" x14ac:dyDescent="0.2">
      <c r="A1418" s="3" t="s">
        <v>1072</v>
      </c>
      <c r="B1418" s="4">
        <v>44773</v>
      </c>
      <c r="C1418" s="3" t="s">
        <v>1210</v>
      </c>
      <c r="D1418" s="3" t="s">
        <v>1507</v>
      </c>
      <c r="E1418" s="3" t="s">
        <v>1508</v>
      </c>
      <c r="F1418" s="3">
        <v>0</v>
      </c>
      <c r="G1418" s="3">
        <v>-1782369.8</v>
      </c>
    </row>
    <row r="1419" spans="1:7" x14ac:dyDescent="0.2">
      <c r="A1419" s="3" t="s">
        <v>1072</v>
      </c>
      <c r="B1419" s="4">
        <v>44773</v>
      </c>
      <c r="C1419" s="3" t="s">
        <v>1210</v>
      </c>
      <c r="D1419" s="3" t="s">
        <v>1525</v>
      </c>
      <c r="E1419" s="3" t="s">
        <v>1526</v>
      </c>
      <c r="F1419" s="3">
        <v>1616.91</v>
      </c>
      <c r="G1419" s="3">
        <v>1616.91</v>
      </c>
    </row>
    <row r="1420" spans="1:7" x14ac:dyDescent="0.2">
      <c r="A1420" s="3" t="s">
        <v>1072</v>
      </c>
      <c r="B1420" s="4">
        <v>44773</v>
      </c>
      <c r="C1420" s="3" t="s">
        <v>1210</v>
      </c>
      <c r="D1420" s="3" t="s">
        <v>1271</v>
      </c>
      <c r="E1420" s="3" t="s">
        <v>1272</v>
      </c>
      <c r="F1420" s="3">
        <v>0</v>
      </c>
      <c r="G1420" s="3">
        <v>-2839.7</v>
      </c>
    </row>
    <row r="1421" spans="1:7" x14ac:dyDescent="0.2">
      <c r="A1421" s="3" t="s">
        <v>1072</v>
      </c>
      <c r="B1421" s="4">
        <v>44773</v>
      </c>
      <c r="C1421" s="3" t="s">
        <v>1210</v>
      </c>
      <c r="D1421" s="3" t="s">
        <v>1273</v>
      </c>
      <c r="E1421" s="3" t="s">
        <v>1274</v>
      </c>
      <c r="F1421" s="3">
        <v>-3490.94</v>
      </c>
      <c r="G1421" s="3">
        <v>-17454.7</v>
      </c>
    </row>
    <row r="1422" spans="1:7" x14ac:dyDescent="0.2">
      <c r="A1422" s="3" t="s">
        <v>1069</v>
      </c>
      <c r="B1422" s="4">
        <v>44773</v>
      </c>
      <c r="C1422" s="3" t="s">
        <v>1168</v>
      </c>
      <c r="D1422" s="3" t="s">
        <v>1514</v>
      </c>
      <c r="E1422" s="3" t="s">
        <v>1515</v>
      </c>
      <c r="F1422" s="3">
        <v>0</v>
      </c>
      <c r="G1422" s="3">
        <v>86956.52</v>
      </c>
    </row>
    <row r="1423" spans="1:7" x14ac:dyDescent="0.2">
      <c r="A1423" s="3" t="s">
        <v>1072</v>
      </c>
      <c r="B1423" s="4">
        <v>44773</v>
      </c>
      <c r="C1423" s="3" t="s">
        <v>1168</v>
      </c>
      <c r="D1423" s="3" t="s">
        <v>1466</v>
      </c>
      <c r="E1423" s="3" t="s">
        <v>1467</v>
      </c>
      <c r="F1423" s="3">
        <v>0</v>
      </c>
      <c r="G1423" s="3">
        <v>957.28</v>
      </c>
    </row>
    <row r="1424" spans="1:7" x14ac:dyDescent="0.2">
      <c r="A1424" s="3" t="s">
        <v>1072</v>
      </c>
      <c r="B1424" s="4">
        <v>44773</v>
      </c>
      <c r="C1424" s="3" t="s">
        <v>1168</v>
      </c>
      <c r="D1424" s="3" t="s">
        <v>1281</v>
      </c>
      <c r="E1424" s="3" t="s">
        <v>1282</v>
      </c>
      <c r="F1424" s="3">
        <v>2144043.98</v>
      </c>
      <c r="G1424" s="3">
        <v>13716960.560000001</v>
      </c>
    </row>
    <row r="1425" spans="1:7" x14ac:dyDescent="0.2">
      <c r="A1425" s="3" t="s">
        <v>1072</v>
      </c>
      <c r="B1425" s="4">
        <v>44773</v>
      </c>
      <c r="C1425" s="3" t="s">
        <v>1168</v>
      </c>
      <c r="D1425" s="3" t="s">
        <v>1283</v>
      </c>
      <c r="E1425" s="3" t="s">
        <v>1284</v>
      </c>
      <c r="F1425" s="3">
        <v>151471.51999999999</v>
      </c>
      <c r="G1425" s="3">
        <v>730720.11</v>
      </c>
    </row>
    <row r="1426" spans="1:7" x14ac:dyDescent="0.2">
      <c r="A1426" s="3" t="s">
        <v>1072</v>
      </c>
      <c r="B1426" s="4">
        <v>44773</v>
      </c>
      <c r="C1426" s="3" t="s">
        <v>1168</v>
      </c>
      <c r="D1426" s="3" t="s">
        <v>1285</v>
      </c>
      <c r="E1426" s="3" t="s">
        <v>1286</v>
      </c>
      <c r="F1426" s="3">
        <v>5586.53</v>
      </c>
      <c r="G1426" s="3">
        <v>26572.93</v>
      </c>
    </row>
    <row r="1427" spans="1:7" x14ac:dyDescent="0.2">
      <c r="A1427" s="3" t="s">
        <v>1072</v>
      </c>
      <c r="B1427" s="4">
        <v>44773</v>
      </c>
      <c r="C1427" s="3" t="s">
        <v>1168</v>
      </c>
      <c r="D1427" s="3" t="s">
        <v>1287</v>
      </c>
      <c r="E1427" s="3" t="s">
        <v>1288</v>
      </c>
      <c r="F1427" s="3">
        <v>0</v>
      </c>
      <c r="G1427" s="3">
        <v>269.64999999999998</v>
      </c>
    </row>
    <row r="1428" spans="1:7" x14ac:dyDescent="0.2">
      <c r="A1428" s="3" t="s">
        <v>1072</v>
      </c>
      <c r="B1428" s="4">
        <v>44773</v>
      </c>
      <c r="C1428" s="3" t="s">
        <v>1168</v>
      </c>
      <c r="D1428" s="3" t="s">
        <v>1289</v>
      </c>
      <c r="E1428" s="3" t="s">
        <v>1290</v>
      </c>
      <c r="F1428" s="3">
        <v>0</v>
      </c>
      <c r="G1428" s="3">
        <v>11000</v>
      </c>
    </row>
    <row r="1429" spans="1:7" x14ac:dyDescent="0.2">
      <c r="A1429" s="3" t="s">
        <v>1072</v>
      </c>
      <c r="B1429" s="4">
        <v>44773</v>
      </c>
      <c r="C1429" s="3" t="s">
        <v>1168</v>
      </c>
      <c r="D1429" s="3" t="s">
        <v>1291</v>
      </c>
      <c r="E1429" s="3" t="s">
        <v>1292</v>
      </c>
      <c r="F1429" s="3">
        <v>4000</v>
      </c>
      <c r="G1429" s="3">
        <v>20000</v>
      </c>
    </row>
    <row r="1430" spans="1:7" x14ac:dyDescent="0.2">
      <c r="A1430" s="3" t="s">
        <v>1072</v>
      </c>
      <c r="B1430" s="4">
        <v>44773</v>
      </c>
      <c r="C1430" s="3" t="s">
        <v>1168</v>
      </c>
      <c r="D1430" s="3" t="s">
        <v>1299</v>
      </c>
      <c r="E1430" s="3" t="s">
        <v>1300</v>
      </c>
      <c r="F1430" s="3">
        <v>0</v>
      </c>
      <c r="G1430" s="3">
        <v>2473.65</v>
      </c>
    </row>
    <row r="1431" spans="1:7" x14ac:dyDescent="0.2">
      <c r="A1431" s="3" t="s">
        <v>1072</v>
      </c>
      <c r="B1431" s="4">
        <v>44773</v>
      </c>
      <c r="C1431" s="3" t="s">
        <v>1168</v>
      </c>
      <c r="D1431" s="3" t="s">
        <v>1301</v>
      </c>
      <c r="E1431" s="3" t="s">
        <v>1302</v>
      </c>
      <c r="F1431" s="3">
        <v>0</v>
      </c>
      <c r="G1431" s="3">
        <v>937.39</v>
      </c>
    </row>
    <row r="1432" spans="1:7" x14ac:dyDescent="0.2">
      <c r="A1432" s="3" t="s">
        <v>1072</v>
      </c>
      <c r="B1432" s="4">
        <v>44773</v>
      </c>
      <c r="C1432" s="3" t="s">
        <v>1168</v>
      </c>
      <c r="D1432" s="3" t="s">
        <v>1305</v>
      </c>
      <c r="E1432" s="3" t="s">
        <v>1306</v>
      </c>
      <c r="F1432" s="3">
        <v>0</v>
      </c>
      <c r="G1432" s="3">
        <v>2418.2600000000002</v>
      </c>
    </row>
    <row r="1433" spans="1:7" x14ac:dyDescent="0.2">
      <c r="A1433" s="3" t="s">
        <v>1072</v>
      </c>
      <c r="B1433" s="4">
        <v>44773</v>
      </c>
      <c r="C1433" s="3" t="s">
        <v>1168</v>
      </c>
      <c r="D1433" s="3" t="s">
        <v>1315</v>
      </c>
      <c r="E1433" s="3" t="s">
        <v>1316</v>
      </c>
      <c r="F1433" s="3">
        <v>0</v>
      </c>
      <c r="G1433" s="3">
        <v>2952.7</v>
      </c>
    </row>
    <row r="1434" spans="1:7" x14ac:dyDescent="0.2">
      <c r="A1434" s="3" t="s">
        <v>1072</v>
      </c>
      <c r="B1434" s="4">
        <v>44773</v>
      </c>
      <c r="C1434" s="3" t="s">
        <v>1168</v>
      </c>
      <c r="D1434" s="3" t="s">
        <v>1450</v>
      </c>
      <c r="E1434" s="3" t="s">
        <v>1451</v>
      </c>
      <c r="F1434" s="3">
        <v>3666477.2</v>
      </c>
      <c r="G1434" s="3">
        <v>12687055.560000001</v>
      </c>
    </row>
    <row r="1435" spans="1:7" x14ac:dyDescent="0.2">
      <c r="A1435" s="3" t="s">
        <v>1072</v>
      </c>
      <c r="B1435" s="4">
        <v>44773</v>
      </c>
      <c r="C1435" s="3" t="s">
        <v>1168</v>
      </c>
      <c r="D1435" s="3" t="s">
        <v>1452</v>
      </c>
      <c r="E1435" s="3" t="s">
        <v>1453</v>
      </c>
      <c r="F1435" s="3">
        <v>355948.88</v>
      </c>
      <c r="G1435" s="3">
        <v>1200516.05</v>
      </c>
    </row>
    <row r="1436" spans="1:7" x14ac:dyDescent="0.2">
      <c r="A1436" s="3" t="s">
        <v>1072</v>
      </c>
      <c r="B1436" s="4">
        <v>44773</v>
      </c>
      <c r="C1436" s="3" t="s">
        <v>1168</v>
      </c>
      <c r="D1436" s="3" t="s">
        <v>1454</v>
      </c>
      <c r="E1436" s="3" t="s">
        <v>1455</v>
      </c>
      <c r="F1436" s="3">
        <v>4000</v>
      </c>
      <c r="G1436" s="3">
        <v>22286.3</v>
      </c>
    </row>
    <row r="1437" spans="1:7" x14ac:dyDescent="0.2">
      <c r="A1437" s="3" t="s">
        <v>1072</v>
      </c>
      <c r="B1437" s="4">
        <v>44773</v>
      </c>
      <c r="C1437" s="3" t="s">
        <v>1168</v>
      </c>
      <c r="D1437" s="3" t="s">
        <v>1468</v>
      </c>
      <c r="E1437" s="3" t="s">
        <v>1469</v>
      </c>
      <c r="F1437" s="3">
        <v>607.83000000000004</v>
      </c>
      <c r="G1437" s="3">
        <v>2846.47</v>
      </c>
    </row>
    <row r="1438" spans="1:7" x14ac:dyDescent="0.2">
      <c r="A1438" s="3" t="s">
        <v>1072</v>
      </c>
      <c r="B1438" s="4">
        <v>44773</v>
      </c>
      <c r="C1438" s="3" t="s">
        <v>1168</v>
      </c>
      <c r="D1438" s="3" t="s">
        <v>1502</v>
      </c>
      <c r="E1438" s="3" t="s">
        <v>1503</v>
      </c>
      <c r="F1438" s="3">
        <v>11000</v>
      </c>
      <c r="G1438" s="3">
        <v>20565.22</v>
      </c>
    </row>
    <row r="1439" spans="1:7" x14ac:dyDescent="0.2">
      <c r="A1439" s="3" t="s">
        <v>1072</v>
      </c>
      <c r="B1439" s="4">
        <v>44773</v>
      </c>
      <c r="C1439" s="3" t="s">
        <v>1168</v>
      </c>
      <c r="D1439" s="3" t="s">
        <v>1527</v>
      </c>
      <c r="E1439" s="3" t="s">
        <v>1528</v>
      </c>
      <c r="F1439" s="3">
        <v>5914.78</v>
      </c>
      <c r="G1439" s="3">
        <v>5914.78</v>
      </c>
    </row>
    <row r="1440" spans="1:7" x14ac:dyDescent="0.2">
      <c r="A1440" s="3" t="s">
        <v>1072</v>
      </c>
      <c r="B1440" s="4">
        <v>44773</v>
      </c>
      <c r="C1440" s="3" t="s">
        <v>1210</v>
      </c>
      <c r="D1440" s="3" t="s">
        <v>1509</v>
      </c>
      <c r="E1440" s="3" t="s">
        <v>1510</v>
      </c>
      <c r="F1440" s="3">
        <v>-79.290000000000006</v>
      </c>
      <c r="G1440" s="3">
        <v>-82.78</v>
      </c>
    </row>
    <row r="1441" spans="1:7" x14ac:dyDescent="0.2">
      <c r="A1441" s="3" t="s">
        <v>1072</v>
      </c>
      <c r="B1441" s="4">
        <v>44773</v>
      </c>
      <c r="C1441" s="3" t="s">
        <v>1210</v>
      </c>
      <c r="D1441" s="3" t="s">
        <v>1323</v>
      </c>
      <c r="E1441" s="3" t="s">
        <v>1324</v>
      </c>
      <c r="F1441" s="3">
        <v>-2.2799999999999998</v>
      </c>
      <c r="G1441" s="3">
        <v>-10.57</v>
      </c>
    </row>
    <row r="1442" spans="1:7" x14ac:dyDescent="0.2">
      <c r="A1442" s="3" t="s">
        <v>1069</v>
      </c>
      <c r="B1442" s="4">
        <v>44773</v>
      </c>
      <c r="C1442" s="3" t="s">
        <v>1210</v>
      </c>
      <c r="D1442" s="3" t="s">
        <v>1249</v>
      </c>
      <c r="E1442" s="3" t="s">
        <v>1250</v>
      </c>
      <c r="F1442" s="3">
        <v>-50001.11</v>
      </c>
      <c r="G1442" s="3">
        <v>-171136.22</v>
      </c>
    </row>
    <row r="1443" spans="1:7" x14ac:dyDescent="0.2">
      <c r="A1443" s="3" t="s">
        <v>1072</v>
      </c>
      <c r="B1443" s="4">
        <v>44773</v>
      </c>
      <c r="C1443" s="3" t="s">
        <v>1168</v>
      </c>
      <c r="D1443" s="3" t="s">
        <v>1326</v>
      </c>
      <c r="E1443" s="3" t="s">
        <v>1088</v>
      </c>
      <c r="F1443" s="3">
        <v>0</v>
      </c>
      <c r="G1443" s="3">
        <v>10600</v>
      </c>
    </row>
    <row r="1444" spans="1:7" x14ac:dyDescent="0.2">
      <c r="A1444" s="3" t="s">
        <v>1072</v>
      </c>
      <c r="B1444" s="4">
        <v>44773</v>
      </c>
      <c r="C1444" s="3" t="s">
        <v>1168</v>
      </c>
      <c r="D1444" s="3" t="s">
        <v>1337</v>
      </c>
      <c r="E1444" s="3" t="s">
        <v>1338</v>
      </c>
      <c r="F1444" s="3">
        <v>0</v>
      </c>
      <c r="G1444" s="3">
        <v>14139.13</v>
      </c>
    </row>
    <row r="1445" spans="1:7" x14ac:dyDescent="0.2">
      <c r="A1445" s="3" t="s">
        <v>1072</v>
      </c>
      <c r="B1445" s="4">
        <v>44773</v>
      </c>
      <c r="C1445" s="3" t="s">
        <v>1168</v>
      </c>
      <c r="D1445" s="3" t="s">
        <v>1169</v>
      </c>
      <c r="E1445" s="3" t="s">
        <v>1079</v>
      </c>
      <c r="F1445" s="3">
        <v>0</v>
      </c>
      <c r="G1445" s="3">
        <v>687.5</v>
      </c>
    </row>
    <row r="1446" spans="1:7" x14ac:dyDescent="0.2">
      <c r="A1446" s="3" t="s">
        <v>1069</v>
      </c>
      <c r="B1446" s="4">
        <v>44773</v>
      </c>
      <c r="C1446" s="3" t="s">
        <v>1168</v>
      </c>
      <c r="D1446" s="3" t="s">
        <v>1169</v>
      </c>
      <c r="E1446" s="3" t="s">
        <v>1079</v>
      </c>
      <c r="F1446" s="3">
        <v>0</v>
      </c>
      <c r="G1446" s="3">
        <v>63407.86</v>
      </c>
    </row>
    <row r="1447" spans="1:7" x14ac:dyDescent="0.2">
      <c r="A1447" s="3" t="s">
        <v>1069</v>
      </c>
      <c r="B1447" s="4">
        <v>44773</v>
      </c>
      <c r="C1447" s="3" t="s">
        <v>1168</v>
      </c>
      <c r="D1447" s="3" t="s">
        <v>1261</v>
      </c>
      <c r="E1447" s="3" t="s">
        <v>1145</v>
      </c>
      <c r="F1447" s="3">
        <v>11556</v>
      </c>
      <c r="G1447" s="3">
        <v>57780</v>
      </c>
    </row>
    <row r="1448" spans="1:7" x14ac:dyDescent="0.2">
      <c r="A1448" s="3" t="s">
        <v>1072</v>
      </c>
      <c r="B1448" s="4">
        <v>44773</v>
      </c>
      <c r="C1448" s="3" t="s">
        <v>1168</v>
      </c>
      <c r="D1448" s="3" t="s">
        <v>1339</v>
      </c>
      <c r="E1448" s="3" t="s">
        <v>1087</v>
      </c>
      <c r="F1448" s="3">
        <v>0</v>
      </c>
      <c r="G1448" s="3">
        <v>137.5</v>
      </c>
    </row>
    <row r="1449" spans="1:7" x14ac:dyDescent="0.2">
      <c r="A1449" s="3" t="s">
        <v>1072</v>
      </c>
      <c r="B1449" s="4">
        <v>44773</v>
      </c>
      <c r="C1449" s="3" t="s">
        <v>1168</v>
      </c>
      <c r="D1449" s="3" t="s">
        <v>1195</v>
      </c>
      <c r="E1449" s="3" t="s">
        <v>1085</v>
      </c>
      <c r="F1449" s="3">
        <v>2943.31</v>
      </c>
      <c r="G1449" s="3">
        <v>14901.67</v>
      </c>
    </row>
    <row r="1450" spans="1:7" x14ac:dyDescent="0.2">
      <c r="A1450" s="3" t="s">
        <v>1069</v>
      </c>
      <c r="B1450" s="4">
        <v>44773</v>
      </c>
      <c r="C1450" s="3" t="s">
        <v>1168</v>
      </c>
      <c r="D1450" s="3" t="s">
        <v>1195</v>
      </c>
      <c r="E1450" s="3" t="s">
        <v>1085</v>
      </c>
      <c r="F1450" s="3">
        <v>1218.08</v>
      </c>
      <c r="G1450" s="3">
        <v>3917.75</v>
      </c>
    </row>
    <row r="1451" spans="1:7" x14ac:dyDescent="0.2">
      <c r="A1451" s="3" t="s">
        <v>1072</v>
      </c>
      <c r="B1451" s="4">
        <v>44773</v>
      </c>
      <c r="C1451" s="3" t="s">
        <v>1168</v>
      </c>
      <c r="D1451" s="3" t="s">
        <v>1340</v>
      </c>
      <c r="E1451" s="3" t="s">
        <v>1141</v>
      </c>
      <c r="F1451" s="3">
        <v>0</v>
      </c>
      <c r="G1451" s="3">
        <v>1986.89</v>
      </c>
    </row>
    <row r="1452" spans="1:7" x14ac:dyDescent="0.2">
      <c r="A1452" s="3" t="s">
        <v>1072</v>
      </c>
      <c r="B1452" s="4">
        <v>44773</v>
      </c>
      <c r="C1452" s="3" t="s">
        <v>1168</v>
      </c>
      <c r="D1452" s="3" t="s">
        <v>1341</v>
      </c>
      <c r="E1452" s="3" t="s">
        <v>1135</v>
      </c>
      <c r="F1452" s="3">
        <v>656.62</v>
      </c>
      <c r="G1452" s="3">
        <v>3260.47</v>
      </c>
    </row>
    <row r="1453" spans="1:7" x14ac:dyDescent="0.2">
      <c r="A1453" s="3" t="s">
        <v>1072</v>
      </c>
      <c r="B1453" s="4">
        <v>44773</v>
      </c>
      <c r="C1453" s="3" t="s">
        <v>1168</v>
      </c>
      <c r="D1453" s="3" t="s">
        <v>1342</v>
      </c>
      <c r="E1453" s="3" t="s">
        <v>1080</v>
      </c>
      <c r="F1453" s="3">
        <v>0</v>
      </c>
      <c r="G1453" s="3">
        <v>1308.69</v>
      </c>
    </row>
    <row r="1454" spans="1:7" x14ac:dyDescent="0.2">
      <c r="A1454" s="3" t="s">
        <v>1072</v>
      </c>
      <c r="B1454" s="4">
        <v>44773</v>
      </c>
      <c r="C1454" s="3" t="s">
        <v>1168</v>
      </c>
      <c r="D1454" s="3" t="s">
        <v>1504</v>
      </c>
      <c r="E1454" s="3" t="s">
        <v>1142</v>
      </c>
      <c r="F1454" s="3">
        <v>396</v>
      </c>
      <c r="G1454" s="3">
        <v>18779</v>
      </c>
    </row>
    <row r="1455" spans="1:7" x14ac:dyDescent="0.2">
      <c r="A1455" s="3" t="s">
        <v>1069</v>
      </c>
      <c r="B1455" s="4">
        <v>44773</v>
      </c>
      <c r="C1455" s="3" t="s">
        <v>1168</v>
      </c>
      <c r="D1455" s="3" t="s">
        <v>1251</v>
      </c>
      <c r="E1455" s="3" t="s">
        <v>1095</v>
      </c>
      <c r="F1455" s="3">
        <v>86425</v>
      </c>
      <c r="G1455" s="3">
        <v>405690.68</v>
      </c>
    </row>
    <row r="1456" spans="1:7" x14ac:dyDescent="0.2">
      <c r="A1456" s="3" t="s">
        <v>1072</v>
      </c>
      <c r="B1456" s="4">
        <v>44773</v>
      </c>
      <c r="C1456" s="3" t="s">
        <v>1168</v>
      </c>
      <c r="D1456" s="3" t="s">
        <v>1251</v>
      </c>
      <c r="E1456" s="3" t="s">
        <v>1345</v>
      </c>
      <c r="F1456" s="3">
        <v>36000</v>
      </c>
      <c r="G1456" s="3">
        <v>180000</v>
      </c>
    </row>
    <row r="1457" spans="1:7" x14ac:dyDescent="0.2">
      <c r="A1457" s="3" t="s">
        <v>1072</v>
      </c>
      <c r="B1457" s="4">
        <v>44773</v>
      </c>
      <c r="C1457" s="3" t="s">
        <v>1168</v>
      </c>
      <c r="D1457" s="3" t="s">
        <v>1348</v>
      </c>
      <c r="E1457" s="3" t="s">
        <v>1095</v>
      </c>
      <c r="F1457" s="3">
        <v>132650</v>
      </c>
      <c r="G1457" s="3">
        <v>612371.87</v>
      </c>
    </row>
    <row r="1458" spans="1:7" x14ac:dyDescent="0.2">
      <c r="A1458" s="3" t="s">
        <v>1069</v>
      </c>
      <c r="B1458" s="4">
        <v>44773</v>
      </c>
      <c r="C1458" s="3" t="s">
        <v>1168</v>
      </c>
      <c r="D1458" s="3" t="s">
        <v>1252</v>
      </c>
      <c r="E1458" s="3" t="s">
        <v>1120</v>
      </c>
      <c r="F1458" s="3">
        <v>4000</v>
      </c>
      <c r="G1458" s="3">
        <v>36000</v>
      </c>
    </row>
    <row r="1459" spans="1:7" x14ac:dyDescent="0.2">
      <c r="A1459" s="3" t="s">
        <v>1072</v>
      </c>
      <c r="B1459" s="4">
        <v>44773</v>
      </c>
      <c r="C1459" s="3" t="s">
        <v>1168</v>
      </c>
      <c r="D1459" s="3" t="s">
        <v>1349</v>
      </c>
      <c r="E1459" s="3" t="s">
        <v>1089</v>
      </c>
      <c r="F1459" s="3">
        <v>0</v>
      </c>
      <c r="G1459" s="3">
        <v>160.87</v>
      </c>
    </row>
    <row r="1460" spans="1:7" x14ac:dyDescent="0.2">
      <c r="A1460" s="3" t="s">
        <v>1072</v>
      </c>
      <c r="B1460" s="4">
        <v>44773</v>
      </c>
      <c r="C1460" s="3" t="s">
        <v>1168</v>
      </c>
      <c r="D1460" s="3" t="s">
        <v>1350</v>
      </c>
      <c r="E1460" s="3" t="s">
        <v>1115</v>
      </c>
      <c r="F1460" s="3">
        <v>1926.81</v>
      </c>
      <c r="G1460" s="3">
        <v>8654.81</v>
      </c>
    </row>
    <row r="1461" spans="1:7" x14ac:dyDescent="0.2">
      <c r="A1461" s="3" t="s">
        <v>1072</v>
      </c>
      <c r="B1461" s="4">
        <v>44773</v>
      </c>
      <c r="C1461" s="3" t="s">
        <v>1168</v>
      </c>
      <c r="D1461" s="3" t="s">
        <v>1351</v>
      </c>
      <c r="E1461" s="3" t="s">
        <v>1096</v>
      </c>
      <c r="F1461" s="3">
        <v>193.34</v>
      </c>
      <c r="G1461" s="3">
        <v>966.67</v>
      </c>
    </row>
    <row r="1462" spans="1:7" x14ac:dyDescent="0.2">
      <c r="A1462" s="3" t="s">
        <v>1072</v>
      </c>
      <c r="B1462" s="4">
        <v>44773</v>
      </c>
      <c r="C1462" s="3" t="s">
        <v>1168</v>
      </c>
      <c r="D1462" s="3" t="s">
        <v>1472</v>
      </c>
      <c r="E1462" s="3" t="s">
        <v>1473</v>
      </c>
      <c r="F1462" s="3">
        <v>39610.1</v>
      </c>
      <c r="G1462" s="3">
        <v>39610.1</v>
      </c>
    </row>
    <row r="1463" spans="1:7" x14ac:dyDescent="0.2">
      <c r="A1463" s="3" t="s">
        <v>1072</v>
      </c>
      <c r="B1463" s="4">
        <v>44773</v>
      </c>
      <c r="C1463" s="3" t="s">
        <v>1168</v>
      </c>
      <c r="D1463" s="3" t="s">
        <v>1474</v>
      </c>
      <c r="E1463" s="3" t="s">
        <v>1114</v>
      </c>
      <c r="F1463" s="3">
        <v>427.21</v>
      </c>
      <c r="G1463" s="3">
        <v>2136.0300000000002</v>
      </c>
    </row>
    <row r="1464" spans="1:7" x14ac:dyDescent="0.2">
      <c r="A1464" s="3" t="s">
        <v>1069</v>
      </c>
      <c r="B1464" s="4">
        <v>44773</v>
      </c>
      <c r="C1464" s="3" t="s">
        <v>1168</v>
      </c>
      <c r="D1464" s="3" t="s">
        <v>1229</v>
      </c>
      <c r="E1464" s="3" t="s">
        <v>1136</v>
      </c>
      <c r="F1464" s="3">
        <v>3534.69</v>
      </c>
      <c r="G1464" s="3">
        <v>13256.94</v>
      </c>
    </row>
    <row r="1465" spans="1:7" x14ac:dyDescent="0.2">
      <c r="A1465" s="3" t="s">
        <v>1072</v>
      </c>
      <c r="B1465" s="4">
        <v>44773</v>
      </c>
      <c r="C1465" s="3" t="s">
        <v>1168</v>
      </c>
      <c r="D1465" s="3" t="s">
        <v>1229</v>
      </c>
      <c r="E1465" s="3" t="s">
        <v>1106</v>
      </c>
      <c r="F1465" s="3">
        <v>5172.63</v>
      </c>
      <c r="G1465" s="3">
        <v>22918.86</v>
      </c>
    </row>
    <row r="1466" spans="1:7" x14ac:dyDescent="0.2">
      <c r="A1466" s="3" t="s">
        <v>1069</v>
      </c>
      <c r="B1466" s="4">
        <v>44773</v>
      </c>
      <c r="C1466" s="3" t="s">
        <v>1168</v>
      </c>
      <c r="D1466" s="3" t="s">
        <v>1230</v>
      </c>
      <c r="E1466" s="3" t="s">
        <v>1109</v>
      </c>
      <c r="F1466" s="3">
        <v>4380.79</v>
      </c>
      <c r="G1466" s="3">
        <v>28508.16</v>
      </c>
    </row>
    <row r="1467" spans="1:7" x14ac:dyDescent="0.2">
      <c r="A1467" s="3" t="s">
        <v>1072</v>
      </c>
      <c r="B1467" s="4">
        <v>44773</v>
      </c>
      <c r="C1467" s="3" t="s">
        <v>1168</v>
      </c>
      <c r="D1467" s="3" t="s">
        <v>1196</v>
      </c>
      <c r="E1467" s="3" t="s">
        <v>1131</v>
      </c>
      <c r="F1467" s="3">
        <v>0</v>
      </c>
      <c r="G1467" s="3">
        <v>1801.52</v>
      </c>
    </row>
    <row r="1468" spans="1:7" x14ac:dyDescent="0.2">
      <c r="A1468" s="3" t="s">
        <v>1072</v>
      </c>
      <c r="B1468" s="4">
        <v>44773</v>
      </c>
      <c r="C1468" s="3" t="s">
        <v>1168</v>
      </c>
      <c r="D1468" s="3" t="s">
        <v>1354</v>
      </c>
      <c r="E1468" s="3" t="s">
        <v>1078</v>
      </c>
      <c r="F1468" s="3">
        <v>1194.1500000000001</v>
      </c>
      <c r="G1468" s="3">
        <v>5901.31</v>
      </c>
    </row>
    <row r="1469" spans="1:7" x14ac:dyDescent="0.2">
      <c r="A1469" s="3" t="s">
        <v>1072</v>
      </c>
      <c r="B1469" s="4">
        <v>44773</v>
      </c>
      <c r="C1469" s="3" t="s">
        <v>1168</v>
      </c>
      <c r="D1469" s="3" t="s">
        <v>1355</v>
      </c>
      <c r="E1469" s="3" t="s">
        <v>1356</v>
      </c>
      <c r="F1469" s="3">
        <v>237.57</v>
      </c>
      <c r="G1469" s="3">
        <v>1187.8499999999999</v>
      </c>
    </row>
    <row r="1470" spans="1:7" x14ac:dyDescent="0.2">
      <c r="A1470" s="3" t="s">
        <v>1069</v>
      </c>
      <c r="B1470" s="4">
        <v>44773</v>
      </c>
      <c r="C1470" s="3" t="s">
        <v>1168</v>
      </c>
      <c r="D1470" s="3" t="s">
        <v>1456</v>
      </c>
      <c r="E1470" s="3" t="s">
        <v>1457</v>
      </c>
      <c r="F1470" s="3">
        <v>11.22</v>
      </c>
      <c r="G1470" s="3">
        <v>224.42</v>
      </c>
    </row>
    <row r="1471" spans="1:7" x14ac:dyDescent="0.2">
      <c r="A1471" s="3" t="s">
        <v>1069</v>
      </c>
      <c r="B1471" s="4">
        <v>44773</v>
      </c>
      <c r="C1471" s="3" t="s">
        <v>1168</v>
      </c>
      <c r="D1471" s="3" t="s">
        <v>1253</v>
      </c>
      <c r="E1471" s="3" t="s">
        <v>1103</v>
      </c>
      <c r="F1471" s="3">
        <v>52251.97</v>
      </c>
      <c r="G1471" s="3">
        <v>195916.24</v>
      </c>
    </row>
    <row r="1472" spans="1:7" x14ac:dyDescent="0.2">
      <c r="A1472" s="3" t="s">
        <v>1072</v>
      </c>
      <c r="B1472" s="4">
        <v>44773</v>
      </c>
      <c r="C1472" s="3" t="s">
        <v>1168</v>
      </c>
      <c r="D1472" s="3" t="s">
        <v>1359</v>
      </c>
      <c r="E1472" s="3" t="s">
        <v>1086</v>
      </c>
      <c r="F1472" s="3">
        <v>0</v>
      </c>
      <c r="G1472" s="3">
        <v>1200</v>
      </c>
    </row>
    <row r="1473" spans="1:7" x14ac:dyDescent="0.2">
      <c r="A1473" s="3" t="s">
        <v>1072</v>
      </c>
      <c r="B1473" s="4">
        <v>44773</v>
      </c>
      <c r="C1473" s="3" t="s">
        <v>1168</v>
      </c>
      <c r="D1473" s="3" t="s">
        <v>1201</v>
      </c>
      <c r="E1473" s="3" t="s">
        <v>1112</v>
      </c>
      <c r="F1473" s="3">
        <v>1174.0899999999999</v>
      </c>
      <c r="G1473" s="3">
        <v>6763.77</v>
      </c>
    </row>
    <row r="1474" spans="1:7" x14ac:dyDescent="0.2">
      <c r="A1474" s="3" t="s">
        <v>1072</v>
      </c>
      <c r="B1474" s="4">
        <v>44773</v>
      </c>
      <c r="C1474" s="3" t="s">
        <v>1168</v>
      </c>
      <c r="D1474" s="3" t="s">
        <v>1360</v>
      </c>
      <c r="E1474" s="3" t="s">
        <v>1098</v>
      </c>
      <c r="F1474" s="3">
        <v>620.28</v>
      </c>
      <c r="G1474" s="3">
        <v>3695.17</v>
      </c>
    </row>
    <row r="1475" spans="1:7" x14ac:dyDescent="0.2">
      <c r="A1475" s="3" t="s">
        <v>1072</v>
      </c>
      <c r="B1475" s="4">
        <v>44773</v>
      </c>
      <c r="C1475" s="3" t="s">
        <v>1168</v>
      </c>
      <c r="D1475" s="3" t="s">
        <v>1361</v>
      </c>
      <c r="E1475" s="3" t="s">
        <v>1121</v>
      </c>
      <c r="F1475" s="3">
        <v>28087.5</v>
      </c>
      <c r="G1475" s="3">
        <v>140437.5</v>
      </c>
    </row>
    <row r="1476" spans="1:7" x14ac:dyDescent="0.2">
      <c r="A1476" s="3" t="s">
        <v>1072</v>
      </c>
      <c r="B1476" s="4">
        <v>44773</v>
      </c>
      <c r="C1476" s="3" t="s">
        <v>1168</v>
      </c>
      <c r="D1476" s="3" t="s">
        <v>1231</v>
      </c>
      <c r="E1476" s="3" t="s">
        <v>1083</v>
      </c>
      <c r="F1476" s="3">
        <v>843.6</v>
      </c>
      <c r="G1476" s="3">
        <v>4218</v>
      </c>
    </row>
    <row r="1477" spans="1:7" x14ac:dyDescent="0.2">
      <c r="A1477" s="3" t="s">
        <v>1069</v>
      </c>
      <c r="B1477" s="4">
        <v>44773</v>
      </c>
      <c r="C1477" s="3" t="s">
        <v>1168</v>
      </c>
      <c r="D1477" s="3" t="s">
        <v>1231</v>
      </c>
      <c r="E1477" s="3" t="s">
        <v>1070</v>
      </c>
      <c r="F1477" s="3">
        <v>3114.7</v>
      </c>
      <c r="G1477" s="3">
        <v>15692.96</v>
      </c>
    </row>
    <row r="1478" spans="1:7" x14ac:dyDescent="0.2">
      <c r="A1478" s="3" t="s">
        <v>1072</v>
      </c>
      <c r="B1478" s="4">
        <v>44773</v>
      </c>
      <c r="C1478" s="3" t="s">
        <v>1168</v>
      </c>
      <c r="D1478" s="3" t="s">
        <v>1254</v>
      </c>
      <c r="E1478" s="3" t="s">
        <v>1075</v>
      </c>
      <c r="F1478" s="3">
        <v>871.72</v>
      </c>
      <c r="G1478" s="3">
        <v>3571.72</v>
      </c>
    </row>
    <row r="1479" spans="1:7" x14ac:dyDescent="0.2">
      <c r="A1479" s="3" t="s">
        <v>1072</v>
      </c>
      <c r="B1479" s="4">
        <v>44773</v>
      </c>
      <c r="C1479" s="3" t="s">
        <v>1168</v>
      </c>
      <c r="D1479" s="3" t="s">
        <v>1362</v>
      </c>
      <c r="E1479" s="3" t="s">
        <v>1123</v>
      </c>
      <c r="F1479" s="3">
        <v>226304.8</v>
      </c>
      <c r="G1479" s="3">
        <v>1077361.6399999999</v>
      </c>
    </row>
    <row r="1480" spans="1:7" x14ac:dyDescent="0.2">
      <c r="A1480" s="3" t="s">
        <v>1072</v>
      </c>
      <c r="B1480" s="4">
        <v>44773</v>
      </c>
      <c r="C1480" s="3" t="s">
        <v>1168</v>
      </c>
      <c r="D1480" s="3" t="s">
        <v>1365</v>
      </c>
      <c r="E1480" s="3" t="s">
        <v>1090</v>
      </c>
      <c r="F1480" s="3">
        <v>3746.27</v>
      </c>
      <c r="G1480" s="3">
        <v>3746.27</v>
      </c>
    </row>
    <row r="1481" spans="1:7" x14ac:dyDescent="0.2">
      <c r="A1481" s="3" t="s">
        <v>1072</v>
      </c>
      <c r="B1481" s="4">
        <v>44773</v>
      </c>
      <c r="C1481" s="3" t="s">
        <v>1168</v>
      </c>
      <c r="D1481" s="3" t="s">
        <v>1511</v>
      </c>
      <c r="E1481" s="3" t="s">
        <v>1104</v>
      </c>
      <c r="F1481" s="3">
        <v>164.35</v>
      </c>
      <c r="G1481" s="3">
        <v>657.4</v>
      </c>
    </row>
    <row r="1482" spans="1:7" x14ac:dyDescent="0.2">
      <c r="A1482" s="3" t="s">
        <v>1072</v>
      </c>
      <c r="B1482" s="4">
        <v>44773</v>
      </c>
      <c r="C1482" s="3" t="s">
        <v>1168</v>
      </c>
      <c r="D1482" s="3" t="s">
        <v>1366</v>
      </c>
      <c r="E1482" s="3" t="s">
        <v>1144</v>
      </c>
      <c r="F1482" s="3">
        <v>0</v>
      </c>
      <c r="G1482" s="3">
        <v>1536.96</v>
      </c>
    </row>
    <row r="1483" spans="1:7" x14ac:dyDescent="0.2">
      <c r="A1483" s="3" t="s">
        <v>1069</v>
      </c>
      <c r="B1483" s="4">
        <v>44773</v>
      </c>
      <c r="C1483" s="3" t="s">
        <v>1168</v>
      </c>
      <c r="D1483" s="3" t="s">
        <v>1213</v>
      </c>
      <c r="E1483" s="3" t="s">
        <v>1150</v>
      </c>
      <c r="F1483" s="3">
        <v>328.38</v>
      </c>
      <c r="G1483" s="3">
        <v>2942.32</v>
      </c>
    </row>
    <row r="1484" spans="1:7" x14ac:dyDescent="0.2">
      <c r="A1484" s="3" t="s">
        <v>1072</v>
      </c>
      <c r="B1484" s="4">
        <v>44773</v>
      </c>
      <c r="C1484" s="3" t="s">
        <v>1168</v>
      </c>
      <c r="D1484" s="3" t="s">
        <v>1367</v>
      </c>
      <c r="E1484" s="3" t="s">
        <v>1147</v>
      </c>
      <c r="F1484" s="3">
        <v>0</v>
      </c>
      <c r="G1484" s="3">
        <v>6800</v>
      </c>
    </row>
    <row r="1485" spans="1:7" x14ac:dyDescent="0.2">
      <c r="A1485" s="3" t="s">
        <v>1072</v>
      </c>
      <c r="B1485" s="4">
        <v>44773</v>
      </c>
      <c r="C1485" s="3" t="s">
        <v>1168</v>
      </c>
      <c r="D1485" s="3" t="s">
        <v>1368</v>
      </c>
      <c r="E1485" s="3" t="s">
        <v>1124</v>
      </c>
      <c r="F1485" s="3">
        <v>0</v>
      </c>
      <c r="G1485" s="3">
        <v>2674.5</v>
      </c>
    </row>
    <row r="1486" spans="1:7" x14ac:dyDescent="0.2">
      <c r="A1486" s="3" t="s">
        <v>1072</v>
      </c>
      <c r="B1486" s="4">
        <v>44773</v>
      </c>
      <c r="C1486" s="3" t="s">
        <v>1168</v>
      </c>
      <c r="D1486" s="3" t="s">
        <v>1369</v>
      </c>
      <c r="E1486" s="3" t="s">
        <v>1099</v>
      </c>
      <c r="F1486" s="3">
        <v>0</v>
      </c>
      <c r="G1486" s="3">
        <v>526.32000000000005</v>
      </c>
    </row>
    <row r="1487" spans="1:7" x14ac:dyDescent="0.2">
      <c r="A1487" s="3" t="s">
        <v>1072</v>
      </c>
      <c r="B1487" s="4">
        <v>44773</v>
      </c>
      <c r="C1487" s="3" t="s">
        <v>1168</v>
      </c>
      <c r="D1487" s="3" t="s">
        <v>1370</v>
      </c>
      <c r="E1487" s="3" t="s">
        <v>1129</v>
      </c>
      <c r="F1487" s="3">
        <v>686</v>
      </c>
      <c r="G1487" s="3">
        <v>2650</v>
      </c>
    </row>
    <row r="1488" spans="1:7" x14ac:dyDescent="0.2">
      <c r="A1488" s="3" t="s">
        <v>1072</v>
      </c>
      <c r="B1488" s="4">
        <v>44773</v>
      </c>
      <c r="C1488" s="3" t="s">
        <v>1168</v>
      </c>
      <c r="D1488" s="3" t="s">
        <v>1372</v>
      </c>
      <c r="E1488" s="3" t="s">
        <v>1158</v>
      </c>
      <c r="F1488" s="3">
        <v>600</v>
      </c>
      <c r="G1488" s="3">
        <v>3000</v>
      </c>
    </row>
    <row r="1489" spans="1:7" x14ac:dyDescent="0.2">
      <c r="A1489" s="3" t="s">
        <v>1072</v>
      </c>
      <c r="B1489" s="4">
        <v>44773</v>
      </c>
      <c r="C1489" s="3" t="s">
        <v>1168</v>
      </c>
      <c r="D1489" s="3" t="s">
        <v>1373</v>
      </c>
      <c r="E1489" s="3" t="s">
        <v>1092</v>
      </c>
      <c r="F1489" s="3">
        <v>363</v>
      </c>
      <c r="G1489" s="3">
        <v>1815</v>
      </c>
    </row>
    <row r="1490" spans="1:7" x14ac:dyDescent="0.2">
      <c r="A1490" s="3" t="s">
        <v>1072</v>
      </c>
      <c r="B1490" s="4">
        <v>44773</v>
      </c>
      <c r="C1490" s="3" t="s">
        <v>1168</v>
      </c>
      <c r="D1490" s="3" t="s">
        <v>1490</v>
      </c>
      <c r="E1490" s="3" t="s">
        <v>1491</v>
      </c>
      <c r="F1490" s="3">
        <v>1640</v>
      </c>
      <c r="G1490" s="3">
        <v>10485</v>
      </c>
    </row>
    <row r="1491" spans="1:7" x14ac:dyDescent="0.2">
      <c r="A1491" s="3" t="s">
        <v>1069</v>
      </c>
      <c r="B1491" s="4">
        <v>44773</v>
      </c>
      <c r="C1491" s="3" t="s">
        <v>1168</v>
      </c>
      <c r="D1491" s="3" t="s">
        <v>1232</v>
      </c>
      <c r="E1491" s="3" t="s">
        <v>1105</v>
      </c>
      <c r="F1491" s="3">
        <v>600</v>
      </c>
      <c r="G1491" s="3">
        <v>3000</v>
      </c>
    </row>
    <row r="1492" spans="1:7" x14ac:dyDescent="0.2">
      <c r="A1492" s="3" t="s">
        <v>1074</v>
      </c>
      <c r="B1492" s="4">
        <v>44773</v>
      </c>
      <c r="C1492" s="3" t="s">
        <v>1168</v>
      </c>
      <c r="D1492" s="3" t="s">
        <v>1232</v>
      </c>
      <c r="E1492" s="3" t="s">
        <v>1105</v>
      </c>
      <c r="F1492" s="3">
        <v>600</v>
      </c>
      <c r="G1492" s="3">
        <v>3000</v>
      </c>
    </row>
    <row r="1493" spans="1:7" x14ac:dyDescent="0.2">
      <c r="A1493" s="3" t="s">
        <v>1072</v>
      </c>
      <c r="B1493" s="4">
        <v>44773</v>
      </c>
      <c r="C1493" s="3" t="s">
        <v>1168</v>
      </c>
      <c r="D1493" s="3" t="s">
        <v>1374</v>
      </c>
      <c r="E1493" s="3" t="s">
        <v>1108</v>
      </c>
      <c r="F1493" s="3">
        <v>0</v>
      </c>
      <c r="G1493" s="3">
        <v>2500</v>
      </c>
    </row>
    <row r="1494" spans="1:7" x14ac:dyDescent="0.2">
      <c r="A1494" s="3" t="s">
        <v>1072</v>
      </c>
      <c r="B1494" s="4">
        <v>44773</v>
      </c>
      <c r="C1494" s="3" t="s">
        <v>1168</v>
      </c>
      <c r="D1494" s="3" t="s">
        <v>1378</v>
      </c>
      <c r="E1494" s="3" t="s">
        <v>1143</v>
      </c>
      <c r="F1494" s="3">
        <v>29871.62</v>
      </c>
      <c r="G1494" s="3">
        <v>179815.06</v>
      </c>
    </row>
    <row r="1495" spans="1:7" x14ac:dyDescent="0.2">
      <c r="A1495" s="3" t="s">
        <v>1072</v>
      </c>
      <c r="B1495" s="4">
        <v>44773</v>
      </c>
      <c r="C1495" s="3" t="s">
        <v>1168</v>
      </c>
      <c r="D1495" s="3" t="s">
        <v>1379</v>
      </c>
      <c r="E1495" s="3" t="s">
        <v>1107</v>
      </c>
      <c r="F1495" s="3">
        <v>2475.61</v>
      </c>
      <c r="G1495" s="3">
        <v>12014.87</v>
      </c>
    </row>
    <row r="1496" spans="1:7" x14ac:dyDescent="0.2">
      <c r="A1496" s="3" t="s">
        <v>1072</v>
      </c>
      <c r="B1496" s="4">
        <v>44773</v>
      </c>
      <c r="C1496" s="3" t="s">
        <v>1168</v>
      </c>
      <c r="D1496" s="3" t="s">
        <v>1380</v>
      </c>
      <c r="E1496" s="3" t="s">
        <v>1125</v>
      </c>
      <c r="F1496" s="3">
        <v>1968.41</v>
      </c>
      <c r="G1496" s="3">
        <v>8324.0300000000007</v>
      </c>
    </row>
    <row r="1497" spans="1:7" x14ac:dyDescent="0.2">
      <c r="A1497" s="3" t="s">
        <v>1072</v>
      </c>
      <c r="B1497" s="4">
        <v>44773</v>
      </c>
      <c r="C1497" s="3" t="s">
        <v>1168</v>
      </c>
      <c r="D1497" s="3" t="s">
        <v>1381</v>
      </c>
      <c r="E1497" s="3" t="s">
        <v>1130</v>
      </c>
      <c r="F1497" s="3">
        <v>1968.41</v>
      </c>
      <c r="G1497" s="3">
        <v>8324.0300000000007</v>
      </c>
    </row>
    <row r="1498" spans="1:7" x14ac:dyDescent="0.2">
      <c r="A1498" s="3" t="s">
        <v>1072</v>
      </c>
      <c r="B1498" s="4">
        <v>44773</v>
      </c>
      <c r="C1498" s="3" t="s">
        <v>1168</v>
      </c>
      <c r="D1498" s="3" t="s">
        <v>1458</v>
      </c>
      <c r="E1498" s="3" t="s">
        <v>1113</v>
      </c>
      <c r="F1498" s="3">
        <v>9644.5</v>
      </c>
      <c r="G1498" s="3">
        <v>16235.81</v>
      </c>
    </row>
    <row r="1499" spans="1:7" x14ac:dyDescent="0.2">
      <c r="A1499" s="3" t="s">
        <v>1072</v>
      </c>
      <c r="B1499" s="4">
        <v>44773</v>
      </c>
      <c r="C1499" s="3" t="s">
        <v>1168</v>
      </c>
      <c r="D1499" s="3" t="s">
        <v>1459</v>
      </c>
      <c r="E1499" s="3" t="s">
        <v>1139</v>
      </c>
      <c r="F1499" s="3">
        <v>3347.72</v>
      </c>
      <c r="G1499" s="3">
        <v>9761.0300000000007</v>
      </c>
    </row>
    <row r="1500" spans="1:7" x14ac:dyDescent="0.2">
      <c r="A1500" s="3" t="s">
        <v>1069</v>
      </c>
      <c r="B1500" s="4">
        <v>44773</v>
      </c>
      <c r="C1500" s="3" t="s">
        <v>1172</v>
      </c>
      <c r="D1500" s="3" t="s">
        <v>1173</v>
      </c>
      <c r="E1500" s="3" t="s">
        <v>1174</v>
      </c>
      <c r="F1500" s="3">
        <v>0</v>
      </c>
      <c r="G1500" s="3">
        <v>-100</v>
      </c>
    </row>
    <row r="1501" spans="1:7" x14ac:dyDescent="0.2">
      <c r="A1501" s="3" t="s">
        <v>1072</v>
      </c>
      <c r="B1501" s="4">
        <v>44773</v>
      </c>
      <c r="C1501" s="3" t="s">
        <v>1172</v>
      </c>
      <c r="D1501" s="3" t="s">
        <v>1382</v>
      </c>
      <c r="E1501" s="3" t="s">
        <v>1383</v>
      </c>
      <c r="F1501" s="3">
        <v>0</v>
      </c>
      <c r="G1501" s="3">
        <v>-120</v>
      </c>
    </row>
    <row r="1502" spans="1:7" x14ac:dyDescent="0.2">
      <c r="A1502" s="3" t="s">
        <v>1072</v>
      </c>
      <c r="B1502" s="4">
        <v>44773</v>
      </c>
      <c r="C1502" s="3" t="s">
        <v>1172</v>
      </c>
      <c r="D1502" s="3" t="s">
        <v>1384</v>
      </c>
      <c r="E1502" s="3" t="s">
        <v>1385</v>
      </c>
      <c r="F1502" s="3">
        <v>0</v>
      </c>
      <c r="G1502" s="3">
        <v>247347.05</v>
      </c>
    </row>
    <row r="1503" spans="1:7" x14ac:dyDescent="0.2">
      <c r="A1503" s="3" t="s">
        <v>1069</v>
      </c>
      <c r="B1503" s="4">
        <v>44773</v>
      </c>
      <c r="C1503" s="3" t="s">
        <v>1172</v>
      </c>
      <c r="D1503" s="3" t="s">
        <v>1384</v>
      </c>
      <c r="E1503" s="3" t="s">
        <v>1385</v>
      </c>
      <c r="F1503" s="3">
        <v>0</v>
      </c>
      <c r="G1503" s="3">
        <v>-17080353.050000001</v>
      </c>
    </row>
    <row r="1504" spans="1:7" x14ac:dyDescent="0.2">
      <c r="A1504" s="3" t="s">
        <v>1069</v>
      </c>
      <c r="B1504" s="4">
        <v>44773</v>
      </c>
      <c r="C1504" s="3" t="s">
        <v>1180</v>
      </c>
      <c r="D1504" s="3" t="s">
        <v>1241</v>
      </c>
      <c r="E1504" s="3" t="s">
        <v>1242</v>
      </c>
      <c r="F1504" s="3">
        <v>0</v>
      </c>
      <c r="G1504" s="3">
        <v>17562360.850000001</v>
      </c>
    </row>
    <row r="1505" spans="1:7" x14ac:dyDescent="0.2">
      <c r="A1505" s="3" t="s">
        <v>1072</v>
      </c>
      <c r="B1505" s="4">
        <v>44773</v>
      </c>
      <c r="C1505" s="3" t="s">
        <v>1180</v>
      </c>
      <c r="D1505" s="3" t="s">
        <v>1483</v>
      </c>
      <c r="E1505" s="3" t="s">
        <v>1177</v>
      </c>
      <c r="F1505" s="3">
        <v>200000</v>
      </c>
      <c r="G1505" s="3">
        <v>3050000</v>
      </c>
    </row>
    <row r="1506" spans="1:7" x14ac:dyDescent="0.2">
      <c r="A1506" s="3" t="s">
        <v>1072</v>
      </c>
      <c r="B1506" s="4">
        <v>44773</v>
      </c>
      <c r="C1506" s="3" t="s">
        <v>1180</v>
      </c>
      <c r="D1506" s="3" t="s">
        <v>1390</v>
      </c>
      <c r="E1506" s="3" t="s">
        <v>1391</v>
      </c>
      <c r="F1506" s="3">
        <v>75000</v>
      </c>
      <c r="G1506" s="3">
        <v>65000</v>
      </c>
    </row>
    <row r="1507" spans="1:7" x14ac:dyDescent="0.2">
      <c r="A1507" s="3" t="s">
        <v>1072</v>
      </c>
      <c r="B1507" s="4">
        <v>44773</v>
      </c>
      <c r="C1507" s="3" t="s">
        <v>1180</v>
      </c>
      <c r="D1507" s="3" t="s">
        <v>1394</v>
      </c>
      <c r="E1507" s="3" t="s">
        <v>1256</v>
      </c>
      <c r="F1507" s="3">
        <v>0</v>
      </c>
      <c r="G1507" s="3">
        <v>600</v>
      </c>
    </row>
    <row r="1508" spans="1:7" x14ac:dyDescent="0.2">
      <c r="A1508" s="3" t="s">
        <v>1072</v>
      </c>
      <c r="B1508" s="4">
        <v>44773</v>
      </c>
      <c r="C1508" s="3" t="s">
        <v>1180</v>
      </c>
      <c r="D1508" s="3" t="s">
        <v>1395</v>
      </c>
      <c r="E1508" s="3" t="s">
        <v>1396</v>
      </c>
      <c r="F1508" s="3">
        <v>-321000</v>
      </c>
      <c r="G1508" s="3">
        <v>-3481000</v>
      </c>
    </row>
    <row r="1509" spans="1:7" x14ac:dyDescent="0.2">
      <c r="A1509" s="3" t="s">
        <v>1072</v>
      </c>
      <c r="B1509" s="4">
        <v>44773</v>
      </c>
      <c r="C1509" s="3" t="s">
        <v>1180</v>
      </c>
      <c r="D1509" s="3" t="s">
        <v>1397</v>
      </c>
      <c r="E1509" s="3" t="s">
        <v>1398</v>
      </c>
      <c r="F1509" s="3">
        <v>0</v>
      </c>
      <c r="G1509" s="3">
        <v>600</v>
      </c>
    </row>
    <row r="1510" spans="1:7" x14ac:dyDescent="0.2">
      <c r="A1510" s="3" t="s">
        <v>1072</v>
      </c>
      <c r="B1510" s="4">
        <v>44773</v>
      </c>
      <c r="C1510" s="3" t="s">
        <v>1180</v>
      </c>
      <c r="D1510" s="3" t="s">
        <v>1512</v>
      </c>
      <c r="E1510" s="3" t="s">
        <v>1513</v>
      </c>
      <c r="F1510" s="3">
        <v>210000</v>
      </c>
      <c r="G1510" s="3">
        <v>210000</v>
      </c>
    </row>
    <row r="1511" spans="1:7" x14ac:dyDescent="0.2">
      <c r="A1511" s="3" t="s">
        <v>1072</v>
      </c>
      <c r="B1511" s="4">
        <v>44773</v>
      </c>
      <c r="C1511" s="3" t="s">
        <v>1180</v>
      </c>
      <c r="D1511" s="3" t="s">
        <v>1399</v>
      </c>
      <c r="E1511" s="3" t="s">
        <v>1400</v>
      </c>
      <c r="F1511" s="3">
        <v>-115000</v>
      </c>
      <c r="G1511" s="3">
        <v>-115000</v>
      </c>
    </row>
    <row r="1512" spans="1:7" x14ac:dyDescent="0.2">
      <c r="A1512" s="3" t="s">
        <v>1074</v>
      </c>
      <c r="B1512" s="4">
        <v>44773</v>
      </c>
      <c r="C1512" s="3" t="s">
        <v>1175</v>
      </c>
      <c r="D1512" s="3" t="s">
        <v>1492</v>
      </c>
      <c r="E1512" s="3" t="s">
        <v>1493</v>
      </c>
      <c r="F1512" s="3">
        <v>-690</v>
      </c>
      <c r="G1512" s="3">
        <v>-1431451.22</v>
      </c>
    </row>
    <row r="1513" spans="1:7" x14ac:dyDescent="0.2">
      <c r="A1513" s="3" t="s">
        <v>1069</v>
      </c>
      <c r="B1513" s="4">
        <v>44773</v>
      </c>
      <c r="C1513" s="3" t="s">
        <v>1175</v>
      </c>
      <c r="D1513" s="3" t="s">
        <v>1176</v>
      </c>
      <c r="E1513" s="3" t="s">
        <v>1177</v>
      </c>
      <c r="F1513" s="3">
        <v>420000</v>
      </c>
      <c r="G1513" s="3">
        <v>0</v>
      </c>
    </row>
    <row r="1514" spans="1:7" x14ac:dyDescent="0.2">
      <c r="A1514" s="3" t="s">
        <v>1069</v>
      </c>
      <c r="B1514" s="4">
        <v>44773</v>
      </c>
      <c r="C1514" s="3" t="s">
        <v>1175</v>
      </c>
      <c r="D1514" s="3" t="s">
        <v>1178</v>
      </c>
      <c r="E1514" s="3" t="s">
        <v>1179</v>
      </c>
      <c r="F1514" s="3">
        <v>321000</v>
      </c>
      <c r="G1514" s="3">
        <v>3481000</v>
      </c>
    </row>
    <row r="1515" spans="1:7" x14ac:dyDescent="0.2">
      <c r="A1515" s="3" t="s">
        <v>1069</v>
      </c>
      <c r="B1515" s="4">
        <v>44773</v>
      </c>
      <c r="C1515" s="3" t="s">
        <v>1175</v>
      </c>
      <c r="D1515" s="3" t="s">
        <v>1233</v>
      </c>
      <c r="E1515" s="3" t="s">
        <v>1234</v>
      </c>
      <c r="F1515" s="3">
        <v>127000</v>
      </c>
      <c r="G1515" s="3">
        <v>0</v>
      </c>
    </row>
    <row r="1516" spans="1:7" x14ac:dyDescent="0.2">
      <c r="A1516" s="3" t="s">
        <v>1069</v>
      </c>
      <c r="B1516" s="4">
        <v>44773</v>
      </c>
      <c r="C1516" s="3" t="s">
        <v>1175</v>
      </c>
      <c r="D1516" s="3" t="s">
        <v>1255</v>
      </c>
      <c r="E1516" s="3" t="s">
        <v>1256</v>
      </c>
      <c r="F1516" s="3">
        <v>45000</v>
      </c>
      <c r="G1516" s="3">
        <v>0</v>
      </c>
    </row>
    <row r="1517" spans="1:7" x14ac:dyDescent="0.2">
      <c r="A1517" s="3" t="s">
        <v>1069</v>
      </c>
      <c r="B1517" s="4">
        <v>44773</v>
      </c>
      <c r="C1517" s="3" t="s">
        <v>1175</v>
      </c>
      <c r="D1517" s="3" t="s">
        <v>1494</v>
      </c>
      <c r="E1517" s="3" t="s">
        <v>1495</v>
      </c>
      <c r="F1517" s="3">
        <v>690</v>
      </c>
      <c r="G1517" s="3">
        <v>1431451.22</v>
      </c>
    </row>
    <row r="1518" spans="1:7" x14ac:dyDescent="0.2">
      <c r="A1518" s="3" t="s">
        <v>1069</v>
      </c>
      <c r="B1518" s="4">
        <v>44773</v>
      </c>
      <c r="C1518" s="3" t="s">
        <v>1175</v>
      </c>
      <c r="D1518" s="3" t="s">
        <v>1516</v>
      </c>
      <c r="E1518" s="3" t="s">
        <v>1400</v>
      </c>
      <c r="F1518" s="3">
        <v>127000</v>
      </c>
      <c r="G1518" s="3">
        <v>0</v>
      </c>
    </row>
    <row r="1519" spans="1:7" x14ac:dyDescent="0.2">
      <c r="A1519" s="3" t="s">
        <v>1069</v>
      </c>
      <c r="B1519" s="4">
        <v>44773</v>
      </c>
      <c r="C1519" s="3" t="s">
        <v>1175</v>
      </c>
      <c r="D1519" s="3" t="s">
        <v>1517</v>
      </c>
      <c r="E1519" s="3" t="s">
        <v>1398</v>
      </c>
      <c r="F1519" s="3">
        <v>11000</v>
      </c>
      <c r="G1519" s="3">
        <v>0</v>
      </c>
    </row>
    <row r="1520" spans="1:7" x14ac:dyDescent="0.2">
      <c r="A1520" s="3" t="s">
        <v>1072</v>
      </c>
      <c r="B1520" s="4">
        <v>44773</v>
      </c>
      <c r="C1520" s="3" t="s">
        <v>1175</v>
      </c>
      <c r="D1520" s="3" t="s">
        <v>1405</v>
      </c>
      <c r="E1520" s="3" t="s">
        <v>1406</v>
      </c>
      <c r="F1520" s="3">
        <v>5211.74</v>
      </c>
      <c r="G1520" s="3">
        <v>26004.68</v>
      </c>
    </row>
    <row r="1521" spans="1:7" x14ac:dyDescent="0.2">
      <c r="A1521" s="3" t="s">
        <v>1072</v>
      </c>
      <c r="B1521" s="4">
        <v>44773</v>
      </c>
      <c r="C1521" s="3" t="s">
        <v>1175</v>
      </c>
      <c r="D1521" s="3" t="s">
        <v>1407</v>
      </c>
      <c r="E1521" s="3" t="s">
        <v>1408</v>
      </c>
      <c r="F1521" s="3">
        <v>0</v>
      </c>
      <c r="G1521" s="3">
        <v>-58920.1</v>
      </c>
    </row>
    <row r="1522" spans="1:7" x14ac:dyDescent="0.2">
      <c r="A1522" s="3" t="s">
        <v>1072</v>
      </c>
      <c r="B1522" s="4">
        <v>44773</v>
      </c>
      <c r="C1522" s="3" t="s">
        <v>1180</v>
      </c>
      <c r="D1522" s="3" t="s">
        <v>1409</v>
      </c>
      <c r="E1522" s="3" t="s">
        <v>1410</v>
      </c>
      <c r="F1522" s="3">
        <v>0</v>
      </c>
      <c r="G1522" s="3">
        <v>216064.1</v>
      </c>
    </row>
    <row r="1523" spans="1:7" x14ac:dyDescent="0.2">
      <c r="A1523" s="3" t="s">
        <v>1072</v>
      </c>
      <c r="B1523" s="4">
        <v>44773</v>
      </c>
      <c r="C1523" s="3" t="s">
        <v>1180</v>
      </c>
      <c r="D1523" s="3" t="s">
        <v>1411</v>
      </c>
      <c r="E1523" s="3" t="s">
        <v>1412</v>
      </c>
      <c r="F1523" s="3">
        <v>-39610.1</v>
      </c>
      <c r="G1523" s="3">
        <v>-216063.1</v>
      </c>
    </row>
    <row r="1524" spans="1:7" x14ac:dyDescent="0.2">
      <c r="A1524" s="3" t="s">
        <v>1072</v>
      </c>
      <c r="B1524" s="4">
        <v>44773</v>
      </c>
      <c r="C1524" s="3" t="s">
        <v>1180</v>
      </c>
      <c r="D1524" s="3" t="s">
        <v>1413</v>
      </c>
      <c r="E1524" s="3" t="s">
        <v>1414</v>
      </c>
      <c r="F1524" s="3">
        <v>0</v>
      </c>
      <c r="G1524" s="3">
        <v>83494.91</v>
      </c>
    </row>
    <row r="1525" spans="1:7" x14ac:dyDescent="0.2">
      <c r="A1525" s="3" t="s">
        <v>1072</v>
      </c>
      <c r="B1525" s="4">
        <v>44773</v>
      </c>
      <c r="C1525" s="3" t="s">
        <v>1180</v>
      </c>
      <c r="D1525" s="3" t="s">
        <v>1415</v>
      </c>
      <c r="E1525" s="3" t="s">
        <v>1416</v>
      </c>
      <c r="F1525" s="3">
        <v>-1926.81</v>
      </c>
      <c r="G1525" s="3">
        <v>-27795.9</v>
      </c>
    </row>
    <row r="1526" spans="1:7" x14ac:dyDescent="0.2">
      <c r="A1526" s="3" t="s">
        <v>1072</v>
      </c>
      <c r="B1526" s="4">
        <v>44773</v>
      </c>
      <c r="C1526" s="3" t="s">
        <v>1180</v>
      </c>
      <c r="D1526" s="3" t="s">
        <v>1462</v>
      </c>
      <c r="E1526" s="3" t="s">
        <v>1463</v>
      </c>
      <c r="F1526" s="3">
        <v>0</v>
      </c>
      <c r="G1526" s="3">
        <v>29281.39</v>
      </c>
    </row>
    <row r="1527" spans="1:7" x14ac:dyDescent="0.2">
      <c r="A1527" s="3" t="s">
        <v>1072</v>
      </c>
      <c r="B1527" s="4">
        <v>44773</v>
      </c>
      <c r="C1527" s="3" t="s">
        <v>1180</v>
      </c>
      <c r="D1527" s="3" t="s">
        <v>1484</v>
      </c>
      <c r="E1527" s="3" t="s">
        <v>1485</v>
      </c>
      <c r="F1527" s="3">
        <v>-427.21</v>
      </c>
      <c r="G1527" s="3">
        <v>-2542.7199999999998</v>
      </c>
    </row>
    <row r="1528" spans="1:7" x14ac:dyDescent="0.2">
      <c r="A1528" s="3" t="s">
        <v>1072</v>
      </c>
      <c r="B1528" s="4">
        <v>44773</v>
      </c>
      <c r="C1528" s="3" t="s">
        <v>1180</v>
      </c>
      <c r="D1528" s="3" t="s">
        <v>1417</v>
      </c>
      <c r="E1528" s="3" t="s">
        <v>1418</v>
      </c>
      <c r="F1528" s="3">
        <v>0</v>
      </c>
      <c r="G1528" s="3">
        <v>11600</v>
      </c>
    </row>
    <row r="1529" spans="1:7" x14ac:dyDescent="0.2">
      <c r="A1529" s="3" t="s">
        <v>1072</v>
      </c>
      <c r="B1529" s="4">
        <v>44773</v>
      </c>
      <c r="C1529" s="3" t="s">
        <v>1180</v>
      </c>
      <c r="D1529" s="3" t="s">
        <v>1419</v>
      </c>
      <c r="E1529" s="3" t="s">
        <v>1420</v>
      </c>
      <c r="F1529" s="3">
        <v>-193.34</v>
      </c>
      <c r="G1529" s="3">
        <v>-1772.23</v>
      </c>
    </row>
    <row r="1530" spans="1:7" x14ac:dyDescent="0.2">
      <c r="A1530" s="3" t="s">
        <v>1069</v>
      </c>
      <c r="B1530" s="4">
        <v>44773</v>
      </c>
      <c r="C1530" s="3" t="s">
        <v>1180</v>
      </c>
      <c r="D1530" s="3" t="s">
        <v>1421</v>
      </c>
      <c r="E1530" s="3" t="s">
        <v>1422</v>
      </c>
      <c r="F1530" s="3">
        <v>0</v>
      </c>
      <c r="G1530" s="3">
        <v>874505.75</v>
      </c>
    </row>
    <row r="1531" spans="1:7" x14ac:dyDescent="0.2">
      <c r="A1531" s="3" t="s">
        <v>1069</v>
      </c>
      <c r="B1531" s="4">
        <v>44773</v>
      </c>
      <c r="C1531" s="3" t="s">
        <v>1180</v>
      </c>
      <c r="D1531" s="3" t="s">
        <v>1214</v>
      </c>
      <c r="E1531" s="3" t="s">
        <v>1215</v>
      </c>
      <c r="F1531" s="3">
        <v>0</v>
      </c>
      <c r="G1531" s="3">
        <v>26200000</v>
      </c>
    </row>
    <row r="1532" spans="1:7" x14ac:dyDescent="0.2">
      <c r="A1532" s="3" t="s">
        <v>1069</v>
      </c>
      <c r="B1532" s="4">
        <v>44773</v>
      </c>
      <c r="C1532" s="3" t="s">
        <v>1180</v>
      </c>
      <c r="D1532" s="3" t="s">
        <v>1216</v>
      </c>
      <c r="E1532" s="3" t="s">
        <v>1217</v>
      </c>
      <c r="F1532" s="3">
        <v>0</v>
      </c>
      <c r="G1532" s="3">
        <v>68427</v>
      </c>
    </row>
    <row r="1533" spans="1:7" x14ac:dyDescent="0.2">
      <c r="A1533" s="3" t="s">
        <v>1069</v>
      </c>
      <c r="B1533" s="4">
        <v>44773</v>
      </c>
      <c r="C1533" s="3" t="s">
        <v>1180</v>
      </c>
      <c r="D1533" s="3" t="s">
        <v>1218</v>
      </c>
      <c r="E1533" s="3" t="s">
        <v>1219</v>
      </c>
      <c r="F1533" s="3">
        <v>0</v>
      </c>
      <c r="G1533" s="3">
        <v>103812</v>
      </c>
    </row>
    <row r="1534" spans="1:7" x14ac:dyDescent="0.2">
      <c r="A1534" s="3" t="s">
        <v>1069</v>
      </c>
      <c r="B1534" s="4">
        <v>44773</v>
      </c>
      <c r="C1534" s="3" t="s">
        <v>1180</v>
      </c>
      <c r="D1534" s="3" t="s">
        <v>1197</v>
      </c>
      <c r="E1534" s="3" t="s">
        <v>1198</v>
      </c>
      <c r="F1534" s="3">
        <v>0</v>
      </c>
      <c r="G1534" s="3">
        <v>150780</v>
      </c>
    </row>
    <row r="1535" spans="1:7" x14ac:dyDescent="0.2">
      <c r="A1535" s="3" t="s">
        <v>1069</v>
      </c>
      <c r="B1535" s="4">
        <v>44773</v>
      </c>
      <c r="C1535" s="3" t="s">
        <v>1180</v>
      </c>
      <c r="D1535" s="3" t="s">
        <v>1496</v>
      </c>
      <c r="E1535" s="3" t="s">
        <v>1497</v>
      </c>
      <c r="F1535" s="3">
        <v>11000</v>
      </c>
      <c r="G1535" s="3">
        <v>60000</v>
      </c>
    </row>
    <row r="1536" spans="1:7" x14ac:dyDescent="0.2">
      <c r="A1536" s="3" t="s">
        <v>1069</v>
      </c>
      <c r="B1536" s="4">
        <v>44773</v>
      </c>
      <c r="C1536" s="3" t="s">
        <v>1180</v>
      </c>
      <c r="D1536" s="3" t="s">
        <v>1181</v>
      </c>
      <c r="E1536" s="3" t="s">
        <v>1182</v>
      </c>
      <c r="F1536" s="3">
        <v>452354</v>
      </c>
      <c r="G1536" s="3">
        <v>6640948.7999999998</v>
      </c>
    </row>
    <row r="1537" spans="1:7" x14ac:dyDescent="0.2">
      <c r="A1537" s="3" t="s">
        <v>1069</v>
      </c>
      <c r="B1537" s="4">
        <v>44773</v>
      </c>
      <c r="C1537" s="3" t="s">
        <v>1180</v>
      </c>
      <c r="D1537" s="3" t="s">
        <v>1263</v>
      </c>
      <c r="E1537" s="3" t="s">
        <v>1264</v>
      </c>
      <c r="F1537" s="3">
        <v>0</v>
      </c>
      <c r="G1537" s="3">
        <v>13807.78</v>
      </c>
    </row>
    <row r="1538" spans="1:7" x14ac:dyDescent="0.2">
      <c r="A1538" s="3" t="s">
        <v>1069</v>
      </c>
      <c r="B1538" s="4">
        <v>44773</v>
      </c>
      <c r="C1538" s="3" t="s">
        <v>1180</v>
      </c>
      <c r="D1538" s="3" t="s">
        <v>1202</v>
      </c>
      <c r="E1538" s="3" t="s">
        <v>1203</v>
      </c>
      <c r="F1538" s="3">
        <v>0</v>
      </c>
      <c r="G1538" s="3">
        <v>44026.09</v>
      </c>
    </row>
    <row r="1539" spans="1:7" x14ac:dyDescent="0.2">
      <c r="A1539" s="3" t="s">
        <v>1069</v>
      </c>
      <c r="B1539" s="4">
        <v>44773</v>
      </c>
      <c r="C1539" s="3" t="s">
        <v>1180</v>
      </c>
      <c r="D1539" s="3" t="s">
        <v>1204</v>
      </c>
      <c r="E1539" s="3" t="s">
        <v>1205</v>
      </c>
      <c r="F1539" s="3">
        <v>0</v>
      </c>
      <c r="G1539" s="3">
        <v>7500</v>
      </c>
    </row>
    <row r="1540" spans="1:7" x14ac:dyDescent="0.2">
      <c r="A1540" s="3" t="s">
        <v>1069</v>
      </c>
      <c r="B1540" s="4">
        <v>44773</v>
      </c>
      <c r="C1540" s="3" t="s">
        <v>1180</v>
      </c>
      <c r="D1540" s="3" t="s">
        <v>1199</v>
      </c>
      <c r="E1540" s="3" t="s">
        <v>1200</v>
      </c>
      <c r="F1540" s="3">
        <v>0</v>
      </c>
      <c r="G1540" s="3">
        <v>67400</v>
      </c>
    </row>
    <row r="1541" spans="1:7" x14ac:dyDescent="0.2">
      <c r="A1541" s="3" t="s">
        <v>1069</v>
      </c>
      <c r="B1541" s="4">
        <v>44773</v>
      </c>
      <c r="C1541" s="3" t="s">
        <v>1180</v>
      </c>
      <c r="D1541" s="3" t="s">
        <v>1486</v>
      </c>
      <c r="E1541" s="3" t="s">
        <v>1487</v>
      </c>
      <c r="F1541" s="3">
        <v>1400</v>
      </c>
      <c r="G1541" s="3">
        <v>13600</v>
      </c>
    </row>
    <row r="1542" spans="1:7" x14ac:dyDescent="0.2">
      <c r="A1542" s="3" t="s">
        <v>1069</v>
      </c>
      <c r="B1542" s="4">
        <v>44773</v>
      </c>
      <c r="C1542" s="3" t="s">
        <v>1180</v>
      </c>
      <c r="D1542" s="3" t="s">
        <v>1220</v>
      </c>
      <c r="E1542" s="3" t="s">
        <v>1221</v>
      </c>
      <c r="F1542" s="3">
        <v>0</v>
      </c>
      <c r="G1542" s="3">
        <v>15175</v>
      </c>
    </row>
    <row r="1543" spans="1:7" x14ac:dyDescent="0.2">
      <c r="A1543" s="3" t="s">
        <v>1069</v>
      </c>
      <c r="B1543" s="4">
        <v>44773</v>
      </c>
      <c r="C1543" s="3" t="s">
        <v>1180</v>
      </c>
      <c r="D1543" s="3" t="s">
        <v>1498</v>
      </c>
      <c r="E1543" s="3" t="s">
        <v>1499</v>
      </c>
      <c r="F1543" s="3">
        <v>0</v>
      </c>
      <c r="G1543" s="3">
        <v>570856.07999999996</v>
      </c>
    </row>
    <row r="1544" spans="1:7" x14ac:dyDescent="0.2">
      <c r="A1544" s="3" t="s">
        <v>1069</v>
      </c>
      <c r="B1544" s="4">
        <v>44773</v>
      </c>
      <c r="C1544" s="3" t="s">
        <v>1180</v>
      </c>
      <c r="D1544" s="3" t="s">
        <v>1183</v>
      </c>
      <c r="E1544" s="3" t="s">
        <v>1184</v>
      </c>
      <c r="F1544" s="3">
        <v>6000215.8799999999</v>
      </c>
      <c r="G1544" s="3">
        <v>19540589.41</v>
      </c>
    </row>
    <row r="1545" spans="1:7" x14ac:dyDescent="0.2">
      <c r="A1545" s="3" t="s">
        <v>1069</v>
      </c>
      <c r="B1545" s="4">
        <v>44773</v>
      </c>
      <c r="C1545" s="3" t="s">
        <v>1180</v>
      </c>
      <c r="D1545" s="3" t="s">
        <v>1222</v>
      </c>
      <c r="E1545" s="3" t="s">
        <v>1223</v>
      </c>
      <c r="F1545" s="3">
        <v>256521.74</v>
      </c>
      <c r="G1545" s="3">
        <v>2633426.73</v>
      </c>
    </row>
    <row r="1546" spans="1:7" x14ac:dyDescent="0.2">
      <c r="A1546" s="3" t="s">
        <v>1069</v>
      </c>
      <c r="B1546" s="4">
        <v>44773</v>
      </c>
      <c r="C1546" s="3" t="s">
        <v>1180</v>
      </c>
      <c r="D1546" s="3" t="s">
        <v>1235</v>
      </c>
      <c r="E1546" s="3" t="s">
        <v>1236</v>
      </c>
      <c r="F1546" s="3">
        <v>0</v>
      </c>
      <c r="G1546" s="3">
        <v>782608.07</v>
      </c>
    </row>
    <row r="1547" spans="1:7" x14ac:dyDescent="0.2">
      <c r="A1547" s="3" t="s">
        <v>1069</v>
      </c>
      <c r="B1547" s="4">
        <v>44773</v>
      </c>
      <c r="C1547" s="3" t="s">
        <v>1180</v>
      </c>
      <c r="D1547" s="3" t="s">
        <v>1206</v>
      </c>
      <c r="E1547" s="3" t="s">
        <v>1207</v>
      </c>
      <c r="F1547" s="3">
        <v>0</v>
      </c>
      <c r="G1547" s="3">
        <v>163550</v>
      </c>
    </row>
    <row r="1548" spans="1:7" x14ac:dyDescent="0.2">
      <c r="A1548" s="3" t="s">
        <v>1069</v>
      </c>
      <c r="B1548" s="4">
        <v>44773</v>
      </c>
      <c r="C1548" s="3" t="s">
        <v>1180</v>
      </c>
      <c r="D1548" s="3" t="s">
        <v>1208</v>
      </c>
      <c r="E1548" s="3" t="s">
        <v>1209</v>
      </c>
      <c r="F1548" s="3">
        <v>0</v>
      </c>
      <c r="G1548" s="3">
        <v>45000</v>
      </c>
    </row>
    <row r="1549" spans="1:7" x14ac:dyDescent="0.2">
      <c r="A1549" s="3" t="s">
        <v>1069</v>
      </c>
      <c r="B1549" s="4">
        <v>44773</v>
      </c>
      <c r="C1549" s="3" t="s">
        <v>1180</v>
      </c>
      <c r="D1549" s="3" t="s">
        <v>1259</v>
      </c>
      <c r="E1549" s="3" t="s">
        <v>1260</v>
      </c>
      <c r="F1549" s="3">
        <v>6000</v>
      </c>
      <c r="G1549" s="3">
        <v>89000</v>
      </c>
    </row>
    <row r="1550" spans="1:7" x14ac:dyDescent="0.2">
      <c r="A1550" s="3" t="s">
        <v>1069</v>
      </c>
      <c r="B1550" s="4">
        <v>44773</v>
      </c>
      <c r="C1550" s="3" t="s">
        <v>1180</v>
      </c>
      <c r="D1550" s="3" t="s">
        <v>1265</v>
      </c>
      <c r="E1550" s="3" t="s">
        <v>1266</v>
      </c>
      <c r="F1550" s="3">
        <v>28086.78</v>
      </c>
      <c r="G1550" s="3">
        <v>1001766.49</v>
      </c>
    </row>
    <row r="1551" spans="1:7" x14ac:dyDescent="0.2">
      <c r="A1551" s="3" t="s">
        <v>1074</v>
      </c>
      <c r="B1551" s="4">
        <v>44773</v>
      </c>
      <c r="C1551" s="3" t="s">
        <v>1180</v>
      </c>
      <c r="D1551" s="3" t="s">
        <v>1265</v>
      </c>
      <c r="E1551" s="3" t="s">
        <v>1518</v>
      </c>
      <c r="F1551" s="3">
        <v>0</v>
      </c>
      <c r="G1551" s="3">
        <v>1233261.93</v>
      </c>
    </row>
    <row r="1552" spans="1:7" x14ac:dyDescent="0.2">
      <c r="A1552" s="3" t="s">
        <v>1069</v>
      </c>
      <c r="B1552" s="4">
        <v>44773</v>
      </c>
      <c r="C1552" s="3" t="s">
        <v>1180</v>
      </c>
      <c r="D1552" s="3" t="s">
        <v>1423</v>
      </c>
      <c r="E1552" s="3" t="s">
        <v>1424</v>
      </c>
      <c r="F1552" s="3">
        <v>0</v>
      </c>
      <c r="G1552" s="3">
        <v>622274.51</v>
      </c>
    </row>
    <row r="1553" spans="1:7" x14ac:dyDescent="0.2">
      <c r="A1553" s="3" t="s">
        <v>1069</v>
      </c>
      <c r="B1553" s="4">
        <v>44773</v>
      </c>
      <c r="C1553" s="3" t="s">
        <v>1180</v>
      </c>
      <c r="D1553" s="3" t="s">
        <v>1519</v>
      </c>
      <c r="E1553" s="3" t="s">
        <v>1520</v>
      </c>
      <c r="F1553" s="3">
        <v>222074.07</v>
      </c>
      <c r="G1553" s="3">
        <v>697808.24</v>
      </c>
    </row>
    <row r="1554" spans="1:7" x14ac:dyDescent="0.2">
      <c r="A1554" s="3" t="s">
        <v>1074</v>
      </c>
      <c r="B1554" s="4">
        <v>44773</v>
      </c>
      <c r="C1554" s="3" t="s">
        <v>1180</v>
      </c>
      <c r="D1554" s="3" t="s">
        <v>1521</v>
      </c>
      <c r="E1554" s="3" t="s">
        <v>1522</v>
      </c>
      <c r="F1554" s="3">
        <v>7400</v>
      </c>
      <c r="G1554" s="3">
        <v>8500</v>
      </c>
    </row>
    <row r="1555" spans="1:7" x14ac:dyDescent="0.2">
      <c r="A1555" s="3" t="s">
        <v>1069</v>
      </c>
      <c r="B1555" s="4">
        <v>44773</v>
      </c>
      <c r="C1555" s="3" t="s">
        <v>1180</v>
      </c>
      <c r="D1555" s="3" t="s">
        <v>1529</v>
      </c>
      <c r="E1555" s="3" t="s">
        <v>1530</v>
      </c>
      <c r="F1555" s="3">
        <v>3023829.42</v>
      </c>
      <c r="G1555" s="3">
        <v>3023829.42</v>
      </c>
    </row>
    <row r="1556" spans="1:7" x14ac:dyDescent="0.2">
      <c r="A1556" s="3" t="s">
        <v>1072</v>
      </c>
      <c r="B1556" s="4">
        <v>44773</v>
      </c>
      <c r="C1556" s="3" t="s">
        <v>1180</v>
      </c>
      <c r="D1556" s="3" t="s">
        <v>1425</v>
      </c>
      <c r="E1556" s="3" t="s">
        <v>1426</v>
      </c>
      <c r="F1556" s="3">
        <v>0</v>
      </c>
      <c r="G1556" s="3">
        <v>6875.45</v>
      </c>
    </row>
    <row r="1557" spans="1:7" x14ac:dyDescent="0.2">
      <c r="A1557" s="3" t="s">
        <v>1072</v>
      </c>
      <c r="B1557" s="4">
        <v>44773</v>
      </c>
      <c r="C1557" s="3" t="s">
        <v>1180</v>
      </c>
      <c r="D1557" s="3" t="s">
        <v>1427</v>
      </c>
      <c r="E1557" s="3" t="s">
        <v>1428</v>
      </c>
      <c r="F1557" s="3">
        <v>-14232326.73</v>
      </c>
      <c r="G1557" s="3">
        <v>5343097.25</v>
      </c>
    </row>
    <row r="1558" spans="1:7" x14ac:dyDescent="0.2">
      <c r="A1558" s="3" t="s">
        <v>1072</v>
      </c>
      <c r="B1558" s="4">
        <v>44773</v>
      </c>
      <c r="C1558" s="3" t="s">
        <v>1180</v>
      </c>
      <c r="D1558" s="3" t="s">
        <v>1429</v>
      </c>
      <c r="E1558" s="3" t="s">
        <v>1430</v>
      </c>
      <c r="F1558" s="3">
        <v>-5586.53</v>
      </c>
      <c r="G1558" s="3">
        <v>21755.51</v>
      </c>
    </row>
    <row r="1559" spans="1:7" x14ac:dyDescent="0.2">
      <c r="A1559" s="3" t="s">
        <v>1069</v>
      </c>
      <c r="B1559" s="4">
        <v>44773</v>
      </c>
      <c r="C1559" s="3" t="s">
        <v>1180</v>
      </c>
      <c r="D1559" s="3" t="s">
        <v>1187</v>
      </c>
      <c r="E1559" s="3" t="s">
        <v>1188</v>
      </c>
      <c r="F1559" s="3">
        <v>-5169262.1100000003</v>
      </c>
      <c r="G1559" s="3">
        <v>16285.19</v>
      </c>
    </row>
    <row r="1560" spans="1:7" x14ac:dyDescent="0.2">
      <c r="A1560" s="3" t="s">
        <v>1072</v>
      </c>
      <c r="B1560" s="4">
        <v>44773</v>
      </c>
      <c r="C1560" s="3" t="s">
        <v>1180</v>
      </c>
      <c r="D1560" s="3" t="s">
        <v>1187</v>
      </c>
      <c r="E1560" s="3" t="s">
        <v>1433</v>
      </c>
      <c r="F1560" s="3">
        <v>104808.67</v>
      </c>
      <c r="G1560" s="3">
        <v>120910.31</v>
      </c>
    </row>
    <row r="1561" spans="1:7" x14ac:dyDescent="0.2">
      <c r="A1561" s="3" t="s">
        <v>1072</v>
      </c>
      <c r="B1561" s="4">
        <v>44773</v>
      </c>
      <c r="C1561" s="3" t="s">
        <v>1180</v>
      </c>
      <c r="D1561" s="3" t="s">
        <v>1435</v>
      </c>
      <c r="E1561" s="3" t="s">
        <v>1436</v>
      </c>
      <c r="F1561" s="3">
        <v>2.2799999999999998</v>
      </c>
      <c r="G1561" s="3">
        <v>520.21</v>
      </c>
    </row>
    <row r="1562" spans="1:7" x14ac:dyDescent="0.2">
      <c r="A1562" s="3" t="s">
        <v>1069</v>
      </c>
      <c r="B1562" s="4">
        <v>44773</v>
      </c>
      <c r="C1562" s="3" t="s">
        <v>1180</v>
      </c>
      <c r="D1562" s="3" t="s">
        <v>1243</v>
      </c>
      <c r="E1562" s="3" t="s">
        <v>1244</v>
      </c>
      <c r="F1562" s="3">
        <v>3.12</v>
      </c>
      <c r="G1562" s="3">
        <v>799.32</v>
      </c>
    </row>
    <row r="1563" spans="1:7" x14ac:dyDescent="0.2">
      <c r="A1563" s="3" t="s">
        <v>1069</v>
      </c>
      <c r="B1563" s="4">
        <v>44773</v>
      </c>
      <c r="C1563" s="3" t="s">
        <v>1180</v>
      </c>
      <c r="D1563" s="3" t="s">
        <v>1245</v>
      </c>
      <c r="E1563" s="3" t="s">
        <v>1246</v>
      </c>
      <c r="F1563" s="3">
        <v>2702937.81</v>
      </c>
      <c r="G1563" s="3">
        <v>12725035.560000001</v>
      </c>
    </row>
    <row r="1564" spans="1:7" x14ac:dyDescent="0.2">
      <c r="A1564" s="3" t="s">
        <v>1069</v>
      </c>
      <c r="B1564" s="4">
        <v>44773</v>
      </c>
      <c r="C1564" s="3" t="s">
        <v>1180</v>
      </c>
      <c r="D1564" s="3" t="s">
        <v>1523</v>
      </c>
      <c r="E1564" s="3" t="s">
        <v>1524</v>
      </c>
      <c r="F1564" s="3">
        <v>-500000</v>
      </c>
      <c r="G1564" s="3">
        <v>0</v>
      </c>
    </row>
    <row r="1565" spans="1:7" x14ac:dyDescent="0.2">
      <c r="A1565" s="3" t="s">
        <v>1072</v>
      </c>
      <c r="B1565" s="4">
        <v>44773</v>
      </c>
      <c r="C1565" s="3" t="s">
        <v>1175</v>
      </c>
      <c r="D1565" s="3" t="s">
        <v>1437</v>
      </c>
      <c r="E1565" s="3" t="s">
        <v>1438</v>
      </c>
      <c r="F1565" s="3">
        <v>0</v>
      </c>
      <c r="G1565" s="3">
        <v>-0.04</v>
      </c>
    </row>
    <row r="1566" spans="1:7" x14ac:dyDescent="0.2">
      <c r="A1566" s="3" t="s">
        <v>1072</v>
      </c>
      <c r="B1566" s="4">
        <v>44773</v>
      </c>
      <c r="C1566" s="3" t="s">
        <v>1175</v>
      </c>
      <c r="D1566" s="3" t="s">
        <v>1191</v>
      </c>
      <c r="E1566" s="3" t="s">
        <v>1192</v>
      </c>
      <c r="F1566" s="3">
        <v>1427893.15</v>
      </c>
      <c r="G1566" s="3">
        <v>-3605812.55</v>
      </c>
    </row>
    <row r="1567" spans="1:7" x14ac:dyDescent="0.2">
      <c r="A1567" s="3" t="s">
        <v>1069</v>
      </c>
      <c r="B1567" s="4">
        <v>44773</v>
      </c>
      <c r="C1567" s="3" t="s">
        <v>1175</v>
      </c>
      <c r="D1567" s="3" t="s">
        <v>1191</v>
      </c>
      <c r="E1567" s="3" t="s">
        <v>1192</v>
      </c>
      <c r="F1567" s="3">
        <v>-9726676.9700000007</v>
      </c>
      <c r="G1567" s="3">
        <v>-86143175.069999993</v>
      </c>
    </row>
    <row r="1568" spans="1:7" x14ac:dyDescent="0.2">
      <c r="A1568" s="3" t="s">
        <v>1074</v>
      </c>
      <c r="B1568" s="4">
        <v>44773</v>
      </c>
      <c r="C1568" s="3" t="s">
        <v>1175</v>
      </c>
      <c r="D1568" s="3" t="s">
        <v>1191</v>
      </c>
      <c r="E1568" s="3" t="s">
        <v>1192</v>
      </c>
      <c r="F1568" s="3">
        <v>-7400</v>
      </c>
      <c r="G1568" s="3">
        <v>1250</v>
      </c>
    </row>
    <row r="1569" spans="1:7" x14ac:dyDescent="0.2">
      <c r="A1569" s="3" t="s">
        <v>1072</v>
      </c>
      <c r="B1569" s="4">
        <v>44773</v>
      </c>
      <c r="C1569" s="3" t="s">
        <v>1175</v>
      </c>
      <c r="D1569" s="3" t="s">
        <v>1488</v>
      </c>
      <c r="E1569" s="3" t="s">
        <v>1489</v>
      </c>
      <c r="F1569" s="3">
        <v>0</v>
      </c>
      <c r="G1569" s="3">
        <v>1186.1300000000001</v>
      </c>
    </row>
    <row r="1570" spans="1:7" x14ac:dyDescent="0.2">
      <c r="A1570" s="3" t="s">
        <v>1072</v>
      </c>
      <c r="B1570" s="4">
        <v>44773</v>
      </c>
      <c r="C1570" s="3" t="s">
        <v>1175</v>
      </c>
      <c r="D1570" s="3" t="s">
        <v>1439</v>
      </c>
      <c r="E1570" s="3" t="s">
        <v>1440</v>
      </c>
      <c r="F1570" s="3">
        <v>0</v>
      </c>
      <c r="G1570" s="3">
        <v>20758.55</v>
      </c>
    </row>
    <row r="1571" spans="1:7" x14ac:dyDescent="0.2">
      <c r="A1571" s="3" t="s">
        <v>1072</v>
      </c>
      <c r="B1571" s="4">
        <v>44773</v>
      </c>
      <c r="C1571" s="3" t="s">
        <v>1175</v>
      </c>
      <c r="D1571" s="3" t="s">
        <v>1441</v>
      </c>
      <c r="E1571" s="3" t="s">
        <v>1442</v>
      </c>
      <c r="F1571" s="3">
        <v>11600.01</v>
      </c>
      <c r="G1571" s="3">
        <v>-12918.25</v>
      </c>
    </row>
    <row r="1572" spans="1:7" x14ac:dyDescent="0.2">
      <c r="A1572" s="3" t="s">
        <v>1072</v>
      </c>
      <c r="B1572" s="4">
        <v>44773</v>
      </c>
      <c r="C1572" s="3" t="s">
        <v>1175</v>
      </c>
      <c r="D1572" s="3" t="s">
        <v>1464</v>
      </c>
      <c r="E1572" s="3" t="s">
        <v>1465</v>
      </c>
      <c r="F1572" s="3">
        <v>-12992.22</v>
      </c>
      <c r="G1572" s="3">
        <v>-26405.96</v>
      </c>
    </row>
    <row r="1573" spans="1:7" x14ac:dyDescent="0.2">
      <c r="A1573" s="3" t="s">
        <v>1072</v>
      </c>
      <c r="B1573" s="4">
        <v>44773</v>
      </c>
      <c r="C1573" s="3" t="s">
        <v>1175</v>
      </c>
      <c r="D1573" s="3" t="s">
        <v>1193</v>
      </c>
      <c r="E1573" s="3" t="s">
        <v>1443</v>
      </c>
      <c r="F1573" s="3">
        <v>1418338.75</v>
      </c>
      <c r="G1573" s="3">
        <v>-1768568.46</v>
      </c>
    </row>
    <row r="1574" spans="1:7" x14ac:dyDescent="0.2">
      <c r="A1574" s="3" t="s">
        <v>1069</v>
      </c>
      <c r="B1574" s="4">
        <v>44773</v>
      </c>
      <c r="C1574" s="3" t="s">
        <v>1175</v>
      </c>
      <c r="D1574" s="3" t="s">
        <v>1193</v>
      </c>
      <c r="E1574" s="3" t="s">
        <v>1194</v>
      </c>
      <c r="F1574" s="3">
        <v>1522406.54</v>
      </c>
      <c r="G1574" s="3">
        <v>3833846.98</v>
      </c>
    </row>
    <row r="1575" spans="1:7" x14ac:dyDescent="0.2">
      <c r="A1575" s="3" t="s">
        <v>1074</v>
      </c>
      <c r="B1575" s="4">
        <v>44773</v>
      </c>
      <c r="C1575" s="3" t="s">
        <v>1175</v>
      </c>
      <c r="D1575" s="3" t="s">
        <v>1193</v>
      </c>
      <c r="E1575" s="3" t="s">
        <v>1194</v>
      </c>
      <c r="F1575" s="3">
        <v>90</v>
      </c>
      <c r="G1575" s="3">
        <v>185439.29</v>
      </c>
    </row>
    <row r="1576" spans="1:7" x14ac:dyDescent="0.2">
      <c r="A1576" s="3" t="s">
        <v>1072</v>
      </c>
      <c r="B1576" s="4">
        <v>44773</v>
      </c>
      <c r="C1576" s="3" t="s">
        <v>1175</v>
      </c>
      <c r="D1576" s="3" t="s">
        <v>1505</v>
      </c>
      <c r="E1576" s="3" t="s">
        <v>1506</v>
      </c>
      <c r="F1576" s="3">
        <v>0</v>
      </c>
      <c r="G1576" s="3">
        <v>80</v>
      </c>
    </row>
    <row r="1577" spans="1:7" x14ac:dyDescent="0.2">
      <c r="A1577" s="3" t="s">
        <v>1072</v>
      </c>
      <c r="B1577" s="4">
        <v>44773</v>
      </c>
      <c r="C1577" s="3" t="s">
        <v>1175</v>
      </c>
      <c r="D1577" s="3" t="s">
        <v>1444</v>
      </c>
      <c r="E1577" s="3" t="s">
        <v>1445</v>
      </c>
      <c r="F1577" s="3">
        <v>0</v>
      </c>
      <c r="G1577" s="3">
        <v>1869.8</v>
      </c>
    </row>
    <row r="1578" spans="1:7" x14ac:dyDescent="0.2">
      <c r="A1578" s="3" t="s">
        <v>1072</v>
      </c>
      <c r="B1578" s="4">
        <v>44773</v>
      </c>
      <c r="C1578" s="3" t="s">
        <v>1175</v>
      </c>
      <c r="D1578" s="3" t="s">
        <v>1446</v>
      </c>
      <c r="E1578" s="3" t="s">
        <v>1447</v>
      </c>
      <c r="F1578" s="3">
        <v>0</v>
      </c>
      <c r="G1578" s="3">
        <v>-254.99</v>
      </c>
    </row>
    <row r="1579" spans="1:7" x14ac:dyDescent="0.2">
      <c r="A1579" s="3" t="s">
        <v>1072</v>
      </c>
      <c r="B1579" s="4">
        <v>44804</v>
      </c>
      <c r="C1579" s="3" t="s">
        <v>1210</v>
      </c>
      <c r="D1579" s="3" t="s">
        <v>1448</v>
      </c>
      <c r="E1579" s="3" t="s">
        <v>1449</v>
      </c>
      <c r="F1579" s="3">
        <v>-7577926.3300000001</v>
      </c>
      <c r="G1579" s="3">
        <v>-24761829.530000001</v>
      </c>
    </row>
    <row r="1580" spans="1:7" x14ac:dyDescent="0.2">
      <c r="A1580" s="3" t="s">
        <v>1072</v>
      </c>
      <c r="B1580" s="4">
        <v>44804</v>
      </c>
      <c r="C1580" s="3" t="s">
        <v>1210</v>
      </c>
      <c r="D1580" s="3" t="s">
        <v>1267</v>
      </c>
      <c r="E1580" s="3" t="s">
        <v>1268</v>
      </c>
      <c r="F1580" s="3">
        <v>12260.87</v>
      </c>
      <c r="G1580" s="3">
        <v>-12046638.060000001</v>
      </c>
    </row>
    <row r="1581" spans="1:7" x14ac:dyDescent="0.2">
      <c r="A1581" s="3" t="s">
        <v>1072</v>
      </c>
      <c r="B1581" s="4">
        <v>44804</v>
      </c>
      <c r="C1581" s="3" t="s">
        <v>1210</v>
      </c>
      <c r="D1581" s="3" t="s">
        <v>1507</v>
      </c>
      <c r="E1581" s="3" t="s">
        <v>1508</v>
      </c>
      <c r="F1581" s="3">
        <v>0</v>
      </c>
      <c r="G1581" s="3">
        <v>-1782369.8</v>
      </c>
    </row>
    <row r="1582" spans="1:7" x14ac:dyDescent="0.2">
      <c r="A1582" s="3" t="s">
        <v>1072</v>
      </c>
      <c r="B1582" s="4">
        <v>44804</v>
      </c>
      <c r="C1582" s="3" t="s">
        <v>1210</v>
      </c>
      <c r="D1582" s="3" t="s">
        <v>1525</v>
      </c>
      <c r="E1582" s="3" t="s">
        <v>1526</v>
      </c>
      <c r="F1582" s="3">
        <v>0</v>
      </c>
      <c r="G1582" s="3">
        <v>1616.91</v>
      </c>
    </row>
    <row r="1583" spans="1:7" x14ac:dyDescent="0.2">
      <c r="A1583" s="3" t="s">
        <v>1072</v>
      </c>
      <c r="B1583" s="4">
        <v>44804</v>
      </c>
      <c r="C1583" s="3" t="s">
        <v>1210</v>
      </c>
      <c r="D1583" s="3" t="s">
        <v>1271</v>
      </c>
      <c r="E1583" s="3" t="s">
        <v>1272</v>
      </c>
      <c r="F1583" s="3">
        <v>0</v>
      </c>
      <c r="G1583" s="3">
        <v>-2839.7</v>
      </c>
    </row>
    <row r="1584" spans="1:7" x14ac:dyDescent="0.2">
      <c r="A1584" s="3" t="s">
        <v>1072</v>
      </c>
      <c r="B1584" s="4">
        <v>44804</v>
      </c>
      <c r="C1584" s="3" t="s">
        <v>1210</v>
      </c>
      <c r="D1584" s="3" t="s">
        <v>1273</v>
      </c>
      <c r="E1584" s="3" t="s">
        <v>1274</v>
      </c>
      <c r="F1584" s="3">
        <v>-3490.94</v>
      </c>
      <c r="G1584" s="3">
        <v>-20945.64</v>
      </c>
    </row>
    <row r="1585" spans="1:7" x14ac:dyDescent="0.2">
      <c r="A1585" s="3" t="s">
        <v>1069</v>
      </c>
      <c r="B1585" s="4">
        <v>44804</v>
      </c>
      <c r="C1585" s="3" t="s">
        <v>1168</v>
      </c>
      <c r="D1585" s="3" t="s">
        <v>1514</v>
      </c>
      <c r="E1585" s="3" t="s">
        <v>1515</v>
      </c>
      <c r="F1585" s="3">
        <v>0</v>
      </c>
      <c r="G1585" s="3">
        <v>86956.52</v>
      </c>
    </row>
    <row r="1586" spans="1:7" x14ac:dyDescent="0.2">
      <c r="A1586" s="3" t="s">
        <v>1069</v>
      </c>
      <c r="B1586" s="4">
        <v>44804</v>
      </c>
      <c r="C1586" s="3" t="s">
        <v>1168</v>
      </c>
      <c r="D1586" s="3" t="s">
        <v>1531</v>
      </c>
      <c r="E1586" s="3" t="s">
        <v>1532</v>
      </c>
      <c r="F1586" s="3">
        <v>20693</v>
      </c>
      <c r="G1586" s="3">
        <v>20693</v>
      </c>
    </row>
    <row r="1587" spans="1:7" x14ac:dyDescent="0.2">
      <c r="A1587" s="3" t="s">
        <v>1072</v>
      </c>
      <c r="B1587" s="4">
        <v>44804</v>
      </c>
      <c r="C1587" s="3" t="s">
        <v>1168</v>
      </c>
      <c r="D1587" s="3" t="s">
        <v>1466</v>
      </c>
      <c r="E1587" s="3" t="s">
        <v>1467</v>
      </c>
      <c r="F1587" s="3">
        <v>0</v>
      </c>
      <c r="G1587" s="3">
        <v>957.28</v>
      </c>
    </row>
    <row r="1588" spans="1:7" x14ac:dyDescent="0.2">
      <c r="A1588" s="3" t="s">
        <v>1072</v>
      </c>
      <c r="B1588" s="4">
        <v>44804</v>
      </c>
      <c r="C1588" s="3" t="s">
        <v>1168</v>
      </c>
      <c r="D1588" s="3" t="s">
        <v>1281</v>
      </c>
      <c r="E1588" s="3" t="s">
        <v>1282</v>
      </c>
      <c r="F1588" s="3">
        <v>2141181.4300000002</v>
      </c>
      <c r="G1588" s="3">
        <v>15858141.99</v>
      </c>
    </row>
    <row r="1589" spans="1:7" x14ac:dyDescent="0.2">
      <c r="A1589" s="3" t="s">
        <v>1072</v>
      </c>
      <c r="B1589" s="4">
        <v>44804</v>
      </c>
      <c r="C1589" s="3" t="s">
        <v>1168</v>
      </c>
      <c r="D1589" s="3" t="s">
        <v>1283</v>
      </c>
      <c r="E1589" s="3" t="s">
        <v>1284</v>
      </c>
      <c r="F1589" s="3">
        <v>106945.95</v>
      </c>
      <c r="G1589" s="3">
        <v>837666.06</v>
      </c>
    </row>
    <row r="1590" spans="1:7" x14ac:dyDescent="0.2">
      <c r="A1590" s="3" t="s">
        <v>1072</v>
      </c>
      <c r="B1590" s="4">
        <v>44804</v>
      </c>
      <c r="C1590" s="3" t="s">
        <v>1168</v>
      </c>
      <c r="D1590" s="3" t="s">
        <v>1285</v>
      </c>
      <c r="E1590" s="3" t="s">
        <v>1286</v>
      </c>
      <c r="F1590" s="3">
        <v>2719.44</v>
      </c>
      <c r="G1590" s="3">
        <v>29292.37</v>
      </c>
    </row>
    <row r="1591" spans="1:7" x14ac:dyDescent="0.2">
      <c r="A1591" s="3" t="s">
        <v>1072</v>
      </c>
      <c r="B1591" s="4">
        <v>44804</v>
      </c>
      <c r="C1591" s="3" t="s">
        <v>1168</v>
      </c>
      <c r="D1591" s="3" t="s">
        <v>1287</v>
      </c>
      <c r="E1591" s="3" t="s">
        <v>1288</v>
      </c>
      <c r="F1591" s="3">
        <v>0</v>
      </c>
      <c r="G1591" s="3">
        <v>269.64999999999998</v>
      </c>
    </row>
    <row r="1592" spans="1:7" x14ac:dyDescent="0.2">
      <c r="A1592" s="3" t="s">
        <v>1072</v>
      </c>
      <c r="B1592" s="4">
        <v>44804</v>
      </c>
      <c r="C1592" s="3" t="s">
        <v>1168</v>
      </c>
      <c r="D1592" s="3" t="s">
        <v>1289</v>
      </c>
      <c r="E1592" s="3" t="s">
        <v>1290</v>
      </c>
      <c r="F1592" s="3">
        <v>0</v>
      </c>
      <c r="G1592" s="3">
        <v>11000</v>
      </c>
    </row>
    <row r="1593" spans="1:7" x14ac:dyDescent="0.2">
      <c r="A1593" s="3" t="s">
        <v>1072</v>
      </c>
      <c r="B1593" s="4">
        <v>44804</v>
      </c>
      <c r="C1593" s="3" t="s">
        <v>1168</v>
      </c>
      <c r="D1593" s="3" t="s">
        <v>1291</v>
      </c>
      <c r="E1593" s="3" t="s">
        <v>1292</v>
      </c>
      <c r="F1593" s="3">
        <v>0</v>
      </c>
      <c r="G1593" s="3">
        <v>20000</v>
      </c>
    </row>
    <row r="1594" spans="1:7" x14ac:dyDescent="0.2">
      <c r="A1594" s="3" t="s">
        <v>1072</v>
      </c>
      <c r="B1594" s="4">
        <v>44804</v>
      </c>
      <c r="C1594" s="3" t="s">
        <v>1168</v>
      </c>
      <c r="D1594" s="3" t="s">
        <v>1299</v>
      </c>
      <c r="E1594" s="3" t="s">
        <v>1300</v>
      </c>
      <c r="F1594" s="3">
        <v>0</v>
      </c>
      <c r="G1594" s="3">
        <v>2473.65</v>
      </c>
    </row>
    <row r="1595" spans="1:7" x14ac:dyDescent="0.2">
      <c r="A1595" s="3" t="s">
        <v>1072</v>
      </c>
      <c r="B1595" s="4">
        <v>44804</v>
      </c>
      <c r="C1595" s="3" t="s">
        <v>1168</v>
      </c>
      <c r="D1595" s="3" t="s">
        <v>1301</v>
      </c>
      <c r="E1595" s="3" t="s">
        <v>1302</v>
      </c>
      <c r="F1595" s="3">
        <v>0</v>
      </c>
      <c r="G1595" s="3">
        <v>937.39</v>
      </c>
    </row>
    <row r="1596" spans="1:7" x14ac:dyDescent="0.2">
      <c r="A1596" s="3" t="s">
        <v>1072</v>
      </c>
      <c r="B1596" s="4">
        <v>44804</v>
      </c>
      <c r="C1596" s="3" t="s">
        <v>1168</v>
      </c>
      <c r="D1596" s="3" t="s">
        <v>1305</v>
      </c>
      <c r="E1596" s="3" t="s">
        <v>1306</v>
      </c>
      <c r="F1596" s="3">
        <v>1539.13</v>
      </c>
      <c r="G1596" s="3">
        <v>3957.39</v>
      </c>
    </row>
    <row r="1597" spans="1:7" x14ac:dyDescent="0.2">
      <c r="A1597" s="3" t="s">
        <v>1072</v>
      </c>
      <c r="B1597" s="4">
        <v>44804</v>
      </c>
      <c r="C1597" s="3" t="s">
        <v>1168</v>
      </c>
      <c r="D1597" s="3" t="s">
        <v>1315</v>
      </c>
      <c r="E1597" s="3" t="s">
        <v>1316</v>
      </c>
      <c r="F1597" s="3">
        <v>0</v>
      </c>
      <c r="G1597" s="3">
        <v>2952.7</v>
      </c>
    </row>
    <row r="1598" spans="1:7" x14ac:dyDescent="0.2">
      <c r="A1598" s="3" t="s">
        <v>1072</v>
      </c>
      <c r="B1598" s="4">
        <v>44804</v>
      </c>
      <c r="C1598" s="3" t="s">
        <v>1168</v>
      </c>
      <c r="D1598" s="3" t="s">
        <v>1450</v>
      </c>
      <c r="E1598" s="3" t="s">
        <v>1451</v>
      </c>
      <c r="F1598" s="3">
        <v>4430835.97</v>
      </c>
      <c r="G1598" s="3">
        <v>17117891.530000001</v>
      </c>
    </row>
    <row r="1599" spans="1:7" x14ac:dyDescent="0.2">
      <c r="A1599" s="3" t="s">
        <v>1072</v>
      </c>
      <c r="B1599" s="4">
        <v>44804</v>
      </c>
      <c r="C1599" s="3" t="s">
        <v>1168</v>
      </c>
      <c r="D1599" s="3" t="s">
        <v>1452</v>
      </c>
      <c r="E1599" s="3" t="s">
        <v>1453</v>
      </c>
      <c r="F1599" s="3">
        <v>195931.27</v>
      </c>
      <c r="G1599" s="3">
        <v>1396447.32</v>
      </c>
    </row>
    <row r="1600" spans="1:7" x14ac:dyDescent="0.2">
      <c r="A1600" s="3" t="s">
        <v>1072</v>
      </c>
      <c r="B1600" s="4">
        <v>44804</v>
      </c>
      <c r="C1600" s="3" t="s">
        <v>1168</v>
      </c>
      <c r="D1600" s="3" t="s">
        <v>1454</v>
      </c>
      <c r="E1600" s="3" t="s">
        <v>1455</v>
      </c>
      <c r="F1600" s="3">
        <v>0</v>
      </c>
      <c r="G1600" s="3">
        <v>22286.3</v>
      </c>
    </row>
    <row r="1601" spans="1:7" x14ac:dyDescent="0.2">
      <c r="A1601" s="3" t="s">
        <v>1072</v>
      </c>
      <c r="B1601" s="4">
        <v>44804</v>
      </c>
      <c r="C1601" s="3" t="s">
        <v>1168</v>
      </c>
      <c r="D1601" s="3" t="s">
        <v>1468</v>
      </c>
      <c r="E1601" s="3" t="s">
        <v>1469</v>
      </c>
      <c r="F1601" s="3">
        <v>607.83000000000004</v>
      </c>
      <c r="G1601" s="3">
        <v>3454.3</v>
      </c>
    </row>
    <row r="1602" spans="1:7" x14ac:dyDescent="0.2">
      <c r="A1602" s="3" t="s">
        <v>1072</v>
      </c>
      <c r="B1602" s="4">
        <v>44804</v>
      </c>
      <c r="C1602" s="3" t="s">
        <v>1168</v>
      </c>
      <c r="D1602" s="3" t="s">
        <v>1502</v>
      </c>
      <c r="E1602" s="3" t="s">
        <v>1503</v>
      </c>
      <c r="F1602" s="3">
        <v>0</v>
      </c>
      <c r="G1602" s="3">
        <v>20565.22</v>
      </c>
    </row>
    <row r="1603" spans="1:7" x14ac:dyDescent="0.2">
      <c r="A1603" s="3" t="s">
        <v>1072</v>
      </c>
      <c r="B1603" s="4">
        <v>44804</v>
      </c>
      <c r="C1603" s="3" t="s">
        <v>1168</v>
      </c>
      <c r="D1603" s="3" t="s">
        <v>1527</v>
      </c>
      <c r="E1603" s="3" t="s">
        <v>1528</v>
      </c>
      <c r="F1603" s="3">
        <v>13772.72</v>
      </c>
      <c r="G1603" s="3">
        <v>19687.5</v>
      </c>
    </row>
    <row r="1604" spans="1:7" x14ac:dyDescent="0.2">
      <c r="A1604" s="3" t="s">
        <v>1072</v>
      </c>
      <c r="B1604" s="4">
        <v>44804</v>
      </c>
      <c r="C1604" s="3" t="s">
        <v>1210</v>
      </c>
      <c r="D1604" s="3" t="s">
        <v>1509</v>
      </c>
      <c r="E1604" s="3" t="s">
        <v>1510</v>
      </c>
      <c r="F1604" s="3">
        <v>-107.93</v>
      </c>
      <c r="G1604" s="3">
        <v>-190.71</v>
      </c>
    </row>
    <row r="1605" spans="1:7" x14ac:dyDescent="0.2">
      <c r="A1605" s="3" t="s">
        <v>1072</v>
      </c>
      <c r="B1605" s="4">
        <v>44804</v>
      </c>
      <c r="C1605" s="3" t="s">
        <v>1210</v>
      </c>
      <c r="D1605" s="3" t="s">
        <v>1323</v>
      </c>
      <c r="E1605" s="3" t="s">
        <v>1324</v>
      </c>
      <c r="F1605" s="3">
        <v>-2.39</v>
      </c>
      <c r="G1605" s="3">
        <v>-12.96</v>
      </c>
    </row>
    <row r="1606" spans="1:7" x14ac:dyDescent="0.2">
      <c r="A1606" s="3" t="s">
        <v>1069</v>
      </c>
      <c r="B1606" s="4">
        <v>44804</v>
      </c>
      <c r="C1606" s="3" t="s">
        <v>1210</v>
      </c>
      <c r="D1606" s="3" t="s">
        <v>1249</v>
      </c>
      <c r="E1606" s="3" t="s">
        <v>1250</v>
      </c>
      <c r="F1606" s="3">
        <v>-49013.7</v>
      </c>
      <c r="G1606" s="3">
        <v>-220149.92</v>
      </c>
    </row>
    <row r="1607" spans="1:7" x14ac:dyDescent="0.2">
      <c r="A1607" s="3" t="s">
        <v>1072</v>
      </c>
      <c r="B1607" s="4">
        <v>44804</v>
      </c>
      <c r="C1607" s="3" t="s">
        <v>1168</v>
      </c>
      <c r="D1607" s="3" t="s">
        <v>1326</v>
      </c>
      <c r="E1607" s="3" t="s">
        <v>1088</v>
      </c>
      <c r="F1607" s="3">
        <v>0</v>
      </c>
      <c r="G1607" s="3">
        <v>10600</v>
      </c>
    </row>
    <row r="1608" spans="1:7" x14ac:dyDescent="0.2">
      <c r="A1608" s="3" t="s">
        <v>1072</v>
      </c>
      <c r="B1608" s="4">
        <v>44804</v>
      </c>
      <c r="C1608" s="3" t="s">
        <v>1168</v>
      </c>
      <c r="D1608" s="3" t="s">
        <v>1337</v>
      </c>
      <c r="E1608" s="3" t="s">
        <v>1338</v>
      </c>
      <c r="F1608" s="3">
        <v>0</v>
      </c>
      <c r="G1608" s="3">
        <v>14139.13</v>
      </c>
    </row>
    <row r="1609" spans="1:7" x14ac:dyDescent="0.2">
      <c r="A1609" s="3" t="s">
        <v>1072</v>
      </c>
      <c r="B1609" s="4">
        <v>44804</v>
      </c>
      <c r="C1609" s="3" t="s">
        <v>1168</v>
      </c>
      <c r="D1609" s="3" t="s">
        <v>1169</v>
      </c>
      <c r="E1609" s="3" t="s">
        <v>1079</v>
      </c>
      <c r="F1609" s="3">
        <v>0</v>
      </c>
      <c r="G1609" s="3">
        <v>687.5</v>
      </c>
    </row>
    <row r="1610" spans="1:7" x14ac:dyDescent="0.2">
      <c r="A1610" s="3" t="s">
        <v>1069</v>
      </c>
      <c r="B1610" s="4">
        <v>44804</v>
      </c>
      <c r="C1610" s="3" t="s">
        <v>1168</v>
      </c>
      <c r="D1610" s="3" t="s">
        <v>1169</v>
      </c>
      <c r="E1610" s="3" t="s">
        <v>1079</v>
      </c>
      <c r="F1610" s="3">
        <v>31550</v>
      </c>
      <c r="G1610" s="3">
        <v>94957.86</v>
      </c>
    </row>
    <row r="1611" spans="1:7" x14ac:dyDescent="0.2">
      <c r="A1611" s="3" t="s">
        <v>1069</v>
      </c>
      <c r="B1611" s="4">
        <v>44804</v>
      </c>
      <c r="C1611" s="3" t="s">
        <v>1168</v>
      </c>
      <c r="D1611" s="3" t="s">
        <v>1261</v>
      </c>
      <c r="E1611" s="3" t="s">
        <v>1145</v>
      </c>
      <c r="F1611" s="3">
        <v>11556</v>
      </c>
      <c r="G1611" s="3">
        <v>69336</v>
      </c>
    </row>
    <row r="1612" spans="1:7" x14ac:dyDescent="0.2">
      <c r="A1612" s="3" t="s">
        <v>1072</v>
      </c>
      <c r="B1612" s="4">
        <v>44804</v>
      </c>
      <c r="C1612" s="3" t="s">
        <v>1168</v>
      </c>
      <c r="D1612" s="3" t="s">
        <v>1339</v>
      </c>
      <c r="E1612" s="3" t="s">
        <v>1087</v>
      </c>
      <c r="F1612" s="3">
        <v>0</v>
      </c>
      <c r="G1612" s="3">
        <v>137.5</v>
      </c>
    </row>
    <row r="1613" spans="1:7" x14ac:dyDescent="0.2">
      <c r="A1613" s="3" t="s">
        <v>1072</v>
      </c>
      <c r="B1613" s="4">
        <v>44804</v>
      </c>
      <c r="C1613" s="3" t="s">
        <v>1168</v>
      </c>
      <c r="D1613" s="3" t="s">
        <v>1195</v>
      </c>
      <c r="E1613" s="3" t="s">
        <v>1085</v>
      </c>
      <c r="F1613" s="3">
        <v>2660.91</v>
      </c>
      <c r="G1613" s="3">
        <v>17562.580000000002</v>
      </c>
    </row>
    <row r="1614" spans="1:7" x14ac:dyDescent="0.2">
      <c r="A1614" s="3" t="s">
        <v>1069</v>
      </c>
      <c r="B1614" s="4">
        <v>44804</v>
      </c>
      <c r="C1614" s="3" t="s">
        <v>1168</v>
      </c>
      <c r="D1614" s="3" t="s">
        <v>1195</v>
      </c>
      <c r="E1614" s="3" t="s">
        <v>1085</v>
      </c>
      <c r="F1614" s="3">
        <v>832.43</v>
      </c>
      <c r="G1614" s="3">
        <v>4750.18</v>
      </c>
    </row>
    <row r="1615" spans="1:7" x14ac:dyDescent="0.2">
      <c r="A1615" s="3" t="s">
        <v>1072</v>
      </c>
      <c r="B1615" s="4">
        <v>44804</v>
      </c>
      <c r="C1615" s="3" t="s">
        <v>1168</v>
      </c>
      <c r="D1615" s="3" t="s">
        <v>1340</v>
      </c>
      <c r="E1615" s="3" t="s">
        <v>1141</v>
      </c>
      <c r="F1615" s="3">
        <v>0</v>
      </c>
      <c r="G1615" s="3">
        <v>1986.89</v>
      </c>
    </row>
    <row r="1616" spans="1:7" x14ac:dyDescent="0.2">
      <c r="A1616" s="3" t="s">
        <v>1072</v>
      </c>
      <c r="B1616" s="4">
        <v>44804</v>
      </c>
      <c r="C1616" s="3" t="s">
        <v>1168</v>
      </c>
      <c r="D1616" s="3" t="s">
        <v>1341</v>
      </c>
      <c r="E1616" s="3" t="s">
        <v>1135</v>
      </c>
      <c r="F1616" s="3">
        <v>662.7</v>
      </c>
      <c r="G1616" s="3">
        <v>3923.17</v>
      </c>
    </row>
    <row r="1617" spans="1:7" x14ac:dyDescent="0.2">
      <c r="A1617" s="3" t="s">
        <v>1072</v>
      </c>
      <c r="B1617" s="4">
        <v>44804</v>
      </c>
      <c r="C1617" s="3" t="s">
        <v>1168</v>
      </c>
      <c r="D1617" s="3" t="s">
        <v>1342</v>
      </c>
      <c r="E1617" s="3" t="s">
        <v>1080</v>
      </c>
      <c r="F1617" s="3">
        <v>550</v>
      </c>
      <c r="G1617" s="3">
        <v>1858.69</v>
      </c>
    </row>
    <row r="1618" spans="1:7" x14ac:dyDescent="0.2">
      <c r="A1618" s="3" t="s">
        <v>1072</v>
      </c>
      <c r="B1618" s="4">
        <v>44804</v>
      </c>
      <c r="C1618" s="3" t="s">
        <v>1168</v>
      </c>
      <c r="D1618" s="3" t="s">
        <v>1504</v>
      </c>
      <c r="E1618" s="3" t="s">
        <v>1142</v>
      </c>
      <c r="F1618" s="3">
        <v>6930</v>
      </c>
      <c r="G1618" s="3">
        <v>25709</v>
      </c>
    </row>
    <row r="1619" spans="1:7" x14ac:dyDescent="0.2">
      <c r="A1619" s="3" t="s">
        <v>1069</v>
      </c>
      <c r="B1619" s="4">
        <v>44804</v>
      </c>
      <c r="C1619" s="3" t="s">
        <v>1168</v>
      </c>
      <c r="D1619" s="3" t="s">
        <v>1251</v>
      </c>
      <c r="E1619" s="3" t="s">
        <v>1095</v>
      </c>
      <c r="F1619" s="3">
        <v>83750</v>
      </c>
      <c r="G1619" s="3">
        <v>489440.68</v>
      </c>
    </row>
    <row r="1620" spans="1:7" x14ac:dyDescent="0.2">
      <c r="A1620" s="3" t="s">
        <v>1072</v>
      </c>
      <c r="B1620" s="4">
        <v>44804</v>
      </c>
      <c r="C1620" s="3" t="s">
        <v>1168</v>
      </c>
      <c r="D1620" s="3" t="s">
        <v>1251</v>
      </c>
      <c r="E1620" s="3" t="s">
        <v>1345</v>
      </c>
      <c r="F1620" s="3">
        <v>36000</v>
      </c>
      <c r="G1620" s="3">
        <v>216000</v>
      </c>
    </row>
    <row r="1621" spans="1:7" x14ac:dyDescent="0.2">
      <c r="A1621" s="3" t="s">
        <v>1072</v>
      </c>
      <c r="B1621" s="4">
        <v>44804</v>
      </c>
      <c r="C1621" s="3" t="s">
        <v>1168</v>
      </c>
      <c r="D1621" s="3" t="s">
        <v>1348</v>
      </c>
      <c r="E1621" s="3" t="s">
        <v>1095</v>
      </c>
      <c r="F1621" s="3">
        <v>128150</v>
      </c>
      <c r="G1621" s="3">
        <v>740521.87</v>
      </c>
    </row>
    <row r="1622" spans="1:7" x14ac:dyDescent="0.2">
      <c r="A1622" s="3" t="s">
        <v>1069</v>
      </c>
      <c r="B1622" s="4">
        <v>44804</v>
      </c>
      <c r="C1622" s="3" t="s">
        <v>1168</v>
      </c>
      <c r="D1622" s="3" t="s">
        <v>1252</v>
      </c>
      <c r="E1622" s="3" t="s">
        <v>1120</v>
      </c>
      <c r="F1622" s="3">
        <v>4000</v>
      </c>
      <c r="G1622" s="3">
        <v>40000</v>
      </c>
    </row>
    <row r="1623" spans="1:7" x14ac:dyDescent="0.2">
      <c r="A1623" s="3" t="s">
        <v>1072</v>
      </c>
      <c r="B1623" s="4">
        <v>44804</v>
      </c>
      <c r="C1623" s="3" t="s">
        <v>1168</v>
      </c>
      <c r="D1623" s="3" t="s">
        <v>1349</v>
      </c>
      <c r="E1623" s="3" t="s">
        <v>1089</v>
      </c>
      <c r="F1623" s="3">
        <v>0</v>
      </c>
      <c r="G1623" s="3">
        <v>160.87</v>
      </c>
    </row>
    <row r="1624" spans="1:7" x14ac:dyDescent="0.2">
      <c r="A1624" s="3" t="s">
        <v>1072</v>
      </c>
      <c r="B1624" s="4">
        <v>44804</v>
      </c>
      <c r="C1624" s="3" t="s">
        <v>1168</v>
      </c>
      <c r="D1624" s="3" t="s">
        <v>1350</v>
      </c>
      <c r="E1624" s="3" t="s">
        <v>1115</v>
      </c>
      <c r="F1624" s="3">
        <v>2132.06</v>
      </c>
      <c r="G1624" s="3">
        <v>10786.87</v>
      </c>
    </row>
    <row r="1625" spans="1:7" x14ac:dyDescent="0.2">
      <c r="A1625" s="3" t="s">
        <v>1072</v>
      </c>
      <c r="B1625" s="4">
        <v>44804</v>
      </c>
      <c r="C1625" s="3" t="s">
        <v>1168</v>
      </c>
      <c r="D1625" s="3" t="s">
        <v>1351</v>
      </c>
      <c r="E1625" s="3" t="s">
        <v>1096</v>
      </c>
      <c r="F1625" s="3">
        <v>193.33</v>
      </c>
      <c r="G1625" s="3">
        <v>1160</v>
      </c>
    </row>
    <row r="1626" spans="1:7" x14ac:dyDescent="0.2">
      <c r="A1626" s="3" t="s">
        <v>1072</v>
      </c>
      <c r="B1626" s="4">
        <v>44804</v>
      </c>
      <c r="C1626" s="3" t="s">
        <v>1168</v>
      </c>
      <c r="D1626" s="3" t="s">
        <v>1472</v>
      </c>
      <c r="E1626" s="3" t="s">
        <v>1473</v>
      </c>
      <c r="F1626" s="3">
        <v>0</v>
      </c>
      <c r="G1626" s="3">
        <v>39610.1</v>
      </c>
    </row>
    <row r="1627" spans="1:7" x14ac:dyDescent="0.2">
      <c r="A1627" s="3" t="s">
        <v>1072</v>
      </c>
      <c r="B1627" s="4">
        <v>44804</v>
      </c>
      <c r="C1627" s="3" t="s">
        <v>1168</v>
      </c>
      <c r="D1627" s="3" t="s">
        <v>1474</v>
      </c>
      <c r="E1627" s="3" t="s">
        <v>1114</v>
      </c>
      <c r="F1627" s="3">
        <v>427.2</v>
      </c>
      <c r="G1627" s="3">
        <v>2563.23</v>
      </c>
    </row>
    <row r="1628" spans="1:7" x14ac:dyDescent="0.2">
      <c r="A1628" s="3" t="s">
        <v>1069</v>
      </c>
      <c r="B1628" s="4">
        <v>44804</v>
      </c>
      <c r="C1628" s="3" t="s">
        <v>1168</v>
      </c>
      <c r="D1628" s="3" t="s">
        <v>1229</v>
      </c>
      <c r="E1628" s="3" t="s">
        <v>1136</v>
      </c>
      <c r="F1628" s="3">
        <v>4119.96</v>
      </c>
      <c r="G1628" s="3">
        <v>17376.900000000001</v>
      </c>
    </row>
    <row r="1629" spans="1:7" x14ac:dyDescent="0.2">
      <c r="A1629" s="3" t="s">
        <v>1072</v>
      </c>
      <c r="B1629" s="4">
        <v>44804</v>
      </c>
      <c r="C1629" s="3" t="s">
        <v>1168</v>
      </c>
      <c r="D1629" s="3" t="s">
        <v>1229</v>
      </c>
      <c r="E1629" s="3" t="s">
        <v>1106</v>
      </c>
      <c r="F1629" s="3">
        <v>5391.92</v>
      </c>
      <c r="G1629" s="3">
        <v>28310.78</v>
      </c>
    </row>
    <row r="1630" spans="1:7" x14ac:dyDescent="0.2">
      <c r="A1630" s="3" t="s">
        <v>1069</v>
      </c>
      <c r="B1630" s="4">
        <v>44804</v>
      </c>
      <c r="C1630" s="3" t="s">
        <v>1168</v>
      </c>
      <c r="D1630" s="3" t="s">
        <v>1230</v>
      </c>
      <c r="E1630" s="3" t="s">
        <v>1109</v>
      </c>
      <c r="F1630" s="3">
        <v>4775.0600000000004</v>
      </c>
      <c r="G1630" s="3">
        <v>33283.22</v>
      </c>
    </row>
    <row r="1631" spans="1:7" x14ac:dyDescent="0.2">
      <c r="A1631" s="3" t="s">
        <v>1072</v>
      </c>
      <c r="B1631" s="4">
        <v>44804</v>
      </c>
      <c r="C1631" s="3" t="s">
        <v>1168</v>
      </c>
      <c r="D1631" s="3" t="s">
        <v>1196</v>
      </c>
      <c r="E1631" s="3" t="s">
        <v>1131</v>
      </c>
      <c r="F1631" s="3">
        <v>5850</v>
      </c>
      <c r="G1631" s="3">
        <v>7651.52</v>
      </c>
    </row>
    <row r="1632" spans="1:7" x14ac:dyDescent="0.2">
      <c r="A1632" s="3" t="s">
        <v>1072</v>
      </c>
      <c r="B1632" s="4">
        <v>44804</v>
      </c>
      <c r="C1632" s="3" t="s">
        <v>1168</v>
      </c>
      <c r="D1632" s="3" t="s">
        <v>1354</v>
      </c>
      <c r="E1632" s="3" t="s">
        <v>1078</v>
      </c>
      <c r="F1632" s="3">
        <v>1194.1500000000001</v>
      </c>
      <c r="G1632" s="3">
        <v>7095.46</v>
      </c>
    </row>
    <row r="1633" spans="1:7" x14ac:dyDescent="0.2">
      <c r="A1633" s="3" t="s">
        <v>1072</v>
      </c>
      <c r="B1633" s="4">
        <v>44804</v>
      </c>
      <c r="C1633" s="3" t="s">
        <v>1168</v>
      </c>
      <c r="D1633" s="3" t="s">
        <v>1355</v>
      </c>
      <c r="E1633" s="3" t="s">
        <v>1356</v>
      </c>
      <c r="F1633" s="3">
        <v>237.57</v>
      </c>
      <c r="G1633" s="3">
        <v>1425.42</v>
      </c>
    </row>
    <row r="1634" spans="1:7" x14ac:dyDescent="0.2">
      <c r="A1634" s="3" t="s">
        <v>1069</v>
      </c>
      <c r="B1634" s="4">
        <v>44804</v>
      </c>
      <c r="C1634" s="3" t="s">
        <v>1168</v>
      </c>
      <c r="D1634" s="3" t="s">
        <v>1456</v>
      </c>
      <c r="E1634" s="3" t="s">
        <v>1457</v>
      </c>
      <c r="F1634" s="3">
        <v>92.64</v>
      </c>
      <c r="G1634" s="3">
        <v>317.06</v>
      </c>
    </row>
    <row r="1635" spans="1:7" x14ac:dyDescent="0.2">
      <c r="A1635" s="3" t="s">
        <v>1069</v>
      </c>
      <c r="B1635" s="4">
        <v>44804</v>
      </c>
      <c r="C1635" s="3" t="s">
        <v>1168</v>
      </c>
      <c r="D1635" s="3" t="s">
        <v>1253</v>
      </c>
      <c r="E1635" s="3" t="s">
        <v>1103</v>
      </c>
      <c r="F1635" s="3">
        <v>30848.71</v>
      </c>
      <c r="G1635" s="3">
        <v>226764.95</v>
      </c>
    </row>
    <row r="1636" spans="1:7" x14ac:dyDescent="0.2">
      <c r="A1636" s="3" t="s">
        <v>1072</v>
      </c>
      <c r="B1636" s="4">
        <v>44804</v>
      </c>
      <c r="C1636" s="3" t="s">
        <v>1168</v>
      </c>
      <c r="D1636" s="3" t="s">
        <v>1358</v>
      </c>
      <c r="E1636" s="3" t="s">
        <v>1122</v>
      </c>
      <c r="F1636" s="3">
        <v>4033.01</v>
      </c>
      <c r="G1636" s="3">
        <v>4033.01</v>
      </c>
    </row>
    <row r="1637" spans="1:7" x14ac:dyDescent="0.2">
      <c r="A1637" s="3" t="s">
        <v>1072</v>
      </c>
      <c r="B1637" s="4">
        <v>44804</v>
      </c>
      <c r="C1637" s="3" t="s">
        <v>1168</v>
      </c>
      <c r="D1637" s="3" t="s">
        <v>1359</v>
      </c>
      <c r="E1637" s="3" t="s">
        <v>1086</v>
      </c>
      <c r="F1637" s="3">
        <v>0</v>
      </c>
      <c r="G1637" s="3">
        <v>1200</v>
      </c>
    </row>
    <row r="1638" spans="1:7" x14ac:dyDescent="0.2">
      <c r="A1638" s="3" t="s">
        <v>1072</v>
      </c>
      <c r="B1638" s="4">
        <v>44804</v>
      </c>
      <c r="C1638" s="3" t="s">
        <v>1168</v>
      </c>
      <c r="D1638" s="3" t="s">
        <v>1201</v>
      </c>
      <c r="E1638" s="3" t="s">
        <v>1112</v>
      </c>
      <c r="F1638" s="3">
        <v>1009.43</v>
      </c>
      <c r="G1638" s="3">
        <v>7773.2</v>
      </c>
    </row>
    <row r="1639" spans="1:7" x14ac:dyDescent="0.2">
      <c r="A1639" s="3" t="s">
        <v>1072</v>
      </c>
      <c r="B1639" s="4">
        <v>44804</v>
      </c>
      <c r="C1639" s="3" t="s">
        <v>1168</v>
      </c>
      <c r="D1639" s="3" t="s">
        <v>1360</v>
      </c>
      <c r="E1639" s="3" t="s">
        <v>1098</v>
      </c>
      <c r="F1639" s="3">
        <v>620.28</v>
      </c>
      <c r="G1639" s="3">
        <v>4315.45</v>
      </c>
    </row>
    <row r="1640" spans="1:7" x14ac:dyDescent="0.2">
      <c r="A1640" s="3" t="s">
        <v>1072</v>
      </c>
      <c r="B1640" s="4">
        <v>44804</v>
      </c>
      <c r="C1640" s="3" t="s">
        <v>1168</v>
      </c>
      <c r="D1640" s="3" t="s">
        <v>1361</v>
      </c>
      <c r="E1640" s="3" t="s">
        <v>1121</v>
      </c>
      <c r="F1640" s="3">
        <v>28087.5</v>
      </c>
      <c r="G1640" s="3">
        <v>168525</v>
      </c>
    </row>
    <row r="1641" spans="1:7" x14ac:dyDescent="0.2">
      <c r="A1641" s="3" t="s">
        <v>1072</v>
      </c>
      <c r="B1641" s="4">
        <v>44804</v>
      </c>
      <c r="C1641" s="3" t="s">
        <v>1168</v>
      </c>
      <c r="D1641" s="3" t="s">
        <v>1231</v>
      </c>
      <c r="E1641" s="3" t="s">
        <v>1083</v>
      </c>
      <c r="F1641" s="3">
        <v>843.6</v>
      </c>
      <c r="G1641" s="3">
        <v>5061.6000000000004</v>
      </c>
    </row>
    <row r="1642" spans="1:7" x14ac:dyDescent="0.2">
      <c r="A1642" s="3" t="s">
        <v>1069</v>
      </c>
      <c r="B1642" s="4">
        <v>44804</v>
      </c>
      <c r="C1642" s="3" t="s">
        <v>1168</v>
      </c>
      <c r="D1642" s="3" t="s">
        <v>1231</v>
      </c>
      <c r="E1642" s="3" t="s">
        <v>1070</v>
      </c>
      <c r="F1642" s="3">
        <v>3442.8</v>
      </c>
      <c r="G1642" s="3">
        <v>19135.759999999998</v>
      </c>
    </row>
    <row r="1643" spans="1:7" x14ac:dyDescent="0.2">
      <c r="A1643" s="3" t="s">
        <v>1072</v>
      </c>
      <c r="B1643" s="4">
        <v>44804</v>
      </c>
      <c r="C1643" s="3" t="s">
        <v>1168</v>
      </c>
      <c r="D1643" s="3" t="s">
        <v>1254</v>
      </c>
      <c r="E1643" s="3" t="s">
        <v>1075</v>
      </c>
      <c r="F1643" s="3">
        <v>-0.01</v>
      </c>
      <c r="G1643" s="3">
        <v>3571.71</v>
      </c>
    </row>
    <row r="1644" spans="1:7" x14ac:dyDescent="0.2">
      <c r="A1644" s="3" t="s">
        <v>1072</v>
      </c>
      <c r="B1644" s="4">
        <v>44804</v>
      </c>
      <c r="C1644" s="3" t="s">
        <v>1168</v>
      </c>
      <c r="D1644" s="3" t="s">
        <v>1362</v>
      </c>
      <c r="E1644" s="3" t="s">
        <v>1123</v>
      </c>
      <c r="F1644" s="3">
        <v>231881.26</v>
      </c>
      <c r="G1644" s="3">
        <v>1309242.8999999999</v>
      </c>
    </row>
    <row r="1645" spans="1:7" x14ac:dyDescent="0.2">
      <c r="A1645" s="3" t="s">
        <v>1072</v>
      </c>
      <c r="B1645" s="4">
        <v>44804</v>
      </c>
      <c r="C1645" s="3" t="s">
        <v>1168</v>
      </c>
      <c r="D1645" s="3" t="s">
        <v>1365</v>
      </c>
      <c r="E1645" s="3" t="s">
        <v>1090</v>
      </c>
      <c r="F1645" s="3">
        <v>0</v>
      </c>
      <c r="G1645" s="3">
        <v>3746.27</v>
      </c>
    </row>
    <row r="1646" spans="1:7" x14ac:dyDescent="0.2">
      <c r="A1646" s="3" t="s">
        <v>1072</v>
      </c>
      <c r="B1646" s="4">
        <v>44804</v>
      </c>
      <c r="C1646" s="3" t="s">
        <v>1168</v>
      </c>
      <c r="D1646" s="3" t="s">
        <v>1511</v>
      </c>
      <c r="E1646" s="3" t="s">
        <v>1104</v>
      </c>
      <c r="F1646" s="3">
        <v>164.35</v>
      </c>
      <c r="G1646" s="3">
        <v>821.75</v>
      </c>
    </row>
    <row r="1647" spans="1:7" x14ac:dyDescent="0.2">
      <c r="A1647" s="3" t="s">
        <v>1072</v>
      </c>
      <c r="B1647" s="4">
        <v>44804</v>
      </c>
      <c r="C1647" s="3" t="s">
        <v>1168</v>
      </c>
      <c r="D1647" s="3" t="s">
        <v>1366</v>
      </c>
      <c r="E1647" s="3" t="s">
        <v>1144</v>
      </c>
      <c r="F1647" s="3">
        <v>0</v>
      </c>
      <c r="G1647" s="3">
        <v>1536.96</v>
      </c>
    </row>
    <row r="1648" spans="1:7" x14ac:dyDescent="0.2">
      <c r="A1648" s="3" t="s">
        <v>1069</v>
      </c>
      <c r="B1648" s="4">
        <v>44804</v>
      </c>
      <c r="C1648" s="3" t="s">
        <v>1168</v>
      </c>
      <c r="D1648" s="3" t="s">
        <v>1213</v>
      </c>
      <c r="E1648" s="3" t="s">
        <v>1150</v>
      </c>
      <c r="F1648" s="3">
        <v>328.38</v>
      </c>
      <c r="G1648" s="3">
        <v>3270.7</v>
      </c>
    </row>
    <row r="1649" spans="1:7" x14ac:dyDescent="0.2">
      <c r="A1649" s="3" t="s">
        <v>1072</v>
      </c>
      <c r="B1649" s="4">
        <v>44804</v>
      </c>
      <c r="C1649" s="3" t="s">
        <v>1168</v>
      </c>
      <c r="D1649" s="3" t="s">
        <v>1367</v>
      </c>
      <c r="E1649" s="3" t="s">
        <v>1147</v>
      </c>
      <c r="F1649" s="3">
        <v>0</v>
      </c>
      <c r="G1649" s="3">
        <v>6800</v>
      </c>
    </row>
    <row r="1650" spans="1:7" x14ac:dyDescent="0.2">
      <c r="A1650" s="3" t="s">
        <v>1072</v>
      </c>
      <c r="B1650" s="4">
        <v>44804</v>
      </c>
      <c r="C1650" s="3" t="s">
        <v>1168</v>
      </c>
      <c r="D1650" s="3" t="s">
        <v>1368</v>
      </c>
      <c r="E1650" s="3" t="s">
        <v>1124</v>
      </c>
      <c r="F1650" s="3">
        <v>844.6</v>
      </c>
      <c r="G1650" s="3">
        <v>3519.1</v>
      </c>
    </row>
    <row r="1651" spans="1:7" x14ac:dyDescent="0.2">
      <c r="A1651" s="3" t="s">
        <v>1072</v>
      </c>
      <c r="B1651" s="4">
        <v>44804</v>
      </c>
      <c r="C1651" s="3" t="s">
        <v>1168</v>
      </c>
      <c r="D1651" s="3" t="s">
        <v>1369</v>
      </c>
      <c r="E1651" s="3" t="s">
        <v>1099</v>
      </c>
      <c r="F1651" s="3">
        <v>0</v>
      </c>
      <c r="G1651" s="3">
        <v>526.32000000000005</v>
      </c>
    </row>
    <row r="1652" spans="1:7" x14ac:dyDescent="0.2">
      <c r="A1652" s="3" t="s">
        <v>1072</v>
      </c>
      <c r="B1652" s="4">
        <v>44804</v>
      </c>
      <c r="C1652" s="3" t="s">
        <v>1168</v>
      </c>
      <c r="D1652" s="3" t="s">
        <v>1370</v>
      </c>
      <c r="E1652" s="3" t="s">
        <v>1129</v>
      </c>
      <c r="F1652" s="3">
        <v>686</v>
      </c>
      <c r="G1652" s="3">
        <v>3336</v>
      </c>
    </row>
    <row r="1653" spans="1:7" x14ac:dyDescent="0.2">
      <c r="A1653" s="3" t="s">
        <v>1072</v>
      </c>
      <c r="B1653" s="4">
        <v>44804</v>
      </c>
      <c r="C1653" s="3" t="s">
        <v>1168</v>
      </c>
      <c r="D1653" s="3" t="s">
        <v>1372</v>
      </c>
      <c r="E1653" s="3" t="s">
        <v>1158</v>
      </c>
      <c r="F1653" s="3">
        <v>600</v>
      </c>
      <c r="G1653" s="3">
        <v>3600</v>
      </c>
    </row>
    <row r="1654" spans="1:7" x14ac:dyDescent="0.2">
      <c r="A1654" s="3" t="s">
        <v>1072</v>
      </c>
      <c r="B1654" s="4">
        <v>44804</v>
      </c>
      <c r="C1654" s="3" t="s">
        <v>1168</v>
      </c>
      <c r="D1654" s="3" t="s">
        <v>1373</v>
      </c>
      <c r="E1654" s="3" t="s">
        <v>1092</v>
      </c>
      <c r="F1654" s="3">
        <v>535.6</v>
      </c>
      <c r="G1654" s="3">
        <v>2350.6</v>
      </c>
    </row>
    <row r="1655" spans="1:7" x14ac:dyDescent="0.2">
      <c r="A1655" s="3" t="s">
        <v>1072</v>
      </c>
      <c r="B1655" s="4">
        <v>44804</v>
      </c>
      <c r="C1655" s="3" t="s">
        <v>1168</v>
      </c>
      <c r="D1655" s="3" t="s">
        <v>1490</v>
      </c>
      <c r="E1655" s="3" t="s">
        <v>1491</v>
      </c>
      <c r="F1655" s="3">
        <v>1640</v>
      </c>
      <c r="G1655" s="3">
        <v>12125</v>
      </c>
    </row>
    <row r="1656" spans="1:7" x14ac:dyDescent="0.2">
      <c r="A1656" s="3" t="s">
        <v>1069</v>
      </c>
      <c r="B1656" s="4">
        <v>44804</v>
      </c>
      <c r="C1656" s="3" t="s">
        <v>1168</v>
      </c>
      <c r="D1656" s="3" t="s">
        <v>1232</v>
      </c>
      <c r="E1656" s="3" t="s">
        <v>1105</v>
      </c>
      <c r="F1656" s="3">
        <v>600</v>
      </c>
      <c r="G1656" s="3">
        <v>3600</v>
      </c>
    </row>
    <row r="1657" spans="1:7" x14ac:dyDescent="0.2">
      <c r="A1657" s="3" t="s">
        <v>1074</v>
      </c>
      <c r="B1657" s="4">
        <v>44804</v>
      </c>
      <c r="C1657" s="3" t="s">
        <v>1168</v>
      </c>
      <c r="D1657" s="3" t="s">
        <v>1232</v>
      </c>
      <c r="E1657" s="3" t="s">
        <v>1105</v>
      </c>
      <c r="F1657" s="3">
        <v>4200</v>
      </c>
      <c r="G1657" s="3">
        <v>7200</v>
      </c>
    </row>
    <row r="1658" spans="1:7" x14ac:dyDescent="0.2">
      <c r="A1658" s="3" t="s">
        <v>1072</v>
      </c>
      <c r="B1658" s="4">
        <v>44804</v>
      </c>
      <c r="C1658" s="3" t="s">
        <v>1168</v>
      </c>
      <c r="D1658" s="3" t="s">
        <v>1374</v>
      </c>
      <c r="E1658" s="3" t="s">
        <v>1108</v>
      </c>
      <c r="F1658" s="3">
        <v>0</v>
      </c>
      <c r="G1658" s="3">
        <v>2500</v>
      </c>
    </row>
    <row r="1659" spans="1:7" x14ac:dyDescent="0.2">
      <c r="A1659" s="3" t="s">
        <v>1072</v>
      </c>
      <c r="B1659" s="4">
        <v>44804</v>
      </c>
      <c r="C1659" s="3" t="s">
        <v>1168</v>
      </c>
      <c r="D1659" s="3" t="s">
        <v>1376</v>
      </c>
      <c r="E1659" s="3" t="s">
        <v>1377</v>
      </c>
      <c r="F1659" s="3">
        <v>13.04</v>
      </c>
      <c r="G1659" s="3">
        <v>13.04</v>
      </c>
    </row>
    <row r="1660" spans="1:7" x14ac:dyDescent="0.2">
      <c r="A1660" s="3" t="s">
        <v>1072</v>
      </c>
      <c r="B1660" s="4">
        <v>44804</v>
      </c>
      <c r="C1660" s="3" t="s">
        <v>1168</v>
      </c>
      <c r="D1660" s="3" t="s">
        <v>1378</v>
      </c>
      <c r="E1660" s="3" t="s">
        <v>1143</v>
      </c>
      <c r="F1660" s="3">
        <v>30579.19</v>
      </c>
      <c r="G1660" s="3">
        <v>210394.25</v>
      </c>
    </row>
    <row r="1661" spans="1:7" x14ac:dyDescent="0.2">
      <c r="A1661" s="3" t="s">
        <v>1072</v>
      </c>
      <c r="B1661" s="4">
        <v>44804</v>
      </c>
      <c r="C1661" s="3" t="s">
        <v>1168</v>
      </c>
      <c r="D1661" s="3" t="s">
        <v>1379</v>
      </c>
      <c r="E1661" s="3" t="s">
        <v>1107</v>
      </c>
      <c r="F1661" s="3">
        <v>2538.58</v>
      </c>
      <c r="G1661" s="3">
        <v>14553.45</v>
      </c>
    </row>
    <row r="1662" spans="1:7" x14ac:dyDescent="0.2">
      <c r="A1662" s="3" t="s">
        <v>1072</v>
      </c>
      <c r="B1662" s="4">
        <v>44804</v>
      </c>
      <c r="C1662" s="3" t="s">
        <v>1168</v>
      </c>
      <c r="D1662" s="3" t="s">
        <v>1380</v>
      </c>
      <c r="E1662" s="3" t="s">
        <v>1125</v>
      </c>
      <c r="F1662" s="3">
        <v>1987.03</v>
      </c>
      <c r="G1662" s="3">
        <v>10311.06</v>
      </c>
    </row>
    <row r="1663" spans="1:7" x14ac:dyDescent="0.2">
      <c r="A1663" s="3" t="s">
        <v>1072</v>
      </c>
      <c r="B1663" s="4">
        <v>44804</v>
      </c>
      <c r="C1663" s="3" t="s">
        <v>1168</v>
      </c>
      <c r="D1663" s="3" t="s">
        <v>1381</v>
      </c>
      <c r="E1663" s="3" t="s">
        <v>1130</v>
      </c>
      <c r="F1663" s="3">
        <v>1987.03</v>
      </c>
      <c r="G1663" s="3">
        <v>10311.06</v>
      </c>
    </row>
    <row r="1664" spans="1:7" x14ac:dyDescent="0.2">
      <c r="A1664" s="3" t="s">
        <v>1072</v>
      </c>
      <c r="B1664" s="4">
        <v>44804</v>
      </c>
      <c r="C1664" s="3" t="s">
        <v>1168</v>
      </c>
      <c r="D1664" s="3" t="s">
        <v>1458</v>
      </c>
      <c r="E1664" s="3" t="s">
        <v>1113</v>
      </c>
      <c r="F1664" s="3">
        <v>9644.5</v>
      </c>
      <c r="G1664" s="3">
        <v>25880.31</v>
      </c>
    </row>
    <row r="1665" spans="1:7" x14ac:dyDescent="0.2">
      <c r="A1665" s="3" t="s">
        <v>1072</v>
      </c>
      <c r="B1665" s="4">
        <v>44804</v>
      </c>
      <c r="C1665" s="3" t="s">
        <v>1168</v>
      </c>
      <c r="D1665" s="3" t="s">
        <v>1459</v>
      </c>
      <c r="E1665" s="3" t="s">
        <v>1139</v>
      </c>
      <c r="F1665" s="3">
        <v>3344.31</v>
      </c>
      <c r="G1665" s="3">
        <v>13105.34</v>
      </c>
    </row>
    <row r="1666" spans="1:7" x14ac:dyDescent="0.2">
      <c r="A1666" s="3" t="s">
        <v>1069</v>
      </c>
      <c r="B1666" s="4">
        <v>44804</v>
      </c>
      <c r="C1666" s="3" t="s">
        <v>1172</v>
      </c>
      <c r="D1666" s="3" t="s">
        <v>1173</v>
      </c>
      <c r="E1666" s="3" t="s">
        <v>1174</v>
      </c>
      <c r="F1666" s="3">
        <v>0</v>
      </c>
      <c r="G1666" s="3">
        <v>-100</v>
      </c>
    </row>
    <row r="1667" spans="1:7" x14ac:dyDescent="0.2">
      <c r="A1667" s="3" t="s">
        <v>1072</v>
      </c>
      <c r="B1667" s="4">
        <v>44804</v>
      </c>
      <c r="C1667" s="3" t="s">
        <v>1172</v>
      </c>
      <c r="D1667" s="3" t="s">
        <v>1382</v>
      </c>
      <c r="E1667" s="3" t="s">
        <v>1383</v>
      </c>
      <c r="F1667" s="3">
        <v>0</v>
      </c>
      <c r="G1667" s="3">
        <v>-120</v>
      </c>
    </row>
    <row r="1668" spans="1:7" x14ac:dyDescent="0.2">
      <c r="A1668" s="3" t="s">
        <v>1072</v>
      </c>
      <c r="B1668" s="4">
        <v>44804</v>
      </c>
      <c r="C1668" s="3" t="s">
        <v>1172</v>
      </c>
      <c r="D1668" s="3" t="s">
        <v>1384</v>
      </c>
      <c r="E1668" s="3" t="s">
        <v>1385</v>
      </c>
      <c r="F1668" s="3">
        <v>0</v>
      </c>
      <c r="G1668" s="3">
        <v>247347.05</v>
      </c>
    </row>
    <row r="1669" spans="1:7" x14ac:dyDescent="0.2">
      <c r="A1669" s="3" t="s">
        <v>1069</v>
      </c>
      <c r="B1669" s="4">
        <v>44804</v>
      </c>
      <c r="C1669" s="3" t="s">
        <v>1172</v>
      </c>
      <c r="D1669" s="3" t="s">
        <v>1384</v>
      </c>
      <c r="E1669" s="3" t="s">
        <v>1385</v>
      </c>
      <c r="F1669" s="3">
        <v>0</v>
      </c>
      <c r="G1669" s="3">
        <v>-17080353.050000001</v>
      </c>
    </row>
    <row r="1670" spans="1:7" x14ac:dyDescent="0.2">
      <c r="A1670" s="3" t="s">
        <v>1069</v>
      </c>
      <c r="B1670" s="4">
        <v>44804</v>
      </c>
      <c r="C1670" s="3" t="s">
        <v>1180</v>
      </c>
      <c r="D1670" s="3" t="s">
        <v>1241</v>
      </c>
      <c r="E1670" s="3" t="s">
        <v>1242</v>
      </c>
      <c r="F1670" s="3">
        <v>0</v>
      </c>
      <c r="G1670" s="3">
        <v>17562360.850000001</v>
      </c>
    </row>
    <row r="1671" spans="1:7" x14ac:dyDescent="0.2">
      <c r="A1671" s="3" t="s">
        <v>1072</v>
      </c>
      <c r="B1671" s="4">
        <v>44804</v>
      </c>
      <c r="C1671" s="3" t="s">
        <v>1180</v>
      </c>
      <c r="D1671" s="3" t="s">
        <v>1483</v>
      </c>
      <c r="E1671" s="3" t="s">
        <v>1177</v>
      </c>
      <c r="F1671" s="3">
        <v>0</v>
      </c>
      <c r="G1671" s="3">
        <v>3050000</v>
      </c>
    </row>
    <row r="1672" spans="1:7" x14ac:dyDescent="0.2">
      <c r="A1672" s="3" t="s">
        <v>1072</v>
      </c>
      <c r="B1672" s="4">
        <v>44804</v>
      </c>
      <c r="C1672" s="3" t="s">
        <v>1180</v>
      </c>
      <c r="D1672" s="3" t="s">
        <v>1390</v>
      </c>
      <c r="E1672" s="3" t="s">
        <v>1391</v>
      </c>
      <c r="F1672" s="3">
        <v>-65000</v>
      </c>
      <c r="G1672" s="3">
        <v>0</v>
      </c>
    </row>
    <row r="1673" spans="1:7" x14ac:dyDescent="0.2">
      <c r="A1673" s="3" t="s">
        <v>1072</v>
      </c>
      <c r="B1673" s="4">
        <v>44804</v>
      </c>
      <c r="C1673" s="3" t="s">
        <v>1180</v>
      </c>
      <c r="D1673" s="3" t="s">
        <v>1394</v>
      </c>
      <c r="E1673" s="3" t="s">
        <v>1256</v>
      </c>
      <c r="F1673" s="3">
        <v>-600</v>
      </c>
      <c r="G1673" s="3">
        <v>0</v>
      </c>
    </row>
    <row r="1674" spans="1:7" x14ac:dyDescent="0.2">
      <c r="A1674" s="3" t="s">
        <v>1072</v>
      </c>
      <c r="B1674" s="4">
        <v>44804</v>
      </c>
      <c r="C1674" s="3" t="s">
        <v>1180</v>
      </c>
      <c r="D1674" s="3" t="s">
        <v>1395</v>
      </c>
      <c r="E1674" s="3" t="s">
        <v>1396</v>
      </c>
      <c r="F1674" s="3">
        <v>-465000</v>
      </c>
      <c r="G1674" s="3">
        <v>-3946000</v>
      </c>
    </row>
    <row r="1675" spans="1:7" x14ac:dyDescent="0.2">
      <c r="A1675" s="3" t="s">
        <v>1072</v>
      </c>
      <c r="B1675" s="4">
        <v>44804</v>
      </c>
      <c r="C1675" s="3" t="s">
        <v>1180</v>
      </c>
      <c r="D1675" s="3" t="s">
        <v>1397</v>
      </c>
      <c r="E1675" s="3" t="s">
        <v>1398</v>
      </c>
      <c r="F1675" s="3">
        <v>-600</v>
      </c>
      <c r="G1675" s="3">
        <v>0</v>
      </c>
    </row>
    <row r="1676" spans="1:7" x14ac:dyDescent="0.2">
      <c r="A1676" s="3" t="s">
        <v>1072</v>
      </c>
      <c r="B1676" s="4">
        <v>44804</v>
      </c>
      <c r="C1676" s="3" t="s">
        <v>1180</v>
      </c>
      <c r="D1676" s="3" t="s">
        <v>1512</v>
      </c>
      <c r="E1676" s="3" t="s">
        <v>1513</v>
      </c>
      <c r="F1676" s="3">
        <v>1139000</v>
      </c>
      <c r="G1676" s="3">
        <v>1349000</v>
      </c>
    </row>
    <row r="1677" spans="1:7" x14ac:dyDescent="0.2">
      <c r="A1677" s="3" t="s">
        <v>1072</v>
      </c>
      <c r="B1677" s="4">
        <v>44804</v>
      </c>
      <c r="C1677" s="3" t="s">
        <v>1180</v>
      </c>
      <c r="D1677" s="3" t="s">
        <v>1399</v>
      </c>
      <c r="E1677" s="3" t="s">
        <v>1400</v>
      </c>
      <c r="F1677" s="3">
        <v>115000</v>
      </c>
      <c r="G1677" s="3">
        <v>0</v>
      </c>
    </row>
    <row r="1678" spans="1:7" x14ac:dyDescent="0.2">
      <c r="A1678" s="3" t="s">
        <v>1074</v>
      </c>
      <c r="B1678" s="4">
        <v>44804</v>
      </c>
      <c r="C1678" s="3" t="s">
        <v>1175</v>
      </c>
      <c r="D1678" s="3" t="s">
        <v>1492</v>
      </c>
      <c r="E1678" s="3" t="s">
        <v>1493</v>
      </c>
      <c r="F1678" s="3">
        <v>-290390</v>
      </c>
      <c r="G1678" s="3">
        <v>-1721841.22</v>
      </c>
    </row>
    <row r="1679" spans="1:7" x14ac:dyDescent="0.2">
      <c r="A1679" s="3" t="s">
        <v>1069</v>
      </c>
      <c r="B1679" s="4">
        <v>44804</v>
      </c>
      <c r="C1679" s="3" t="s">
        <v>1175</v>
      </c>
      <c r="D1679" s="3" t="s">
        <v>1178</v>
      </c>
      <c r="E1679" s="3" t="s">
        <v>1179</v>
      </c>
      <c r="F1679" s="3">
        <v>465000</v>
      </c>
      <c r="G1679" s="3">
        <v>3946000</v>
      </c>
    </row>
    <row r="1680" spans="1:7" x14ac:dyDescent="0.2">
      <c r="A1680" s="3" t="s">
        <v>1069</v>
      </c>
      <c r="B1680" s="4">
        <v>44804</v>
      </c>
      <c r="C1680" s="3" t="s">
        <v>1175</v>
      </c>
      <c r="D1680" s="3" t="s">
        <v>1494</v>
      </c>
      <c r="E1680" s="3" t="s">
        <v>1495</v>
      </c>
      <c r="F1680" s="3">
        <v>290390</v>
      </c>
      <c r="G1680" s="3">
        <v>1721841.22</v>
      </c>
    </row>
    <row r="1681" spans="1:7" x14ac:dyDescent="0.2">
      <c r="A1681" s="3" t="s">
        <v>1072</v>
      </c>
      <c r="B1681" s="4">
        <v>44804</v>
      </c>
      <c r="C1681" s="3" t="s">
        <v>1175</v>
      </c>
      <c r="D1681" s="3" t="s">
        <v>1405</v>
      </c>
      <c r="E1681" s="3" t="s">
        <v>1406</v>
      </c>
      <c r="F1681" s="3">
        <v>5211.74</v>
      </c>
      <c r="G1681" s="3">
        <v>31216.42</v>
      </c>
    </row>
    <row r="1682" spans="1:7" x14ac:dyDescent="0.2">
      <c r="A1682" s="3" t="s">
        <v>1072</v>
      </c>
      <c r="B1682" s="4">
        <v>44804</v>
      </c>
      <c r="C1682" s="3" t="s">
        <v>1175</v>
      </c>
      <c r="D1682" s="3" t="s">
        <v>1407</v>
      </c>
      <c r="E1682" s="3" t="s">
        <v>1408</v>
      </c>
      <c r="F1682" s="3">
        <v>0</v>
      </c>
      <c r="G1682" s="3">
        <v>-58920.1</v>
      </c>
    </row>
    <row r="1683" spans="1:7" x14ac:dyDescent="0.2">
      <c r="A1683" s="3" t="s">
        <v>1072</v>
      </c>
      <c r="B1683" s="4">
        <v>44804</v>
      </c>
      <c r="C1683" s="3" t="s">
        <v>1180</v>
      </c>
      <c r="D1683" s="3" t="s">
        <v>1409</v>
      </c>
      <c r="E1683" s="3" t="s">
        <v>1410</v>
      </c>
      <c r="F1683" s="3">
        <v>0</v>
      </c>
      <c r="G1683" s="3">
        <v>216064.1</v>
      </c>
    </row>
    <row r="1684" spans="1:7" x14ac:dyDescent="0.2">
      <c r="A1684" s="3" t="s">
        <v>1072</v>
      </c>
      <c r="B1684" s="4">
        <v>44804</v>
      </c>
      <c r="C1684" s="3" t="s">
        <v>1180</v>
      </c>
      <c r="D1684" s="3" t="s">
        <v>1411</v>
      </c>
      <c r="E1684" s="3" t="s">
        <v>1412</v>
      </c>
      <c r="F1684" s="3">
        <v>0</v>
      </c>
      <c r="G1684" s="3">
        <v>-216063.1</v>
      </c>
    </row>
    <row r="1685" spans="1:7" x14ac:dyDescent="0.2">
      <c r="A1685" s="3" t="s">
        <v>1072</v>
      </c>
      <c r="B1685" s="4">
        <v>44804</v>
      </c>
      <c r="C1685" s="3" t="s">
        <v>1180</v>
      </c>
      <c r="D1685" s="3" t="s">
        <v>1413</v>
      </c>
      <c r="E1685" s="3" t="s">
        <v>1414</v>
      </c>
      <c r="F1685" s="3">
        <v>8605.2199999999993</v>
      </c>
      <c r="G1685" s="3">
        <v>92100.13</v>
      </c>
    </row>
    <row r="1686" spans="1:7" x14ac:dyDescent="0.2">
      <c r="A1686" s="3" t="s">
        <v>1072</v>
      </c>
      <c r="B1686" s="4">
        <v>44804</v>
      </c>
      <c r="C1686" s="3" t="s">
        <v>1180</v>
      </c>
      <c r="D1686" s="3" t="s">
        <v>1415</v>
      </c>
      <c r="E1686" s="3" t="s">
        <v>1416</v>
      </c>
      <c r="F1686" s="3">
        <v>-2132.06</v>
      </c>
      <c r="G1686" s="3">
        <v>-29927.96</v>
      </c>
    </row>
    <row r="1687" spans="1:7" x14ac:dyDescent="0.2">
      <c r="A1687" s="3" t="s">
        <v>1072</v>
      </c>
      <c r="B1687" s="4">
        <v>44804</v>
      </c>
      <c r="C1687" s="3" t="s">
        <v>1180</v>
      </c>
      <c r="D1687" s="3" t="s">
        <v>1462</v>
      </c>
      <c r="E1687" s="3" t="s">
        <v>1463</v>
      </c>
      <c r="F1687" s="3">
        <v>0</v>
      </c>
      <c r="G1687" s="3">
        <v>29281.39</v>
      </c>
    </row>
    <row r="1688" spans="1:7" x14ac:dyDescent="0.2">
      <c r="A1688" s="3" t="s">
        <v>1072</v>
      </c>
      <c r="B1688" s="4">
        <v>44804</v>
      </c>
      <c r="C1688" s="3" t="s">
        <v>1180</v>
      </c>
      <c r="D1688" s="3" t="s">
        <v>1484</v>
      </c>
      <c r="E1688" s="3" t="s">
        <v>1485</v>
      </c>
      <c r="F1688" s="3">
        <v>-427.2</v>
      </c>
      <c r="G1688" s="3">
        <v>-2969.92</v>
      </c>
    </row>
    <row r="1689" spans="1:7" x14ac:dyDescent="0.2">
      <c r="A1689" s="3" t="s">
        <v>1072</v>
      </c>
      <c r="B1689" s="4">
        <v>44804</v>
      </c>
      <c r="C1689" s="3" t="s">
        <v>1180</v>
      </c>
      <c r="D1689" s="3" t="s">
        <v>1417</v>
      </c>
      <c r="E1689" s="3" t="s">
        <v>1418</v>
      </c>
      <c r="F1689" s="3">
        <v>0</v>
      </c>
      <c r="G1689" s="3">
        <v>11600</v>
      </c>
    </row>
    <row r="1690" spans="1:7" x14ac:dyDescent="0.2">
      <c r="A1690" s="3" t="s">
        <v>1072</v>
      </c>
      <c r="B1690" s="4">
        <v>44804</v>
      </c>
      <c r="C1690" s="3" t="s">
        <v>1180</v>
      </c>
      <c r="D1690" s="3" t="s">
        <v>1419</v>
      </c>
      <c r="E1690" s="3" t="s">
        <v>1420</v>
      </c>
      <c r="F1690" s="3">
        <v>-193.33</v>
      </c>
      <c r="G1690" s="3">
        <v>-1965.56</v>
      </c>
    </row>
    <row r="1691" spans="1:7" x14ac:dyDescent="0.2">
      <c r="A1691" s="3" t="s">
        <v>1069</v>
      </c>
      <c r="B1691" s="4">
        <v>44804</v>
      </c>
      <c r="C1691" s="3" t="s">
        <v>1180</v>
      </c>
      <c r="D1691" s="3" t="s">
        <v>1421</v>
      </c>
      <c r="E1691" s="3" t="s">
        <v>1422</v>
      </c>
      <c r="F1691" s="3">
        <v>0</v>
      </c>
      <c r="G1691" s="3">
        <v>874505.75</v>
      </c>
    </row>
    <row r="1692" spans="1:7" x14ac:dyDescent="0.2">
      <c r="A1692" s="3" t="s">
        <v>1074</v>
      </c>
      <c r="B1692" s="4">
        <v>44804</v>
      </c>
      <c r="C1692" s="3" t="s">
        <v>1180</v>
      </c>
      <c r="D1692" s="3" t="s">
        <v>1421</v>
      </c>
      <c r="E1692" s="3" t="s">
        <v>1533</v>
      </c>
      <c r="F1692" s="3">
        <v>284986.5</v>
      </c>
      <c r="G1692" s="3">
        <v>284986.5</v>
      </c>
    </row>
    <row r="1693" spans="1:7" x14ac:dyDescent="0.2">
      <c r="A1693" s="3" t="s">
        <v>1069</v>
      </c>
      <c r="B1693" s="4">
        <v>44804</v>
      </c>
      <c r="C1693" s="3" t="s">
        <v>1180</v>
      </c>
      <c r="D1693" s="3" t="s">
        <v>1214</v>
      </c>
      <c r="E1693" s="3" t="s">
        <v>1215</v>
      </c>
      <c r="F1693" s="3">
        <v>0</v>
      </c>
      <c r="G1693" s="3">
        <v>26200000</v>
      </c>
    </row>
    <row r="1694" spans="1:7" x14ac:dyDescent="0.2">
      <c r="A1694" s="3" t="s">
        <v>1069</v>
      </c>
      <c r="B1694" s="4">
        <v>44804</v>
      </c>
      <c r="C1694" s="3" t="s">
        <v>1180</v>
      </c>
      <c r="D1694" s="3" t="s">
        <v>1216</v>
      </c>
      <c r="E1694" s="3" t="s">
        <v>1217</v>
      </c>
      <c r="F1694" s="3">
        <v>0</v>
      </c>
      <c r="G1694" s="3">
        <v>68427</v>
      </c>
    </row>
    <row r="1695" spans="1:7" x14ac:dyDescent="0.2">
      <c r="A1695" s="3" t="s">
        <v>1069</v>
      </c>
      <c r="B1695" s="4">
        <v>44804</v>
      </c>
      <c r="C1695" s="3" t="s">
        <v>1180</v>
      </c>
      <c r="D1695" s="3" t="s">
        <v>1218</v>
      </c>
      <c r="E1695" s="3" t="s">
        <v>1219</v>
      </c>
      <c r="F1695" s="3">
        <v>0</v>
      </c>
      <c r="G1695" s="3">
        <v>103812</v>
      </c>
    </row>
    <row r="1696" spans="1:7" x14ac:dyDescent="0.2">
      <c r="A1696" s="3" t="s">
        <v>1069</v>
      </c>
      <c r="B1696" s="4">
        <v>44804</v>
      </c>
      <c r="C1696" s="3" t="s">
        <v>1180</v>
      </c>
      <c r="D1696" s="3" t="s">
        <v>1197</v>
      </c>
      <c r="E1696" s="3" t="s">
        <v>1198</v>
      </c>
      <c r="F1696" s="3">
        <v>0</v>
      </c>
      <c r="G1696" s="3">
        <v>150780</v>
      </c>
    </row>
    <row r="1697" spans="1:7" x14ac:dyDescent="0.2">
      <c r="A1697" s="3" t="s">
        <v>1069</v>
      </c>
      <c r="B1697" s="4">
        <v>44804</v>
      </c>
      <c r="C1697" s="3" t="s">
        <v>1180</v>
      </c>
      <c r="D1697" s="3" t="s">
        <v>1496</v>
      </c>
      <c r="E1697" s="3" t="s">
        <v>1497</v>
      </c>
      <c r="F1697" s="3">
        <v>16500</v>
      </c>
      <c r="G1697" s="3">
        <v>76500</v>
      </c>
    </row>
    <row r="1698" spans="1:7" x14ac:dyDescent="0.2">
      <c r="A1698" s="3" t="s">
        <v>1069</v>
      </c>
      <c r="B1698" s="4">
        <v>44804</v>
      </c>
      <c r="C1698" s="3" t="s">
        <v>1180</v>
      </c>
      <c r="D1698" s="3" t="s">
        <v>1181</v>
      </c>
      <c r="E1698" s="3" t="s">
        <v>1182</v>
      </c>
      <c r="F1698" s="3">
        <v>44276</v>
      </c>
      <c r="G1698" s="3">
        <v>6685224.7999999998</v>
      </c>
    </row>
    <row r="1699" spans="1:7" x14ac:dyDescent="0.2">
      <c r="A1699" s="3" t="s">
        <v>1069</v>
      </c>
      <c r="B1699" s="4">
        <v>44804</v>
      </c>
      <c r="C1699" s="3" t="s">
        <v>1180</v>
      </c>
      <c r="D1699" s="3" t="s">
        <v>1263</v>
      </c>
      <c r="E1699" s="3" t="s">
        <v>1264</v>
      </c>
      <c r="F1699" s="3">
        <v>0</v>
      </c>
      <c r="G1699" s="3">
        <v>13807.78</v>
      </c>
    </row>
    <row r="1700" spans="1:7" x14ac:dyDescent="0.2">
      <c r="A1700" s="3" t="s">
        <v>1069</v>
      </c>
      <c r="B1700" s="4">
        <v>44804</v>
      </c>
      <c r="C1700" s="3" t="s">
        <v>1180</v>
      </c>
      <c r="D1700" s="3" t="s">
        <v>1202</v>
      </c>
      <c r="E1700" s="3" t="s">
        <v>1203</v>
      </c>
      <c r="F1700" s="3">
        <v>59620</v>
      </c>
      <c r="G1700" s="3">
        <v>103646.09</v>
      </c>
    </row>
    <row r="1701" spans="1:7" x14ac:dyDescent="0.2">
      <c r="A1701" s="3" t="s">
        <v>1069</v>
      </c>
      <c r="B1701" s="4">
        <v>44804</v>
      </c>
      <c r="C1701" s="3" t="s">
        <v>1180</v>
      </c>
      <c r="D1701" s="3" t="s">
        <v>1204</v>
      </c>
      <c r="E1701" s="3" t="s">
        <v>1205</v>
      </c>
      <c r="F1701" s="3">
        <v>0</v>
      </c>
      <c r="G1701" s="3">
        <v>7500</v>
      </c>
    </row>
    <row r="1702" spans="1:7" x14ac:dyDescent="0.2">
      <c r="A1702" s="3" t="s">
        <v>1069</v>
      </c>
      <c r="B1702" s="4">
        <v>44804</v>
      </c>
      <c r="C1702" s="3" t="s">
        <v>1180</v>
      </c>
      <c r="D1702" s="3" t="s">
        <v>1199</v>
      </c>
      <c r="E1702" s="3" t="s">
        <v>1200</v>
      </c>
      <c r="F1702" s="3">
        <v>0</v>
      </c>
      <c r="G1702" s="3">
        <v>67400</v>
      </c>
    </row>
    <row r="1703" spans="1:7" x14ac:dyDescent="0.2">
      <c r="A1703" s="3" t="s">
        <v>1069</v>
      </c>
      <c r="B1703" s="4">
        <v>44804</v>
      </c>
      <c r="C1703" s="3" t="s">
        <v>1180</v>
      </c>
      <c r="D1703" s="3" t="s">
        <v>1486</v>
      </c>
      <c r="E1703" s="3" t="s">
        <v>1487</v>
      </c>
      <c r="F1703" s="3">
        <v>1400</v>
      </c>
      <c r="G1703" s="3">
        <v>15000</v>
      </c>
    </row>
    <row r="1704" spans="1:7" x14ac:dyDescent="0.2">
      <c r="A1704" s="3" t="s">
        <v>1069</v>
      </c>
      <c r="B1704" s="4">
        <v>44804</v>
      </c>
      <c r="C1704" s="3" t="s">
        <v>1180</v>
      </c>
      <c r="D1704" s="3" t="s">
        <v>1220</v>
      </c>
      <c r="E1704" s="3" t="s">
        <v>1221</v>
      </c>
      <c r="F1704" s="3">
        <v>0</v>
      </c>
      <c r="G1704" s="3">
        <v>15175</v>
      </c>
    </row>
    <row r="1705" spans="1:7" x14ac:dyDescent="0.2">
      <c r="A1705" s="3" t="s">
        <v>1069</v>
      </c>
      <c r="B1705" s="4">
        <v>44804</v>
      </c>
      <c r="C1705" s="3" t="s">
        <v>1180</v>
      </c>
      <c r="D1705" s="3" t="s">
        <v>1498</v>
      </c>
      <c r="E1705" s="3" t="s">
        <v>1499</v>
      </c>
      <c r="F1705" s="3">
        <v>0</v>
      </c>
      <c r="G1705" s="3">
        <v>570856.07999999996</v>
      </c>
    </row>
    <row r="1706" spans="1:7" x14ac:dyDescent="0.2">
      <c r="A1706" s="3" t="s">
        <v>1069</v>
      </c>
      <c r="B1706" s="4">
        <v>44804</v>
      </c>
      <c r="C1706" s="3" t="s">
        <v>1180</v>
      </c>
      <c r="D1706" s="3" t="s">
        <v>1183</v>
      </c>
      <c r="E1706" s="3" t="s">
        <v>1184</v>
      </c>
      <c r="F1706" s="3">
        <v>4932297.09</v>
      </c>
      <c r="G1706" s="3">
        <v>24472886.5</v>
      </c>
    </row>
    <row r="1707" spans="1:7" x14ac:dyDescent="0.2">
      <c r="A1707" s="3" t="s">
        <v>1069</v>
      </c>
      <c r="B1707" s="4">
        <v>44804</v>
      </c>
      <c r="C1707" s="3" t="s">
        <v>1180</v>
      </c>
      <c r="D1707" s="3" t="s">
        <v>1222</v>
      </c>
      <c r="E1707" s="3" t="s">
        <v>1223</v>
      </c>
      <c r="F1707" s="3">
        <v>382608.7</v>
      </c>
      <c r="G1707" s="3">
        <v>3016035.43</v>
      </c>
    </row>
    <row r="1708" spans="1:7" x14ac:dyDescent="0.2">
      <c r="A1708" s="3" t="s">
        <v>1069</v>
      </c>
      <c r="B1708" s="4">
        <v>44804</v>
      </c>
      <c r="C1708" s="3" t="s">
        <v>1180</v>
      </c>
      <c r="D1708" s="3" t="s">
        <v>1235</v>
      </c>
      <c r="E1708" s="3" t="s">
        <v>1236</v>
      </c>
      <c r="F1708" s="3">
        <v>0</v>
      </c>
      <c r="G1708" s="3">
        <v>782608.07</v>
      </c>
    </row>
    <row r="1709" spans="1:7" x14ac:dyDescent="0.2">
      <c r="A1709" s="3" t="s">
        <v>1069</v>
      </c>
      <c r="B1709" s="4">
        <v>44804</v>
      </c>
      <c r="C1709" s="3" t="s">
        <v>1180</v>
      </c>
      <c r="D1709" s="3" t="s">
        <v>1206</v>
      </c>
      <c r="E1709" s="3" t="s">
        <v>1207</v>
      </c>
      <c r="F1709" s="3">
        <v>0</v>
      </c>
      <c r="G1709" s="3">
        <v>163550</v>
      </c>
    </row>
    <row r="1710" spans="1:7" x14ac:dyDescent="0.2">
      <c r="A1710" s="3" t="s">
        <v>1069</v>
      </c>
      <c r="B1710" s="4">
        <v>44804</v>
      </c>
      <c r="C1710" s="3" t="s">
        <v>1180</v>
      </c>
      <c r="D1710" s="3" t="s">
        <v>1208</v>
      </c>
      <c r="E1710" s="3" t="s">
        <v>1209</v>
      </c>
      <c r="F1710" s="3">
        <v>0</v>
      </c>
      <c r="G1710" s="3">
        <v>45000</v>
      </c>
    </row>
    <row r="1711" spans="1:7" x14ac:dyDescent="0.2">
      <c r="A1711" s="3" t="s">
        <v>1069</v>
      </c>
      <c r="B1711" s="4">
        <v>44804</v>
      </c>
      <c r="C1711" s="3" t="s">
        <v>1180</v>
      </c>
      <c r="D1711" s="3" t="s">
        <v>1259</v>
      </c>
      <c r="E1711" s="3" t="s">
        <v>1260</v>
      </c>
      <c r="F1711" s="3">
        <v>6000</v>
      </c>
      <c r="G1711" s="3">
        <v>95000</v>
      </c>
    </row>
    <row r="1712" spans="1:7" x14ac:dyDescent="0.2">
      <c r="A1712" s="3" t="s">
        <v>1069</v>
      </c>
      <c r="B1712" s="4">
        <v>44804</v>
      </c>
      <c r="C1712" s="3" t="s">
        <v>1180</v>
      </c>
      <c r="D1712" s="3" t="s">
        <v>1265</v>
      </c>
      <c r="E1712" s="3" t="s">
        <v>1266</v>
      </c>
      <c r="F1712" s="3">
        <v>18933.05</v>
      </c>
      <c r="G1712" s="3">
        <v>1020699.54</v>
      </c>
    </row>
    <row r="1713" spans="1:7" x14ac:dyDescent="0.2">
      <c r="A1713" s="3" t="s">
        <v>1074</v>
      </c>
      <c r="B1713" s="4">
        <v>44804</v>
      </c>
      <c r="C1713" s="3" t="s">
        <v>1180</v>
      </c>
      <c r="D1713" s="3" t="s">
        <v>1265</v>
      </c>
      <c r="E1713" s="3" t="s">
        <v>1518</v>
      </c>
      <c r="F1713" s="3">
        <v>0</v>
      </c>
      <c r="G1713" s="3">
        <v>1233261.93</v>
      </c>
    </row>
    <row r="1714" spans="1:7" x14ac:dyDescent="0.2">
      <c r="A1714" s="3" t="s">
        <v>1069</v>
      </c>
      <c r="B1714" s="4">
        <v>44804</v>
      </c>
      <c r="C1714" s="3" t="s">
        <v>1180</v>
      </c>
      <c r="D1714" s="3" t="s">
        <v>1423</v>
      </c>
      <c r="E1714" s="3" t="s">
        <v>1424</v>
      </c>
      <c r="F1714" s="3">
        <v>0</v>
      </c>
      <c r="G1714" s="3">
        <v>622274.51</v>
      </c>
    </row>
    <row r="1715" spans="1:7" x14ac:dyDescent="0.2">
      <c r="A1715" s="3" t="s">
        <v>1069</v>
      </c>
      <c r="B1715" s="4">
        <v>44804</v>
      </c>
      <c r="C1715" s="3" t="s">
        <v>1180</v>
      </c>
      <c r="D1715" s="3" t="s">
        <v>1519</v>
      </c>
      <c r="E1715" s="3" t="s">
        <v>1520</v>
      </c>
      <c r="F1715" s="3">
        <v>240274.17</v>
      </c>
      <c r="G1715" s="3">
        <v>938082.41</v>
      </c>
    </row>
    <row r="1716" spans="1:7" x14ac:dyDescent="0.2">
      <c r="A1716" s="3" t="s">
        <v>1074</v>
      </c>
      <c r="B1716" s="4">
        <v>44804</v>
      </c>
      <c r="C1716" s="3" t="s">
        <v>1180</v>
      </c>
      <c r="D1716" s="3" t="s">
        <v>1521</v>
      </c>
      <c r="E1716" s="3" t="s">
        <v>1522</v>
      </c>
      <c r="F1716" s="3">
        <v>0</v>
      </c>
      <c r="G1716" s="3">
        <v>8500</v>
      </c>
    </row>
    <row r="1717" spans="1:7" x14ac:dyDescent="0.2">
      <c r="A1717" s="3" t="s">
        <v>1074</v>
      </c>
      <c r="B1717" s="4">
        <v>44804</v>
      </c>
      <c r="C1717" s="3" t="s">
        <v>1180</v>
      </c>
      <c r="D1717" s="3" t="s">
        <v>1534</v>
      </c>
      <c r="E1717" s="3" t="s">
        <v>1535</v>
      </c>
      <c r="F1717" s="3">
        <v>250000</v>
      </c>
      <c r="G1717" s="3">
        <v>250000</v>
      </c>
    </row>
    <row r="1718" spans="1:7" x14ac:dyDescent="0.2">
      <c r="A1718" s="3" t="s">
        <v>1069</v>
      </c>
      <c r="B1718" s="4">
        <v>44804</v>
      </c>
      <c r="C1718" s="3" t="s">
        <v>1180</v>
      </c>
      <c r="D1718" s="3" t="s">
        <v>1529</v>
      </c>
      <c r="E1718" s="3" t="s">
        <v>1530</v>
      </c>
      <c r="F1718" s="3">
        <v>0</v>
      </c>
      <c r="G1718" s="3">
        <v>3023829.42</v>
      </c>
    </row>
    <row r="1719" spans="1:7" x14ac:dyDescent="0.2">
      <c r="A1719" s="3" t="s">
        <v>1069</v>
      </c>
      <c r="B1719" s="4">
        <v>44804</v>
      </c>
      <c r="C1719" s="3" t="s">
        <v>1180</v>
      </c>
      <c r="D1719" s="3" t="s">
        <v>1536</v>
      </c>
      <c r="E1719" s="3" t="s">
        <v>1537</v>
      </c>
      <c r="F1719" s="3">
        <v>850000</v>
      </c>
      <c r="G1719" s="3">
        <v>850000</v>
      </c>
    </row>
    <row r="1720" spans="1:7" x14ac:dyDescent="0.2">
      <c r="A1720" s="3" t="s">
        <v>1072</v>
      </c>
      <c r="B1720" s="4">
        <v>44804</v>
      </c>
      <c r="C1720" s="3" t="s">
        <v>1180</v>
      </c>
      <c r="D1720" s="3" t="s">
        <v>1425</v>
      </c>
      <c r="E1720" s="3" t="s">
        <v>1426</v>
      </c>
      <c r="F1720" s="3">
        <v>0</v>
      </c>
      <c r="G1720" s="3">
        <v>6875.45</v>
      </c>
    </row>
    <row r="1721" spans="1:7" x14ac:dyDescent="0.2">
      <c r="A1721" s="3" t="s">
        <v>1072</v>
      </c>
      <c r="B1721" s="4">
        <v>44804</v>
      </c>
      <c r="C1721" s="3" t="s">
        <v>1180</v>
      </c>
      <c r="D1721" s="3" t="s">
        <v>1427</v>
      </c>
      <c r="E1721" s="3" t="s">
        <v>1428</v>
      </c>
      <c r="F1721" s="3">
        <v>2993943.68</v>
      </c>
      <c r="G1721" s="3">
        <v>8337040.9299999997</v>
      </c>
    </row>
    <row r="1722" spans="1:7" x14ac:dyDescent="0.2">
      <c r="A1722" s="3" t="s">
        <v>1072</v>
      </c>
      <c r="B1722" s="4">
        <v>44804</v>
      </c>
      <c r="C1722" s="3" t="s">
        <v>1180</v>
      </c>
      <c r="D1722" s="3" t="s">
        <v>1429</v>
      </c>
      <c r="E1722" s="3" t="s">
        <v>1430</v>
      </c>
      <c r="F1722" s="3">
        <v>-2719.44</v>
      </c>
      <c r="G1722" s="3">
        <v>19036.07</v>
      </c>
    </row>
    <row r="1723" spans="1:7" x14ac:dyDescent="0.2">
      <c r="A1723" s="3" t="s">
        <v>1072</v>
      </c>
      <c r="B1723" s="4">
        <v>44804</v>
      </c>
      <c r="C1723" s="3" t="s">
        <v>1180</v>
      </c>
      <c r="D1723" s="3" t="s">
        <v>1431</v>
      </c>
      <c r="E1723" s="3" t="s">
        <v>1432</v>
      </c>
      <c r="F1723" s="3">
        <v>25</v>
      </c>
      <c r="G1723" s="3">
        <v>25</v>
      </c>
    </row>
    <row r="1724" spans="1:7" x14ac:dyDescent="0.2">
      <c r="A1724" s="3" t="s">
        <v>1069</v>
      </c>
      <c r="B1724" s="4">
        <v>44804</v>
      </c>
      <c r="C1724" s="3" t="s">
        <v>1180</v>
      </c>
      <c r="D1724" s="3" t="s">
        <v>1187</v>
      </c>
      <c r="E1724" s="3" t="s">
        <v>1188</v>
      </c>
      <c r="F1724" s="3">
        <v>1018319</v>
      </c>
      <c r="G1724" s="3">
        <v>1034604.19</v>
      </c>
    </row>
    <row r="1725" spans="1:7" x14ac:dyDescent="0.2">
      <c r="A1725" s="3" t="s">
        <v>1072</v>
      </c>
      <c r="B1725" s="4">
        <v>44804</v>
      </c>
      <c r="C1725" s="3" t="s">
        <v>1180</v>
      </c>
      <c r="D1725" s="3" t="s">
        <v>1187</v>
      </c>
      <c r="E1725" s="3" t="s">
        <v>1433</v>
      </c>
      <c r="F1725" s="3">
        <v>828644.26</v>
      </c>
      <c r="G1725" s="3">
        <v>949554.57</v>
      </c>
    </row>
    <row r="1726" spans="1:7" x14ac:dyDescent="0.2">
      <c r="A1726" s="3" t="s">
        <v>1072</v>
      </c>
      <c r="B1726" s="4">
        <v>44804</v>
      </c>
      <c r="C1726" s="3" t="s">
        <v>1180</v>
      </c>
      <c r="D1726" s="3" t="s">
        <v>1435</v>
      </c>
      <c r="E1726" s="3" t="s">
        <v>1436</v>
      </c>
      <c r="F1726" s="3">
        <v>2.39</v>
      </c>
      <c r="G1726" s="3">
        <v>522.6</v>
      </c>
    </row>
    <row r="1727" spans="1:7" x14ac:dyDescent="0.2">
      <c r="A1727" s="3" t="s">
        <v>1069</v>
      </c>
      <c r="B1727" s="4">
        <v>44804</v>
      </c>
      <c r="C1727" s="3" t="s">
        <v>1180</v>
      </c>
      <c r="D1727" s="3" t="s">
        <v>1243</v>
      </c>
      <c r="E1727" s="3" t="s">
        <v>1244</v>
      </c>
      <c r="F1727" s="3">
        <v>3.3</v>
      </c>
      <c r="G1727" s="3">
        <v>802.62</v>
      </c>
    </row>
    <row r="1728" spans="1:7" x14ac:dyDescent="0.2">
      <c r="A1728" s="3" t="s">
        <v>1069</v>
      </c>
      <c r="B1728" s="4">
        <v>44804</v>
      </c>
      <c r="C1728" s="3" t="s">
        <v>1180</v>
      </c>
      <c r="D1728" s="3" t="s">
        <v>1245</v>
      </c>
      <c r="E1728" s="3" t="s">
        <v>1246</v>
      </c>
      <c r="F1728" s="3">
        <v>-1710365.74</v>
      </c>
      <c r="G1728" s="3">
        <v>11014669.82</v>
      </c>
    </row>
    <row r="1729" spans="1:7" x14ac:dyDescent="0.2">
      <c r="A1729" s="3" t="s">
        <v>1072</v>
      </c>
      <c r="B1729" s="4">
        <v>44804</v>
      </c>
      <c r="C1729" s="3" t="s">
        <v>1175</v>
      </c>
      <c r="D1729" s="3" t="s">
        <v>1437</v>
      </c>
      <c r="E1729" s="3" t="s">
        <v>1438</v>
      </c>
      <c r="F1729" s="3">
        <v>0</v>
      </c>
      <c r="G1729" s="3">
        <v>-0.04</v>
      </c>
    </row>
    <row r="1730" spans="1:7" x14ac:dyDescent="0.2">
      <c r="A1730" s="3" t="s">
        <v>1072</v>
      </c>
      <c r="B1730" s="4">
        <v>44804</v>
      </c>
      <c r="C1730" s="3" t="s">
        <v>1175</v>
      </c>
      <c r="D1730" s="3" t="s">
        <v>1191</v>
      </c>
      <c r="E1730" s="3" t="s">
        <v>1192</v>
      </c>
      <c r="F1730" s="3">
        <v>-4163853.79</v>
      </c>
      <c r="G1730" s="3">
        <v>-7769666.3399999999</v>
      </c>
    </row>
    <row r="1731" spans="1:7" x14ac:dyDescent="0.2">
      <c r="A1731" s="3" t="s">
        <v>1069</v>
      </c>
      <c r="B1731" s="4">
        <v>44804</v>
      </c>
      <c r="C1731" s="3" t="s">
        <v>1175</v>
      </c>
      <c r="D1731" s="3" t="s">
        <v>1191</v>
      </c>
      <c r="E1731" s="3" t="s">
        <v>1192</v>
      </c>
      <c r="F1731" s="3">
        <v>-5457017.2300000004</v>
      </c>
      <c r="G1731" s="3">
        <v>-91600192.299999997</v>
      </c>
    </row>
    <row r="1732" spans="1:7" x14ac:dyDescent="0.2">
      <c r="A1732" s="3" t="s">
        <v>1074</v>
      </c>
      <c r="B1732" s="4">
        <v>44804</v>
      </c>
      <c r="C1732" s="3" t="s">
        <v>1175</v>
      </c>
      <c r="D1732" s="3" t="s">
        <v>1191</v>
      </c>
      <c r="E1732" s="3" t="s">
        <v>1192</v>
      </c>
      <c r="F1732" s="3">
        <v>-286926.5</v>
      </c>
      <c r="G1732" s="3">
        <v>-285676.5</v>
      </c>
    </row>
    <row r="1733" spans="1:7" x14ac:dyDescent="0.2">
      <c r="A1733" s="3" t="s">
        <v>1072</v>
      </c>
      <c r="B1733" s="4">
        <v>44804</v>
      </c>
      <c r="C1733" s="3" t="s">
        <v>1175</v>
      </c>
      <c r="D1733" s="3" t="s">
        <v>1488</v>
      </c>
      <c r="E1733" s="3" t="s">
        <v>1489</v>
      </c>
      <c r="F1733" s="3">
        <v>0</v>
      </c>
      <c r="G1733" s="3">
        <v>1186.1300000000001</v>
      </c>
    </row>
    <row r="1734" spans="1:7" x14ac:dyDescent="0.2">
      <c r="A1734" s="3" t="s">
        <v>1072</v>
      </c>
      <c r="B1734" s="4">
        <v>44804</v>
      </c>
      <c r="C1734" s="3" t="s">
        <v>1175</v>
      </c>
      <c r="D1734" s="3" t="s">
        <v>1439</v>
      </c>
      <c r="E1734" s="3" t="s">
        <v>1440</v>
      </c>
      <c r="F1734" s="3">
        <v>0</v>
      </c>
      <c r="G1734" s="3">
        <v>20758.55</v>
      </c>
    </row>
    <row r="1735" spans="1:7" x14ac:dyDescent="0.2">
      <c r="A1735" s="3" t="s">
        <v>1072</v>
      </c>
      <c r="B1735" s="4">
        <v>44804</v>
      </c>
      <c r="C1735" s="3" t="s">
        <v>1175</v>
      </c>
      <c r="D1735" s="3" t="s">
        <v>1441</v>
      </c>
      <c r="E1735" s="3" t="s">
        <v>1442</v>
      </c>
      <c r="F1735" s="3">
        <v>-807.78</v>
      </c>
      <c r="G1735" s="3">
        <v>-13726.03</v>
      </c>
    </row>
    <row r="1736" spans="1:7" x14ac:dyDescent="0.2">
      <c r="A1736" s="3" t="s">
        <v>1072</v>
      </c>
      <c r="B1736" s="4">
        <v>44804</v>
      </c>
      <c r="C1736" s="3" t="s">
        <v>1175</v>
      </c>
      <c r="D1736" s="3" t="s">
        <v>1464</v>
      </c>
      <c r="E1736" s="3" t="s">
        <v>1465</v>
      </c>
      <c r="F1736" s="3">
        <v>-12988.81</v>
      </c>
      <c r="G1736" s="3">
        <v>-39394.769999999997</v>
      </c>
    </row>
    <row r="1737" spans="1:7" x14ac:dyDescent="0.2">
      <c r="A1737" s="3" t="s">
        <v>1072</v>
      </c>
      <c r="B1737" s="4">
        <v>44804</v>
      </c>
      <c r="C1737" s="3" t="s">
        <v>1175</v>
      </c>
      <c r="D1737" s="3" t="s">
        <v>1193</v>
      </c>
      <c r="E1737" s="3" t="s">
        <v>1443</v>
      </c>
      <c r="F1737" s="3">
        <v>-211796.04</v>
      </c>
      <c r="G1737" s="3">
        <v>-1980364.5</v>
      </c>
    </row>
    <row r="1738" spans="1:7" x14ac:dyDescent="0.2">
      <c r="A1738" s="3" t="s">
        <v>1069</v>
      </c>
      <c r="B1738" s="4">
        <v>44804</v>
      </c>
      <c r="C1738" s="3" t="s">
        <v>1175</v>
      </c>
      <c r="D1738" s="3" t="s">
        <v>1193</v>
      </c>
      <c r="E1738" s="3" t="s">
        <v>1194</v>
      </c>
      <c r="F1738" s="3">
        <v>-1305813.6200000001</v>
      </c>
      <c r="G1738" s="3">
        <v>2528033.36</v>
      </c>
    </row>
    <row r="1739" spans="1:7" x14ac:dyDescent="0.2">
      <c r="A1739" s="3" t="s">
        <v>1074</v>
      </c>
      <c r="B1739" s="4">
        <v>44804</v>
      </c>
      <c r="C1739" s="3" t="s">
        <v>1175</v>
      </c>
      <c r="D1739" s="3" t="s">
        <v>1193</v>
      </c>
      <c r="E1739" s="3" t="s">
        <v>1194</v>
      </c>
      <c r="F1739" s="3">
        <v>38130</v>
      </c>
      <c r="G1739" s="3">
        <v>223569.29</v>
      </c>
    </row>
    <row r="1740" spans="1:7" x14ac:dyDescent="0.2">
      <c r="A1740" s="3" t="s">
        <v>1072</v>
      </c>
      <c r="B1740" s="4">
        <v>44804</v>
      </c>
      <c r="C1740" s="3" t="s">
        <v>1175</v>
      </c>
      <c r="D1740" s="3" t="s">
        <v>1505</v>
      </c>
      <c r="E1740" s="3" t="s">
        <v>1506</v>
      </c>
      <c r="F1740" s="3">
        <v>0</v>
      </c>
      <c r="G1740" s="3">
        <v>80</v>
      </c>
    </row>
    <row r="1741" spans="1:7" x14ac:dyDescent="0.2">
      <c r="A1741" s="3" t="s">
        <v>1072</v>
      </c>
      <c r="B1741" s="4">
        <v>44804</v>
      </c>
      <c r="C1741" s="3" t="s">
        <v>1175</v>
      </c>
      <c r="D1741" s="3" t="s">
        <v>1444</v>
      </c>
      <c r="E1741" s="3" t="s">
        <v>1445</v>
      </c>
      <c r="F1741" s="3">
        <v>0</v>
      </c>
      <c r="G1741" s="3">
        <v>1869.8</v>
      </c>
    </row>
    <row r="1742" spans="1:7" x14ac:dyDescent="0.2">
      <c r="A1742" s="3" t="s">
        <v>1072</v>
      </c>
      <c r="B1742" s="4">
        <v>44804</v>
      </c>
      <c r="C1742" s="3" t="s">
        <v>1175</v>
      </c>
      <c r="D1742" s="3" t="s">
        <v>1446</v>
      </c>
      <c r="E1742" s="3" t="s">
        <v>1447</v>
      </c>
      <c r="F1742" s="3">
        <v>0</v>
      </c>
      <c r="G1742" s="3">
        <v>-254.99</v>
      </c>
    </row>
    <row r="1743" spans="1:7" x14ac:dyDescent="0.2">
      <c r="A1743" s="3" t="s">
        <v>1072</v>
      </c>
      <c r="B1743" s="4">
        <v>44834</v>
      </c>
      <c r="C1743" s="3" t="s">
        <v>1210</v>
      </c>
      <c r="D1743" s="3" t="s">
        <v>1448</v>
      </c>
      <c r="E1743" s="3" t="s">
        <v>1449</v>
      </c>
      <c r="F1743" s="3">
        <v>-7124921.1200000001</v>
      </c>
      <c r="G1743" s="3">
        <v>-31886750.649999999</v>
      </c>
    </row>
    <row r="1744" spans="1:7" x14ac:dyDescent="0.2">
      <c r="A1744" s="3" t="s">
        <v>1072</v>
      </c>
      <c r="B1744" s="4">
        <v>44834</v>
      </c>
      <c r="C1744" s="3" t="s">
        <v>1210</v>
      </c>
      <c r="D1744" s="3" t="s">
        <v>1267</v>
      </c>
      <c r="E1744" s="3" t="s">
        <v>1268</v>
      </c>
      <c r="F1744" s="3">
        <v>0</v>
      </c>
      <c r="G1744" s="3">
        <v>-12046638.060000001</v>
      </c>
    </row>
    <row r="1745" spans="1:7" x14ac:dyDescent="0.2">
      <c r="A1745" s="3" t="s">
        <v>1072</v>
      </c>
      <c r="B1745" s="4">
        <v>44834</v>
      </c>
      <c r="C1745" s="3" t="s">
        <v>1210</v>
      </c>
      <c r="D1745" s="3" t="s">
        <v>1507</v>
      </c>
      <c r="E1745" s="3" t="s">
        <v>1508</v>
      </c>
      <c r="F1745" s="3">
        <v>0</v>
      </c>
      <c r="G1745" s="3">
        <v>-1782369.8</v>
      </c>
    </row>
    <row r="1746" spans="1:7" x14ac:dyDescent="0.2">
      <c r="A1746" s="3" t="s">
        <v>1072</v>
      </c>
      <c r="B1746" s="4">
        <v>44834</v>
      </c>
      <c r="C1746" s="3" t="s">
        <v>1210</v>
      </c>
      <c r="D1746" s="3" t="s">
        <v>1525</v>
      </c>
      <c r="E1746" s="3" t="s">
        <v>1526</v>
      </c>
      <c r="F1746" s="3">
        <v>0</v>
      </c>
      <c r="G1746" s="3">
        <v>1616.91</v>
      </c>
    </row>
    <row r="1747" spans="1:7" x14ac:dyDescent="0.2">
      <c r="A1747" s="3" t="s">
        <v>1072</v>
      </c>
      <c r="B1747" s="4">
        <v>44834</v>
      </c>
      <c r="C1747" s="3" t="s">
        <v>1210</v>
      </c>
      <c r="D1747" s="3" t="s">
        <v>1271</v>
      </c>
      <c r="E1747" s="3" t="s">
        <v>1272</v>
      </c>
      <c r="F1747" s="3">
        <v>0</v>
      </c>
      <c r="G1747" s="3">
        <v>-2839.7</v>
      </c>
    </row>
    <row r="1748" spans="1:7" x14ac:dyDescent="0.2">
      <c r="A1748" s="3" t="s">
        <v>1072</v>
      </c>
      <c r="B1748" s="4">
        <v>44834</v>
      </c>
      <c r="C1748" s="3" t="s">
        <v>1210</v>
      </c>
      <c r="D1748" s="3" t="s">
        <v>1273</v>
      </c>
      <c r="E1748" s="3" t="s">
        <v>1274</v>
      </c>
      <c r="F1748" s="3">
        <v>-3490.94</v>
      </c>
      <c r="G1748" s="3">
        <v>-24436.58</v>
      </c>
    </row>
    <row r="1749" spans="1:7" x14ac:dyDescent="0.2">
      <c r="A1749" s="3" t="s">
        <v>1074</v>
      </c>
      <c r="B1749" s="4">
        <v>44834</v>
      </c>
      <c r="C1749" s="3" t="s">
        <v>1168</v>
      </c>
      <c r="D1749" s="3" t="s">
        <v>1538</v>
      </c>
      <c r="E1749" s="3" t="s">
        <v>1539</v>
      </c>
      <c r="F1749" s="3">
        <v>678.59</v>
      </c>
      <c r="G1749" s="3">
        <v>678.59</v>
      </c>
    </row>
    <row r="1750" spans="1:7" x14ac:dyDescent="0.2">
      <c r="A1750" s="3" t="s">
        <v>1069</v>
      </c>
      <c r="B1750" s="4">
        <v>44834</v>
      </c>
      <c r="C1750" s="3" t="s">
        <v>1168</v>
      </c>
      <c r="D1750" s="3" t="s">
        <v>1514</v>
      </c>
      <c r="E1750" s="3" t="s">
        <v>1515</v>
      </c>
      <c r="F1750" s="3">
        <v>0</v>
      </c>
      <c r="G1750" s="3">
        <v>86956.52</v>
      </c>
    </row>
    <row r="1751" spans="1:7" x14ac:dyDescent="0.2">
      <c r="A1751" s="3" t="s">
        <v>1069</v>
      </c>
      <c r="B1751" s="4">
        <v>44834</v>
      </c>
      <c r="C1751" s="3" t="s">
        <v>1168</v>
      </c>
      <c r="D1751" s="3" t="s">
        <v>1531</v>
      </c>
      <c r="E1751" s="3" t="s">
        <v>1532</v>
      </c>
      <c r="F1751" s="3">
        <v>0</v>
      </c>
      <c r="G1751" s="3">
        <v>20693</v>
      </c>
    </row>
    <row r="1752" spans="1:7" x14ac:dyDescent="0.2">
      <c r="A1752" s="3" t="s">
        <v>1069</v>
      </c>
      <c r="B1752" s="4">
        <v>44834</v>
      </c>
      <c r="C1752" s="3" t="s">
        <v>1168</v>
      </c>
      <c r="D1752" s="3" t="s">
        <v>1540</v>
      </c>
      <c r="E1752" s="3" t="s">
        <v>1541</v>
      </c>
      <c r="F1752" s="3">
        <v>9738.91</v>
      </c>
      <c r="G1752" s="3">
        <v>9738.91</v>
      </c>
    </row>
    <row r="1753" spans="1:7" x14ac:dyDescent="0.2">
      <c r="A1753" s="3" t="s">
        <v>1072</v>
      </c>
      <c r="B1753" s="4">
        <v>44834</v>
      </c>
      <c r="C1753" s="3" t="s">
        <v>1168</v>
      </c>
      <c r="D1753" s="3" t="s">
        <v>1466</v>
      </c>
      <c r="E1753" s="3" t="s">
        <v>1467</v>
      </c>
      <c r="F1753" s="3">
        <v>0</v>
      </c>
      <c r="G1753" s="3">
        <v>957.28</v>
      </c>
    </row>
    <row r="1754" spans="1:7" x14ac:dyDescent="0.2">
      <c r="A1754" s="3" t="s">
        <v>1072</v>
      </c>
      <c r="B1754" s="4">
        <v>44834</v>
      </c>
      <c r="C1754" s="3" t="s">
        <v>1168</v>
      </c>
      <c r="D1754" s="3" t="s">
        <v>1281</v>
      </c>
      <c r="E1754" s="3" t="s">
        <v>1282</v>
      </c>
      <c r="F1754" s="3">
        <v>210268.29</v>
      </c>
      <c r="G1754" s="3">
        <v>16068410.279999999</v>
      </c>
    </row>
    <row r="1755" spans="1:7" x14ac:dyDescent="0.2">
      <c r="A1755" s="3" t="s">
        <v>1072</v>
      </c>
      <c r="B1755" s="4">
        <v>44834</v>
      </c>
      <c r="C1755" s="3" t="s">
        <v>1168</v>
      </c>
      <c r="D1755" s="3" t="s">
        <v>1283</v>
      </c>
      <c r="E1755" s="3" t="s">
        <v>1284</v>
      </c>
      <c r="F1755" s="3">
        <v>28359.61</v>
      </c>
      <c r="G1755" s="3">
        <v>866025.67</v>
      </c>
    </row>
    <row r="1756" spans="1:7" x14ac:dyDescent="0.2">
      <c r="A1756" s="3" t="s">
        <v>1072</v>
      </c>
      <c r="B1756" s="4">
        <v>44834</v>
      </c>
      <c r="C1756" s="3" t="s">
        <v>1168</v>
      </c>
      <c r="D1756" s="3" t="s">
        <v>1285</v>
      </c>
      <c r="E1756" s="3" t="s">
        <v>1286</v>
      </c>
      <c r="F1756" s="3">
        <v>2719.44</v>
      </c>
      <c r="G1756" s="3">
        <v>32011.81</v>
      </c>
    </row>
    <row r="1757" spans="1:7" x14ac:dyDescent="0.2">
      <c r="A1757" s="3" t="s">
        <v>1072</v>
      </c>
      <c r="B1757" s="4">
        <v>44834</v>
      </c>
      <c r="C1757" s="3" t="s">
        <v>1168</v>
      </c>
      <c r="D1757" s="3" t="s">
        <v>1287</v>
      </c>
      <c r="E1757" s="3" t="s">
        <v>1288</v>
      </c>
      <c r="F1757" s="3">
        <v>0</v>
      </c>
      <c r="G1757" s="3">
        <v>269.64999999999998</v>
      </c>
    </row>
    <row r="1758" spans="1:7" x14ac:dyDescent="0.2">
      <c r="A1758" s="3" t="s">
        <v>1072</v>
      </c>
      <c r="B1758" s="4">
        <v>44834</v>
      </c>
      <c r="C1758" s="3" t="s">
        <v>1168</v>
      </c>
      <c r="D1758" s="3" t="s">
        <v>1289</v>
      </c>
      <c r="E1758" s="3" t="s">
        <v>1290</v>
      </c>
      <c r="F1758" s="3">
        <v>0</v>
      </c>
      <c r="G1758" s="3">
        <v>11000</v>
      </c>
    </row>
    <row r="1759" spans="1:7" x14ac:dyDescent="0.2">
      <c r="A1759" s="3" t="s">
        <v>1072</v>
      </c>
      <c r="B1759" s="4">
        <v>44834</v>
      </c>
      <c r="C1759" s="3" t="s">
        <v>1168</v>
      </c>
      <c r="D1759" s="3" t="s">
        <v>1291</v>
      </c>
      <c r="E1759" s="3" t="s">
        <v>1292</v>
      </c>
      <c r="F1759" s="3">
        <v>-400</v>
      </c>
      <c r="G1759" s="3">
        <v>19600</v>
      </c>
    </row>
    <row r="1760" spans="1:7" x14ac:dyDescent="0.2">
      <c r="A1760" s="3" t="s">
        <v>1072</v>
      </c>
      <c r="B1760" s="4">
        <v>44834</v>
      </c>
      <c r="C1760" s="3" t="s">
        <v>1168</v>
      </c>
      <c r="D1760" s="3" t="s">
        <v>1299</v>
      </c>
      <c r="E1760" s="3" t="s">
        <v>1300</v>
      </c>
      <c r="F1760" s="3">
        <v>0</v>
      </c>
      <c r="G1760" s="3">
        <v>2473.65</v>
      </c>
    </row>
    <row r="1761" spans="1:7" x14ac:dyDescent="0.2">
      <c r="A1761" s="3" t="s">
        <v>1072</v>
      </c>
      <c r="B1761" s="4">
        <v>44834</v>
      </c>
      <c r="C1761" s="3" t="s">
        <v>1168</v>
      </c>
      <c r="D1761" s="3" t="s">
        <v>1301</v>
      </c>
      <c r="E1761" s="3" t="s">
        <v>1302</v>
      </c>
      <c r="F1761" s="3">
        <v>0</v>
      </c>
      <c r="G1761" s="3">
        <v>937.39</v>
      </c>
    </row>
    <row r="1762" spans="1:7" x14ac:dyDescent="0.2">
      <c r="A1762" s="3" t="s">
        <v>1072</v>
      </c>
      <c r="B1762" s="4">
        <v>44834</v>
      </c>
      <c r="C1762" s="3" t="s">
        <v>1168</v>
      </c>
      <c r="D1762" s="3" t="s">
        <v>1305</v>
      </c>
      <c r="E1762" s="3" t="s">
        <v>1306</v>
      </c>
      <c r="F1762" s="3">
        <v>704.35</v>
      </c>
      <c r="G1762" s="3">
        <v>4661.74</v>
      </c>
    </row>
    <row r="1763" spans="1:7" x14ac:dyDescent="0.2">
      <c r="A1763" s="3" t="s">
        <v>1072</v>
      </c>
      <c r="B1763" s="4">
        <v>44834</v>
      </c>
      <c r="C1763" s="3" t="s">
        <v>1168</v>
      </c>
      <c r="D1763" s="3" t="s">
        <v>1315</v>
      </c>
      <c r="E1763" s="3" t="s">
        <v>1316</v>
      </c>
      <c r="F1763" s="3">
        <v>0</v>
      </c>
      <c r="G1763" s="3">
        <v>2952.7</v>
      </c>
    </row>
    <row r="1764" spans="1:7" x14ac:dyDescent="0.2">
      <c r="A1764" s="3" t="s">
        <v>1072</v>
      </c>
      <c r="B1764" s="4">
        <v>44834</v>
      </c>
      <c r="C1764" s="3" t="s">
        <v>1168</v>
      </c>
      <c r="D1764" s="3" t="s">
        <v>1450</v>
      </c>
      <c r="E1764" s="3" t="s">
        <v>1451</v>
      </c>
      <c r="F1764" s="3">
        <v>5226462.46</v>
      </c>
      <c r="G1764" s="3">
        <v>22344353.989999998</v>
      </c>
    </row>
    <row r="1765" spans="1:7" x14ac:dyDescent="0.2">
      <c r="A1765" s="3" t="s">
        <v>1072</v>
      </c>
      <c r="B1765" s="4">
        <v>44834</v>
      </c>
      <c r="C1765" s="3" t="s">
        <v>1168</v>
      </c>
      <c r="D1765" s="3" t="s">
        <v>1452</v>
      </c>
      <c r="E1765" s="3" t="s">
        <v>1453</v>
      </c>
      <c r="F1765" s="3">
        <v>408108.91</v>
      </c>
      <c r="G1765" s="3">
        <v>1804556.23</v>
      </c>
    </row>
    <row r="1766" spans="1:7" x14ac:dyDescent="0.2">
      <c r="A1766" s="3" t="s">
        <v>1072</v>
      </c>
      <c r="B1766" s="4">
        <v>44834</v>
      </c>
      <c r="C1766" s="3" t="s">
        <v>1168</v>
      </c>
      <c r="D1766" s="3" t="s">
        <v>1454</v>
      </c>
      <c r="E1766" s="3" t="s">
        <v>1455</v>
      </c>
      <c r="F1766" s="3">
        <v>0</v>
      </c>
      <c r="G1766" s="3">
        <v>22286.3</v>
      </c>
    </row>
    <row r="1767" spans="1:7" x14ac:dyDescent="0.2">
      <c r="A1767" s="3" t="s">
        <v>1072</v>
      </c>
      <c r="B1767" s="4">
        <v>44834</v>
      </c>
      <c r="C1767" s="3" t="s">
        <v>1168</v>
      </c>
      <c r="D1767" s="3" t="s">
        <v>1468</v>
      </c>
      <c r="E1767" s="3" t="s">
        <v>1469</v>
      </c>
      <c r="F1767" s="3">
        <v>607.83000000000004</v>
      </c>
      <c r="G1767" s="3">
        <v>4062.13</v>
      </c>
    </row>
    <row r="1768" spans="1:7" x14ac:dyDescent="0.2">
      <c r="A1768" s="3" t="s">
        <v>1072</v>
      </c>
      <c r="B1768" s="4">
        <v>44834</v>
      </c>
      <c r="C1768" s="3" t="s">
        <v>1168</v>
      </c>
      <c r="D1768" s="3" t="s">
        <v>1502</v>
      </c>
      <c r="E1768" s="3" t="s">
        <v>1503</v>
      </c>
      <c r="F1768" s="3">
        <v>0</v>
      </c>
      <c r="G1768" s="3">
        <v>20565.22</v>
      </c>
    </row>
    <row r="1769" spans="1:7" x14ac:dyDescent="0.2">
      <c r="A1769" s="3" t="s">
        <v>1072</v>
      </c>
      <c r="B1769" s="4">
        <v>44834</v>
      </c>
      <c r="C1769" s="3" t="s">
        <v>1168</v>
      </c>
      <c r="D1769" s="3" t="s">
        <v>1542</v>
      </c>
      <c r="E1769" s="3" t="s">
        <v>1543</v>
      </c>
      <c r="F1769" s="3">
        <v>512835.64</v>
      </c>
      <c r="G1769" s="3">
        <v>512835.64</v>
      </c>
    </row>
    <row r="1770" spans="1:7" x14ac:dyDescent="0.2">
      <c r="A1770" s="3" t="s">
        <v>1072</v>
      </c>
      <c r="B1770" s="4">
        <v>44834</v>
      </c>
      <c r="C1770" s="3" t="s">
        <v>1168</v>
      </c>
      <c r="D1770" s="3" t="s">
        <v>1527</v>
      </c>
      <c r="E1770" s="3" t="s">
        <v>1528</v>
      </c>
      <c r="F1770" s="3">
        <v>72905.279999999999</v>
      </c>
      <c r="G1770" s="3">
        <v>92592.78</v>
      </c>
    </row>
    <row r="1771" spans="1:7" x14ac:dyDescent="0.2">
      <c r="A1771" s="3" t="s">
        <v>1072</v>
      </c>
      <c r="B1771" s="4">
        <v>44834</v>
      </c>
      <c r="C1771" s="3" t="s">
        <v>1210</v>
      </c>
      <c r="D1771" s="3" t="s">
        <v>1509</v>
      </c>
      <c r="E1771" s="3" t="s">
        <v>1510</v>
      </c>
      <c r="F1771" s="3">
        <v>-134.57</v>
      </c>
      <c r="G1771" s="3">
        <v>-325.27999999999997</v>
      </c>
    </row>
    <row r="1772" spans="1:7" x14ac:dyDescent="0.2">
      <c r="A1772" s="3" t="s">
        <v>1072</v>
      </c>
      <c r="B1772" s="4">
        <v>44834</v>
      </c>
      <c r="C1772" s="3" t="s">
        <v>1210</v>
      </c>
      <c r="D1772" s="3" t="s">
        <v>1323</v>
      </c>
      <c r="E1772" s="3" t="s">
        <v>1324</v>
      </c>
      <c r="F1772" s="3">
        <v>0</v>
      </c>
      <c r="G1772" s="3">
        <v>-12.96</v>
      </c>
    </row>
    <row r="1773" spans="1:7" x14ac:dyDescent="0.2">
      <c r="A1773" s="3" t="s">
        <v>1069</v>
      </c>
      <c r="B1773" s="4">
        <v>44834</v>
      </c>
      <c r="C1773" s="3" t="s">
        <v>1210</v>
      </c>
      <c r="D1773" s="3" t="s">
        <v>1249</v>
      </c>
      <c r="E1773" s="3" t="s">
        <v>1250</v>
      </c>
      <c r="F1773" s="3">
        <v>-30938.77</v>
      </c>
      <c r="G1773" s="3">
        <v>-251088.69</v>
      </c>
    </row>
    <row r="1774" spans="1:7" x14ac:dyDescent="0.2">
      <c r="A1774" s="3" t="s">
        <v>1072</v>
      </c>
      <c r="B1774" s="4">
        <v>44834</v>
      </c>
      <c r="C1774" s="3" t="s">
        <v>1168</v>
      </c>
      <c r="D1774" s="3" t="s">
        <v>1326</v>
      </c>
      <c r="E1774" s="3" t="s">
        <v>1088</v>
      </c>
      <c r="F1774" s="3">
        <v>0</v>
      </c>
      <c r="G1774" s="3">
        <v>10600</v>
      </c>
    </row>
    <row r="1775" spans="1:7" x14ac:dyDescent="0.2">
      <c r="A1775" s="3" t="s">
        <v>1072</v>
      </c>
      <c r="B1775" s="4">
        <v>44834</v>
      </c>
      <c r="C1775" s="3" t="s">
        <v>1168</v>
      </c>
      <c r="D1775" s="3" t="s">
        <v>1337</v>
      </c>
      <c r="E1775" s="3" t="s">
        <v>1338</v>
      </c>
      <c r="F1775" s="3">
        <v>0</v>
      </c>
      <c r="G1775" s="3">
        <v>14139.13</v>
      </c>
    </row>
    <row r="1776" spans="1:7" x14ac:dyDescent="0.2">
      <c r="A1776" s="3" t="s">
        <v>1072</v>
      </c>
      <c r="B1776" s="4">
        <v>44834</v>
      </c>
      <c r="C1776" s="3" t="s">
        <v>1168</v>
      </c>
      <c r="D1776" s="3" t="s">
        <v>1169</v>
      </c>
      <c r="E1776" s="3" t="s">
        <v>1079</v>
      </c>
      <c r="F1776" s="3">
        <v>0</v>
      </c>
      <c r="G1776" s="3">
        <v>687.5</v>
      </c>
    </row>
    <row r="1777" spans="1:7" x14ac:dyDescent="0.2">
      <c r="A1777" s="3" t="s">
        <v>1069</v>
      </c>
      <c r="B1777" s="4">
        <v>44834</v>
      </c>
      <c r="C1777" s="3" t="s">
        <v>1168</v>
      </c>
      <c r="D1777" s="3" t="s">
        <v>1169</v>
      </c>
      <c r="E1777" s="3" t="s">
        <v>1079</v>
      </c>
      <c r="F1777" s="3">
        <v>4746</v>
      </c>
      <c r="G1777" s="3">
        <v>99703.86</v>
      </c>
    </row>
    <row r="1778" spans="1:7" x14ac:dyDescent="0.2">
      <c r="A1778" s="3" t="s">
        <v>1074</v>
      </c>
      <c r="B1778" s="4">
        <v>44834</v>
      </c>
      <c r="C1778" s="3" t="s">
        <v>1168</v>
      </c>
      <c r="D1778" s="3" t="s">
        <v>1169</v>
      </c>
      <c r="E1778" s="3" t="s">
        <v>1079</v>
      </c>
      <c r="F1778" s="3">
        <v>2500</v>
      </c>
      <c r="G1778" s="3">
        <v>2500</v>
      </c>
    </row>
    <row r="1779" spans="1:7" x14ac:dyDescent="0.2">
      <c r="A1779" s="3" t="s">
        <v>1069</v>
      </c>
      <c r="B1779" s="4">
        <v>44834</v>
      </c>
      <c r="C1779" s="3" t="s">
        <v>1168</v>
      </c>
      <c r="D1779" s="3" t="s">
        <v>1261</v>
      </c>
      <c r="E1779" s="3" t="s">
        <v>1145</v>
      </c>
      <c r="F1779" s="3">
        <v>11556</v>
      </c>
      <c r="G1779" s="3">
        <v>80892</v>
      </c>
    </row>
    <row r="1780" spans="1:7" x14ac:dyDescent="0.2">
      <c r="A1780" s="3" t="s">
        <v>1072</v>
      </c>
      <c r="B1780" s="4">
        <v>44834</v>
      </c>
      <c r="C1780" s="3" t="s">
        <v>1168</v>
      </c>
      <c r="D1780" s="3" t="s">
        <v>1339</v>
      </c>
      <c r="E1780" s="3" t="s">
        <v>1087</v>
      </c>
      <c r="F1780" s="3">
        <v>0</v>
      </c>
      <c r="G1780" s="3">
        <v>137.5</v>
      </c>
    </row>
    <row r="1781" spans="1:7" x14ac:dyDescent="0.2">
      <c r="A1781" s="3" t="s">
        <v>1072</v>
      </c>
      <c r="B1781" s="4">
        <v>44834</v>
      </c>
      <c r="C1781" s="3" t="s">
        <v>1168</v>
      </c>
      <c r="D1781" s="3" t="s">
        <v>1195</v>
      </c>
      <c r="E1781" s="3" t="s">
        <v>1085</v>
      </c>
      <c r="F1781" s="3">
        <v>2627.89</v>
      </c>
      <c r="G1781" s="3">
        <v>20190.47</v>
      </c>
    </row>
    <row r="1782" spans="1:7" x14ac:dyDescent="0.2">
      <c r="A1782" s="3" t="s">
        <v>1069</v>
      </c>
      <c r="B1782" s="4">
        <v>44834</v>
      </c>
      <c r="C1782" s="3" t="s">
        <v>1168</v>
      </c>
      <c r="D1782" s="3" t="s">
        <v>1195</v>
      </c>
      <c r="E1782" s="3" t="s">
        <v>1085</v>
      </c>
      <c r="F1782" s="3">
        <v>726.9</v>
      </c>
      <c r="G1782" s="3">
        <v>5477.08</v>
      </c>
    </row>
    <row r="1783" spans="1:7" x14ac:dyDescent="0.2">
      <c r="A1783" s="3" t="s">
        <v>1072</v>
      </c>
      <c r="B1783" s="4">
        <v>44834</v>
      </c>
      <c r="C1783" s="3" t="s">
        <v>1168</v>
      </c>
      <c r="D1783" s="3" t="s">
        <v>1340</v>
      </c>
      <c r="E1783" s="3" t="s">
        <v>1141</v>
      </c>
      <c r="F1783" s="3">
        <v>0</v>
      </c>
      <c r="G1783" s="3">
        <v>1986.89</v>
      </c>
    </row>
    <row r="1784" spans="1:7" x14ac:dyDescent="0.2">
      <c r="A1784" s="3" t="s">
        <v>1072</v>
      </c>
      <c r="B1784" s="4">
        <v>44834</v>
      </c>
      <c r="C1784" s="3" t="s">
        <v>1168</v>
      </c>
      <c r="D1784" s="3" t="s">
        <v>1341</v>
      </c>
      <c r="E1784" s="3" t="s">
        <v>1135</v>
      </c>
      <c r="F1784" s="3">
        <v>662.7</v>
      </c>
      <c r="G1784" s="3">
        <v>4585.87</v>
      </c>
    </row>
    <row r="1785" spans="1:7" x14ac:dyDescent="0.2">
      <c r="A1785" s="3" t="s">
        <v>1072</v>
      </c>
      <c r="B1785" s="4">
        <v>44834</v>
      </c>
      <c r="C1785" s="3" t="s">
        <v>1168</v>
      </c>
      <c r="D1785" s="3" t="s">
        <v>1342</v>
      </c>
      <c r="E1785" s="3" t="s">
        <v>1080</v>
      </c>
      <c r="F1785" s="3">
        <v>1449</v>
      </c>
      <c r="G1785" s="3">
        <v>3307.69</v>
      </c>
    </row>
    <row r="1786" spans="1:7" x14ac:dyDescent="0.2">
      <c r="A1786" s="3" t="s">
        <v>1072</v>
      </c>
      <c r="B1786" s="4">
        <v>44834</v>
      </c>
      <c r="C1786" s="3" t="s">
        <v>1168</v>
      </c>
      <c r="D1786" s="3" t="s">
        <v>1504</v>
      </c>
      <c r="E1786" s="3" t="s">
        <v>1142</v>
      </c>
      <c r="F1786" s="3">
        <v>3130</v>
      </c>
      <c r="G1786" s="3">
        <v>28839</v>
      </c>
    </row>
    <row r="1787" spans="1:7" x14ac:dyDescent="0.2">
      <c r="A1787" s="3" t="s">
        <v>1069</v>
      </c>
      <c r="B1787" s="4">
        <v>44834</v>
      </c>
      <c r="C1787" s="3" t="s">
        <v>1168</v>
      </c>
      <c r="D1787" s="3" t="s">
        <v>1251</v>
      </c>
      <c r="E1787" s="3" t="s">
        <v>1095</v>
      </c>
      <c r="F1787" s="3">
        <v>90550</v>
      </c>
      <c r="G1787" s="3">
        <v>579990.68000000005</v>
      </c>
    </row>
    <row r="1788" spans="1:7" x14ac:dyDescent="0.2">
      <c r="A1788" s="3" t="s">
        <v>1072</v>
      </c>
      <c r="B1788" s="4">
        <v>44834</v>
      </c>
      <c r="C1788" s="3" t="s">
        <v>1168</v>
      </c>
      <c r="D1788" s="3" t="s">
        <v>1251</v>
      </c>
      <c r="E1788" s="3" t="s">
        <v>1345</v>
      </c>
      <c r="F1788" s="3">
        <v>36000</v>
      </c>
      <c r="G1788" s="3">
        <v>252000</v>
      </c>
    </row>
    <row r="1789" spans="1:7" x14ac:dyDescent="0.2">
      <c r="A1789" s="3" t="s">
        <v>1072</v>
      </c>
      <c r="B1789" s="4">
        <v>44834</v>
      </c>
      <c r="C1789" s="3" t="s">
        <v>1168</v>
      </c>
      <c r="D1789" s="3" t="s">
        <v>1348</v>
      </c>
      <c r="E1789" s="3" t="s">
        <v>1095</v>
      </c>
      <c r="F1789" s="3">
        <v>131550</v>
      </c>
      <c r="G1789" s="3">
        <v>872071.87</v>
      </c>
    </row>
    <row r="1790" spans="1:7" x14ac:dyDescent="0.2">
      <c r="A1790" s="3" t="s">
        <v>1069</v>
      </c>
      <c r="B1790" s="4">
        <v>44834</v>
      </c>
      <c r="C1790" s="3" t="s">
        <v>1168</v>
      </c>
      <c r="D1790" s="3" t="s">
        <v>1252</v>
      </c>
      <c r="E1790" s="3" t="s">
        <v>1120</v>
      </c>
      <c r="F1790" s="3">
        <v>8000</v>
      </c>
      <c r="G1790" s="3">
        <v>48000</v>
      </c>
    </row>
    <row r="1791" spans="1:7" x14ac:dyDescent="0.2">
      <c r="A1791" s="3" t="s">
        <v>1072</v>
      </c>
      <c r="B1791" s="4">
        <v>44834</v>
      </c>
      <c r="C1791" s="3" t="s">
        <v>1168</v>
      </c>
      <c r="D1791" s="3" t="s">
        <v>1349</v>
      </c>
      <c r="E1791" s="3" t="s">
        <v>1089</v>
      </c>
      <c r="F1791" s="3">
        <v>0</v>
      </c>
      <c r="G1791" s="3">
        <v>160.87</v>
      </c>
    </row>
    <row r="1792" spans="1:7" x14ac:dyDescent="0.2">
      <c r="A1792" s="3" t="s">
        <v>1072</v>
      </c>
      <c r="B1792" s="4">
        <v>44834</v>
      </c>
      <c r="C1792" s="3" t="s">
        <v>1168</v>
      </c>
      <c r="D1792" s="3" t="s">
        <v>1350</v>
      </c>
      <c r="E1792" s="3" t="s">
        <v>1115</v>
      </c>
      <c r="F1792" s="3">
        <v>2165.83</v>
      </c>
      <c r="G1792" s="3">
        <v>12952.7</v>
      </c>
    </row>
    <row r="1793" spans="1:7" x14ac:dyDescent="0.2">
      <c r="A1793" s="3" t="s">
        <v>1072</v>
      </c>
      <c r="B1793" s="4">
        <v>44834</v>
      </c>
      <c r="C1793" s="3" t="s">
        <v>1168</v>
      </c>
      <c r="D1793" s="3" t="s">
        <v>1351</v>
      </c>
      <c r="E1793" s="3" t="s">
        <v>1096</v>
      </c>
      <c r="F1793" s="3">
        <v>193.33</v>
      </c>
      <c r="G1793" s="3">
        <v>1353.33</v>
      </c>
    </row>
    <row r="1794" spans="1:7" x14ac:dyDescent="0.2">
      <c r="A1794" s="3" t="s">
        <v>1072</v>
      </c>
      <c r="B1794" s="4">
        <v>44834</v>
      </c>
      <c r="C1794" s="3" t="s">
        <v>1168</v>
      </c>
      <c r="D1794" s="3" t="s">
        <v>1472</v>
      </c>
      <c r="E1794" s="3" t="s">
        <v>1473</v>
      </c>
      <c r="F1794" s="3">
        <v>0</v>
      </c>
      <c r="G1794" s="3">
        <v>39610.1</v>
      </c>
    </row>
    <row r="1795" spans="1:7" x14ac:dyDescent="0.2">
      <c r="A1795" s="3" t="s">
        <v>1072</v>
      </c>
      <c r="B1795" s="4">
        <v>44834</v>
      </c>
      <c r="C1795" s="3" t="s">
        <v>1168</v>
      </c>
      <c r="D1795" s="3" t="s">
        <v>1474</v>
      </c>
      <c r="E1795" s="3" t="s">
        <v>1114</v>
      </c>
      <c r="F1795" s="3">
        <v>427.21</v>
      </c>
      <c r="G1795" s="3">
        <v>2990.44</v>
      </c>
    </row>
    <row r="1796" spans="1:7" x14ac:dyDescent="0.2">
      <c r="A1796" s="3" t="s">
        <v>1069</v>
      </c>
      <c r="B1796" s="4">
        <v>44834</v>
      </c>
      <c r="C1796" s="3" t="s">
        <v>1168</v>
      </c>
      <c r="D1796" s="3" t="s">
        <v>1229</v>
      </c>
      <c r="E1796" s="3" t="s">
        <v>1136</v>
      </c>
      <c r="F1796" s="3">
        <v>3237.68</v>
      </c>
      <c r="G1796" s="3">
        <v>20614.580000000002</v>
      </c>
    </row>
    <row r="1797" spans="1:7" x14ac:dyDescent="0.2">
      <c r="A1797" s="3" t="s">
        <v>1072</v>
      </c>
      <c r="B1797" s="4">
        <v>44834</v>
      </c>
      <c r="C1797" s="3" t="s">
        <v>1168</v>
      </c>
      <c r="D1797" s="3" t="s">
        <v>1229</v>
      </c>
      <c r="E1797" s="3" t="s">
        <v>1106</v>
      </c>
      <c r="F1797" s="3">
        <v>5559.83</v>
      </c>
      <c r="G1797" s="3">
        <v>33870.61</v>
      </c>
    </row>
    <row r="1798" spans="1:7" x14ac:dyDescent="0.2">
      <c r="A1798" s="3" t="s">
        <v>1069</v>
      </c>
      <c r="B1798" s="4">
        <v>44834</v>
      </c>
      <c r="C1798" s="3" t="s">
        <v>1168</v>
      </c>
      <c r="D1798" s="3" t="s">
        <v>1230</v>
      </c>
      <c r="E1798" s="3" t="s">
        <v>1109</v>
      </c>
      <c r="F1798" s="3">
        <v>4998.5</v>
      </c>
      <c r="G1798" s="3">
        <v>38281.72</v>
      </c>
    </row>
    <row r="1799" spans="1:7" x14ac:dyDescent="0.2">
      <c r="A1799" s="3" t="s">
        <v>1072</v>
      </c>
      <c r="B1799" s="4">
        <v>44834</v>
      </c>
      <c r="C1799" s="3" t="s">
        <v>1168</v>
      </c>
      <c r="D1799" s="3" t="s">
        <v>1196</v>
      </c>
      <c r="E1799" s="3" t="s">
        <v>1131</v>
      </c>
      <c r="F1799" s="3">
        <v>0</v>
      </c>
      <c r="G1799" s="3">
        <v>7651.52</v>
      </c>
    </row>
    <row r="1800" spans="1:7" x14ac:dyDescent="0.2">
      <c r="A1800" s="3" t="s">
        <v>1072</v>
      </c>
      <c r="B1800" s="4">
        <v>44834</v>
      </c>
      <c r="C1800" s="3" t="s">
        <v>1168</v>
      </c>
      <c r="D1800" s="3" t="s">
        <v>1544</v>
      </c>
      <c r="E1800" s="3" t="s">
        <v>1159</v>
      </c>
      <c r="F1800" s="3">
        <v>273.20999999999998</v>
      </c>
      <c r="G1800" s="3">
        <v>273.20999999999998</v>
      </c>
    </row>
    <row r="1801" spans="1:7" x14ac:dyDescent="0.2">
      <c r="A1801" s="3" t="s">
        <v>1069</v>
      </c>
      <c r="B1801" s="4">
        <v>44834</v>
      </c>
      <c r="C1801" s="3" t="s">
        <v>1168</v>
      </c>
      <c r="D1801" s="3" t="s">
        <v>1544</v>
      </c>
      <c r="E1801" s="3" t="s">
        <v>1159</v>
      </c>
      <c r="F1801" s="3">
        <v>4142.3</v>
      </c>
      <c r="G1801" s="3">
        <v>4142.3</v>
      </c>
    </row>
    <row r="1802" spans="1:7" x14ac:dyDescent="0.2">
      <c r="A1802" s="3" t="s">
        <v>1072</v>
      </c>
      <c r="B1802" s="4">
        <v>44834</v>
      </c>
      <c r="C1802" s="3" t="s">
        <v>1168</v>
      </c>
      <c r="D1802" s="3" t="s">
        <v>1354</v>
      </c>
      <c r="E1802" s="3" t="s">
        <v>1078</v>
      </c>
      <c r="F1802" s="3">
        <v>1194.1500000000001</v>
      </c>
      <c r="G1802" s="3">
        <v>8289.61</v>
      </c>
    </row>
    <row r="1803" spans="1:7" x14ac:dyDescent="0.2">
      <c r="A1803" s="3" t="s">
        <v>1072</v>
      </c>
      <c r="B1803" s="4">
        <v>44834</v>
      </c>
      <c r="C1803" s="3" t="s">
        <v>1168</v>
      </c>
      <c r="D1803" s="3" t="s">
        <v>1355</v>
      </c>
      <c r="E1803" s="3" t="s">
        <v>1356</v>
      </c>
      <c r="F1803" s="3">
        <v>0</v>
      </c>
      <c r="G1803" s="3">
        <v>1425.42</v>
      </c>
    </row>
    <row r="1804" spans="1:7" x14ac:dyDescent="0.2">
      <c r="A1804" s="3" t="s">
        <v>1069</v>
      </c>
      <c r="B1804" s="4">
        <v>44834</v>
      </c>
      <c r="C1804" s="3" t="s">
        <v>1168</v>
      </c>
      <c r="D1804" s="3" t="s">
        <v>1456</v>
      </c>
      <c r="E1804" s="3" t="s">
        <v>1457</v>
      </c>
      <c r="F1804" s="3">
        <v>89.72</v>
      </c>
      <c r="G1804" s="3">
        <v>406.78</v>
      </c>
    </row>
    <row r="1805" spans="1:7" x14ac:dyDescent="0.2">
      <c r="A1805" s="3" t="s">
        <v>1069</v>
      </c>
      <c r="B1805" s="4">
        <v>44834</v>
      </c>
      <c r="C1805" s="3" t="s">
        <v>1168</v>
      </c>
      <c r="D1805" s="3" t="s">
        <v>1253</v>
      </c>
      <c r="E1805" s="3" t="s">
        <v>1103</v>
      </c>
      <c r="F1805" s="3">
        <v>11978.61</v>
      </c>
      <c r="G1805" s="3">
        <v>238743.56</v>
      </c>
    </row>
    <row r="1806" spans="1:7" x14ac:dyDescent="0.2">
      <c r="A1806" s="3" t="s">
        <v>1072</v>
      </c>
      <c r="B1806" s="4">
        <v>44834</v>
      </c>
      <c r="C1806" s="3" t="s">
        <v>1168</v>
      </c>
      <c r="D1806" s="3" t="s">
        <v>1358</v>
      </c>
      <c r="E1806" s="3" t="s">
        <v>1122</v>
      </c>
      <c r="F1806" s="3">
        <v>0</v>
      </c>
      <c r="G1806" s="3">
        <v>4033.01</v>
      </c>
    </row>
    <row r="1807" spans="1:7" x14ac:dyDescent="0.2">
      <c r="A1807" s="3" t="s">
        <v>1072</v>
      </c>
      <c r="B1807" s="4">
        <v>44834</v>
      </c>
      <c r="C1807" s="3" t="s">
        <v>1168</v>
      </c>
      <c r="D1807" s="3" t="s">
        <v>1359</v>
      </c>
      <c r="E1807" s="3" t="s">
        <v>1086</v>
      </c>
      <c r="F1807" s="3">
        <v>0</v>
      </c>
      <c r="G1807" s="3">
        <v>1200</v>
      </c>
    </row>
    <row r="1808" spans="1:7" x14ac:dyDescent="0.2">
      <c r="A1808" s="3" t="s">
        <v>1072</v>
      </c>
      <c r="B1808" s="4">
        <v>44834</v>
      </c>
      <c r="C1808" s="3" t="s">
        <v>1168</v>
      </c>
      <c r="D1808" s="3" t="s">
        <v>1201</v>
      </c>
      <c r="E1808" s="3" t="s">
        <v>1112</v>
      </c>
      <c r="F1808" s="3">
        <v>899.57</v>
      </c>
      <c r="G1808" s="3">
        <v>8672.77</v>
      </c>
    </row>
    <row r="1809" spans="1:7" x14ac:dyDescent="0.2">
      <c r="A1809" s="3" t="s">
        <v>1074</v>
      </c>
      <c r="B1809" s="4">
        <v>44834</v>
      </c>
      <c r="C1809" s="3" t="s">
        <v>1168</v>
      </c>
      <c r="D1809" s="3" t="s">
        <v>1201</v>
      </c>
      <c r="E1809" s="3" t="s">
        <v>1112</v>
      </c>
      <c r="F1809" s="3">
        <v>3404.62</v>
      </c>
      <c r="G1809" s="3">
        <v>3404.62</v>
      </c>
    </row>
    <row r="1810" spans="1:7" x14ac:dyDescent="0.2">
      <c r="A1810" s="3" t="s">
        <v>1072</v>
      </c>
      <c r="B1810" s="4">
        <v>44834</v>
      </c>
      <c r="C1810" s="3" t="s">
        <v>1168</v>
      </c>
      <c r="D1810" s="3" t="s">
        <v>1360</v>
      </c>
      <c r="E1810" s="3" t="s">
        <v>1098</v>
      </c>
      <c r="F1810" s="3">
        <v>626.01</v>
      </c>
      <c r="G1810" s="3">
        <v>4941.46</v>
      </c>
    </row>
    <row r="1811" spans="1:7" x14ac:dyDescent="0.2">
      <c r="A1811" s="3" t="s">
        <v>1072</v>
      </c>
      <c r="B1811" s="4">
        <v>44834</v>
      </c>
      <c r="C1811" s="3" t="s">
        <v>1168</v>
      </c>
      <c r="D1811" s="3" t="s">
        <v>1361</v>
      </c>
      <c r="E1811" s="3" t="s">
        <v>1121</v>
      </c>
      <c r="F1811" s="3">
        <v>28087.5</v>
      </c>
      <c r="G1811" s="3">
        <v>196612.5</v>
      </c>
    </row>
    <row r="1812" spans="1:7" x14ac:dyDescent="0.2">
      <c r="A1812" s="3" t="s">
        <v>1072</v>
      </c>
      <c r="B1812" s="4">
        <v>44834</v>
      </c>
      <c r="C1812" s="3" t="s">
        <v>1168</v>
      </c>
      <c r="D1812" s="3" t="s">
        <v>1231</v>
      </c>
      <c r="E1812" s="3" t="s">
        <v>1083</v>
      </c>
      <c r="F1812" s="3">
        <v>843.6</v>
      </c>
      <c r="G1812" s="3">
        <v>5905.2</v>
      </c>
    </row>
    <row r="1813" spans="1:7" x14ac:dyDescent="0.2">
      <c r="A1813" s="3" t="s">
        <v>1069</v>
      </c>
      <c r="B1813" s="4">
        <v>44834</v>
      </c>
      <c r="C1813" s="3" t="s">
        <v>1168</v>
      </c>
      <c r="D1813" s="3" t="s">
        <v>1231</v>
      </c>
      <c r="E1813" s="3" t="s">
        <v>1070</v>
      </c>
      <c r="F1813" s="3">
        <v>3227.61</v>
      </c>
      <c r="G1813" s="3">
        <v>22363.37</v>
      </c>
    </row>
    <row r="1814" spans="1:7" x14ac:dyDescent="0.2">
      <c r="A1814" s="3" t="s">
        <v>1072</v>
      </c>
      <c r="B1814" s="4">
        <v>44834</v>
      </c>
      <c r="C1814" s="3" t="s">
        <v>1168</v>
      </c>
      <c r="D1814" s="3" t="s">
        <v>1254</v>
      </c>
      <c r="E1814" s="3" t="s">
        <v>1075</v>
      </c>
      <c r="F1814" s="3">
        <v>6950</v>
      </c>
      <c r="G1814" s="3">
        <v>10521.71</v>
      </c>
    </row>
    <row r="1815" spans="1:7" x14ac:dyDescent="0.2">
      <c r="A1815" s="3" t="s">
        <v>1069</v>
      </c>
      <c r="B1815" s="4">
        <v>44834</v>
      </c>
      <c r="C1815" s="3" t="s">
        <v>1168</v>
      </c>
      <c r="D1815" s="3" t="s">
        <v>1254</v>
      </c>
      <c r="E1815" s="3" t="s">
        <v>1075</v>
      </c>
      <c r="F1815" s="3">
        <v>4347.83</v>
      </c>
      <c r="G1815" s="3">
        <v>4347.83</v>
      </c>
    </row>
    <row r="1816" spans="1:7" x14ac:dyDescent="0.2">
      <c r="A1816" s="3" t="s">
        <v>1072</v>
      </c>
      <c r="B1816" s="4">
        <v>44834</v>
      </c>
      <c r="C1816" s="3" t="s">
        <v>1168</v>
      </c>
      <c r="D1816" s="3" t="s">
        <v>1362</v>
      </c>
      <c r="E1816" s="3" t="s">
        <v>1123</v>
      </c>
      <c r="F1816" s="3">
        <v>231137.91</v>
      </c>
      <c r="G1816" s="3">
        <v>1540380.81</v>
      </c>
    </row>
    <row r="1817" spans="1:7" x14ac:dyDescent="0.2">
      <c r="A1817" s="3" t="s">
        <v>1072</v>
      </c>
      <c r="B1817" s="4">
        <v>44834</v>
      </c>
      <c r="C1817" s="3" t="s">
        <v>1168</v>
      </c>
      <c r="D1817" s="3" t="s">
        <v>1365</v>
      </c>
      <c r="E1817" s="3" t="s">
        <v>1090</v>
      </c>
      <c r="F1817" s="3">
        <v>0</v>
      </c>
      <c r="G1817" s="3">
        <v>3746.27</v>
      </c>
    </row>
    <row r="1818" spans="1:7" x14ac:dyDescent="0.2">
      <c r="A1818" s="3" t="s">
        <v>1072</v>
      </c>
      <c r="B1818" s="4">
        <v>44834</v>
      </c>
      <c r="C1818" s="3" t="s">
        <v>1168</v>
      </c>
      <c r="D1818" s="3" t="s">
        <v>1511</v>
      </c>
      <c r="E1818" s="3" t="s">
        <v>1104</v>
      </c>
      <c r="F1818" s="3">
        <v>164.35</v>
      </c>
      <c r="G1818" s="3">
        <v>986.1</v>
      </c>
    </row>
    <row r="1819" spans="1:7" x14ac:dyDescent="0.2">
      <c r="A1819" s="3" t="s">
        <v>1072</v>
      </c>
      <c r="B1819" s="4">
        <v>44834</v>
      </c>
      <c r="C1819" s="3" t="s">
        <v>1168</v>
      </c>
      <c r="D1819" s="3" t="s">
        <v>1366</v>
      </c>
      <c r="E1819" s="3" t="s">
        <v>1144</v>
      </c>
      <c r="F1819" s="3">
        <v>6086.96</v>
      </c>
      <c r="G1819" s="3">
        <v>7623.92</v>
      </c>
    </row>
    <row r="1820" spans="1:7" x14ac:dyDescent="0.2">
      <c r="A1820" s="3" t="s">
        <v>1069</v>
      </c>
      <c r="B1820" s="4">
        <v>44834</v>
      </c>
      <c r="C1820" s="3" t="s">
        <v>1168</v>
      </c>
      <c r="D1820" s="3" t="s">
        <v>1213</v>
      </c>
      <c r="E1820" s="3" t="s">
        <v>1150</v>
      </c>
      <c r="F1820" s="3">
        <v>328.38</v>
      </c>
      <c r="G1820" s="3">
        <v>3599.08</v>
      </c>
    </row>
    <row r="1821" spans="1:7" x14ac:dyDescent="0.2">
      <c r="A1821" s="3" t="s">
        <v>1072</v>
      </c>
      <c r="B1821" s="4">
        <v>44834</v>
      </c>
      <c r="C1821" s="3" t="s">
        <v>1168</v>
      </c>
      <c r="D1821" s="3" t="s">
        <v>1367</v>
      </c>
      <c r="E1821" s="3" t="s">
        <v>1147</v>
      </c>
      <c r="F1821" s="3">
        <v>0</v>
      </c>
      <c r="G1821" s="3">
        <v>6800</v>
      </c>
    </row>
    <row r="1822" spans="1:7" x14ac:dyDescent="0.2">
      <c r="A1822" s="3" t="s">
        <v>1072</v>
      </c>
      <c r="B1822" s="4">
        <v>44834</v>
      </c>
      <c r="C1822" s="3" t="s">
        <v>1168</v>
      </c>
      <c r="D1822" s="3" t="s">
        <v>1368</v>
      </c>
      <c r="E1822" s="3" t="s">
        <v>1124</v>
      </c>
      <c r="F1822" s="3">
        <v>0</v>
      </c>
      <c r="G1822" s="3">
        <v>3519.1</v>
      </c>
    </row>
    <row r="1823" spans="1:7" x14ac:dyDescent="0.2">
      <c r="A1823" s="3" t="s">
        <v>1072</v>
      </c>
      <c r="B1823" s="4">
        <v>44834</v>
      </c>
      <c r="C1823" s="3" t="s">
        <v>1168</v>
      </c>
      <c r="D1823" s="3" t="s">
        <v>1369</v>
      </c>
      <c r="E1823" s="3" t="s">
        <v>1099</v>
      </c>
      <c r="F1823" s="3">
        <v>0</v>
      </c>
      <c r="G1823" s="3">
        <v>526.32000000000005</v>
      </c>
    </row>
    <row r="1824" spans="1:7" x14ac:dyDescent="0.2">
      <c r="A1824" s="3" t="s">
        <v>1072</v>
      </c>
      <c r="B1824" s="4">
        <v>44834</v>
      </c>
      <c r="C1824" s="3" t="s">
        <v>1168</v>
      </c>
      <c r="D1824" s="3" t="s">
        <v>1370</v>
      </c>
      <c r="E1824" s="3" t="s">
        <v>1129</v>
      </c>
      <c r="F1824" s="3">
        <v>686</v>
      </c>
      <c r="G1824" s="3">
        <v>4022</v>
      </c>
    </row>
    <row r="1825" spans="1:7" x14ac:dyDescent="0.2">
      <c r="A1825" s="3" t="s">
        <v>1072</v>
      </c>
      <c r="B1825" s="4">
        <v>44834</v>
      </c>
      <c r="C1825" s="3" t="s">
        <v>1168</v>
      </c>
      <c r="D1825" s="3" t="s">
        <v>1372</v>
      </c>
      <c r="E1825" s="3" t="s">
        <v>1158</v>
      </c>
      <c r="F1825" s="3">
        <v>600</v>
      </c>
      <c r="G1825" s="3">
        <v>4200</v>
      </c>
    </row>
    <row r="1826" spans="1:7" x14ac:dyDescent="0.2">
      <c r="A1826" s="3" t="s">
        <v>1072</v>
      </c>
      <c r="B1826" s="4">
        <v>44834</v>
      </c>
      <c r="C1826" s="3" t="s">
        <v>1168</v>
      </c>
      <c r="D1826" s="3" t="s">
        <v>1373</v>
      </c>
      <c r="E1826" s="3" t="s">
        <v>1092</v>
      </c>
      <c r="F1826" s="3">
        <v>484</v>
      </c>
      <c r="G1826" s="3">
        <v>2834.6</v>
      </c>
    </row>
    <row r="1827" spans="1:7" x14ac:dyDescent="0.2">
      <c r="A1827" s="3" t="s">
        <v>1072</v>
      </c>
      <c r="B1827" s="4">
        <v>44834</v>
      </c>
      <c r="C1827" s="3" t="s">
        <v>1168</v>
      </c>
      <c r="D1827" s="3" t="s">
        <v>1490</v>
      </c>
      <c r="E1827" s="3" t="s">
        <v>1491</v>
      </c>
      <c r="F1827" s="3">
        <v>1640</v>
      </c>
      <c r="G1827" s="3">
        <v>13765</v>
      </c>
    </row>
    <row r="1828" spans="1:7" x14ac:dyDescent="0.2">
      <c r="A1828" s="3" t="s">
        <v>1069</v>
      </c>
      <c r="B1828" s="4">
        <v>44834</v>
      </c>
      <c r="C1828" s="3" t="s">
        <v>1168</v>
      </c>
      <c r="D1828" s="3" t="s">
        <v>1232</v>
      </c>
      <c r="E1828" s="3" t="s">
        <v>1105</v>
      </c>
      <c r="F1828" s="3">
        <v>600</v>
      </c>
      <c r="G1828" s="3">
        <v>4200</v>
      </c>
    </row>
    <row r="1829" spans="1:7" x14ac:dyDescent="0.2">
      <c r="A1829" s="3" t="s">
        <v>1074</v>
      </c>
      <c r="B1829" s="4">
        <v>44834</v>
      </c>
      <c r="C1829" s="3" t="s">
        <v>1168</v>
      </c>
      <c r="D1829" s="3" t="s">
        <v>1232</v>
      </c>
      <c r="E1829" s="3" t="s">
        <v>1105</v>
      </c>
      <c r="F1829" s="3">
        <v>600</v>
      </c>
      <c r="G1829" s="3">
        <v>7800</v>
      </c>
    </row>
    <row r="1830" spans="1:7" x14ac:dyDescent="0.2">
      <c r="A1830" s="3" t="s">
        <v>1072</v>
      </c>
      <c r="B1830" s="4">
        <v>44834</v>
      </c>
      <c r="C1830" s="3" t="s">
        <v>1168</v>
      </c>
      <c r="D1830" s="3" t="s">
        <v>1374</v>
      </c>
      <c r="E1830" s="3" t="s">
        <v>1108</v>
      </c>
      <c r="F1830" s="3">
        <v>0</v>
      </c>
      <c r="G1830" s="3">
        <v>2500</v>
      </c>
    </row>
    <row r="1831" spans="1:7" x14ac:dyDescent="0.2">
      <c r="A1831" s="3" t="s">
        <v>1072</v>
      </c>
      <c r="B1831" s="4">
        <v>44834</v>
      </c>
      <c r="C1831" s="3" t="s">
        <v>1168</v>
      </c>
      <c r="D1831" s="3" t="s">
        <v>1376</v>
      </c>
      <c r="E1831" s="3" t="s">
        <v>1377</v>
      </c>
      <c r="F1831" s="3">
        <v>0</v>
      </c>
      <c r="G1831" s="3">
        <v>13.04</v>
      </c>
    </row>
    <row r="1832" spans="1:7" x14ac:dyDescent="0.2">
      <c r="A1832" s="3" t="s">
        <v>1072</v>
      </c>
      <c r="B1832" s="4">
        <v>44834</v>
      </c>
      <c r="C1832" s="3" t="s">
        <v>1168</v>
      </c>
      <c r="D1832" s="3" t="s">
        <v>1378</v>
      </c>
      <c r="E1832" s="3" t="s">
        <v>1143</v>
      </c>
      <c r="F1832" s="3">
        <v>31349.25</v>
      </c>
      <c r="G1832" s="3">
        <v>241743.5</v>
      </c>
    </row>
    <row r="1833" spans="1:7" x14ac:dyDescent="0.2">
      <c r="A1833" s="3" t="s">
        <v>1072</v>
      </c>
      <c r="B1833" s="4">
        <v>44834</v>
      </c>
      <c r="C1833" s="3" t="s">
        <v>1168</v>
      </c>
      <c r="D1833" s="3" t="s">
        <v>1379</v>
      </c>
      <c r="E1833" s="3" t="s">
        <v>1107</v>
      </c>
      <c r="F1833" s="3">
        <v>2530.56</v>
      </c>
      <c r="G1833" s="3">
        <v>17084.009999999998</v>
      </c>
    </row>
    <row r="1834" spans="1:7" x14ac:dyDescent="0.2">
      <c r="A1834" s="3" t="s">
        <v>1072</v>
      </c>
      <c r="B1834" s="4">
        <v>44834</v>
      </c>
      <c r="C1834" s="3" t="s">
        <v>1168</v>
      </c>
      <c r="D1834" s="3" t="s">
        <v>1380</v>
      </c>
      <c r="E1834" s="3" t="s">
        <v>1125</v>
      </c>
      <c r="F1834" s="3">
        <v>1906.52</v>
      </c>
      <c r="G1834" s="3">
        <v>12217.58</v>
      </c>
    </row>
    <row r="1835" spans="1:7" x14ac:dyDescent="0.2">
      <c r="A1835" s="3" t="s">
        <v>1072</v>
      </c>
      <c r="B1835" s="4">
        <v>44834</v>
      </c>
      <c r="C1835" s="3" t="s">
        <v>1168</v>
      </c>
      <c r="D1835" s="3" t="s">
        <v>1381</v>
      </c>
      <c r="E1835" s="3" t="s">
        <v>1130</v>
      </c>
      <c r="F1835" s="3">
        <v>1906.52</v>
      </c>
      <c r="G1835" s="3">
        <v>12217.58</v>
      </c>
    </row>
    <row r="1836" spans="1:7" x14ac:dyDescent="0.2">
      <c r="A1836" s="3" t="s">
        <v>1072</v>
      </c>
      <c r="B1836" s="4">
        <v>44834</v>
      </c>
      <c r="C1836" s="3" t="s">
        <v>1168</v>
      </c>
      <c r="D1836" s="3" t="s">
        <v>1458</v>
      </c>
      <c r="E1836" s="3" t="s">
        <v>1113</v>
      </c>
      <c r="F1836" s="3">
        <v>9644.5</v>
      </c>
      <c r="G1836" s="3">
        <v>35524.81</v>
      </c>
    </row>
    <row r="1837" spans="1:7" x14ac:dyDescent="0.2">
      <c r="A1837" s="3" t="s">
        <v>1072</v>
      </c>
      <c r="B1837" s="4">
        <v>44834</v>
      </c>
      <c r="C1837" s="3" t="s">
        <v>1168</v>
      </c>
      <c r="D1837" s="3" t="s">
        <v>1459</v>
      </c>
      <c r="E1837" s="3" t="s">
        <v>1139</v>
      </c>
      <c r="F1837" s="3">
        <v>3344.31</v>
      </c>
      <c r="G1837" s="3">
        <v>16449.650000000001</v>
      </c>
    </row>
    <row r="1838" spans="1:7" x14ac:dyDescent="0.2">
      <c r="A1838" s="3" t="s">
        <v>1069</v>
      </c>
      <c r="B1838" s="4">
        <v>44834</v>
      </c>
      <c r="C1838" s="3" t="s">
        <v>1172</v>
      </c>
      <c r="D1838" s="3" t="s">
        <v>1173</v>
      </c>
      <c r="E1838" s="3" t="s">
        <v>1174</v>
      </c>
      <c r="F1838" s="3">
        <v>0</v>
      </c>
      <c r="G1838" s="3">
        <v>-100</v>
      </c>
    </row>
    <row r="1839" spans="1:7" x14ac:dyDescent="0.2">
      <c r="A1839" s="3" t="s">
        <v>1072</v>
      </c>
      <c r="B1839" s="4">
        <v>44834</v>
      </c>
      <c r="C1839" s="3" t="s">
        <v>1172</v>
      </c>
      <c r="D1839" s="3" t="s">
        <v>1382</v>
      </c>
      <c r="E1839" s="3" t="s">
        <v>1383</v>
      </c>
      <c r="F1839" s="3">
        <v>0</v>
      </c>
      <c r="G1839" s="3">
        <v>-120</v>
      </c>
    </row>
    <row r="1840" spans="1:7" x14ac:dyDescent="0.2">
      <c r="A1840" s="3" t="s">
        <v>1072</v>
      </c>
      <c r="B1840" s="4">
        <v>44834</v>
      </c>
      <c r="C1840" s="3" t="s">
        <v>1172</v>
      </c>
      <c r="D1840" s="3" t="s">
        <v>1384</v>
      </c>
      <c r="E1840" s="3" t="s">
        <v>1385</v>
      </c>
      <c r="F1840" s="3">
        <v>0</v>
      </c>
      <c r="G1840" s="3">
        <v>247347.05</v>
      </c>
    </row>
    <row r="1841" spans="1:7" x14ac:dyDescent="0.2">
      <c r="A1841" s="3" t="s">
        <v>1069</v>
      </c>
      <c r="B1841" s="4">
        <v>44834</v>
      </c>
      <c r="C1841" s="3" t="s">
        <v>1172</v>
      </c>
      <c r="D1841" s="3" t="s">
        <v>1384</v>
      </c>
      <c r="E1841" s="3" t="s">
        <v>1385</v>
      </c>
      <c r="F1841" s="3">
        <v>0</v>
      </c>
      <c r="G1841" s="3">
        <v>-17080353.050000001</v>
      </c>
    </row>
    <row r="1842" spans="1:7" x14ac:dyDescent="0.2">
      <c r="A1842" s="3" t="s">
        <v>1069</v>
      </c>
      <c r="B1842" s="4">
        <v>44834</v>
      </c>
      <c r="C1842" s="3" t="s">
        <v>1180</v>
      </c>
      <c r="D1842" s="3" t="s">
        <v>1241</v>
      </c>
      <c r="E1842" s="3" t="s">
        <v>1242</v>
      </c>
      <c r="F1842" s="3">
        <v>0</v>
      </c>
      <c r="G1842" s="3">
        <v>17562360.850000001</v>
      </c>
    </row>
    <row r="1843" spans="1:7" x14ac:dyDescent="0.2">
      <c r="A1843" s="3" t="s">
        <v>1072</v>
      </c>
      <c r="B1843" s="4">
        <v>44834</v>
      </c>
      <c r="C1843" s="3" t="s">
        <v>1180</v>
      </c>
      <c r="D1843" s="3" t="s">
        <v>1460</v>
      </c>
      <c r="E1843" s="3" t="s">
        <v>1461</v>
      </c>
      <c r="F1843" s="3">
        <v>-420000</v>
      </c>
      <c r="G1843" s="3">
        <v>-420000</v>
      </c>
    </row>
    <row r="1844" spans="1:7" x14ac:dyDescent="0.2">
      <c r="A1844" s="3" t="s">
        <v>1072</v>
      </c>
      <c r="B1844" s="4">
        <v>44834</v>
      </c>
      <c r="C1844" s="3" t="s">
        <v>1180</v>
      </c>
      <c r="D1844" s="3" t="s">
        <v>1483</v>
      </c>
      <c r="E1844" s="3" t="s">
        <v>1177</v>
      </c>
      <c r="F1844" s="3">
        <v>0</v>
      </c>
      <c r="G1844" s="3">
        <v>3050000</v>
      </c>
    </row>
    <row r="1845" spans="1:7" x14ac:dyDescent="0.2">
      <c r="A1845" s="3" t="s">
        <v>1072</v>
      </c>
      <c r="B1845" s="4">
        <v>44834</v>
      </c>
      <c r="C1845" s="3" t="s">
        <v>1180</v>
      </c>
      <c r="D1845" s="3" t="s">
        <v>1394</v>
      </c>
      <c r="E1845" s="3" t="s">
        <v>1256</v>
      </c>
      <c r="F1845" s="3">
        <v>600</v>
      </c>
      <c r="G1845" s="3">
        <v>600</v>
      </c>
    </row>
    <row r="1846" spans="1:7" x14ac:dyDescent="0.2">
      <c r="A1846" s="3" t="s">
        <v>1072</v>
      </c>
      <c r="B1846" s="4">
        <v>44834</v>
      </c>
      <c r="C1846" s="3" t="s">
        <v>1180</v>
      </c>
      <c r="D1846" s="3" t="s">
        <v>1395</v>
      </c>
      <c r="E1846" s="3" t="s">
        <v>1396</v>
      </c>
      <c r="F1846" s="3">
        <v>-600000</v>
      </c>
      <c r="G1846" s="3">
        <v>-4546000</v>
      </c>
    </row>
    <row r="1847" spans="1:7" x14ac:dyDescent="0.2">
      <c r="A1847" s="3" t="s">
        <v>1072</v>
      </c>
      <c r="B1847" s="4">
        <v>44834</v>
      </c>
      <c r="C1847" s="3" t="s">
        <v>1180</v>
      </c>
      <c r="D1847" s="3" t="s">
        <v>1397</v>
      </c>
      <c r="E1847" s="3" t="s">
        <v>1398</v>
      </c>
      <c r="F1847" s="3">
        <v>600</v>
      </c>
      <c r="G1847" s="3">
        <v>600</v>
      </c>
    </row>
    <row r="1848" spans="1:7" x14ac:dyDescent="0.2">
      <c r="A1848" s="3" t="s">
        <v>1072</v>
      </c>
      <c r="B1848" s="4">
        <v>44834</v>
      </c>
      <c r="C1848" s="3" t="s">
        <v>1180</v>
      </c>
      <c r="D1848" s="3" t="s">
        <v>1512</v>
      </c>
      <c r="E1848" s="3" t="s">
        <v>1513</v>
      </c>
      <c r="F1848" s="3">
        <v>18000</v>
      </c>
      <c r="G1848" s="3">
        <v>1367000</v>
      </c>
    </row>
    <row r="1849" spans="1:7" x14ac:dyDescent="0.2">
      <c r="A1849" s="3" t="s">
        <v>1074</v>
      </c>
      <c r="B1849" s="4">
        <v>44834</v>
      </c>
      <c r="C1849" s="3" t="s">
        <v>1175</v>
      </c>
      <c r="D1849" s="3" t="s">
        <v>1492</v>
      </c>
      <c r="E1849" s="3" t="s">
        <v>1493</v>
      </c>
      <c r="F1849" s="3">
        <v>-288776.5</v>
      </c>
      <c r="G1849" s="3">
        <v>-2010617.72</v>
      </c>
    </row>
    <row r="1850" spans="1:7" x14ac:dyDescent="0.2">
      <c r="A1850" s="3" t="s">
        <v>1069</v>
      </c>
      <c r="B1850" s="4">
        <v>44834</v>
      </c>
      <c r="C1850" s="3" t="s">
        <v>1175</v>
      </c>
      <c r="D1850" s="3" t="s">
        <v>1178</v>
      </c>
      <c r="E1850" s="3" t="s">
        <v>1179</v>
      </c>
      <c r="F1850" s="3">
        <v>600000</v>
      </c>
      <c r="G1850" s="3">
        <v>4546000</v>
      </c>
    </row>
    <row r="1851" spans="1:7" x14ac:dyDescent="0.2">
      <c r="A1851" s="3" t="s">
        <v>1069</v>
      </c>
      <c r="B1851" s="4">
        <v>44834</v>
      </c>
      <c r="C1851" s="3" t="s">
        <v>1175</v>
      </c>
      <c r="D1851" s="3" t="s">
        <v>1494</v>
      </c>
      <c r="E1851" s="3" t="s">
        <v>1495</v>
      </c>
      <c r="F1851" s="3">
        <v>288776.5</v>
      </c>
      <c r="G1851" s="3">
        <v>2010617.72</v>
      </c>
    </row>
    <row r="1852" spans="1:7" x14ac:dyDescent="0.2">
      <c r="A1852" s="3" t="s">
        <v>1069</v>
      </c>
      <c r="B1852" s="4">
        <v>44834</v>
      </c>
      <c r="C1852" s="3" t="s">
        <v>1175</v>
      </c>
      <c r="D1852" s="3" t="s">
        <v>1516</v>
      </c>
      <c r="E1852" s="3" t="s">
        <v>1400</v>
      </c>
      <c r="F1852" s="3">
        <v>-30000</v>
      </c>
      <c r="G1852" s="3">
        <v>-30000</v>
      </c>
    </row>
    <row r="1853" spans="1:7" x14ac:dyDescent="0.2">
      <c r="A1853" s="3" t="s">
        <v>1072</v>
      </c>
      <c r="B1853" s="4">
        <v>44834</v>
      </c>
      <c r="C1853" s="3" t="s">
        <v>1175</v>
      </c>
      <c r="D1853" s="3" t="s">
        <v>1405</v>
      </c>
      <c r="E1853" s="3" t="s">
        <v>1406</v>
      </c>
      <c r="F1853" s="3">
        <v>5224.1499999999996</v>
      </c>
      <c r="G1853" s="3">
        <v>36440.57</v>
      </c>
    </row>
    <row r="1854" spans="1:7" x14ac:dyDescent="0.2">
      <c r="A1854" s="3" t="s">
        <v>1072</v>
      </c>
      <c r="B1854" s="4">
        <v>44834</v>
      </c>
      <c r="C1854" s="3" t="s">
        <v>1175</v>
      </c>
      <c r="D1854" s="3" t="s">
        <v>1407</v>
      </c>
      <c r="E1854" s="3" t="s">
        <v>1408</v>
      </c>
      <c r="F1854" s="3">
        <v>0</v>
      </c>
      <c r="G1854" s="3">
        <v>-58920.1</v>
      </c>
    </row>
    <row r="1855" spans="1:7" x14ac:dyDescent="0.2">
      <c r="A1855" s="3" t="s">
        <v>1072</v>
      </c>
      <c r="B1855" s="4">
        <v>44834</v>
      </c>
      <c r="C1855" s="3" t="s">
        <v>1180</v>
      </c>
      <c r="D1855" s="3" t="s">
        <v>1409</v>
      </c>
      <c r="E1855" s="3" t="s">
        <v>1410</v>
      </c>
      <c r="F1855" s="3">
        <v>0</v>
      </c>
      <c r="G1855" s="3">
        <v>216064.1</v>
      </c>
    </row>
    <row r="1856" spans="1:7" x14ac:dyDescent="0.2">
      <c r="A1856" s="3" t="s">
        <v>1072</v>
      </c>
      <c r="B1856" s="4">
        <v>44834</v>
      </c>
      <c r="C1856" s="3" t="s">
        <v>1180</v>
      </c>
      <c r="D1856" s="3" t="s">
        <v>1411</v>
      </c>
      <c r="E1856" s="3" t="s">
        <v>1412</v>
      </c>
      <c r="F1856" s="3">
        <v>0</v>
      </c>
      <c r="G1856" s="3">
        <v>-216063.1</v>
      </c>
    </row>
    <row r="1857" spans="1:7" x14ac:dyDescent="0.2">
      <c r="A1857" s="3" t="s">
        <v>1072</v>
      </c>
      <c r="B1857" s="4">
        <v>44834</v>
      </c>
      <c r="C1857" s="3" t="s">
        <v>1180</v>
      </c>
      <c r="D1857" s="3" t="s">
        <v>1413</v>
      </c>
      <c r="E1857" s="3" t="s">
        <v>1414</v>
      </c>
      <c r="F1857" s="3">
        <v>0</v>
      </c>
      <c r="G1857" s="3">
        <v>92100.13</v>
      </c>
    </row>
    <row r="1858" spans="1:7" x14ac:dyDescent="0.2">
      <c r="A1858" s="3" t="s">
        <v>1072</v>
      </c>
      <c r="B1858" s="4">
        <v>44834</v>
      </c>
      <c r="C1858" s="3" t="s">
        <v>1180</v>
      </c>
      <c r="D1858" s="3" t="s">
        <v>1415</v>
      </c>
      <c r="E1858" s="3" t="s">
        <v>1416</v>
      </c>
      <c r="F1858" s="3">
        <v>-2165.83</v>
      </c>
      <c r="G1858" s="3">
        <v>-32093.79</v>
      </c>
    </row>
    <row r="1859" spans="1:7" x14ac:dyDescent="0.2">
      <c r="A1859" s="3" t="s">
        <v>1072</v>
      </c>
      <c r="B1859" s="4">
        <v>44834</v>
      </c>
      <c r="C1859" s="3" t="s">
        <v>1180</v>
      </c>
      <c r="D1859" s="3" t="s">
        <v>1462</v>
      </c>
      <c r="E1859" s="3" t="s">
        <v>1463</v>
      </c>
      <c r="F1859" s="3">
        <v>0</v>
      </c>
      <c r="G1859" s="3">
        <v>29281.39</v>
      </c>
    </row>
    <row r="1860" spans="1:7" x14ac:dyDescent="0.2">
      <c r="A1860" s="3" t="s">
        <v>1072</v>
      </c>
      <c r="B1860" s="4">
        <v>44834</v>
      </c>
      <c r="C1860" s="3" t="s">
        <v>1180</v>
      </c>
      <c r="D1860" s="3" t="s">
        <v>1484</v>
      </c>
      <c r="E1860" s="3" t="s">
        <v>1485</v>
      </c>
      <c r="F1860" s="3">
        <v>-427.21</v>
      </c>
      <c r="G1860" s="3">
        <v>-3397.13</v>
      </c>
    </row>
    <row r="1861" spans="1:7" x14ac:dyDescent="0.2">
      <c r="A1861" s="3" t="s">
        <v>1072</v>
      </c>
      <c r="B1861" s="4">
        <v>44834</v>
      </c>
      <c r="C1861" s="3" t="s">
        <v>1180</v>
      </c>
      <c r="D1861" s="3" t="s">
        <v>1417</v>
      </c>
      <c r="E1861" s="3" t="s">
        <v>1418</v>
      </c>
      <c r="F1861" s="3">
        <v>0</v>
      </c>
      <c r="G1861" s="3">
        <v>11600</v>
      </c>
    </row>
    <row r="1862" spans="1:7" x14ac:dyDescent="0.2">
      <c r="A1862" s="3" t="s">
        <v>1072</v>
      </c>
      <c r="B1862" s="4">
        <v>44834</v>
      </c>
      <c r="C1862" s="3" t="s">
        <v>1180</v>
      </c>
      <c r="D1862" s="3" t="s">
        <v>1419</v>
      </c>
      <c r="E1862" s="3" t="s">
        <v>1420</v>
      </c>
      <c r="F1862" s="3">
        <v>-193.33</v>
      </c>
      <c r="G1862" s="3">
        <v>-2158.89</v>
      </c>
    </row>
    <row r="1863" spans="1:7" x14ac:dyDescent="0.2">
      <c r="A1863" s="3" t="s">
        <v>1069</v>
      </c>
      <c r="B1863" s="4">
        <v>44834</v>
      </c>
      <c r="C1863" s="3" t="s">
        <v>1180</v>
      </c>
      <c r="D1863" s="3" t="s">
        <v>1421</v>
      </c>
      <c r="E1863" s="3" t="s">
        <v>1422</v>
      </c>
      <c r="F1863" s="3">
        <v>0</v>
      </c>
      <c r="G1863" s="3">
        <v>874505.75</v>
      </c>
    </row>
    <row r="1864" spans="1:7" x14ac:dyDescent="0.2">
      <c r="A1864" s="3" t="s">
        <v>1074</v>
      </c>
      <c r="B1864" s="4">
        <v>44834</v>
      </c>
      <c r="C1864" s="3" t="s">
        <v>1180</v>
      </c>
      <c r="D1864" s="3" t="s">
        <v>1421</v>
      </c>
      <c r="E1864" s="3" t="s">
        <v>1533</v>
      </c>
      <c r="F1864" s="3">
        <v>0</v>
      </c>
      <c r="G1864" s="3">
        <v>284986.5</v>
      </c>
    </row>
    <row r="1865" spans="1:7" x14ac:dyDescent="0.2">
      <c r="A1865" s="3" t="s">
        <v>1069</v>
      </c>
      <c r="B1865" s="4">
        <v>44834</v>
      </c>
      <c r="C1865" s="3" t="s">
        <v>1180</v>
      </c>
      <c r="D1865" s="3" t="s">
        <v>1214</v>
      </c>
      <c r="E1865" s="3" t="s">
        <v>1215</v>
      </c>
      <c r="F1865" s="3">
        <v>0</v>
      </c>
      <c r="G1865" s="3">
        <v>26200000</v>
      </c>
    </row>
    <row r="1866" spans="1:7" x14ac:dyDescent="0.2">
      <c r="A1866" s="3" t="s">
        <v>1069</v>
      </c>
      <c r="B1866" s="4">
        <v>44834</v>
      </c>
      <c r="C1866" s="3" t="s">
        <v>1180</v>
      </c>
      <c r="D1866" s="3" t="s">
        <v>1216</v>
      </c>
      <c r="E1866" s="3" t="s">
        <v>1217</v>
      </c>
      <c r="F1866" s="3">
        <v>0</v>
      </c>
      <c r="G1866" s="3">
        <v>68427</v>
      </c>
    </row>
    <row r="1867" spans="1:7" x14ac:dyDescent="0.2">
      <c r="A1867" s="3" t="s">
        <v>1069</v>
      </c>
      <c r="B1867" s="4">
        <v>44834</v>
      </c>
      <c r="C1867" s="3" t="s">
        <v>1180</v>
      </c>
      <c r="D1867" s="3" t="s">
        <v>1218</v>
      </c>
      <c r="E1867" s="3" t="s">
        <v>1219</v>
      </c>
      <c r="F1867" s="3">
        <v>0</v>
      </c>
      <c r="G1867" s="3">
        <v>103812</v>
      </c>
    </row>
    <row r="1868" spans="1:7" x14ac:dyDescent="0.2">
      <c r="A1868" s="3" t="s">
        <v>1069</v>
      </c>
      <c r="B1868" s="4">
        <v>44834</v>
      </c>
      <c r="C1868" s="3" t="s">
        <v>1180</v>
      </c>
      <c r="D1868" s="3" t="s">
        <v>1197</v>
      </c>
      <c r="E1868" s="3" t="s">
        <v>1198</v>
      </c>
      <c r="F1868" s="3">
        <v>0</v>
      </c>
      <c r="G1868" s="3">
        <v>150780</v>
      </c>
    </row>
    <row r="1869" spans="1:7" x14ac:dyDescent="0.2">
      <c r="A1869" s="3" t="s">
        <v>1069</v>
      </c>
      <c r="B1869" s="4">
        <v>44834</v>
      </c>
      <c r="C1869" s="3" t="s">
        <v>1180</v>
      </c>
      <c r="D1869" s="3" t="s">
        <v>1496</v>
      </c>
      <c r="E1869" s="3" t="s">
        <v>1497</v>
      </c>
      <c r="F1869" s="3">
        <v>15000</v>
      </c>
      <c r="G1869" s="3">
        <v>91500</v>
      </c>
    </row>
    <row r="1870" spans="1:7" x14ac:dyDescent="0.2">
      <c r="A1870" s="3" t="s">
        <v>1069</v>
      </c>
      <c r="B1870" s="4">
        <v>44834</v>
      </c>
      <c r="C1870" s="3" t="s">
        <v>1180</v>
      </c>
      <c r="D1870" s="3" t="s">
        <v>1181</v>
      </c>
      <c r="E1870" s="3" t="s">
        <v>1182</v>
      </c>
      <c r="F1870" s="3">
        <v>0</v>
      </c>
      <c r="G1870" s="3">
        <v>6685224.7999999998</v>
      </c>
    </row>
    <row r="1871" spans="1:7" x14ac:dyDescent="0.2">
      <c r="A1871" s="3" t="s">
        <v>1069</v>
      </c>
      <c r="B1871" s="4">
        <v>44834</v>
      </c>
      <c r="C1871" s="3" t="s">
        <v>1180</v>
      </c>
      <c r="D1871" s="3" t="s">
        <v>1263</v>
      </c>
      <c r="E1871" s="3" t="s">
        <v>1264</v>
      </c>
      <c r="F1871" s="3">
        <v>0</v>
      </c>
      <c r="G1871" s="3">
        <v>13807.78</v>
      </c>
    </row>
    <row r="1872" spans="1:7" x14ac:dyDescent="0.2">
      <c r="A1872" s="3" t="s">
        <v>1069</v>
      </c>
      <c r="B1872" s="4">
        <v>44834</v>
      </c>
      <c r="C1872" s="3" t="s">
        <v>1180</v>
      </c>
      <c r="D1872" s="3" t="s">
        <v>1202</v>
      </c>
      <c r="E1872" s="3" t="s">
        <v>1203</v>
      </c>
      <c r="F1872" s="3">
        <v>0</v>
      </c>
      <c r="G1872" s="3">
        <v>103646.09</v>
      </c>
    </row>
    <row r="1873" spans="1:7" x14ac:dyDescent="0.2">
      <c r="A1873" s="3" t="s">
        <v>1069</v>
      </c>
      <c r="B1873" s="4">
        <v>44834</v>
      </c>
      <c r="C1873" s="3" t="s">
        <v>1180</v>
      </c>
      <c r="D1873" s="3" t="s">
        <v>1204</v>
      </c>
      <c r="E1873" s="3" t="s">
        <v>1205</v>
      </c>
      <c r="F1873" s="3">
        <v>0</v>
      </c>
      <c r="G1873" s="3">
        <v>7500</v>
      </c>
    </row>
    <row r="1874" spans="1:7" x14ac:dyDescent="0.2">
      <c r="A1874" s="3" t="s">
        <v>1069</v>
      </c>
      <c r="B1874" s="4">
        <v>44834</v>
      </c>
      <c r="C1874" s="3" t="s">
        <v>1180</v>
      </c>
      <c r="D1874" s="3" t="s">
        <v>1199</v>
      </c>
      <c r="E1874" s="3" t="s">
        <v>1200</v>
      </c>
      <c r="F1874" s="3">
        <v>0</v>
      </c>
      <c r="G1874" s="3">
        <v>67400</v>
      </c>
    </row>
    <row r="1875" spans="1:7" x14ac:dyDescent="0.2">
      <c r="A1875" s="3" t="s">
        <v>1069</v>
      </c>
      <c r="B1875" s="4">
        <v>44834</v>
      </c>
      <c r="C1875" s="3" t="s">
        <v>1180</v>
      </c>
      <c r="D1875" s="3" t="s">
        <v>1486</v>
      </c>
      <c r="E1875" s="3" t="s">
        <v>1487</v>
      </c>
      <c r="F1875" s="3">
        <v>1400</v>
      </c>
      <c r="G1875" s="3">
        <v>16400</v>
      </c>
    </row>
    <row r="1876" spans="1:7" x14ac:dyDescent="0.2">
      <c r="A1876" s="3" t="s">
        <v>1069</v>
      </c>
      <c r="B1876" s="4">
        <v>44834</v>
      </c>
      <c r="C1876" s="3" t="s">
        <v>1180</v>
      </c>
      <c r="D1876" s="3" t="s">
        <v>1220</v>
      </c>
      <c r="E1876" s="3" t="s">
        <v>1221</v>
      </c>
      <c r="F1876" s="3">
        <v>0</v>
      </c>
      <c r="G1876" s="3">
        <v>15175</v>
      </c>
    </row>
    <row r="1877" spans="1:7" x14ac:dyDescent="0.2">
      <c r="A1877" s="3" t="s">
        <v>1069</v>
      </c>
      <c r="B1877" s="4">
        <v>44834</v>
      </c>
      <c r="C1877" s="3" t="s">
        <v>1180</v>
      </c>
      <c r="D1877" s="3" t="s">
        <v>1498</v>
      </c>
      <c r="E1877" s="3" t="s">
        <v>1499</v>
      </c>
      <c r="F1877" s="3">
        <v>0</v>
      </c>
      <c r="G1877" s="3">
        <v>570856.07999999996</v>
      </c>
    </row>
    <row r="1878" spans="1:7" x14ac:dyDescent="0.2">
      <c r="A1878" s="3" t="s">
        <v>1069</v>
      </c>
      <c r="B1878" s="4">
        <v>44834</v>
      </c>
      <c r="C1878" s="3" t="s">
        <v>1180</v>
      </c>
      <c r="D1878" s="3" t="s">
        <v>1183</v>
      </c>
      <c r="E1878" s="3" t="s">
        <v>1184</v>
      </c>
      <c r="F1878" s="3">
        <v>9770550.3599999994</v>
      </c>
      <c r="G1878" s="3">
        <v>34243436.859999999</v>
      </c>
    </row>
    <row r="1879" spans="1:7" x14ac:dyDescent="0.2">
      <c r="A1879" s="3" t="s">
        <v>1069</v>
      </c>
      <c r="B1879" s="4">
        <v>44834</v>
      </c>
      <c r="C1879" s="3" t="s">
        <v>1180</v>
      </c>
      <c r="D1879" s="3" t="s">
        <v>1222</v>
      </c>
      <c r="E1879" s="3" t="s">
        <v>1223</v>
      </c>
      <c r="F1879" s="3">
        <v>380869.57</v>
      </c>
      <c r="G1879" s="3">
        <v>3396905</v>
      </c>
    </row>
    <row r="1880" spans="1:7" x14ac:dyDescent="0.2">
      <c r="A1880" s="3" t="s">
        <v>1069</v>
      </c>
      <c r="B1880" s="4">
        <v>44834</v>
      </c>
      <c r="C1880" s="3" t="s">
        <v>1180</v>
      </c>
      <c r="D1880" s="3" t="s">
        <v>1235</v>
      </c>
      <c r="E1880" s="3" t="s">
        <v>1236</v>
      </c>
      <c r="F1880" s="3">
        <v>0</v>
      </c>
      <c r="G1880" s="3">
        <v>782608.07</v>
      </c>
    </row>
    <row r="1881" spans="1:7" x14ac:dyDescent="0.2">
      <c r="A1881" s="3" t="s">
        <v>1069</v>
      </c>
      <c r="B1881" s="4">
        <v>44834</v>
      </c>
      <c r="C1881" s="3" t="s">
        <v>1180</v>
      </c>
      <c r="D1881" s="3" t="s">
        <v>1206</v>
      </c>
      <c r="E1881" s="3" t="s">
        <v>1207</v>
      </c>
      <c r="F1881" s="3">
        <v>0</v>
      </c>
      <c r="G1881" s="3">
        <v>163550</v>
      </c>
    </row>
    <row r="1882" spans="1:7" x14ac:dyDescent="0.2">
      <c r="A1882" s="3" t="s">
        <v>1069</v>
      </c>
      <c r="B1882" s="4">
        <v>44834</v>
      </c>
      <c r="C1882" s="3" t="s">
        <v>1180</v>
      </c>
      <c r="D1882" s="3" t="s">
        <v>1208</v>
      </c>
      <c r="E1882" s="3" t="s">
        <v>1209</v>
      </c>
      <c r="F1882" s="3">
        <v>0</v>
      </c>
      <c r="G1882" s="3">
        <v>45000</v>
      </c>
    </row>
    <row r="1883" spans="1:7" x14ac:dyDescent="0.2">
      <c r="A1883" s="3" t="s">
        <v>1069</v>
      </c>
      <c r="B1883" s="4">
        <v>44834</v>
      </c>
      <c r="C1883" s="3" t="s">
        <v>1180</v>
      </c>
      <c r="D1883" s="3" t="s">
        <v>1259</v>
      </c>
      <c r="E1883" s="3" t="s">
        <v>1260</v>
      </c>
      <c r="F1883" s="3">
        <v>6000</v>
      </c>
      <c r="G1883" s="3">
        <v>101000</v>
      </c>
    </row>
    <row r="1884" spans="1:7" x14ac:dyDescent="0.2">
      <c r="A1884" s="3" t="s">
        <v>1069</v>
      </c>
      <c r="B1884" s="4">
        <v>44834</v>
      </c>
      <c r="C1884" s="3" t="s">
        <v>1180</v>
      </c>
      <c r="D1884" s="3" t="s">
        <v>1265</v>
      </c>
      <c r="E1884" s="3" t="s">
        <v>1266</v>
      </c>
      <c r="F1884" s="3">
        <v>626.09</v>
      </c>
      <c r="G1884" s="3">
        <v>1021325.63</v>
      </c>
    </row>
    <row r="1885" spans="1:7" x14ac:dyDescent="0.2">
      <c r="A1885" s="3" t="s">
        <v>1074</v>
      </c>
      <c r="B1885" s="4">
        <v>44834</v>
      </c>
      <c r="C1885" s="3" t="s">
        <v>1180</v>
      </c>
      <c r="D1885" s="3" t="s">
        <v>1265</v>
      </c>
      <c r="E1885" s="3" t="s">
        <v>1518</v>
      </c>
      <c r="F1885" s="3">
        <v>0</v>
      </c>
      <c r="G1885" s="3">
        <v>1233261.93</v>
      </c>
    </row>
    <row r="1886" spans="1:7" x14ac:dyDescent="0.2">
      <c r="A1886" s="3" t="s">
        <v>1069</v>
      </c>
      <c r="B1886" s="4">
        <v>44834</v>
      </c>
      <c r="C1886" s="3" t="s">
        <v>1180</v>
      </c>
      <c r="D1886" s="3" t="s">
        <v>1423</v>
      </c>
      <c r="E1886" s="3" t="s">
        <v>1424</v>
      </c>
      <c r="F1886" s="3">
        <v>0</v>
      </c>
      <c r="G1886" s="3">
        <v>622274.51</v>
      </c>
    </row>
    <row r="1887" spans="1:7" x14ac:dyDescent="0.2">
      <c r="A1887" s="3" t="s">
        <v>1069</v>
      </c>
      <c r="B1887" s="4">
        <v>44834</v>
      </c>
      <c r="C1887" s="3" t="s">
        <v>1180</v>
      </c>
      <c r="D1887" s="3" t="s">
        <v>1519</v>
      </c>
      <c r="E1887" s="3" t="s">
        <v>1520</v>
      </c>
      <c r="F1887" s="3">
        <v>0</v>
      </c>
      <c r="G1887" s="3">
        <v>938082.41</v>
      </c>
    </row>
    <row r="1888" spans="1:7" x14ac:dyDescent="0.2">
      <c r="A1888" s="3" t="s">
        <v>1074</v>
      </c>
      <c r="B1888" s="4">
        <v>44834</v>
      </c>
      <c r="C1888" s="3" t="s">
        <v>1180</v>
      </c>
      <c r="D1888" s="3" t="s">
        <v>1521</v>
      </c>
      <c r="E1888" s="3" t="s">
        <v>1522</v>
      </c>
      <c r="F1888" s="3">
        <v>1100</v>
      </c>
      <c r="G1888" s="3">
        <v>9600</v>
      </c>
    </row>
    <row r="1889" spans="1:7" x14ac:dyDescent="0.2">
      <c r="A1889" s="3" t="s">
        <v>1074</v>
      </c>
      <c r="B1889" s="4">
        <v>44834</v>
      </c>
      <c r="C1889" s="3" t="s">
        <v>1180</v>
      </c>
      <c r="D1889" s="3" t="s">
        <v>1534</v>
      </c>
      <c r="E1889" s="3" t="s">
        <v>1535</v>
      </c>
      <c r="F1889" s="3">
        <v>0</v>
      </c>
      <c r="G1889" s="3">
        <v>250000</v>
      </c>
    </row>
    <row r="1890" spans="1:7" x14ac:dyDescent="0.2">
      <c r="A1890" s="3" t="s">
        <v>1069</v>
      </c>
      <c r="B1890" s="4">
        <v>44834</v>
      </c>
      <c r="C1890" s="3" t="s">
        <v>1180</v>
      </c>
      <c r="D1890" s="3" t="s">
        <v>1529</v>
      </c>
      <c r="E1890" s="3" t="s">
        <v>1530</v>
      </c>
      <c r="F1890" s="3">
        <v>0</v>
      </c>
      <c r="G1890" s="3">
        <v>3023829.42</v>
      </c>
    </row>
    <row r="1891" spans="1:7" x14ac:dyDescent="0.2">
      <c r="A1891" s="3" t="s">
        <v>1069</v>
      </c>
      <c r="B1891" s="4">
        <v>44834</v>
      </c>
      <c r="C1891" s="3" t="s">
        <v>1180</v>
      </c>
      <c r="D1891" s="3" t="s">
        <v>1536</v>
      </c>
      <c r="E1891" s="3" t="s">
        <v>1537</v>
      </c>
      <c r="F1891" s="3">
        <v>0</v>
      </c>
      <c r="G1891" s="3">
        <v>850000</v>
      </c>
    </row>
    <row r="1892" spans="1:7" x14ac:dyDescent="0.2">
      <c r="A1892" s="3" t="s">
        <v>1072</v>
      </c>
      <c r="B1892" s="4">
        <v>44834</v>
      </c>
      <c r="C1892" s="3" t="s">
        <v>1180</v>
      </c>
      <c r="D1892" s="3" t="s">
        <v>1425</v>
      </c>
      <c r="E1892" s="3" t="s">
        <v>1426</v>
      </c>
      <c r="F1892" s="3">
        <v>0</v>
      </c>
      <c r="G1892" s="3">
        <v>6875.45</v>
      </c>
    </row>
    <row r="1893" spans="1:7" x14ac:dyDescent="0.2">
      <c r="A1893" s="3" t="s">
        <v>1072</v>
      </c>
      <c r="B1893" s="4">
        <v>44834</v>
      </c>
      <c r="C1893" s="3" t="s">
        <v>1180</v>
      </c>
      <c r="D1893" s="3" t="s">
        <v>1427</v>
      </c>
      <c r="E1893" s="3" t="s">
        <v>1428</v>
      </c>
      <c r="F1893" s="3">
        <v>-2462629.79</v>
      </c>
      <c r="G1893" s="3">
        <v>5874411.1399999997</v>
      </c>
    </row>
    <row r="1894" spans="1:7" x14ac:dyDescent="0.2">
      <c r="A1894" s="3" t="s">
        <v>1072</v>
      </c>
      <c r="B1894" s="4">
        <v>44834</v>
      </c>
      <c r="C1894" s="3" t="s">
        <v>1180</v>
      </c>
      <c r="D1894" s="3" t="s">
        <v>1429</v>
      </c>
      <c r="E1894" s="3" t="s">
        <v>1430</v>
      </c>
      <c r="F1894" s="3">
        <v>-2719.44</v>
      </c>
      <c r="G1894" s="3">
        <v>16316.63</v>
      </c>
    </row>
    <row r="1895" spans="1:7" x14ac:dyDescent="0.2">
      <c r="A1895" s="3" t="s">
        <v>1072</v>
      </c>
      <c r="B1895" s="4">
        <v>44834</v>
      </c>
      <c r="C1895" s="3" t="s">
        <v>1180</v>
      </c>
      <c r="D1895" s="3" t="s">
        <v>1431</v>
      </c>
      <c r="E1895" s="3" t="s">
        <v>1432</v>
      </c>
      <c r="F1895" s="3">
        <v>19</v>
      </c>
      <c r="G1895" s="3">
        <v>44</v>
      </c>
    </row>
    <row r="1896" spans="1:7" x14ac:dyDescent="0.2">
      <c r="A1896" s="3" t="s">
        <v>1069</v>
      </c>
      <c r="B1896" s="4">
        <v>44834</v>
      </c>
      <c r="C1896" s="3" t="s">
        <v>1180</v>
      </c>
      <c r="D1896" s="3" t="s">
        <v>1187</v>
      </c>
      <c r="E1896" s="3" t="s">
        <v>1188</v>
      </c>
      <c r="F1896" s="3">
        <v>-540090.56999999995</v>
      </c>
      <c r="G1896" s="3">
        <v>494513.62</v>
      </c>
    </row>
    <row r="1897" spans="1:7" x14ac:dyDescent="0.2">
      <c r="A1897" s="3" t="s">
        <v>1072</v>
      </c>
      <c r="B1897" s="4">
        <v>44834</v>
      </c>
      <c r="C1897" s="3" t="s">
        <v>1180</v>
      </c>
      <c r="D1897" s="3" t="s">
        <v>1187</v>
      </c>
      <c r="E1897" s="3" t="s">
        <v>1433</v>
      </c>
      <c r="F1897" s="3">
        <v>-292575.03000000003</v>
      </c>
      <c r="G1897" s="3">
        <v>656979.54</v>
      </c>
    </row>
    <row r="1898" spans="1:7" x14ac:dyDescent="0.2">
      <c r="A1898" s="3" t="s">
        <v>1072</v>
      </c>
      <c r="B1898" s="4">
        <v>44834</v>
      </c>
      <c r="C1898" s="3" t="s">
        <v>1180</v>
      </c>
      <c r="D1898" s="3" t="s">
        <v>1435</v>
      </c>
      <c r="E1898" s="3" t="s">
        <v>1436</v>
      </c>
      <c r="F1898" s="3">
        <v>0</v>
      </c>
      <c r="G1898" s="3">
        <v>522.6</v>
      </c>
    </row>
    <row r="1899" spans="1:7" x14ac:dyDescent="0.2">
      <c r="A1899" s="3" t="s">
        <v>1069</v>
      </c>
      <c r="B1899" s="4">
        <v>44834</v>
      </c>
      <c r="C1899" s="3" t="s">
        <v>1180</v>
      </c>
      <c r="D1899" s="3" t="s">
        <v>1243</v>
      </c>
      <c r="E1899" s="3" t="s">
        <v>1244</v>
      </c>
      <c r="F1899" s="3">
        <v>0</v>
      </c>
      <c r="G1899" s="3">
        <v>802.62</v>
      </c>
    </row>
    <row r="1900" spans="1:7" x14ac:dyDescent="0.2">
      <c r="A1900" s="3" t="s">
        <v>1069</v>
      </c>
      <c r="B1900" s="4">
        <v>44834</v>
      </c>
      <c r="C1900" s="3" t="s">
        <v>1180</v>
      </c>
      <c r="D1900" s="3" t="s">
        <v>1245</v>
      </c>
      <c r="E1900" s="3" t="s">
        <v>1246</v>
      </c>
      <c r="F1900" s="3">
        <v>-8621078.1500000004</v>
      </c>
      <c r="G1900" s="3">
        <v>2393591.67</v>
      </c>
    </row>
    <row r="1901" spans="1:7" x14ac:dyDescent="0.2">
      <c r="A1901" s="3" t="s">
        <v>1072</v>
      </c>
      <c r="B1901" s="4">
        <v>44834</v>
      </c>
      <c r="C1901" s="3" t="s">
        <v>1175</v>
      </c>
      <c r="D1901" s="3" t="s">
        <v>1437</v>
      </c>
      <c r="E1901" s="3" t="s">
        <v>1438</v>
      </c>
      <c r="F1901" s="3">
        <v>-0.26</v>
      </c>
      <c r="G1901" s="3">
        <v>-0.3</v>
      </c>
    </row>
    <row r="1902" spans="1:7" x14ac:dyDescent="0.2">
      <c r="A1902" s="3" t="s">
        <v>1072</v>
      </c>
      <c r="B1902" s="4">
        <v>44834</v>
      </c>
      <c r="C1902" s="3" t="s">
        <v>1175</v>
      </c>
      <c r="D1902" s="3" t="s">
        <v>1191</v>
      </c>
      <c r="E1902" s="3" t="s">
        <v>1192</v>
      </c>
      <c r="F1902" s="3">
        <v>4200902.49</v>
      </c>
      <c r="G1902" s="3">
        <v>-3568763.85</v>
      </c>
    </row>
    <row r="1903" spans="1:7" x14ac:dyDescent="0.2">
      <c r="A1903" s="3" t="s">
        <v>1069</v>
      </c>
      <c r="B1903" s="4">
        <v>44834</v>
      </c>
      <c r="C1903" s="3" t="s">
        <v>1175</v>
      </c>
      <c r="D1903" s="3" t="s">
        <v>1191</v>
      </c>
      <c r="E1903" s="3" t="s">
        <v>1192</v>
      </c>
      <c r="F1903" s="3">
        <v>-3544042.71</v>
      </c>
      <c r="G1903" s="3">
        <v>-95144235.010000005</v>
      </c>
    </row>
    <row r="1904" spans="1:7" x14ac:dyDescent="0.2">
      <c r="A1904" s="3" t="s">
        <v>1074</v>
      </c>
      <c r="B1904" s="4">
        <v>44834</v>
      </c>
      <c r="C1904" s="3" t="s">
        <v>1175</v>
      </c>
      <c r="D1904" s="3" t="s">
        <v>1191</v>
      </c>
      <c r="E1904" s="3" t="s">
        <v>1192</v>
      </c>
      <c r="F1904" s="3">
        <v>279880.81</v>
      </c>
      <c r="G1904" s="3">
        <v>-5795.69</v>
      </c>
    </row>
    <row r="1905" spans="1:7" x14ac:dyDescent="0.2">
      <c r="A1905" s="3" t="s">
        <v>1072</v>
      </c>
      <c r="B1905" s="4">
        <v>44834</v>
      </c>
      <c r="C1905" s="3" t="s">
        <v>1175</v>
      </c>
      <c r="D1905" s="3" t="s">
        <v>1488</v>
      </c>
      <c r="E1905" s="3" t="s">
        <v>1489</v>
      </c>
      <c r="F1905" s="3">
        <v>0</v>
      </c>
      <c r="G1905" s="3">
        <v>1186.1300000000001</v>
      </c>
    </row>
    <row r="1906" spans="1:7" x14ac:dyDescent="0.2">
      <c r="A1906" s="3" t="s">
        <v>1072</v>
      </c>
      <c r="B1906" s="4">
        <v>44834</v>
      </c>
      <c r="C1906" s="3" t="s">
        <v>1175</v>
      </c>
      <c r="D1906" s="3" t="s">
        <v>1439</v>
      </c>
      <c r="E1906" s="3" t="s">
        <v>1440</v>
      </c>
      <c r="F1906" s="3">
        <v>0</v>
      </c>
      <c r="G1906" s="3">
        <v>20758.55</v>
      </c>
    </row>
    <row r="1907" spans="1:7" x14ac:dyDescent="0.2">
      <c r="A1907" s="3" t="s">
        <v>1072</v>
      </c>
      <c r="B1907" s="4">
        <v>44834</v>
      </c>
      <c r="C1907" s="3" t="s">
        <v>1175</v>
      </c>
      <c r="D1907" s="3" t="s">
        <v>1441</v>
      </c>
      <c r="E1907" s="3" t="s">
        <v>1442</v>
      </c>
      <c r="F1907" s="3">
        <v>-25578.97</v>
      </c>
      <c r="G1907" s="3">
        <v>-39305</v>
      </c>
    </row>
    <row r="1908" spans="1:7" x14ac:dyDescent="0.2">
      <c r="A1908" s="3" t="s">
        <v>1072</v>
      </c>
      <c r="B1908" s="4">
        <v>44834</v>
      </c>
      <c r="C1908" s="3" t="s">
        <v>1175</v>
      </c>
      <c r="D1908" s="3" t="s">
        <v>1464</v>
      </c>
      <c r="E1908" s="3" t="s">
        <v>1465</v>
      </c>
      <c r="F1908" s="3">
        <v>-12988.81</v>
      </c>
      <c r="G1908" s="3">
        <v>-52383.58</v>
      </c>
    </row>
    <row r="1909" spans="1:7" x14ac:dyDescent="0.2">
      <c r="A1909" s="3" t="s">
        <v>1072</v>
      </c>
      <c r="B1909" s="4">
        <v>44834</v>
      </c>
      <c r="C1909" s="3" t="s">
        <v>1175</v>
      </c>
      <c r="D1909" s="3" t="s">
        <v>1193</v>
      </c>
      <c r="E1909" s="3" t="s">
        <v>1443</v>
      </c>
      <c r="F1909" s="3">
        <v>-254212.86</v>
      </c>
      <c r="G1909" s="3">
        <v>-2234577.36</v>
      </c>
    </row>
    <row r="1910" spans="1:7" x14ac:dyDescent="0.2">
      <c r="A1910" s="3" t="s">
        <v>1069</v>
      </c>
      <c r="B1910" s="4">
        <v>44834</v>
      </c>
      <c r="C1910" s="3" t="s">
        <v>1175</v>
      </c>
      <c r="D1910" s="3" t="s">
        <v>1193</v>
      </c>
      <c r="E1910" s="3" t="s">
        <v>1194</v>
      </c>
      <c r="F1910" s="3">
        <v>1544659.24</v>
      </c>
      <c r="G1910" s="3">
        <v>4072692.6</v>
      </c>
    </row>
    <row r="1911" spans="1:7" x14ac:dyDescent="0.2">
      <c r="A1911" s="3" t="s">
        <v>1074</v>
      </c>
      <c r="B1911" s="4">
        <v>44834</v>
      </c>
      <c r="C1911" s="3" t="s">
        <v>1175</v>
      </c>
      <c r="D1911" s="3" t="s">
        <v>1193</v>
      </c>
      <c r="E1911" s="3" t="s">
        <v>1194</v>
      </c>
      <c r="F1911" s="3">
        <v>612.48</v>
      </c>
      <c r="G1911" s="3">
        <v>224181.77</v>
      </c>
    </row>
    <row r="1912" spans="1:7" x14ac:dyDescent="0.2">
      <c r="A1912" s="3" t="s">
        <v>1072</v>
      </c>
      <c r="B1912" s="4">
        <v>44834</v>
      </c>
      <c r="C1912" s="3" t="s">
        <v>1175</v>
      </c>
      <c r="D1912" s="3" t="s">
        <v>1505</v>
      </c>
      <c r="E1912" s="3" t="s">
        <v>1506</v>
      </c>
      <c r="F1912" s="3">
        <v>0</v>
      </c>
      <c r="G1912" s="3">
        <v>80</v>
      </c>
    </row>
    <row r="1913" spans="1:7" x14ac:dyDescent="0.2">
      <c r="A1913" s="3" t="s">
        <v>1072</v>
      </c>
      <c r="B1913" s="4">
        <v>44834</v>
      </c>
      <c r="C1913" s="3" t="s">
        <v>1175</v>
      </c>
      <c r="D1913" s="3" t="s">
        <v>1444</v>
      </c>
      <c r="E1913" s="3" t="s">
        <v>1445</v>
      </c>
      <c r="F1913" s="3">
        <v>0</v>
      </c>
      <c r="G1913" s="3">
        <v>1869.8</v>
      </c>
    </row>
    <row r="1914" spans="1:7" x14ac:dyDescent="0.2">
      <c r="A1914" s="3" t="s">
        <v>1072</v>
      </c>
      <c r="B1914" s="4">
        <v>44834</v>
      </c>
      <c r="C1914" s="3" t="s">
        <v>1175</v>
      </c>
      <c r="D1914" s="3" t="s">
        <v>1446</v>
      </c>
      <c r="E1914" s="3" t="s">
        <v>1447</v>
      </c>
      <c r="F1914" s="3">
        <v>0</v>
      </c>
      <c r="G1914" s="3">
        <v>-254.99</v>
      </c>
    </row>
    <row r="1915" spans="1:7" x14ac:dyDescent="0.2">
      <c r="A1915" s="3" t="s">
        <v>1072</v>
      </c>
      <c r="B1915" s="4">
        <v>44865</v>
      </c>
      <c r="C1915" s="3" t="s">
        <v>1210</v>
      </c>
      <c r="D1915" s="3" t="s">
        <v>1448</v>
      </c>
      <c r="E1915" s="3" t="s">
        <v>1449</v>
      </c>
      <c r="F1915" s="3">
        <v>-4763644.96</v>
      </c>
      <c r="G1915" s="3">
        <v>-36650395.609999999</v>
      </c>
    </row>
    <row r="1916" spans="1:7" x14ac:dyDescent="0.2">
      <c r="A1916" s="3" t="s">
        <v>1072</v>
      </c>
      <c r="B1916" s="4">
        <v>44865</v>
      </c>
      <c r="C1916" s="3" t="s">
        <v>1210</v>
      </c>
      <c r="D1916" s="3" t="s">
        <v>1267</v>
      </c>
      <c r="E1916" s="3" t="s">
        <v>1268</v>
      </c>
      <c r="F1916" s="3">
        <v>0</v>
      </c>
      <c r="G1916" s="3">
        <v>-12046638.060000001</v>
      </c>
    </row>
    <row r="1917" spans="1:7" x14ac:dyDescent="0.2">
      <c r="A1917" s="3" t="s">
        <v>1072</v>
      </c>
      <c r="B1917" s="4">
        <v>44865</v>
      </c>
      <c r="C1917" s="3" t="s">
        <v>1210</v>
      </c>
      <c r="D1917" s="3" t="s">
        <v>1507</v>
      </c>
      <c r="E1917" s="3" t="s">
        <v>1508</v>
      </c>
      <c r="F1917" s="3">
        <v>0</v>
      </c>
      <c r="G1917" s="3">
        <v>-1782369.8</v>
      </c>
    </row>
    <row r="1918" spans="1:7" x14ac:dyDescent="0.2">
      <c r="A1918" s="3" t="s">
        <v>1072</v>
      </c>
      <c r="B1918" s="4">
        <v>44865</v>
      </c>
      <c r="C1918" s="3" t="s">
        <v>1210</v>
      </c>
      <c r="D1918" s="3" t="s">
        <v>1525</v>
      </c>
      <c r="E1918" s="3" t="s">
        <v>1526</v>
      </c>
      <c r="F1918" s="3">
        <v>0</v>
      </c>
      <c r="G1918" s="3">
        <v>1616.91</v>
      </c>
    </row>
    <row r="1919" spans="1:7" x14ac:dyDescent="0.2">
      <c r="A1919" s="3" t="s">
        <v>1072</v>
      </c>
      <c r="B1919" s="4">
        <v>44865</v>
      </c>
      <c r="C1919" s="3" t="s">
        <v>1210</v>
      </c>
      <c r="D1919" s="3" t="s">
        <v>1271</v>
      </c>
      <c r="E1919" s="3" t="s">
        <v>1272</v>
      </c>
      <c r="F1919" s="3">
        <v>0</v>
      </c>
      <c r="G1919" s="3">
        <v>-2839.7</v>
      </c>
    </row>
    <row r="1920" spans="1:7" x14ac:dyDescent="0.2">
      <c r="A1920" s="3" t="s">
        <v>1072</v>
      </c>
      <c r="B1920" s="4">
        <v>44865</v>
      </c>
      <c r="C1920" s="3" t="s">
        <v>1210</v>
      </c>
      <c r="D1920" s="3" t="s">
        <v>1273</v>
      </c>
      <c r="E1920" s="3" t="s">
        <v>1274</v>
      </c>
      <c r="F1920" s="3">
        <v>-3490.94</v>
      </c>
      <c r="G1920" s="3">
        <v>-27927.52</v>
      </c>
    </row>
    <row r="1921" spans="1:7" x14ac:dyDescent="0.2">
      <c r="A1921" s="3" t="s">
        <v>1074</v>
      </c>
      <c r="B1921" s="4">
        <v>44865</v>
      </c>
      <c r="C1921" s="3" t="s">
        <v>1168</v>
      </c>
      <c r="D1921" s="3" t="s">
        <v>1538</v>
      </c>
      <c r="E1921" s="3" t="s">
        <v>1539</v>
      </c>
      <c r="F1921" s="3">
        <v>0</v>
      </c>
      <c r="G1921" s="3">
        <v>678.59</v>
      </c>
    </row>
    <row r="1922" spans="1:7" x14ac:dyDescent="0.2">
      <c r="A1922" s="3" t="s">
        <v>1069</v>
      </c>
      <c r="B1922" s="4">
        <v>44865</v>
      </c>
      <c r="C1922" s="3" t="s">
        <v>1168</v>
      </c>
      <c r="D1922" s="3" t="s">
        <v>1514</v>
      </c>
      <c r="E1922" s="3" t="s">
        <v>1515</v>
      </c>
      <c r="F1922" s="3">
        <v>0</v>
      </c>
      <c r="G1922" s="3">
        <v>86956.52</v>
      </c>
    </row>
    <row r="1923" spans="1:7" x14ac:dyDescent="0.2">
      <c r="A1923" s="3" t="s">
        <v>1069</v>
      </c>
      <c r="B1923" s="4">
        <v>44865</v>
      </c>
      <c r="C1923" s="3" t="s">
        <v>1168</v>
      </c>
      <c r="D1923" s="3" t="s">
        <v>1531</v>
      </c>
      <c r="E1923" s="3" t="s">
        <v>1532</v>
      </c>
      <c r="F1923" s="3">
        <v>37150.94</v>
      </c>
      <c r="G1923" s="3">
        <v>57843.94</v>
      </c>
    </row>
    <row r="1924" spans="1:7" x14ac:dyDescent="0.2">
      <c r="A1924" s="3" t="s">
        <v>1069</v>
      </c>
      <c r="B1924" s="4">
        <v>44865</v>
      </c>
      <c r="C1924" s="3" t="s">
        <v>1168</v>
      </c>
      <c r="D1924" s="3" t="s">
        <v>1540</v>
      </c>
      <c r="E1924" s="3" t="s">
        <v>1541</v>
      </c>
      <c r="F1924" s="3">
        <v>0</v>
      </c>
      <c r="G1924" s="3">
        <v>9738.91</v>
      </c>
    </row>
    <row r="1925" spans="1:7" x14ac:dyDescent="0.2">
      <c r="A1925" s="3" t="s">
        <v>1072</v>
      </c>
      <c r="B1925" s="4">
        <v>44865</v>
      </c>
      <c r="C1925" s="3" t="s">
        <v>1168</v>
      </c>
      <c r="D1925" s="3" t="s">
        <v>1545</v>
      </c>
      <c r="E1925" s="3" t="s">
        <v>1546</v>
      </c>
      <c r="F1925" s="3">
        <v>-762078.59</v>
      </c>
      <c r="G1925" s="3">
        <v>-762078.59</v>
      </c>
    </row>
    <row r="1926" spans="1:7" x14ac:dyDescent="0.2">
      <c r="A1926" s="3" t="s">
        <v>1072</v>
      </c>
      <c r="B1926" s="4">
        <v>44865</v>
      </c>
      <c r="C1926" s="3" t="s">
        <v>1168</v>
      </c>
      <c r="D1926" s="3" t="s">
        <v>1466</v>
      </c>
      <c r="E1926" s="3" t="s">
        <v>1467</v>
      </c>
      <c r="F1926" s="3">
        <v>0</v>
      </c>
      <c r="G1926" s="3">
        <v>957.28</v>
      </c>
    </row>
    <row r="1927" spans="1:7" x14ac:dyDescent="0.2">
      <c r="A1927" s="3" t="s">
        <v>1072</v>
      </c>
      <c r="B1927" s="4">
        <v>44865</v>
      </c>
      <c r="C1927" s="3" t="s">
        <v>1168</v>
      </c>
      <c r="D1927" s="3" t="s">
        <v>1281</v>
      </c>
      <c r="E1927" s="3" t="s">
        <v>1282</v>
      </c>
      <c r="F1927" s="3">
        <v>248550.49</v>
      </c>
      <c r="G1927" s="3">
        <v>16316960.77</v>
      </c>
    </row>
    <row r="1928" spans="1:7" x14ac:dyDescent="0.2">
      <c r="A1928" s="3" t="s">
        <v>1072</v>
      </c>
      <c r="B1928" s="4">
        <v>44865</v>
      </c>
      <c r="C1928" s="3" t="s">
        <v>1168</v>
      </c>
      <c r="D1928" s="3" t="s">
        <v>1283</v>
      </c>
      <c r="E1928" s="3" t="s">
        <v>1284</v>
      </c>
      <c r="F1928" s="3">
        <v>22861.32</v>
      </c>
      <c r="G1928" s="3">
        <v>888886.99</v>
      </c>
    </row>
    <row r="1929" spans="1:7" x14ac:dyDescent="0.2">
      <c r="A1929" s="3" t="s">
        <v>1072</v>
      </c>
      <c r="B1929" s="4">
        <v>44865</v>
      </c>
      <c r="C1929" s="3" t="s">
        <v>1168</v>
      </c>
      <c r="D1929" s="3" t="s">
        <v>1285</v>
      </c>
      <c r="E1929" s="3" t="s">
        <v>1286</v>
      </c>
      <c r="F1929" s="3">
        <v>2719.44</v>
      </c>
      <c r="G1929" s="3">
        <v>34731.25</v>
      </c>
    </row>
    <row r="1930" spans="1:7" x14ac:dyDescent="0.2">
      <c r="A1930" s="3" t="s">
        <v>1072</v>
      </c>
      <c r="B1930" s="4">
        <v>44865</v>
      </c>
      <c r="C1930" s="3" t="s">
        <v>1168</v>
      </c>
      <c r="D1930" s="3" t="s">
        <v>1287</v>
      </c>
      <c r="E1930" s="3" t="s">
        <v>1288</v>
      </c>
      <c r="F1930" s="3">
        <v>0</v>
      </c>
      <c r="G1930" s="3">
        <v>269.64999999999998</v>
      </c>
    </row>
    <row r="1931" spans="1:7" x14ac:dyDescent="0.2">
      <c r="A1931" s="3" t="s">
        <v>1072</v>
      </c>
      <c r="B1931" s="4">
        <v>44865</v>
      </c>
      <c r="C1931" s="3" t="s">
        <v>1168</v>
      </c>
      <c r="D1931" s="3" t="s">
        <v>1289</v>
      </c>
      <c r="E1931" s="3" t="s">
        <v>1290</v>
      </c>
      <c r="F1931" s="3">
        <v>0</v>
      </c>
      <c r="G1931" s="3">
        <v>11000</v>
      </c>
    </row>
    <row r="1932" spans="1:7" x14ac:dyDescent="0.2">
      <c r="A1932" s="3" t="s">
        <v>1072</v>
      </c>
      <c r="B1932" s="4">
        <v>44865</v>
      </c>
      <c r="C1932" s="3" t="s">
        <v>1168</v>
      </c>
      <c r="D1932" s="3" t="s">
        <v>1291</v>
      </c>
      <c r="E1932" s="3" t="s">
        <v>1292</v>
      </c>
      <c r="F1932" s="3">
        <v>0</v>
      </c>
      <c r="G1932" s="3">
        <v>19600</v>
      </c>
    </row>
    <row r="1933" spans="1:7" x14ac:dyDescent="0.2">
      <c r="A1933" s="3" t="s">
        <v>1072</v>
      </c>
      <c r="B1933" s="4">
        <v>44865</v>
      </c>
      <c r="C1933" s="3" t="s">
        <v>1168</v>
      </c>
      <c r="D1933" s="3" t="s">
        <v>1299</v>
      </c>
      <c r="E1933" s="3" t="s">
        <v>1300</v>
      </c>
      <c r="F1933" s="3">
        <v>0</v>
      </c>
      <c r="G1933" s="3">
        <v>2473.65</v>
      </c>
    </row>
    <row r="1934" spans="1:7" x14ac:dyDescent="0.2">
      <c r="A1934" s="3" t="s">
        <v>1072</v>
      </c>
      <c r="B1934" s="4">
        <v>44865</v>
      </c>
      <c r="C1934" s="3" t="s">
        <v>1168</v>
      </c>
      <c r="D1934" s="3" t="s">
        <v>1301</v>
      </c>
      <c r="E1934" s="3" t="s">
        <v>1302</v>
      </c>
      <c r="F1934" s="3">
        <v>0</v>
      </c>
      <c r="G1934" s="3">
        <v>937.39</v>
      </c>
    </row>
    <row r="1935" spans="1:7" x14ac:dyDescent="0.2">
      <c r="A1935" s="3" t="s">
        <v>1072</v>
      </c>
      <c r="B1935" s="4">
        <v>44865</v>
      </c>
      <c r="C1935" s="3" t="s">
        <v>1168</v>
      </c>
      <c r="D1935" s="3" t="s">
        <v>1305</v>
      </c>
      <c r="E1935" s="3" t="s">
        <v>1306</v>
      </c>
      <c r="F1935" s="3">
        <v>0</v>
      </c>
      <c r="G1935" s="3">
        <v>4661.74</v>
      </c>
    </row>
    <row r="1936" spans="1:7" x14ac:dyDescent="0.2">
      <c r="A1936" s="3" t="s">
        <v>1072</v>
      </c>
      <c r="B1936" s="4">
        <v>44865</v>
      </c>
      <c r="C1936" s="3" t="s">
        <v>1168</v>
      </c>
      <c r="D1936" s="3" t="s">
        <v>1315</v>
      </c>
      <c r="E1936" s="3" t="s">
        <v>1316</v>
      </c>
      <c r="F1936" s="3">
        <v>0</v>
      </c>
      <c r="G1936" s="3">
        <v>2952.7</v>
      </c>
    </row>
    <row r="1937" spans="1:7" x14ac:dyDescent="0.2">
      <c r="A1937" s="3" t="s">
        <v>1072</v>
      </c>
      <c r="B1937" s="4">
        <v>44865</v>
      </c>
      <c r="C1937" s="3" t="s">
        <v>1168</v>
      </c>
      <c r="D1937" s="3" t="s">
        <v>1450</v>
      </c>
      <c r="E1937" s="3" t="s">
        <v>1451</v>
      </c>
      <c r="F1937" s="3">
        <v>3132835.75</v>
      </c>
      <c r="G1937" s="3">
        <v>25477189.739999998</v>
      </c>
    </row>
    <row r="1938" spans="1:7" x14ac:dyDescent="0.2">
      <c r="A1938" s="3" t="s">
        <v>1072</v>
      </c>
      <c r="B1938" s="4">
        <v>44865</v>
      </c>
      <c r="C1938" s="3" t="s">
        <v>1168</v>
      </c>
      <c r="D1938" s="3" t="s">
        <v>1452</v>
      </c>
      <c r="E1938" s="3" t="s">
        <v>1453</v>
      </c>
      <c r="F1938" s="3">
        <v>281083.21000000002</v>
      </c>
      <c r="G1938" s="3">
        <v>2085639.44</v>
      </c>
    </row>
    <row r="1939" spans="1:7" x14ac:dyDescent="0.2">
      <c r="A1939" s="3" t="s">
        <v>1072</v>
      </c>
      <c r="B1939" s="4">
        <v>44865</v>
      </c>
      <c r="C1939" s="3" t="s">
        <v>1168</v>
      </c>
      <c r="D1939" s="3" t="s">
        <v>1454</v>
      </c>
      <c r="E1939" s="3" t="s">
        <v>1455</v>
      </c>
      <c r="F1939" s="3">
        <v>0</v>
      </c>
      <c r="G1939" s="3">
        <v>22286.3</v>
      </c>
    </row>
    <row r="1940" spans="1:7" x14ac:dyDescent="0.2">
      <c r="A1940" s="3" t="s">
        <v>1072</v>
      </c>
      <c r="B1940" s="4">
        <v>44865</v>
      </c>
      <c r="C1940" s="3" t="s">
        <v>1168</v>
      </c>
      <c r="D1940" s="3" t="s">
        <v>1468</v>
      </c>
      <c r="E1940" s="3" t="s">
        <v>1469</v>
      </c>
      <c r="F1940" s="3">
        <v>607.83000000000004</v>
      </c>
      <c r="G1940" s="3">
        <v>4669.96</v>
      </c>
    </row>
    <row r="1941" spans="1:7" x14ac:dyDescent="0.2">
      <c r="A1941" s="3" t="s">
        <v>1072</v>
      </c>
      <c r="B1941" s="4">
        <v>44865</v>
      </c>
      <c r="C1941" s="3" t="s">
        <v>1168</v>
      </c>
      <c r="D1941" s="3" t="s">
        <v>1502</v>
      </c>
      <c r="E1941" s="3" t="s">
        <v>1503</v>
      </c>
      <c r="F1941" s="3">
        <v>0</v>
      </c>
      <c r="G1941" s="3">
        <v>20565.22</v>
      </c>
    </row>
    <row r="1942" spans="1:7" x14ac:dyDescent="0.2">
      <c r="A1942" s="3" t="s">
        <v>1072</v>
      </c>
      <c r="B1942" s="4">
        <v>44865</v>
      </c>
      <c r="C1942" s="3" t="s">
        <v>1168</v>
      </c>
      <c r="D1942" s="3" t="s">
        <v>1542</v>
      </c>
      <c r="E1942" s="3" t="s">
        <v>1543</v>
      </c>
      <c r="F1942" s="3">
        <v>1211819.46</v>
      </c>
      <c r="G1942" s="3">
        <v>1724655.1</v>
      </c>
    </row>
    <row r="1943" spans="1:7" x14ac:dyDescent="0.2">
      <c r="A1943" s="3" t="s">
        <v>1072</v>
      </c>
      <c r="B1943" s="4">
        <v>44865</v>
      </c>
      <c r="C1943" s="3" t="s">
        <v>1168</v>
      </c>
      <c r="D1943" s="3" t="s">
        <v>1527</v>
      </c>
      <c r="E1943" s="3" t="s">
        <v>1528</v>
      </c>
      <c r="F1943" s="3">
        <v>18460.650000000001</v>
      </c>
      <c r="G1943" s="3">
        <v>111053.43</v>
      </c>
    </row>
    <row r="1944" spans="1:7" x14ac:dyDescent="0.2">
      <c r="A1944" s="3" t="s">
        <v>1072</v>
      </c>
      <c r="B1944" s="4">
        <v>44865</v>
      </c>
      <c r="C1944" s="3" t="s">
        <v>1210</v>
      </c>
      <c r="D1944" s="3" t="s">
        <v>1509</v>
      </c>
      <c r="E1944" s="3" t="s">
        <v>1510</v>
      </c>
      <c r="F1944" s="3">
        <v>-373.57</v>
      </c>
      <c r="G1944" s="3">
        <v>-698.85</v>
      </c>
    </row>
    <row r="1945" spans="1:7" x14ac:dyDescent="0.2">
      <c r="A1945" s="3" t="s">
        <v>1072</v>
      </c>
      <c r="B1945" s="4">
        <v>44865</v>
      </c>
      <c r="C1945" s="3" t="s">
        <v>1210</v>
      </c>
      <c r="D1945" s="3" t="s">
        <v>1323</v>
      </c>
      <c r="E1945" s="3" t="s">
        <v>1324</v>
      </c>
      <c r="F1945" s="3">
        <v>-5.26</v>
      </c>
      <c r="G1945" s="3">
        <v>-18.22</v>
      </c>
    </row>
    <row r="1946" spans="1:7" x14ac:dyDescent="0.2">
      <c r="A1946" s="3" t="s">
        <v>1069</v>
      </c>
      <c r="B1946" s="4">
        <v>44865</v>
      </c>
      <c r="C1946" s="3" t="s">
        <v>1210</v>
      </c>
      <c r="D1946" s="3" t="s">
        <v>1249</v>
      </c>
      <c r="E1946" s="3" t="s">
        <v>1250</v>
      </c>
      <c r="F1946" s="3">
        <v>-31863.87</v>
      </c>
      <c r="G1946" s="3">
        <v>-282952.56</v>
      </c>
    </row>
    <row r="1947" spans="1:7" x14ac:dyDescent="0.2">
      <c r="A1947" s="3" t="s">
        <v>1069</v>
      </c>
      <c r="B1947" s="4">
        <v>44865</v>
      </c>
      <c r="C1947" s="3" t="s">
        <v>1168</v>
      </c>
      <c r="D1947" s="3" t="s">
        <v>1226</v>
      </c>
      <c r="E1947" s="3" t="s">
        <v>1126</v>
      </c>
      <c r="F1947" s="3">
        <v>150</v>
      </c>
      <c r="G1947" s="3">
        <v>150</v>
      </c>
    </row>
    <row r="1948" spans="1:7" x14ac:dyDescent="0.2">
      <c r="A1948" s="3" t="s">
        <v>1072</v>
      </c>
      <c r="B1948" s="4">
        <v>44865</v>
      </c>
      <c r="C1948" s="3" t="s">
        <v>1168</v>
      </c>
      <c r="D1948" s="3" t="s">
        <v>1326</v>
      </c>
      <c r="E1948" s="3" t="s">
        <v>1088</v>
      </c>
      <c r="F1948" s="3">
        <v>0</v>
      </c>
      <c r="G1948" s="3">
        <v>10600</v>
      </c>
    </row>
    <row r="1949" spans="1:7" x14ac:dyDescent="0.2">
      <c r="A1949" s="3" t="s">
        <v>1072</v>
      </c>
      <c r="B1949" s="4">
        <v>44865</v>
      </c>
      <c r="C1949" s="3" t="s">
        <v>1168</v>
      </c>
      <c r="D1949" s="3" t="s">
        <v>1337</v>
      </c>
      <c r="E1949" s="3" t="s">
        <v>1338</v>
      </c>
      <c r="F1949" s="3">
        <v>0</v>
      </c>
      <c r="G1949" s="3">
        <v>14139.13</v>
      </c>
    </row>
    <row r="1950" spans="1:7" x14ac:dyDescent="0.2">
      <c r="A1950" s="3" t="s">
        <v>1072</v>
      </c>
      <c r="B1950" s="4">
        <v>44865</v>
      </c>
      <c r="C1950" s="3" t="s">
        <v>1168</v>
      </c>
      <c r="D1950" s="3" t="s">
        <v>1169</v>
      </c>
      <c r="E1950" s="3" t="s">
        <v>1079</v>
      </c>
      <c r="F1950" s="3">
        <v>0</v>
      </c>
      <c r="G1950" s="3">
        <v>687.5</v>
      </c>
    </row>
    <row r="1951" spans="1:7" x14ac:dyDescent="0.2">
      <c r="A1951" s="3" t="s">
        <v>1069</v>
      </c>
      <c r="B1951" s="4">
        <v>44865</v>
      </c>
      <c r="C1951" s="3" t="s">
        <v>1168</v>
      </c>
      <c r="D1951" s="3" t="s">
        <v>1169</v>
      </c>
      <c r="E1951" s="3" t="s">
        <v>1079</v>
      </c>
      <c r="F1951" s="3">
        <v>375</v>
      </c>
      <c r="G1951" s="3">
        <v>100078.86</v>
      </c>
    </row>
    <row r="1952" spans="1:7" x14ac:dyDescent="0.2">
      <c r="A1952" s="3" t="s">
        <v>1074</v>
      </c>
      <c r="B1952" s="4">
        <v>44865</v>
      </c>
      <c r="C1952" s="3" t="s">
        <v>1168</v>
      </c>
      <c r="D1952" s="3" t="s">
        <v>1169</v>
      </c>
      <c r="E1952" s="3" t="s">
        <v>1079</v>
      </c>
      <c r="F1952" s="3">
        <v>0</v>
      </c>
      <c r="G1952" s="3">
        <v>2500</v>
      </c>
    </row>
    <row r="1953" spans="1:7" x14ac:dyDescent="0.2">
      <c r="A1953" s="3" t="s">
        <v>1069</v>
      </c>
      <c r="B1953" s="4">
        <v>44865</v>
      </c>
      <c r="C1953" s="3" t="s">
        <v>1168</v>
      </c>
      <c r="D1953" s="3" t="s">
        <v>1261</v>
      </c>
      <c r="E1953" s="3" t="s">
        <v>1145</v>
      </c>
      <c r="F1953" s="3">
        <v>11556</v>
      </c>
      <c r="G1953" s="3">
        <v>92448</v>
      </c>
    </row>
    <row r="1954" spans="1:7" x14ac:dyDescent="0.2">
      <c r="A1954" s="3" t="s">
        <v>1072</v>
      </c>
      <c r="B1954" s="4">
        <v>44865</v>
      </c>
      <c r="C1954" s="3" t="s">
        <v>1168</v>
      </c>
      <c r="D1954" s="3" t="s">
        <v>1339</v>
      </c>
      <c r="E1954" s="3" t="s">
        <v>1087</v>
      </c>
      <c r="F1954" s="3">
        <v>0</v>
      </c>
      <c r="G1954" s="3">
        <v>137.5</v>
      </c>
    </row>
    <row r="1955" spans="1:7" x14ac:dyDescent="0.2">
      <c r="A1955" s="3" t="s">
        <v>1072</v>
      </c>
      <c r="B1955" s="4">
        <v>44865</v>
      </c>
      <c r="C1955" s="3" t="s">
        <v>1168</v>
      </c>
      <c r="D1955" s="3" t="s">
        <v>1195</v>
      </c>
      <c r="E1955" s="3" t="s">
        <v>1085</v>
      </c>
      <c r="F1955" s="3">
        <v>2630.23</v>
      </c>
      <c r="G1955" s="3">
        <v>22820.7</v>
      </c>
    </row>
    <row r="1956" spans="1:7" x14ac:dyDescent="0.2">
      <c r="A1956" s="3" t="s">
        <v>1069</v>
      </c>
      <c r="B1956" s="4">
        <v>44865</v>
      </c>
      <c r="C1956" s="3" t="s">
        <v>1168</v>
      </c>
      <c r="D1956" s="3" t="s">
        <v>1195</v>
      </c>
      <c r="E1956" s="3" t="s">
        <v>1085</v>
      </c>
      <c r="F1956" s="3">
        <v>261.49</v>
      </c>
      <c r="G1956" s="3">
        <v>5738.57</v>
      </c>
    </row>
    <row r="1957" spans="1:7" x14ac:dyDescent="0.2">
      <c r="A1957" s="3" t="s">
        <v>1072</v>
      </c>
      <c r="B1957" s="4">
        <v>44865</v>
      </c>
      <c r="C1957" s="3" t="s">
        <v>1168</v>
      </c>
      <c r="D1957" s="3" t="s">
        <v>1340</v>
      </c>
      <c r="E1957" s="3" t="s">
        <v>1141</v>
      </c>
      <c r="F1957" s="3">
        <v>0</v>
      </c>
      <c r="G1957" s="3">
        <v>1986.89</v>
      </c>
    </row>
    <row r="1958" spans="1:7" x14ac:dyDescent="0.2">
      <c r="A1958" s="3" t="s">
        <v>1072</v>
      </c>
      <c r="B1958" s="4">
        <v>44865</v>
      </c>
      <c r="C1958" s="3" t="s">
        <v>1168</v>
      </c>
      <c r="D1958" s="3" t="s">
        <v>1341</v>
      </c>
      <c r="E1958" s="3" t="s">
        <v>1135</v>
      </c>
      <c r="F1958" s="3">
        <v>790.53</v>
      </c>
      <c r="G1958" s="3">
        <v>5376.4</v>
      </c>
    </row>
    <row r="1959" spans="1:7" x14ac:dyDescent="0.2">
      <c r="A1959" s="3" t="s">
        <v>1072</v>
      </c>
      <c r="B1959" s="4">
        <v>44865</v>
      </c>
      <c r="C1959" s="3" t="s">
        <v>1168</v>
      </c>
      <c r="D1959" s="3" t="s">
        <v>1342</v>
      </c>
      <c r="E1959" s="3" t="s">
        <v>1080</v>
      </c>
      <c r="F1959" s="3">
        <v>956.52</v>
      </c>
      <c r="G1959" s="3">
        <v>4264.21</v>
      </c>
    </row>
    <row r="1960" spans="1:7" x14ac:dyDescent="0.2">
      <c r="A1960" s="3" t="s">
        <v>1072</v>
      </c>
      <c r="B1960" s="4">
        <v>44865</v>
      </c>
      <c r="C1960" s="3" t="s">
        <v>1168</v>
      </c>
      <c r="D1960" s="3" t="s">
        <v>1504</v>
      </c>
      <c r="E1960" s="3" t="s">
        <v>1142</v>
      </c>
      <c r="F1960" s="3">
        <v>3130</v>
      </c>
      <c r="G1960" s="3">
        <v>31969</v>
      </c>
    </row>
    <row r="1961" spans="1:7" x14ac:dyDescent="0.2">
      <c r="A1961" s="3" t="s">
        <v>1069</v>
      </c>
      <c r="B1961" s="4">
        <v>44865</v>
      </c>
      <c r="C1961" s="3" t="s">
        <v>1168</v>
      </c>
      <c r="D1961" s="3" t="s">
        <v>1251</v>
      </c>
      <c r="E1961" s="3" t="s">
        <v>1095</v>
      </c>
      <c r="F1961" s="3">
        <v>90550</v>
      </c>
      <c r="G1961" s="3">
        <v>670540.68000000005</v>
      </c>
    </row>
    <row r="1962" spans="1:7" x14ac:dyDescent="0.2">
      <c r="A1962" s="3" t="s">
        <v>1072</v>
      </c>
      <c r="B1962" s="4">
        <v>44865</v>
      </c>
      <c r="C1962" s="3" t="s">
        <v>1168</v>
      </c>
      <c r="D1962" s="3" t="s">
        <v>1251</v>
      </c>
      <c r="E1962" s="3" t="s">
        <v>1345</v>
      </c>
      <c r="F1962" s="3">
        <v>36000</v>
      </c>
      <c r="G1962" s="3">
        <v>288000</v>
      </c>
    </row>
    <row r="1963" spans="1:7" x14ac:dyDescent="0.2">
      <c r="A1963" s="3" t="s">
        <v>1072</v>
      </c>
      <c r="B1963" s="4">
        <v>44865</v>
      </c>
      <c r="C1963" s="3" t="s">
        <v>1168</v>
      </c>
      <c r="D1963" s="3" t="s">
        <v>1348</v>
      </c>
      <c r="E1963" s="3" t="s">
        <v>1095</v>
      </c>
      <c r="F1963" s="3">
        <v>131550</v>
      </c>
      <c r="G1963" s="3">
        <v>1003621.87</v>
      </c>
    </row>
    <row r="1964" spans="1:7" x14ac:dyDescent="0.2">
      <c r="A1964" s="3" t="s">
        <v>1069</v>
      </c>
      <c r="B1964" s="4">
        <v>44865</v>
      </c>
      <c r="C1964" s="3" t="s">
        <v>1168</v>
      </c>
      <c r="D1964" s="3" t="s">
        <v>1252</v>
      </c>
      <c r="E1964" s="3" t="s">
        <v>1120</v>
      </c>
      <c r="F1964" s="3">
        <v>4000</v>
      </c>
      <c r="G1964" s="3">
        <v>52000</v>
      </c>
    </row>
    <row r="1965" spans="1:7" x14ac:dyDescent="0.2">
      <c r="A1965" s="3" t="s">
        <v>1072</v>
      </c>
      <c r="B1965" s="4">
        <v>44865</v>
      </c>
      <c r="C1965" s="3" t="s">
        <v>1168</v>
      </c>
      <c r="D1965" s="3" t="s">
        <v>1349</v>
      </c>
      <c r="E1965" s="3" t="s">
        <v>1089</v>
      </c>
      <c r="F1965" s="3">
        <v>0</v>
      </c>
      <c r="G1965" s="3">
        <v>160.87</v>
      </c>
    </row>
    <row r="1966" spans="1:7" x14ac:dyDescent="0.2">
      <c r="A1966" s="3" t="s">
        <v>1072</v>
      </c>
      <c r="B1966" s="4">
        <v>44865</v>
      </c>
      <c r="C1966" s="3" t="s">
        <v>1168</v>
      </c>
      <c r="D1966" s="3" t="s">
        <v>1350</v>
      </c>
      <c r="E1966" s="3" t="s">
        <v>1115</v>
      </c>
      <c r="F1966" s="3">
        <v>2165.84</v>
      </c>
      <c r="G1966" s="3">
        <v>15118.54</v>
      </c>
    </row>
    <row r="1967" spans="1:7" x14ac:dyDescent="0.2">
      <c r="A1967" s="3" t="s">
        <v>1072</v>
      </c>
      <c r="B1967" s="4">
        <v>44865</v>
      </c>
      <c r="C1967" s="3" t="s">
        <v>1168</v>
      </c>
      <c r="D1967" s="3" t="s">
        <v>1351</v>
      </c>
      <c r="E1967" s="3" t="s">
        <v>1096</v>
      </c>
      <c r="F1967" s="3">
        <v>193.34</v>
      </c>
      <c r="G1967" s="3">
        <v>1546.67</v>
      </c>
    </row>
    <row r="1968" spans="1:7" x14ac:dyDescent="0.2">
      <c r="A1968" s="3" t="s">
        <v>1072</v>
      </c>
      <c r="B1968" s="4">
        <v>44865</v>
      </c>
      <c r="C1968" s="3" t="s">
        <v>1168</v>
      </c>
      <c r="D1968" s="3" t="s">
        <v>1472</v>
      </c>
      <c r="E1968" s="3" t="s">
        <v>1473</v>
      </c>
      <c r="F1968" s="3">
        <v>0</v>
      </c>
      <c r="G1968" s="3">
        <v>39610.1</v>
      </c>
    </row>
    <row r="1969" spans="1:7" x14ac:dyDescent="0.2">
      <c r="A1969" s="3" t="s">
        <v>1072</v>
      </c>
      <c r="B1969" s="4">
        <v>44865</v>
      </c>
      <c r="C1969" s="3" t="s">
        <v>1168</v>
      </c>
      <c r="D1969" s="3" t="s">
        <v>1474</v>
      </c>
      <c r="E1969" s="3" t="s">
        <v>1114</v>
      </c>
      <c r="F1969" s="3">
        <v>427.21</v>
      </c>
      <c r="G1969" s="3">
        <v>3417.65</v>
      </c>
    </row>
    <row r="1970" spans="1:7" x14ac:dyDescent="0.2">
      <c r="A1970" s="3" t="s">
        <v>1069</v>
      </c>
      <c r="B1970" s="4">
        <v>44865</v>
      </c>
      <c r="C1970" s="3" t="s">
        <v>1168</v>
      </c>
      <c r="D1970" s="3" t="s">
        <v>1229</v>
      </c>
      <c r="E1970" s="3" t="s">
        <v>1136</v>
      </c>
      <c r="F1970" s="3">
        <v>3022.39</v>
      </c>
      <c r="G1970" s="3">
        <v>23636.97</v>
      </c>
    </row>
    <row r="1971" spans="1:7" x14ac:dyDescent="0.2">
      <c r="A1971" s="3" t="s">
        <v>1072</v>
      </c>
      <c r="B1971" s="4">
        <v>44865</v>
      </c>
      <c r="C1971" s="3" t="s">
        <v>1168</v>
      </c>
      <c r="D1971" s="3" t="s">
        <v>1229</v>
      </c>
      <c r="E1971" s="3" t="s">
        <v>1106</v>
      </c>
      <c r="F1971" s="3">
        <v>5377.37</v>
      </c>
      <c r="G1971" s="3">
        <v>39247.980000000003</v>
      </c>
    </row>
    <row r="1972" spans="1:7" x14ac:dyDescent="0.2">
      <c r="A1972" s="3" t="s">
        <v>1069</v>
      </c>
      <c r="B1972" s="4">
        <v>44865</v>
      </c>
      <c r="C1972" s="3" t="s">
        <v>1168</v>
      </c>
      <c r="D1972" s="3" t="s">
        <v>1230</v>
      </c>
      <c r="E1972" s="3" t="s">
        <v>1109</v>
      </c>
      <c r="F1972" s="3">
        <v>4972.63</v>
      </c>
      <c r="G1972" s="3">
        <v>43254.35</v>
      </c>
    </row>
    <row r="1973" spans="1:7" x14ac:dyDescent="0.2">
      <c r="A1973" s="3" t="s">
        <v>1072</v>
      </c>
      <c r="B1973" s="4">
        <v>44865</v>
      </c>
      <c r="C1973" s="3" t="s">
        <v>1168</v>
      </c>
      <c r="D1973" s="3" t="s">
        <v>1196</v>
      </c>
      <c r="E1973" s="3" t="s">
        <v>1131</v>
      </c>
      <c r="F1973" s="3">
        <v>0</v>
      </c>
      <c r="G1973" s="3">
        <v>7651.52</v>
      </c>
    </row>
    <row r="1974" spans="1:7" x14ac:dyDescent="0.2">
      <c r="A1974" s="3" t="s">
        <v>1072</v>
      </c>
      <c r="B1974" s="4">
        <v>44865</v>
      </c>
      <c r="C1974" s="3" t="s">
        <v>1168</v>
      </c>
      <c r="D1974" s="3" t="s">
        <v>1544</v>
      </c>
      <c r="E1974" s="3" t="s">
        <v>1159</v>
      </c>
      <c r="F1974" s="3">
        <v>273.20999999999998</v>
      </c>
      <c r="G1974" s="3">
        <v>546.41999999999996</v>
      </c>
    </row>
    <row r="1975" spans="1:7" x14ac:dyDescent="0.2">
      <c r="A1975" s="3" t="s">
        <v>1069</v>
      </c>
      <c r="B1975" s="4">
        <v>44865</v>
      </c>
      <c r="C1975" s="3" t="s">
        <v>1168</v>
      </c>
      <c r="D1975" s="3" t="s">
        <v>1544</v>
      </c>
      <c r="E1975" s="3" t="s">
        <v>1159</v>
      </c>
      <c r="F1975" s="3">
        <v>0</v>
      </c>
      <c r="G1975" s="3">
        <v>4142.3</v>
      </c>
    </row>
    <row r="1976" spans="1:7" x14ac:dyDescent="0.2">
      <c r="A1976" s="3" t="s">
        <v>1072</v>
      </c>
      <c r="B1976" s="4">
        <v>44865</v>
      </c>
      <c r="C1976" s="3" t="s">
        <v>1168</v>
      </c>
      <c r="D1976" s="3" t="s">
        <v>1354</v>
      </c>
      <c r="E1976" s="3" t="s">
        <v>1078</v>
      </c>
      <c r="F1976" s="3">
        <v>1194.1500000000001</v>
      </c>
      <c r="G1976" s="3">
        <v>9483.76</v>
      </c>
    </row>
    <row r="1977" spans="1:7" x14ac:dyDescent="0.2">
      <c r="A1977" s="3" t="s">
        <v>1072</v>
      </c>
      <c r="B1977" s="4">
        <v>44865</v>
      </c>
      <c r="C1977" s="3" t="s">
        <v>1168</v>
      </c>
      <c r="D1977" s="3" t="s">
        <v>1355</v>
      </c>
      <c r="E1977" s="3" t="s">
        <v>1356</v>
      </c>
      <c r="F1977" s="3">
        <v>0</v>
      </c>
      <c r="G1977" s="3">
        <v>1425.42</v>
      </c>
    </row>
    <row r="1978" spans="1:7" x14ac:dyDescent="0.2">
      <c r="A1978" s="3" t="s">
        <v>1069</v>
      </c>
      <c r="B1978" s="4">
        <v>44865</v>
      </c>
      <c r="C1978" s="3" t="s">
        <v>1168</v>
      </c>
      <c r="D1978" s="3" t="s">
        <v>1456</v>
      </c>
      <c r="E1978" s="3" t="s">
        <v>1457</v>
      </c>
      <c r="F1978" s="3">
        <v>181.66</v>
      </c>
      <c r="G1978" s="3">
        <v>588.44000000000005</v>
      </c>
    </row>
    <row r="1979" spans="1:7" x14ac:dyDescent="0.2">
      <c r="A1979" s="3" t="s">
        <v>1072</v>
      </c>
      <c r="B1979" s="4">
        <v>44865</v>
      </c>
      <c r="C1979" s="3" t="s">
        <v>1168</v>
      </c>
      <c r="D1979" s="3" t="s">
        <v>1547</v>
      </c>
      <c r="E1979" s="3" t="s">
        <v>1548</v>
      </c>
      <c r="F1979" s="3">
        <v>849.05</v>
      </c>
      <c r="G1979" s="3">
        <v>849.05</v>
      </c>
    </row>
    <row r="1980" spans="1:7" x14ac:dyDescent="0.2">
      <c r="A1980" s="3" t="s">
        <v>1069</v>
      </c>
      <c r="B1980" s="4">
        <v>44865</v>
      </c>
      <c r="C1980" s="3" t="s">
        <v>1168</v>
      </c>
      <c r="D1980" s="3" t="s">
        <v>1549</v>
      </c>
      <c r="E1980" s="3" t="s">
        <v>1154</v>
      </c>
      <c r="F1980" s="3">
        <v>400000</v>
      </c>
      <c r="G1980" s="3">
        <v>400000</v>
      </c>
    </row>
    <row r="1981" spans="1:7" x14ac:dyDescent="0.2">
      <c r="A1981" s="3" t="s">
        <v>1069</v>
      </c>
      <c r="B1981" s="4">
        <v>44865</v>
      </c>
      <c r="C1981" s="3" t="s">
        <v>1168</v>
      </c>
      <c r="D1981" s="3" t="s">
        <v>1253</v>
      </c>
      <c r="E1981" s="3" t="s">
        <v>1103</v>
      </c>
      <c r="F1981" s="3">
        <v>1185.3399999999999</v>
      </c>
      <c r="G1981" s="3">
        <v>239928.9</v>
      </c>
    </row>
    <row r="1982" spans="1:7" x14ac:dyDescent="0.2">
      <c r="A1982" s="3" t="s">
        <v>1072</v>
      </c>
      <c r="B1982" s="4">
        <v>44865</v>
      </c>
      <c r="C1982" s="3" t="s">
        <v>1168</v>
      </c>
      <c r="D1982" s="3" t="s">
        <v>1358</v>
      </c>
      <c r="E1982" s="3" t="s">
        <v>1122</v>
      </c>
      <c r="F1982" s="3">
        <v>0</v>
      </c>
      <c r="G1982" s="3">
        <v>4033.01</v>
      </c>
    </row>
    <row r="1983" spans="1:7" x14ac:dyDescent="0.2">
      <c r="A1983" s="3" t="s">
        <v>1072</v>
      </c>
      <c r="B1983" s="4">
        <v>44865</v>
      </c>
      <c r="C1983" s="3" t="s">
        <v>1168</v>
      </c>
      <c r="D1983" s="3" t="s">
        <v>1359</v>
      </c>
      <c r="E1983" s="3" t="s">
        <v>1086</v>
      </c>
      <c r="F1983" s="3">
        <v>0</v>
      </c>
      <c r="G1983" s="3">
        <v>1200</v>
      </c>
    </row>
    <row r="1984" spans="1:7" x14ac:dyDescent="0.2">
      <c r="A1984" s="3" t="s">
        <v>1072</v>
      </c>
      <c r="B1984" s="4">
        <v>44865</v>
      </c>
      <c r="C1984" s="3" t="s">
        <v>1168</v>
      </c>
      <c r="D1984" s="3" t="s">
        <v>1201</v>
      </c>
      <c r="E1984" s="3" t="s">
        <v>1112</v>
      </c>
      <c r="F1984" s="3">
        <v>922.43</v>
      </c>
      <c r="G1984" s="3">
        <v>9595.2000000000007</v>
      </c>
    </row>
    <row r="1985" spans="1:7" x14ac:dyDescent="0.2">
      <c r="A1985" s="3" t="s">
        <v>1074</v>
      </c>
      <c r="B1985" s="4">
        <v>44865</v>
      </c>
      <c r="C1985" s="3" t="s">
        <v>1168</v>
      </c>
      <c r="D1985" s="3" t="s">
        <v>1201</v>
      </c>
      <c r="E1985" s="3" t="s">
        <v>1112</v>
      </c>
      <c r="F1985" s="3">
        <v>0</v>
      </c>
      <c r="G1985" s="3">
        <v>3404.62</v>
      </c>
    </row>
    <row r="1986" spans="1:7" x14ac:dyDescent="0.2">
      <c r="A1986" s="3" t="s">
        <v>1072</v>
      </c>
      <c r="B1986" s="4">
        <v>44865</v>
      </c>
      <c r="C1986" s="3" t="s">
        <v>1168</v>
      </c>
      <c r="D1986" s="3" t="s">
        <v>1360</v>
      </c>
      <c r="E1986" s="3" t="s">
        <v>1098</v>
      </c>
      <c r="F1986" s="3">
        <v>626.01</v>
      </c>
      <c r="G1986" s="3">
        <v>5567.47</v>
      </c>
    </row>
    <row r="1987" spans="1:7" x14ac:dyDescent="0.2">
      <c r="A1987" s="3" t="s">
        <v>1072</v>
      </c>
      <c r="B1987" s="4">
        <v>44865</v>
      </c>
      <c r="C1987" s="3" t="s">
        <v>1168</v>
      </c>
      <c r="D1987" s="3" t="s">
        <v>1361</v>
      </c>
      <c r="E1987" s="3" t="s">
        <v>1121</v>
      </c>
      <c r="F1987" s="3">
        <v>28087.5</v>
      </c>
      <c r="G1987" s="3">
        <v>224700</v>
      </c>
    </row>
    <row r="1988" spans="1:7" x14ac:dyDescent="0.2">
      <c r="A1988" s="3" t="s">
        <v>1072</v>
      </c>
      <c r="B1988" s="4">
        <v>44865</v>
      </c>
      <c r="C1988" s="3" t="s">
        <v>1168</v>
      </c>
      <c r="D1988" s="3" t="s">
        <v>1231</v>
      </c>
      <c r="E1988" s="3" t="s">
        <v>1083</v>
      </c>
      <c r="F1988" s="3">
        <v>843.6</v>
      </c>
      <c r="G1988" s="3">
        <v>6748.8</v>
      </c>
    </row>
    <row r="1989" spans="1:7" x14ac:dyDescent="0.2">
      <c r="A1989" s="3" t="s">
        <v>1069</v>
      </c>
      <c r="B1989" s="4">
        <v>44865</v>
      </c>
      <c r="C1989" s="3" t="s">
        <v>1168</v>
      </c>
      <c r="D1989" s="3" t="s">
        <v>1231</v>
      </c>
      <c r="E1989" s="3" t="s">
        <v>1070</v>
      </c>
      <c r="F1989" s="3">
        <v>3406.21</v>
      </c>
      <c r="G1989" s="3">
        <v>25769.58</v>
      </c>
    </row>
    <row r="1990" spans="1:7" x14ac:dyDescent="0.2">
      <c r="A1990" s="3" t="s">
        <v>1072</v>
      </c>
      <c r="B1990" s="4">
        <v>44865</v>
      </c>
      <c r="C1990" s="3" t="s">
        <v>1168</v>
      </c>
      <c r="D1990" s="3" t="s">
        <v>1254</v>
      </c>
      <c r="E1990" s="3" t="s">
        <v>1075</v>
      </c>
      <c r="F1990" s="3">
        <v>0</v>
      </c>
      <c r="G1990" s="3">
        <v>10521.71</v>
      </c>
    </row>
    <row r="1991" spans="1:7" x14ac:dyDescent="0.2">
      <c r="A1991" s="3" t="s">
        <v>1069</v>
      </c>
      <c r="B1991" s="4">
        <v>44865</v>
      </c>
      <c r="C1991" s="3" t="s">
        <v>1168</v>
      </c>
      <c r="D1991" s="3" t="s">
        <v>1254</v>
      </c>
      <c r="E1991" s="3" t="s">
        <v>1075</v>
      </c>
      <c r="F1991" s="3">
        <v>18372.16</v>
      </c>
      <c r="G1991" s="3">
        <v>22719.99</v>
      </c>
    </row>
    <row r="1992" spans="1:7" x14ac:dyDescent="0.2">
      <c r="A1992" s="3" t="s">
        <v>1072</v>
      </c>
      <c r="B1992" s="4">
        <v>44865</v>
      </c>
      <c r="C1992" s="3" t="s">
        <v>1168</v>
      </c>
      <c r="D1992" s="3" t="s">
        <v>1362</v>
      </c>
      <c r="E1992" s="3" t="s">
        <v>1123</v>
      </c>
      <c r="F1992" s="3">
        <v>220560.99</v>
      </c>
      <c r="G1992" s="3">
        <v>1760941.8</v>
      </c>
    </row>
    <row r="1993" spans="1:7" x14ac:dyDescent="0.2">
      <c r="A1993" s="3" t="s">
        <v>1072</v>
      </c>
      <c r="B1993" s="4">
        <v>44865</v>
      </c>
      <c r="C1993" s="3" t="s">
        <v>1168</v>
      </c>
      <c r="D1993" s="3" t="s">
        <v>1365</v>
      </c>
      <c r="E1993" s="3" t="s">
        <v>1090</v>
      </c>
      <c r="F1993" s="3">
        <v>0</v>
      </c>
      <c r="G1993" s="3">
        <v>3746.27</v>
      </c>
    </row>
    <row r="1994" spans="1:7" x14ac:dyDescent="0.2">
      <c r="A1994" s="3" t="s">
        <v>1072</v>
      </c>
      <c r="B1994" s="4">
        <v>44865</v>
      </c>
      <c r="C1994" s="3" t="s">
        <v>1168</v>
      </c>
      <c r="D1994" s="3" t="s">
        <v>1511</v>
      </c>
      <c r="E1994" s="3" t="s">
        <v>1104</v>
      </c>
      <c r="F1994" s="3">
        <v>177.33</v>
      </c>
      <c r="G1994" s="3">
        <v>1163.43</v>
      </c>
    </row>
    <row r="1995" spans="1:7" x14ac:dyDescent="0.2">
      <c r="A1995" s="3" t="s">
        <v>1072</v>
      </c>
      <c r="B1995" s="4">
        <v>44865</v>
      </c>
      <c r="C1995" s="3" t="s">
        <v>1168</v>
      </c>
      <c r="D1995" s="3" t="s">
        <v>1366</v>
      </c>
      <c r="E1995" s="3" t="s">
        <v>1144</v>
      </c>
      <c r="F1995" s="3">
        <v>0</v>
      </c>
      <c r="G1995" s="3">
        <v>7623.92</v>
      </c>
    </row>
    <row r="1996" spans="1:7" x14ac:dyDescent="0.2">
      <c r="A1996" s="3" t="s">
        <v>1069</v>
      </c>
      <c r="B1996" s="4">
        <v>44865</v>
      </c>
      <c r="C1996" s="3" t="s">
        <v>1168</v>
      </c>
      <c r="D1996" s="3" t="s">
        <v>1213</v>
      </c>
      <c r="E1996" s="3" t="s">
        <v>1150</v>
      </c>
      <c r="F1996" s="3">
        <v>328.38</v>
      </c>
      <c r="G1996" s="3">
        <v>3927.46</v>
      </c>
    </row>
    <row r="1997" spans="1:7" x14ac:dyDescent="0.2">
      <c r="A1997" s="3" t="s">
        <v>1072</v>
      </c>
      <c r="B1997" s="4">
        <v>44865</v>
      </c>
      <c r="C1997" s="3" t="s">
        <v>1168</v>
      </c>
      <c r="D1997" s="3" t="s">
        <v>1367</v>
      </c>
      <c r="E1997" s="3" t="s">
        <v>1147</v>
      </c>
      <c r="F1997" s="3">
        <v>0</v>
      </c>
      <c r="G1997" s="3">
        <v>6800</v>
      </c>
    </row>
    <row r="1998" spans="1:7" x14ac:dyDescent="0.2">
      <c r="A1998" s="3" t="s">
        <v>1072</v>
      </c>
      <c r="B1998" s="4">
        <v>44865</v>
      </c>
      <c r="C1998" s="3" t="s">
        <v>1168</v>
      </c>
      <c r="D1998" s="3" t="s">
        <v>1368</v>
      </c>
      <c r="E1998" s="3" t="s">
        <v>1124</v>
      </c>
      <c r="F1998" s="3">
        <v>0</v>
      </c>
      <c r="G1998" s="3">
        <v>3519.1</v>
      </c>
    </row>
    <row r="1999" spans="1:7" x14ac:dyDescent="0.2">
      <c r="A1999" s="3" t="s">
        <v>1072</v>
      </c>
      <c r="B1999" s="4">
        <v>44865</v>
      </c>
      <c r="C1999" s="3" t="s">
        <v>1168</v>
      </c>
      <c r="D1999" s="3" t="s">
        <v>1369</v>
      </c>
      <c r="E1999" s="3" t="s">
        <v>1099</v>
      </c>
      <c r="F1999" s="3">
        <v>0</v>
      </c>
      <c r="G1999" s="3">
        <v>526.32000000000005</v>
      </c>
    </row>
    <row r="2000" spans="1:7" x14ac:dyDescent="0.2">
      <c r="A2000" s="3" t="s">
        <v>1072</v>
      </c>
      <c r="B2000" s="4">
        <v>44865</v>
      </c>
      <c r="C2000" s="3" t="s">
        <v>1168</v>
      </c>
      <c r="D2000" s="3" t="s">
        <v>1370</v>
      </c>
      <c r="E2000" s="3" t="s">
        <v>1129</v>
      </c>
      <c r="F2000" s="3">
        <v>686</v>
      </c>
      <c r="G2000" s="3">
        <v>4708</v>
      </c>
    </row>
    <row r="2001" spans="1:7" x14ac:dyDescent="0.2">
      <c r="A2001" s="3" t="s">
        <v>1072</v>
      </c>
      <c r="B2001" s="4">
        <v>44865</v>
      </c>
      <c r="C2001" s="3" t="s">
        <v>1168</v>
      </c>
      <c r="D2001" s="3" t="s">
        <v>1372</v>
      </c>
      <c r="E2001" s="3" t="s">
        <v>1158</v>
      </c>
      <c r="F2001" s="3">
        <v>600</v>
      </c>
      <c r="G2001" s="3">
        <v>4800</v>
      </c>
    </row>
    <row r="2002" spans="1:7" x14ac:dyDescent="0.2">
      <c r="A2002" s="3" t="s">
        <v>1072</v>
      </c>
      <c r="B2002" s="4">
        <v>44865</v>
      </c>
      <c r="C2002" s="3" t="s">
        <v>1168</v>
      </c>
      <c r="D2002" s="3" t="s">
        <v>1373</v>
      </c>
      <c r="E2002" s="3" t="s">
        <v>1092</v>
      </c>
      <c r="F2002" s="3">
        <v>484</v>
      </c>
      <c r="G2002" s="3">
        <v>3318.6</v>
      </c>
    </row>
    <row r="2003" spans="1:7" x14ac:dyDescent="0.2">
      <c r="A2003" s="3" t="s">
        <v>1072</v>
      </c>
      <c r="B2003" s="4">
        <v>44865</v>
      </c>
      <c r="C2003" s="3" t="s">
        <v>1168</v>
      </c>
      <c r="D2003" s="3" t="s">
        <v>1490</v>
      </c>
      <c r="E2003" s="3" t="s">
        <v>1491</v>
      </c>
      <c r="F2003" s="3">
        <v>0</v>
      </c>
      <c r="G2003" s="3">
        <v>13765</v>
      </c>
    </row>
    <row r="2004" spans="1:7" x14ac:dyDescent="0.2">
      <c r="A2004" s="3" t="s">
        <v>1069</v>
      </c>
      <c r="B2004" s="4">
        <v>44865</v>
      </c>
      <c r="C2004" s="3" t="s">
        <v>1168</v>
      </c>
      <c r="D2004" s="3" t="s">
        <v>1232</v>
      </c>
      <c r="E2004" s="3" t="s">
        <v>1105</v>
      </c>
      <c r="F2004" s="3">
        <v>600</v>
      </c>
      <c r="G2004" s="3">
        <v>4800</v>
      </c>
    </row>
    <row r="2005" spans="1:7" x14ac:dyDescent="0.2">
      <c r="A2005" s="3" t="s">
        <v>1074</v>
      </c>
      <c r="B2005" s="4">
        <v>44865</v>
      </c>
      <c r="C2005" s="3" t="s">
        <v>1168</v>
      </c>
      <c r="D2005" s="3" t="s">
        <v>1232</v>
      </c>
      <c r="E2005" s="3" t="s">
        <v>1105</v>
      </c>
      <c r="F2005" s="3">
        <v>600</v>
      </c>
      <c r="G2005" s="3">
        <v>8400</v>
      </c>
    </row>
    <row r="2006" spans="1:7" x14ac:dyDescent="0.2">
      <c r="A2006" s="3" t="s">
        <v>1069</v>
      </c>
      <c r="B2006" s="4">
        <v>44865</v>
      </c>
      <c r="C2006" s="3" t="s">
        <v>1168</v>
      </c>
      <c r="D2006" s="3" t="s">
        <v>1262</v>
      </c>
      <c r="E2006" s="3" t="s">
        <v>1127</v>
      </c>
      <c r="F2006" s="3">
        <v>526.32000000000005</v>
      </c>
      <c r="G2006" s="3">
        <v>526.32000000000005</v>
      </c>
    </row>
    <row r="2007" spans="1:7" x14ac:dyDescent="0.2">
      <c r="A2007" s="3" t="s">
        <v>1072</v>
      </c>
      <c r="B2007" s="4">
        <v>44865</v>
      </c>
      <c r="C2007" s="3" t="s">
        <v>1168</v>
      </c>
      <c r="D2007" s="3" t="s">
        <v>1374</v>
      </c>
      <c r="E2007" s="3" t="s">
        <v>1108</v>
      </c>
      <c r="F2007" s="3">
        <v>0</v>
      </c>
      <c r="G2007" s="3">
        <v>2500</v>
      </c>
    </row>
    <row r="2008" spans="1:7" x14ac:dyDescent="0.2">
      <c r="A2008" s="3" t="s">
        <v>1072</v>
      </c>
      <c r="B2008" s="4">
        <v>44865</v>
      </c>
      <c r="C2008" s="3" t="s">
        <v>1168</v>
      </c>
      <c r="D2008" s="3" t="s">
        <v>1376</v>
      </c>
      <c r="E2008" s="3" t="s">
        <v>1377</v>
      </c>
      <c r="F2008" s="3">
        <v>0</v>
      </c>
      <c r="G2008" s="3">
        <v>13.04</v>
      </c>
    </row>
    <row r="2009" spans="1:7" x14ac:dyDescent="0.2">
      <c r="A2009" s="3" t="s">
        <v>1072</v>
      </c>
      <c r="B2009" s="4">
        <v>44865</v>
      </c>
      <c r="C2009" s="3" t="s">
        <v>1168</v>
      </c>
      <c r="D2009" s="3" t="s">
        <v>1378</v>
      </c>
      <c r="E2009" s="3" t="s">
        <v>1143</v>
      </c>
      <c r="F2009" s="3">
        <v>30120.69</v>
      </c>
      <c r="G2009" s="3">
        <v>271864.19</v>
      </c>
    </row>
    <row r="2010" spans="1:7" x14ac:dyDescent="0.2">
      <c r="A2010" s="3" t="s">
        <v>1072</v>
      </c>
      <c r="B2010" s="4">
        <v>44865</v>
      </c>
      <c r="C2010" s="3" t="s">
        <v>1168</v>
      </c>
      <c r="D2010" s="3" t="s">
        <v>1379</v>
      </c>
      <c r="E2010" s="3" t="s">
        <v>1107</v>
      </c>
      <c r="F2010" s="3">
        <v>2411.7199999999998</v>
      </c>
      <c r="G2010" s="3">
        <v>19495.73</v>
      </c>
    </row>
    <row r="2011" spans="1:7" x14ac:dyDescent="0.2">
      <c r="A2011" s="3" t="s">
        <v>1072</v>
      </c>
      <c r="B2011" s="4">
        <v>44865</v>
      </c>
      <c r="C2011" s="3" t="s">
        <v>1168</v>
      </c>
      <c r="D2011" s="3" t="s">
        <v>1380</v>
      </c>
      <c r="E2011" s="3" t="s">
        <v>1125</v>
      </c>
      <c r="F2011" s="3">
        <v>1814.48</v>
      </c>
      <c r="G2011" s="3">
        <v>14032.06</v>
      </c>
    </row>
    <row r="2012" spans="1:7" x14ac:dyDescent="0.2">
      <c r="A2012" s="3" t="s">
        <v>1072</v>
      </c>
      <c r="B2012" s="4">
        <v>44865</v>
      </c>
      <c r="C2012" s="3" t="s">
        <v>1168</v>
      </c>
      <c r="D2012" s="3" t="s">
        <v>1381</v>
      </c>
      <c r="E2012" s="3" t="s">
        <v>1130</v>
      </c>
      <c r="F2012" s="3">
        <v>1814.48</v>
      </c>
      <c r="G2012" s="3">
        <v>14032.06</v>
      </c>
    </row>
    <row r="2013" spans="1:7" x14ac:dyDescent="0.2">
      <c r="A2013" s="3" t="s">
        <v>1072</v>
      </c>
      <c r="B2013" s="4">
        <v>44865</v>
      </c>
      <c r="C2013" s="3" t="s">
        <v>1168</v>
      </c>
      <c r="D2013" s="3" t="s">
        <v>1458</v>
      </c>
      <c r="E2013" s="3" t="s">
        <v>1113</v>
      </c>
      <c r="F2013" s="3">
        <v>21491.08</v>
      </c>
      <c r="G2013" s="3">
        <v>57015.89</v>
      </c>
    </row>
    <row r="2014" spans="1:7" x14ac:dyDescent="0.2">
      <c r="A2014" s="3" t="s">
        <v>1072</v>
      </c>
      <c r="B2014" s="4">
        <v>44865</v>
      </c>
      <c r="C2014" s="3" t="s">
        <v>1168</v>
      </c>
      <c r="D2014" s="3" t="s">
        <v>1459</v>
      </c>
      <c r="E2014" s="3" t="s">
        <v>1139</v>
      </c>
      <c r="F2014" s="3">
        <v>3257.15</v>
      </c>
      <c r="G2014" s="3">
        <v>19706.8</v>
      </c>
    </row>
    <row r="2015" spans="1:7" x14ac:dyDescent="0.2">
      <c r="A2015" s="3" t="s">
        <v>1069</v>
      </c>
      <c r="B2015" s="4">
        <v>44865</v>
      </c>
      <c r="C2015" s="3" t="s">
        <v>1172</v>
      </c>
      <c r="D2015" s="3" t="s">
        <v>1173</v>
      </c>
      <c r="E2015" s="3" t="s">
        <v>1174</v>
      </c>
      <c r="F2015" s="3">
        <v>0</v>
      </c>
      <c r="G2015" s="3">
        <v>-100</v>
      </c>
    </row>
    <row r="2016" spans="1:7" x14ac:dyDescent="0.2">
      <c r="A2016" s="3" t="s">
        <v>1072</v>
      </c>
      <c r="B2016" s="4">
        <v>44865</v>
      </c>
      <c r="C2016" s="3" t="s">
        <v>1172</v>
      </c>
      <c r="D2016" s="3" t="s">
        <v>1382</v>
      </c>
      <c r="E2016" s="3" t="s">
        <v>1383</v>
      </c>
      <c r="F2016" s="3">
        <v>0</v>
      </c>
      <c r="G2016" s="3">
        <v>-120</v>
      </c>
    </row>
    <row r="2017" spans="1:7" x14ac:dyDescent="0.2">
      <c r="A2017" s="3" t="s">
        <v>1072</v>
      </c>
      <c r="B2017" s="4">
        <v>44865</v>
      </c>
      <c r="C2017" s="3" t="s">
        <v>1172</v>
      </c>
      <c r="D2017" s="3" t="s">
        <v>1384</v>
      </c>
      <c r="E2017" s="3" t="s">
        <v>1385</v>
      </c>
      <c r="F2017" s="3">
        <v>0</v>
      </c>
      <c r="G2017" s="3">
        <v>247347.05</v>
      </c>
    </row>
    <row r="2018" spans="1:7" x14ac:dyDescent="0.2">
      <c r="A2018" s="3" t="s">
        <v>1069</v>
      </c>
      <c r="B2018" s="4">
        <v>44865</v>
      </c>
      <c r="C2018" s="3" t="s">
        <v>1172</v>
      </c>
      <c r="D2018" s="3" t="s">
        <v>1384</v>
      </c>
      <c r="E2018" s="3" t="s">
        <v>1385</v>
      </c>
      <c r="F2018" s="3">
        <v>0</v>
      </c>
      <c r="G2018" s="3">
        <v>-17080353.050000001</v>
      </c>
    </row>
    <row r="2019" spans="1:7" x14ac:dyDescent="0.2">
      <c r="A2019" s="3" t="s">
        <v>1069</v>
      </c>
      <c r="B2019" s="4">
        <v>44865</v>
      </c>
      <c r="C2019" s="3" t="s">
        <v>1180</v>
      </c>
      <c r="D2019" s="3" t="s">
        <v>1241</v>
      </c>
      <c r="E2019" s="3" t="s">
        <v>1242</v>
      </c>
      <c r="F2019" s="3">
        <v>0</v>
      </c>
      <c r="G2019" s="3">
        <v>17562360.850000001</v>
      </c>
    </row>
    <row r="2020" spans="1:7" x14ac:dyDescent="0.2">
      <c r="A2020" s="3" t="s">
        <v>1072</v>
      </c>
      <c r="B2020" s="4">
        <v>44865</v>
      </c>
      <c r="C2020" s="3" t="s">
        <v>1180</v>
      </c>
      <c r="D2020" s="3" t="s">
        <v>1460</v>
      </c>
      <c r="E2020" s="3" t="s">
        <v>1461</v>
      </c>
      <c r="F2020" s="3">
        <v>150000</v>
      </c>
      <c r="G2020" s="3">
        <v>-270000</v>
      </c>
    </row>
    <row r="2021" spans="1:7" x14ac:dyDescent="0.2">
      <c r="A2021" s="3" t="s">
        <v>1072</v>
      </c>
      <c r="B2021" s="4">
        <v>44865</v>
      </c>
      <c r="C2021" s="3" t="s">
        <v>1180</v>
      </c>
      <c r="D2021" s="3" t="s">
        <v>1483</v>
      </c>
      <c r="E2021" s="3" t="s">
        <v>1177</v>
      </c>
      <c r="F2021" s="3">
        <v>0</v>
      </c>
      <c r="G2021" s="3">
        <v>3050000</v>
      </c>
    </row>
    <row r="2022" spans="1:7" x14ac:dyDescent="0.2">
      <c r="A2022" s="3" t="s">
        <v>1072</v>
      </c>
      <c r="B2022" s="4">
        <v>44865</v>
      </c>
      <c r="C2022" s="3" t="s">
        <v>1180</v>
      </c>
      <c r="D2022" s="3" t="s">
        <v>1394</v>
      </c>
      <c r="E2022" s="3" t="s">
        <v>1256</v>
      </c>
      <c r="F2022" s="3">
        <v>600</v>
      </c>
      <c r="G2022" s="3">
        <v>1200</v>
      </c>
    </row>
    <row r="2023" spans="1:7" x14ac:dyDescent="0.2">
      <c r="A2023" s="3" t="s">
        <v>1072</v>
      </c>
      <c r="B2023" s="4">
        <v>44865</v>
      </c>
      <c r="C2023" s="3" t="s">
        <v>1180</v>
      </c>
      <c r="D2023" s="3" t="s">
        <v>1395</v>
      </c>
      <c r="E2023" s="3" t="s">
        <v>1396</v>
      </c>
      <c r="F2023" s="3">
        <v>46000</v>
      </c>
      <c r="G2023" s="3">
        <v>-4500000</v>
      </c>
    </row>
    <row r="2024" spans="1:7" x14ac:dyDescent="0.2">
      <c r="A2024" s="3" t="s">
        <v>1072</v>
      </c>
      <c r="B2024" s="4">
        <v>44865</v>
      </c>
      <c r="C2024" s="3" t="s">
        <v>1180</v>
      </c>
      <c r="D2024" s="3" t="s">
        <v>1397</v>
      </c>
      <c r="E2024" s="3" t="s">
        <v>1398</v>
      </c>
      <c r="F2024" s="3">
        <v>600</v>
      </c>
      <c r="G2024" s="3">
        <v>1200</v>
      </c>
    </row>
    <row r="2025" spans="1:7" x14ac:dyDescent="0.2">
      <c r="A2025" s="3" t="s">
        <v>1072</v>
      </c>
      <c r="B2025" s="4">
        <v>44865</v>
      </c>
      <c r="C2025" s="3" t="s">
        <v>1180</v>
      </c>
      <c r="D2025" s="3" t="s">
        <v>1512</v>
      </c>
      <c r="E2025" s="3" t="s">
        <v>1513</v>
      </c>
      <c r="F2025" s="3">
        <v>0</v>
      </c>
      <c r="G2025" s="3">
        <v>1367000</v>
      </c>
    </row>
    <row r="2026" spans="1:7" x14ac:dyDescent="0.2">
      <c r="A2026" s="3" t="s">
        <v>1074</v>
      </c>
      <c r="B2026" s="4">
        <v>44865</v>
      </c>
      <c r="C2026" s="3" t="s">
        <v>1175</v>
      </c>
      <c r="D2026" s="3" t="s">
        <v>1492</v>
      </c>
      <c r="E2026" s="3" t="s">
        <v>1493</v>
      </c>
      <c r="F2026" s="3">
        <v>-18695.29</v>
      </c>
      <c r="G2026" s="3">
        <v>-2029313.01</v>
      </c>
    </row>
    <row r="2027" spans="1:7" x14ac:dyDescent="0.2">
      <c r="A2027" s="3" t="s">
        <v>1069</v>
      </c>
      <c r="B2027" s="4">
        <v>44865</v>
      </c>
      <c r="C2027" s="3" t="s">
        <v>1175</v>
      </c>
      <c r="D2027" s="3" t="s">
        <v>1176</v>
      </c>
      <c r="E2027" s="3" t="s">
        <v>1177</v>
      </c>
      <c r="F2027" s="3">
        <v>-4240.63</v>
      </c>
      <c r="G2027" s="3">
        <v>-4240.63</v>
      </c>
    </row>
    <row r="2028" spans="1:7" x14ac:dyDescent="0.2">
      <c r="A2028" s="3" t="s">
        <v>1069</v>
      </c>
      <c r="B2028" s="4">
        <v>44865</v>
      </c>
      <c r="C2028" s="3" t="s">
        <v>1175</v>
      </c>
      <c r="D2028" s="3" t="s">
        <v>1178</v>
      </c>
      <c r="E2028" s="3" t="s">
        <v>1179</v>
      </c>
      <c r="F2028" s="3">
        <v>-46000</v>
      </c>
      <c r="G2028" s="3">
        <v>4500000</v>
      </c>
    </row>
    <row r="2029" spans="1:7" x14ac:dyDescent="0.2">
      <c r="A2029" s="3" t="s">
        <v>1069</v>
      </c>
      <c r="B2029" s="4">
        <v>44865</v>
      </c>
      <c r="C2029" s="3" t="s">
        <v>1175</v>
      </c>
      <c r="D2029" s="3" t="s">
        <v>1494</v>
      </c>
      <c r="E2029" s="3" t="s">
        <v>1495</v>
      </c>
      <c r="F2029" s="3">
        <v>18695.29</v>
      </c>
      <c r="G2029" s="3">
        <v>2029313.01</v>
      </c>
    </row>
    <row r="2030" spans="1:7" x14ac:dyDescent="0.2">
      <c r="A2030" s="3" t="s">
        <v>1069</v>
      </c>
      <c r="B2030" s="4">
        <v>44865</v>
      </c>
      <c r="C2030" s="3" t="s">
        <v>1175</v>
      </c>
      <c r="D2030" s="3" t="s">
        <v>1516</v>
      </c>
      <c r="E2030" s="3" t="s">
        <v>1400</v>
      </c>
      <c r="F2030" s="3">
        <v>0</v>
      </c>
      <c r="G2030" s="3">
        <v>-30000</v>
      </c>
    </row>
    <row r="2031" spans="1:7" x14ac:dyDescent="0.2">
      <c r="A2031" s="3" t="s">
        <v>1072</v>
      </c>
      <c r="B2031" s="4">
        <v>44865</v>
      </c>
      <c r="C2031" s="3" t="s">
        <v>1175</v>
      </c>
      <c r="D2031" s="3" t="s">
        <v>1405</v>
      </c>
      <c r="E2031" s="3" t="s">
        <v>1406</v>
      </c>
      <c r="F2031" s="3">
        <v>5224.1499999999996</v>
      </c>
      <c r="G2031" s="3">
        <v>41664.720000000001</v>
      </c>
    </row>
    <row r="2032" spans="1:7" x14ac:dyDescent="0.2">
      <c r="A2032" s="3" t="s">
        <v>1072</v>
      </c>
      <c r="B2032" s="4">
        <v>44865</v>
      </c>
      <c r="C2032" s="3" t="s">
        <v>1175</v>
      </c>
      <c r="D2032" s="3" t="s">
        <v>1407</v>
      </c>
      <c r="E2032" s="3" t="s">
        <v>1408</v>
      </c>
      <c r="F2032" s="3">
        <v>0</v>
      </c>
      <c r="G2032" s="3">
        <v>-58920.1</v>
      </c>
    </row>
    <row r="2033" spans="1:7" x14ac:dyDescent="0.2">
      <c r="A2033" s="3" t="s">
        <v>1072</v>
      </c>
      <c r="B2033" s="4">
        <v>44865</v>
      </c>
      <c r="C2033" s="3" t="s">
        <v>1180</v>
      </c>
      <c r="D2033" s="3" t="s">
        <v>1409</v>
      </c>
      <c r="E2033" s="3" t="s">
        <v>1410</v>
      </c>
      <c r="F2033" s="3">
        <v>0</v>
      </c>
      <c r="G2033" s="3">
        <v>216064.1</v>
      </c>
    </row>
    <row r="2034" spans="1:7" x14ac:dyDescent="0.2">
      <c r="A2034" s="3" t="s">
        <v>1072</v>
      </c>
      <c r="B2034" s="4">
        <v>44865</v>
      </c>
      <c r="C2034" s="3" t="s">
        <v>1180</v>
      </c>
      <c r="D2034" s="3" t="s">
        <v>1411</v>
      </c>
      <c r="E2034" s="3" t="s">
        <v>1412</v>
      </c>
      <c r="F2034" s="3">
        <v>0</v>
      </c>
      <c r="G2034" s="3">
        <v>-216063.1</v>
      </c>
    </row>
    <row r="2035" spans="1:7" x14ac:dyDescent="0.2">
      <c r="A2035" s="3" t="s">
        <v>1072</v>
      </c>
      <c r="B2035" s="4">
        <v>44865</v>
      </c>
      <c r="C2035" s="3" t="s">
        <v>1180</v>
      </c>
      <c r="D2035" s="3" t="s">
        <v>1413</v>
      </c>
      <c r="E2035" s="3" t="s">
        <v>1414</v>
      </c>
      <c r="F2035" s="3">
        <v>0</v>
      </c>
      <c r="G2035" s="3">
        <v>92100.13</v>
      </c>
    </row>
    <row r="2036" spans="1:7" x14ac:dyDescent="0.2">
      <c r="A2036" s="3" t="s">
        <v>1072</v>
      </c>
      <c r="B2036" s="4">
        <v>44865</v>
      </c>
      <c r="C2036" s="3" t="s">
        <v>1180</v>
      </c>
      <c r="D2036" s="3" t="s">
        <v>1415</v>
      </c>
      <c r="E2036" s="3" t="s">
        <v>1416</v>
      </c>
      <c r="F2036" s="3">
        <v>-2165.84</v>
      </c>
      <c r="G2036" s="3">
        <v>-34259.629999999997</v>
      </c>
    </row>
    <row r="2037" spans="1:7" x14ac:dyDescent="0.2">
      <c r="A2037" s="3" t="s">
        <v>1072</v>
      </c>
      <c r="B2037" s="4">
        <v>44865</v>
      </c>
      <c r="C2037" s="3" t="s">
        <v>1180</v>
      </c>
      <c r="D2037" s="3" t="s">
        <v>1462</v>
      </c>
      <c r="E2037" s="3" t="s">
        <v>1463</v>
      </c>
      <c r="F2037" s="3">
        <v>0</v>
      </c>
      <c r="G2037" s="3">
        <v>29281.39</v>
      </c>
    </row>
    <row r="2038" spans="1:7" x14ac:dyDescent="0.2">
      <c r="A2038" s="3" t="s">
        <v>1072</v>
      </c>
      <c r="B2038" s="4">
        <v>44865</v>
      </c>
      <c r="C2038" s="3" t="s">
        <v>1180</v>
      </c>
      <c r="D2038" s="3" t="s">
        <v>1484</v>
      </c>
      <c r="E2038" s="3" t="s">
        <v>1485</v>
      </c>
      <c r="F2038" s="3">
        <v>-427.21</v>
      </c>
      <c r="G2038" s="3">
        <v>-3824.34</v>
      </c>
    </row>
    <row r="2039" spans="1:7" x14ac:dyDescent="0.2">
      <c r="A2039" s="3" t="s">
        <v>1072</v>
      </c>
      <c r="B2039" s="4">
        <v>44865</v>
      </c>
      <c r="C2039" s="3" t="s">
        <v>1180</v>
      </c>
      <c r="D2039" s="3" t="s">
        <v>1417</v>
      </c>
      <c r="E2039" s="3" t="s">
        <v>1418</v>
      </c>
      <c r="F2039" s="3">
        <v>0</v>
      </c>
      <c r="G2039" s="3">
        <v>11600</v>
      </c>
    </row>
    <row r="2040" spans="1:7" x14ac:dyDescent="0.2">
      <c r="A2040" s="3" t="s">
        <v>1072</v>
      </c>
      <c r="B2040" s="4">
        <v>44865</v>
      </c>
      <c r="C2040" s="3" t="s">
        <v>1180</v>
      </c>
      <c r="D2040" s="3" t="s">
        <v>1419</v>
      </c>
      <c r="E2040" s="3" t="s">
        <v>1420</v>
      </c>
      <c r="F2040" s="3">
        <v>-193.34</v>
      </c>
      <c r="G2040" s="3">
        <v>-2352.23</v>
      </c>
    </row>
    <row r="2041" spans="1:7" x14ac:dyDescent="0.2">
      <c r="A2041" s="3" t="s">
        <v>1069</v>
      </c>
      <c r="B2041" s="4">
        <v>44865</v>
      </c>
      <c r="C2041" s="3" t="s">
        <v>1180</v>
      </c>
      <c r="D2041" s="3" t="s">
        <v>1421</v>
      </c>
      <c r="E2041" s="3" t="s">
        <v>1422</v>
      </c>
      <c r="F2041" s="3">
        <v>0</v>
      </c>
      <c r="G2041" s="3">
        <v>874505.75</v>
      </c>
    </row>
    <row r="2042" spans="1:7" x14ac:dyDescent="0.2">
      <c r="A2042" s="3" t="s">
        <v>1074</v>
      </c>
      <c r="B2042" s="4">
        <v>44865</v>
      </c>
      <c r="C2042" s="3" t="s">
        <v>1180</v>
      </c>
      <c r="D2042" s="3" t="s">
        <v>1421</v>
      </c>
      <c r="E2042" s="3" t="s">
        <v>1533</v>
      </c>
      <c r="F2042" s="3">
        <v>0</v>
      </c>
      <c r="G2042" s="3">
        <v>284986.5</v>
      </c>
    </row>
    <row r="2043" spans="1:7" x14ac:dyDescent="0.2">
      <c r="A2043" s="3" t="s">
        <v>1069</v>
      </c>
      <c r="B2043" s="4">
        <v>44865</v>
      </c>
      <c r="C2043" s="3" t="s">
        <v>1180</v>
      </c>
      <c r="D2043" s="3" t="s">
        <v>1214</v>
      </c>
      <c r="E2043" s="3" t="s">
        <v>1215</v>
      </c>
      <c r="F2043" s="3">
        <v>0</v>
      </c>
      <c r="G2043" s="3">
        <v>26200000</v>
      </c>
    </row>
    <row r="2044" spans="1:7" x14ac:dyDescent="0.2">
      <c r="A2044" s="3" t="s">
        <v>1069</v>
      </c>
      <c r="B2044" s="4">
        <v>44865</v>
      </c>
      <c r="C2044" s="3" t="s">
        <v>1180</v>
      </c>
      <c r="D2044" s="3" t="s">
        <v>1216</v>
      </c>
      <c r="E2044" s="3" t="s">
        <v>1217</v>
      </c>
      <c r="F2044" s="3">
        <v>0</v>
      </c>
      <c r="G2044" s="3">
        <v>68427</v>
      </c>
    </row>
    <row r="2045" spans="1:7" x14ac:dyDescent="0.2">
      <c r="A2045" s="3" t="s">
        <v>1069</v>
      </c>
      <c r="B2045" s="4">
        <v>44865</v>
      </c>
      <c r="C2045" s="3" t="s">
        <v>1180</v>
      </c>
      <c r="D2045" s="3" t="s">
        <v>1218</v>
      </c>
      <c r="E2045" s="3" t="s">
        <v>1219</v>
      </c>
      <c r="F2045" s="3">
        <v>0</v>
      </c>
      <c r="G2045" s="3">
        <v>103812</v>
      </c>
    </row>
    <row r="2046" spans="1:7" x14ac:dyDescent="0.2">
      <c r="A2046" s="3" t="s">
        <v>1069</v>
      </c>
      <c r="B2046" s="4">
        <v>44865</v>
      </c>
      <c r="C2046" s="3" t="s">
        <v>1180</v>
      </c>
      <c r="D2046" s="3" t="s">
        <v>1197</v>
      </c>
      <c r="E2046" s="3" t="s">
        <v>1198</v>
      </c>
      <c r="F2046" s="3">
        <v>0</v>
      </c>
      <c r="G2046" s="3">
        <v>150780</v>
      </c>
    </row>
    <row r="2047" spans="1:7" x14ac:dyDescent="0.2">
      <c r="A2047" s="3" t="s">
        <v>1074</v>
      </c>
      <c r="B2047" s="4">
        <v>44865</v>
      </c>
      <c r="C2047" s="3" t="s">
        <v>1180</v>
      </c>
      <c r="D2047" s="3" t="s">
        <v>1197</v>
      </c>
      <c r="E2047" s="3" t="s">
        <v>1550</v>
      </c>
      <c r="F2047" s="3">
        <v>149217.23000000001</v>
      </c>
      <c r="G2047" s="3">
        <v>149217.23000000001</v>
      </c>
    </row>
    <row r="2048" spans="1:7" x14ac:dyDescent="0.2">
      <c r="A2048" s="3" t="s">
        <v>1069</v>
      </c>
      <c r="B2048" s="4">
        <v>44865</v>
      </c>
      <c r="C2048" s="3" t="s">
        <v>1180</v>
      </c>
      <c r="D2048" s="3" t="s">
        <v>1496</v>
      </c>
      <c r="E2048" s="3" t="s">
        <v>1497</v>
      </c>
      <c r="F2048" s="3">
        <v>13750</v>
      </c>
      <c r="G2048" s="3">
        <v>105250</v>
      </c>
    </row>
    <row r="2049" spans="1:7" x14ac:dyDescent="0.2">
      <c r="A2049" s="3" t="s">
        <v>1069</v>
      </c>
      <c r="B2049" s="4">
        <v>44865</v>
      </c>
      <c r="C2049" s="3" t="s">
        <v>1180</v>
      </c>
      <c r="D2049" s="3" t="s">
        <v>1181</v>
      </c>
      <c r="E2049" s="3" t="s">
        <v>1182</v>
      </c>
      <c r="F2049" s="3">
        <v>1442417</v>
      </c>
      <c r="G2049" s="3">
        <v>8127641.7999999998</v>
      </c>
    </row>
    <row r="2050" spans="1:7" x14ac:dyDescent="0.2">
      <c r="A2050" s="3" t="s">
        <v>1069</v>
      </c>
      <c r="B2050" s="4">
        <v>44865</v>
      </c>
      <c r="C2050" s="3" t="s">
        <v>1180</v>
      </c>
      <c r="D2050" s="3" t="s">
        <v>1263</v>
      </c>
      <c r="E2050" s="3" t="s">
        <v>1264</v>
      </c>
      <c r="F2050" s="3">
        <v>0</v>
      </c>
      <c r="G2050" s="3">
        <v>13807.78</v>
      </c>
    </row>
    <row r="2051" spans="1:7" x14ac:dyDescent="0.2">
      <c r="A2051" s="3" t="s">
        <v>1069</v>
      </c>
      <c r="B2051" s="4">
        <v>44865</v>
      </c>
      <c r="C2051" s="3" t="s">
        <v>1180</v>
      </c>
      <c r="D2051" s="3" t="s">
        <v>1202</v>
      </c>
      <c r="E2051" s="3" t="s">
        <v>1203</v>
      </c>
      <c r="F2051" s="3">
        <v>44642</v>
      </c>
      <c r="G2051" s="3">
        <v>148288.09</v>
      </c>
    </row>
    <row r="2052" spans="1:7" x14ac:dyDescent="0.2">
      <c r="A2052" s="3" t="s">
        <v>1069</v>
      </c>
      <c r="B2052" s="4">
        <v>44865</v>
      </c>
      <c r="C2052" s="3" t="s">
        <v>1180</v>
      </c>
      <c r="D2052" s="3" t="s">
        <v>1204</v>
      </c>
      <c r="E2052" s="3" t="s">
        <v>1205</v>
      </c>
      <c r="F2052" s="3">
        <v>0</v>
      </c>
      <c r="G2052" s="3">
        <v>7500</v>
      </c>
    </row>
    <row r="2053" spans="1:7" x14ac:dyDescent="0.2">
      <c r="A2053" s="3" t="s">
        <v>1069</v>
      </c>
      <c r="B2053" s="4">
        <v>44865</v>
      </c>
      <c r="C2053" s="3" t="s">
        <v>1180</v>
      </c>
      <c r="D2053" s="3" t="s">
        <v>1199</v>
      </c>
      <c r="E2053" s="3" t="s">
        <v>1200</v>
      </c>
      <c r="F2053" s="3">
        <v>0</v>
      </c>
      <c r="G2053" s="3">
        <v>67400</v>
      </c>
    </row>
    <row r="2054" spans="1:7" x14ac:dyDescent="0.2">
      <c r="A2054" s="3" t="s">
        <v>1069</v>
      </c>
      <c r="B2054" s="4">
        <v>44865</v>
      </c>
      <c r="C2054" s="3" t="s">
        <v>1180</v>
      </c>
      <c r="D2054" s="3" t="s">
        <v>1486</v>
      </c>
      <c r="E2054" s="3" t="s">
        <v>1487</v>
      </c>
      <c r="F2054" s="3">
        <v>1400</v>
      </c>
      <c r="G2054" s="3">
        <v>17800</v>
      </c>
    </row>
    <row r="2055" spans="1:7" x14ac:dyDescent="0.2">
      <c r="A2055" s="3" t="s">
        <v>1069</v>
      </c>
      <c r="B2055" s="4">
        <v>44865</v>
      </c>
      <c r="C2055" s="3" t="s">
        <v>1180</v>
      </c>
      <c r="D2055" s="3" t="s">
        <v>1220</v>
      </c>
      <c r="E2055" s="3" t="s">
        <v>1221</v>
      </c>
      <c r="F2055" s="3">
        <v>0</v>
      </c>
      <c r="G2055" s="3">
        <v>15175</v>
      </c>
    </row>
    <row r="2056" spans="1:7" x14ac:dyDescent="0.2">
      <c r="A2056" s="3" t="s">
        <v>1069</v>
      </c>
      <c r="B2056" s="4">
        <v>44865</v>
      </c>
      <c r="C2056" s="3" t="s">
        <v>1180</v>
      </c>
      <c r="D2056" s="3" t="s">
        <v>1498</v>
      </c>
      <c r="E2056" s="3" t="s">
        <v>1499</v>
      </c>
      <c r="F2056" s="3">
        <v>0</v>
      </c>
      <c r="G2056" s="3">
        <v>570856.07999999996</v>
      </c>
    </row>
    <row r="2057" spans="1:7" x14ac:dyDescent="0.2">
      <c r="A2057" s="3" t="s">
        <v>1069</v>
      </c>
      <c r="B2057" s="4">
        <v>44865</v>
      </c>
      <c r="C2057" s="3" t="s">
        <v>1180</v>
      </c>
      <c r="D2057" s="3" t="s">
        <v>1183</v>
      </c>
      <c r="E2057" s="3" t="s">
        <v>1184</v>
      </c>
      <c r="F2057" s="3">
        <v>4763644.96</v>
      </c>
      <c r="G2057" s="3">
        <v>39007081.82</v>
      </c>
    </row>
    <row r="2058" spans="1:7" x14ac:dyDescent="0.2">
      <c r="A2058" s="3" t="s">
        <v>1069</v>
      </c>
      <c r="B2058" s="4">
        <v>44865</v>
      </c>
      <c r="C2058" s="3" t="s">
        <v>1180</v>
      </c>
      <c r="D2058" s="3" t="s">
        <v>1222</v>
      </c>
      <c r="E2058" s="3" t="s">
        <v>1223</v>
      </c>
      <c r="F2058" s="3">
        <v>0</v>
      </c>
      <c r="G2058" s="3">
        <v>3396905</v>
      </c>
    </row>
    <row r="2059" spans="1:7" x14ac:dyDescent="0.2">
      <c r="A2059" s="3" t="s">
        <v>1069</v>
      </c>
      <c r="B2059" s="4">
        <v>44865</v>
      </c>
      <c r="C2059" s="3" t="s">
        <v>1180</v>
      </c>
      <c r="D2059" s="3" t="s">
        <v>1235</v>
      </c>
      <c r="E2059" s="3" t="s">
        <v>1236</v>
      </c>
      <c r="F2059" s="3">
        <v>0</v>
      </c>
      <c r="G2059" s="3">
        <v>782608.07</v>
      </c>
    </row>
    <row r="2060" spans="1:7" x14ac:dyDescent="0.2">
      <c r="A2060" s="3" t="s">
        <v>1069</v>
      </c>
      <c r="B2060" s="4">
        <v>44865</v>
      </c>
      <c r="C2060" s="3" t="s">
        <v>1180</v>
      </c>
      <c r="D2060" s="3" t="s">
        <v>1206</v>
      </c>
      <c r="E2060" s="3" t="s">
        <v>1207</v>
      </c>
      <c r="F2060" s="3">
        <v>0</v>
      </c>
      <c r="G2060" s="3">
        <v>163550</v>
      </c>
    </row>
    <row r="2061" spans="1:7" x14ac:dyDescent="0.2">
      <c r="A2061" s="3" t="s">
        <v>1069</v>
      </c>
      <c r="B2061" s="4">
        <v>44865</v>
      </c>
      <c r="C2061" s="3" t="s">
        <v>1180</v>
      </c>
      <c r="D2061" s="3" t="s">
        <v>1208</v>
      </c>
      <c r="E2061" s="3" t="s">
        <v>1209</v>
      </c>
      <c r="F2061" s="3">
        <v>0</v>
      </c>
      <c r="G2061" s="3">
        <v>45000</v>
      </c>
    </row>
    <row r="2062" spans="1:7" x14ac:dyDescent="0.2">
      <c r="A2062" s="3" t="s">
        <v>1069</v>
      </c>
      <c r="B2062" s="4">
        <v>44865</v>
      </c>
      <c r="C2062" s="3" t="s">
        <v>1180</v>
      </c>
      <c r="D2062" s="3" t="s">
        <v>1259</v>
      </c>
      <c r="E2062" s="3" t="s">
        <v>1260</v>
      </c>
      <c r="F2062" s="3">
        <v>6000</v>
      </c>
      <c r="G2062" s="3">
        <v>107000</v>
      </c>
    </row>
    <row r="2063" spans="1:7" x14ac:dyDescent="0.2">
      <c r="A2063" s="3" t="s">
        <v>1069</v>
      </c>
      <c r="B2063" s="4">
        <v>44865</v>
      </c>
      <c r="C2063" s="3" t="s">
        <v>1180</v>
      </c>
      <c r="D2063" s="3" t="s">
        <v>1265</v>
      </c>
      <c r="E2063" s="3" t="s">
        <v>1266</v>
      </c>
      <c r="F2063" s="3">
        <v>0</v>
      </c>
      <c r="G2063" s="3">
        <v>1021325.63</v>
      </c>
    </row>
    <row r="2064" spans="1:7" x14ac:dyDescent="0.2">
      <c r="A2064" s="3" t="s">
        <v>1074</v>
      </c>
      <c r="B2064" s="4">
        <v>44865</v>
      </c>
      <c r="C2064" s="3" t="s">
        <v>1180</v>
      </c>
      <c r="D2064" s="3" t="s">
        <v>1265</v>
      </c>
      <c r="E2064" s="3" t="s">
        <v>1518</v>
      </c>
      <c r="F2064" s="3">
        <v>5104</v>
      </c>
      <c r="G2064" s="3">
        <v>1238365.93</v>
      </c>
    </row>
    <row r="2065" spans="1:7" x14ac:dyDescent="0.2">
      <c r="A2065" s="3" t="s">
        <v>1069</v>
      </c>
      <c r="B2065" s="4">
        <v>44865</v>
      </c>
      <c r="C2065" s="3" t="s">
        <v>1180</v>
      </c>
      <c r="D2065" s="3" t="s">
        <v>1423</v>
      </c>
      <c r="E2065" s="3" t="s">
        <v>1424</v>
      </c>
      <c r="F2065" s="3">
        <v>0</v>
      </c>
      <c r="G2065" s="3">
        <v>622274.51</v>
      </c>
    </row>
    <row r="2066" spans="1:7" x14ac:dyDescent="0.2">
      <c r="A2066" s="3" t="s">
        <v>1074</v>
      </c>
      <c r="B2066" s="4">
        <v>44865</v>
      </c>
      <c r="C2066" s="3" t="s">
        <v>1180</v>
      </c>
      <c r="D2066" s="3" t="s">
        <v>1519</v>
      </c>
      <c r="E2066" s="3" t="s">
        <v>1551</v>
      </c>
      <c r="F2066" s="3">
        <v>7530</v>
      </c>
      <c r="G2066" s="3">
        <v>7530</v>
      </c>
    </row>
    <row r="2067" spans="1:7" x14ac:dyDescent="0.2">
      <c r="A2067" s="3" t="s">
        <v>1069</v>
      </c>
      <c r="B2067" s="4">
        <v>44865</v>
      </c>
      <c r="C2067" s="3" t="s">
        <v>1180</v>
      </c>
      <c r="D2067" s="3" t="s">
        <v>1519</v>
      </c>
      <c r="E2067" s="3" t="s">
        <v>1520</v>
      </c>
      <c r="F2067" s="3">
        <v>46967.27</v>
      </c>
      <c r="G2067" s="3">
        <v>985049.68</v>
      </c>
    </row>
    <row r="2068" spans="1:7" x14ac:dyDescent="0.2">
      <c r="A2068" s="3" t="s">
        <v>1074</v>
      </c>
      <c r="B2068" s="4">
        <v>44865</v>
      </c>
      <c r="C2068" s="3" t="s">
        <v>1180</v>
      </c>
      <c r="D2068" s="3" t="s">
        <v>1521</v>
      </c>
      <c r="E2068" s="3" t="s">
        <v>1522</v>
      </c>
      <c r="F2068" s="3">
        <v>1100</v>
      </c>
      <c r="G2068" s="3">
        <v>10700</v>
      </c>
    </row>
    <row r="2069" spans="1:7" x14ac:dyDescent="0.2">
      <c r="A2069" s="3" t="s">
        <v>1074</v>
      </c>
      <c r="B2069" s="4">
        <v>44865</v>
      </c>
      <c r="C2069" s="3" t="s">
        <v>1180</v>
      </c>
      <c r="D2069" s="3" t="s">
        <v>1534</v>
      </c>
      <c r="E2069" s="3" t="s">
        <v>1535</v>
      </c>
      <c r="F2069" s="3">
        <v>0</v>
      </c>
      <c r="G2069" s="3">
        <v>250000</v>
      </c>
    </row>
    <row r="2070" spans="1:7" x14ac:dyDescent="0.2">
      <c r="A2070" s="3" t="s">
        <v>1069</v>
      </c>
      <c r="B2070" s="4">
        <v>44865</v>
      </c>
      <c r="C2070" s="3" t="s">
        <v>1180</v>
      </c>
      <c r="D2070" s="3" t="s">
        <v>1529</v>
      </c>
      <c r="E2070" s="3" t="s">
        <v>1530</v>
      </c>
      <c r="F2070" s="3">
        <v>0</v>
      </c>
      <c r="G2070" s="3">
        <v>3023829.42</v>
      </c>
    </row>
    <row r="2071" spans="1:7" x14ac:dyDescent="0.2">
      <c r="A2071" s="3" t="s">
        <v>1069</v>
      </c>
      <c r="B2071" s="4">
        <v>44865</v>
      </c>
      <c r="C2071" s="3" t="s">
        <v>1180</v>
      </c>
      <c r="D2071" s="3" t="s">
        <v>1536</v>
      </c>
      <c r="E2071" s="3" t="s">
        <v>1537</v>
      </c>
      <c r="F2071" s="3">
        <v>0</v>
      </c>
      <c r="G2071" s="3">
        <v>850000</v>
      </c>
    </row>
    <row r="2072" spans="1:7" x14ac:dyDescent="0.2">
      <c r="A2072" s="3" t="s">
        <v>1072</v>
      </c>
      <c r="B2072" s="4">
        <v>44865</v>
      </c>
      <c r="C2072" s="3" t="s">
        <v>1180</v>
      </c>
      <c r="D2072" s="3" t="s">
        <v>1425</v>
      </c>
      <c r="E2072" s="3" t="s">
        <v>1426</v>
      </c>
      <c r="F2072" s="3">
        <v>1512.5</v>
      </c>
      <c r="G2072" s="3">
        <v>8387.9500000000007</v>
      </c>
    </row>
    <row r="2073" spans="1:7" x14ac:dyDescent="0.2">
      <c r="A2073" s="3" t="s">
        <v>1072</v>
      </c>
      <c r="B2073" s="4">
        <v>44865</v>
      </c>
      <c r="C2073" s="3" t="s">
        <v>1180</v>
      </c>
      <c r="D2073" s="3" t="s">
        <v>1427</v>
      </c>
      <c r="E2073" s="3" t="s">
        <v>1428</v>
      </c>
      <c r="F2073" s="3">
        <v>-1787136.69</v>
      </c>
      <c r="G2073" s="3">
        <v>4087274.45</v>
      </c>
    </row>
    <row r="2074" spans="1:7" x14ac:dyDescent="0.2">
      <c r="A2074" s="3" t="s">
        <v>1072</v>
      </c>
      <c r="B2074" s="4">
        <v>44865</v>
      </c>
      <c r="C2074" s="3" t="s">
        <v>1180</v>
      </c>
      <c r="D2074" s="3" t="s">
        <v>1429</v>
      </c>
      <c r="E2074" s="3" t="s">
        <v>1430</v>
      </c>
      <c r="F2074" s="3">
        <v>-2719.44</v>
      </c>
      <c r="G2074" s="3">
        <v>13597.19</v>
      </c>
    </row>
    <row r="2075" spans="1:7" x14ac:dyDescent="0.2">
      <c r="A2075" s="3" t="s">
        <v>1072</v>
      </c>
      <c r="B2075" s="4">
        <v>44865</v>
      </c>
      <c r="C2075" s="3" t="s">
        <v>1180</v>
      </c>
      <c r="D2075" s="3" t="s">
        <v>1431</v>
      </c>
      <c r="E2075" s="3" t="s">
        <v>1432</v>
      </c>
      <c r="F2075" s="3">
        <v>-44</v>
      </c>
      <c r="G2075" s="3">
        <v>0</v>
      </c>
    </row>
    <row r="2076" spans="1:7" x14ac:dyDescent="0.2">
      <c r="A2076" s="3" t="s">
        <v>1069</v>
      </c>
      <c r="B2076" s="4">
        <v>44865</v>
      </c>
      <c r="C2076" s="3" t="s">
        <v>1180</v>
      </c>
      <c r="D2076" s="3" t="s">
        <v>1187</v>
      </c>
      <c r="E2076" s="3" t="s">
        <v>1188</v>
      </c>
      <c r="F2076" s="3">
        <v>-173634.53</v>
      </c>
      <c r="G2076" s="3">
        <v>320879.09000000003</v>
      </c>
    </row>
    <row r="2077" spans="1:7" x14ac:dyDescent="0.2">
      <c r="A2077" s="3" t="s">
        <v>1072</v>
      </c>
      <c r="B2077" s="4">
        <v>44865</v>
      </c>
      <c r="C2077" s="3" t="s">
        <v>1180</v>
      </c>
      <c r="D2077" s="3" t="s">
        <v>1187</v>
      </c>
      <c r="E2077" s="3" t="s">
        <v>1433</v>
      </c>
      <c r="F2077" s="3">
        <v>-552421.9</v>
      </c>
      <c r="G2077" s="3">
        <v>104557.64</v>
      </c>
    </row>
    <row r="2078" spans="1:7" x14ac:dyDescent="0.2">
      <c r="A2078" s="3" t="s">
        <v>1072</v>
      </c>
      <c r="B2078" s="4">
        <v>44865</v>
      </c>
      <c r="C2078" s="3" t="s">
        <v>1180</v>
      </c>
      <c r="D2078" s="3" t="s">
        <v>1435</v>
      </c>
      <c r="E2078" s="3" t="s">
        <v>1436</v>
      </c>
      <c r="F2078" s="3">
        <v>5.26</v>
      </c>
      <c r="G2078" s="3">
        <v>527.86</v>
      </c>
    </row>
    <row r="2079" spans="1:7" x14ac:dyDescent="0.2">
      <c r="A2079" s="3" t="s">
        <v>1069</v>
      </c>
      <c r="B2079" s="4">
        <v>44865</v>
      </c>
      <c r="C2079" s="3" t="s">
        <v>1180</v>
      </c>
      <c r="D2079" s="3" t="s">
        <v>1243</v>
      </c>
      <c r="E2079" s="3" t="s">
        <v>1244</v>
      </c>
      <c r="F2079" s="3">
        <v>7.29</v>
      </c>
      <c r="G2079" s="3">
        <v>809.91</v>
      </c>
    </row>
    <row r="2080" spans="1:7" x14ac:dyDescent="0.2">
      <c r="A2080" s="3" t="s">
        <v>1069</v>
      </c>
      <c r="B2080" s="4">
        <v>44865</v>
      </c>
      <c r="C2080" s="3" t="s">
        <v>1180</v>
      </c>
      <c r="D2080" s="3" t="s">
        <v>1245</v>
      </c>
      <c r="E2080" s="3" t="s">
        <v>1246</v>
      </c>
      <c r="F2080" s="3">
        <v>6452832.21</v>
      </c>
      <c r="G2080" s="3">
        <v>8846423.8800000008</v>
      </c>
    </row>
    <row r="2081" spans="1:7" x14ac:dyDescent="0.2">
      <c r="A2081" s="3" t="s">
        <v>1072</v>
      </c>
      <c r="B2081" s="4">
        <v>44865</v>
      </c>
      <c r="C2081" s="3" t="s">
        <v>1175</v>
      </c>
      <c r="D2081" s="3" t="s">
        <v>1437</v>
      </c>
      <c r="E2081" s="3" t="s">
        <v>1438</v>
      </c>
      <c r="F2081" s="3">
        <v>-0.02</v>
      </c>
      <c r="G2081" s="3">
        <v>-0.32</v>
      </c>
    </row>
    <row r="2082" spans="1:7" x14ac:dyDescent="0.2">
      <c r="A2082" s="3" t="s">
        <v>1072</v>
      </c>
      <c r="B2082" s="4">
        <v>44865</v>
      </c>
      <c r="C2082" s="3" t="s">
        <v>1175</v>
      </c>
      <c r="D2082" s="3" t="s">
        <v>1191</v>
      </c>
      <c r="E2082" s="3" t="s">
        <v>1192</v>
      </c>
      <c r="F2082" s="3">
        <v>52414.3</v>
      </c>
      <c r="G2082" s="3">
        <v>-3516349.55</v>
      </c>
    </row>
    <row r="2083" spans="1:7" x14ac:dyDescent="0.2">
      <c r="A2083" s="3" t="s">
        <v>1069</v>
      </c>
      <c r="B2083" s="4">
        <v>44865</v>
      </c>
      <c r="C2083" s="3" t="s">
        <v>1175</v>
      </c>
      <c r="D2083" s="3" t="s">
        <v>1191</v>
      </c>
      <c r="E2083" s="3" t="s">
        <v>1192</v>
      </c>
      <c r="F2083" s="3">
        <v>-14139634.609999999</v>
      </c>
      <c r="G2083" s="3">
        <v>-109283869.62</v>
      </c>
    </row>
    <row r="2084" spans="1:7" x14ac:dyDescent="0.2">
      <c r="A2084" s="3" t="s">
        <v>1074</v>
      </c>
      <c r="B2084" s="4">
        <v>44865</v>
      </c>
      <c r="C2084" s="3" t="s">
        <v>1175</v>
      </c>
      <c r="D2084" s="3" t="s">
        <v>1191</v>
      </c>
      <c r="E2084" s="3" t="s">
        <v>1192</v>
      </c>
      <c r="F2084" s="3">
        <v>-168004.12</v>
      </c>
      <c r="G2084" s="3">
        <v>-173799.81</v>
      </c>
    </row>
    <row r="2085" spans="1:7" x14ac:dyDescent="0.2">
      <c r="A2085" s="3" t="s">
        <v>1072</v>
      </c>
      <c r="B2085" s="4">
        <v>44865</v>
      </c>
      <c r="C2085" s="3" t="s">
        <v>1175</v>
      </c>
      <c r="D2085" s="3" t="s">
        <v>1488</v>
      </c>
      <c r="E2085" s="3" t="s">
        <v>1489</v>
      </c>
      <c r="F2085" s="3">
        <v>0</v>
      </c>
      <c r="G2085" s="3">
        <v>1186.1300000000001</v>
      </c>
    </row>
    <row r="2086" spans="1:7" x14ac:dyDescent="0.2">
      <c r="A2086" s="3" t="s">
        <v>1072</v>
      </c>
      <c r="B2086" s="4">
        <v>44865</v>
      </c>
      <c r="C2086" s="3" t="s">
        <v>1175</v>
      </c>
      <c r="D2086" s="3" t="s">
        <v>1439</v>
      </c>
      <c r="E2086" s="3" t="s">
        <v>1440</v>
      </c>
      <c r="F2086" s="3">
        <v>0</v>
      </c>
      <c r="G2086" s="3">
        <v>20758.55</v>
      </c>
    </row>
    <row r="2087" spans="1:7" x14ac:dyDescent="0.2">
      <c r="A2087" s="3" t="s">
        <v>1072</v>
      </c>
      <c r="B2087" s="4">
        <v>44865</v>
      </c>
      <c r="C2087" s="3" t="s">
        <v>1175</v>
      </c>
      <c r="D2087" s="3" t="s">
        <v>1441</v>
      </c>
      <c r="E2087" s="3" t="s">
        <v>1442</v>
      </c>
      <c r="F2087" s="3">
        <v>1531.48</v>
      </c>
      <c r="G2087" s="3">
        <v>-37773.519999999997</v>
      </c>
    </row>
    <row r="2088" spans="1:7" x14ac:dyDescent="0.2">
      <c r="A2088" s="3" t="s">
        <v>1072</v>
      </c>
      <c r="B2088" s="4">
        <v>44865</v>
      </c>
      <c r="C2088" s="3" t="s">
        <v>1175</v>
      </c>
      <c r="D2088" s="3" t="s">
        <v>1464</v>
      </c>
      <c r="E2088" s="3" t="s">
        <v>1465</v>
      </c>
      <c r="F2088" s="3">
        <v>38471.879999999997</v>
      </c>
      <c r="G2088" s="3">
        <v>-13911.7</v>
      </c>
    </row>
    <row r="2089" spans="1:7" x14ac:dyDescent="0.2">
      <c r="A2089" s="3" t="s">
        <v>1072</v>
      </c>
      <c r="B2089" s="4">
        <v>44865</v>
      </c>
      <c r="C2089" s="3" t="s">
        <v>1175</v>
      </c>
      <c r="D2089" s="3" t="s">
        <v>1193</v>
      </c>
      <c r="E2089" s="3" t="s">
        <v>1443</v>
      </c>
      <c r="F2089" s="3">
        <v>2160049.13</v>
      </c>
      <c r="G2089" s="3">
        <v>-74528.23</v>
      </c>
    </row>
    <row r="2090" spans="1:7" x14ac:dyDescent="0.2">
      <c r="A2090" s="3" t="s">
        <v>1069</v>
      </c>
      <c r="B2090" s="4">
        <v>44865</v>
      </c>
      <c r="C2090" s="3" t="s">
        <v>1175</v>
      </c>
      <c r="D2090" s="3" t="s">
        <v>1193</v>
      </c>
      <c r="E2090" s="3" t="s">
        <v>1194</v>
      </c>
      <c r="F2090" s="3">
        <v>1028379.1</v>
      </c>
      <c r="G2090" s="3">
        <v>5101071.7</v>
      </c>
    </row>
    <row r="2091" spans="1:7" x14ac:dyDescent="0.2">
      <c r="A2091" s="3" t="s">
        <v>1074</v>
      </c>
      <c r="B2091" s="4">
        <v>44865</v>
      </c>
      <c r="C2091" s="3" t="s">
        <v>1175</v>
      </c>
      <c r="D2091" s="3" t="s">
        <v>1193</v>
      </c>
      <c r="E2091" s="3" t="s">
        <v>1194</v>
      </c>
      <c r="F2091" s="3">
        <v>23148.18</v>
      </c>
      <c r="G2091" s="3">
        <v>247329.95</v>
      </c>
    </row>
    <row r="2092" spans="1:7" x14ac:dyDescent="0.2">
      <c r="A2092" s="3" t="s">
        <v>1072</v>
      </c>
      <c r="B2092" s="4">
        <v>44865</v>
      </c>
      <c r="C2092" s="3" t="s">
        <v>1175</v>
      </c>
      <c r="D2092" s="3" t="s">
        <v>1505</v>
      </c>
      <c r="E2092" s="3" t="s">
        <v>1506</v>
      </c>
      <c r="F2092" s="3">
        <v>-80</v>
      </c>
      <c r="G2092" s="3">
        <v>0</v>
      </c>
    </row>
    <row r="2093" spans="1:7" x14ac:dyDescent="0.2">
      <c r="A2093" s="3" t="s">
        <v>1072</v>
      </c>
      <c r="B2093" s="4">
        <v>44865</v>
      </c>
      <c r="C2093" s="3" t="s">
        <v>1175</v>
      </c>
      <c r="D2093" s="3" t="s">
        <v>1444</v>
      </c>
      <c r="E2093" s="3" t="s">
        <v>1445</v>
      </c>
      <c r="F2093" s="3">
        <v>0</v>
      </c>
      <c r="G2093" s="3">
        <v>1869.8</v>
      </c>
    </row>
    <row r="2094" spans="1:7" x14ac:dyDescent="0.2">
      <c r="A2094" s="3" t="s">
        <v>1072</v>
      </c>
      <c r="B2094" s="4">
        <v>44865</v>
      </c>
      <c r="C2094" s="3" t="s">
        <v>1175</v>
      </c>
      <c r="D2094" s="3" t="s">
        <v>1446</v>
      </c>
      <c r="E2094" s="3" t="s">
        <v>1447</v>
      </c>
      <c r="F2094" s="3">
        <v>0</v>
      </c>
      <c r="G2094" s="3">
        <v>-254.99</v>
      </c>
    </row>
    <row r="2095" spans="1:7" x14ac:dyDescent="0.2">
      <c r="A2095" s="3" t="s">
        <v>1069</v>
      </c>
      <c r="B2095" s="4">
        <v>44895</v>
      </c>
      <c r="C2095" s="3" t="s">
        <v>1210</v>
      </c>
      <c r="D2095" s="3" t="s">
        <v>1552</v>
      </c>
      <c r="E2095" s="3" t="s">
        <v>1553</v>
      </c>
      <c r="F2095" s="3">
        <v>-13825130.439999999</v>
      </c>
      <c r="G2095" s="3">
        <v>-13825130.439999999</v>
      </c>
    </row>
    <row r="2096" spans="1:7" x14ac:dyDescent="0.2">
      <c r="A2096" s="3" t="s">
        <v>1069</v>
      </c>
      <c r="B2096" s="4">
        <v>44895</v>
      </c>
      <c r="C2096" s="3" t="s">
        <v>1210</v>
      </c>
      <c r="D2096" s="3" t="s">
        <v>1554</v>
      </c>
      <c r="E2096" s="3" t="s">
        <v>1555</v>
      </c>
      <c r="F2096" s="3">
        <v>-66591.399999999994</v>
      </c>
      <c r="G2096" s="3">
        <v>-66591.399999999994</v>
      </c>
    </row>
    <row r="2097" spans="1:7" x14ac:dyDescent="0.2">
      <c r="A2097" s="3" t="s">
        <v>1072</v>
      </c>
      <c r="B2097" s="4">
        <v>44895</v>
      </c>
      <c r="C2097" s="3" t="s">
        <v>1210</v>
      </c>
      <c r="D2097" s="3" t="s">
        <v>1448</v>
      </c>
      <c r="E2097" s="3" t="s">
        <v>1449</v>
      </c>
      <c r="F2097" s="3">
        <v>-4324809.2</v>
      </c>
      <c r="G2097" s="3">
        <v>-40975204.810000002</v>
      </c>
    </row>
    <row r="2098" spans="1:7" x14ac:dyDescent="0.2">
      <c r="A2098" s="3" t="s">
        <v>1072</v>
      </c>
      <c r="B2098" s="4">
        <v>44895</v>
      </c>
      <c r="C2098" s="3" t="s">
        <v>1210</v>
      </c>
      <c r="D2098" s="3" t="s">
        <v>1267</v>
      </c>
      <c r="E2098" s="3" t="s">
        <v>1268</v>
      </c>
      <c r="F2098" s="3">
        <v>0</v>
      </c>
      <c r="G2098" s="3">
        <v>-12046638.060000001</v>
      </c>
    </row>
    <row r="2099" spans="1:7" x14ac:dyDescent="0.2">
      <c r="A2099" s="3" t="s">
        <v>1072</v>
      </c>
      <c r="B2099" s="4">
        <v>44895</v>
      </c>
      <c r="C2099" s="3" t="s">
        <v>1210</v>
      </c>
      <c r="D2099" s="3" t="s">
        <v>1507</v>
      </c>
      <c r="E2099" s="3" t="s">
        <v>1508</v>
      </c>
      <c r="F2099" s="3">
        <v>0</v>
      </c>
      <c r="G2099" s="3">
        <v>-1782369.8</v>
      </c>
    </row>
    <row r="2100" spans="1:7" x14ac:dyDescent="0.2">
      <c r="A2100" s="3" t="s">
        <v>1072</v>
      </c>
      <c r="B2100" s="4">
        <v>44895</v>
      </c>
      <c r="C2100" s="3" t="s">
        <v>1210</v>
      </c>
      <c r="D2100" s="3" t="s">
        <v>1525</v>
      </c>
      <c r="E2100" s="3" t="s">
        <v>1526</v>
      </c>
      <c r="F2100" s="3">
        <v>0</v>
      </c>
      <c r="G2100" s="3">
        <v>1616.91</v>
      </c>
    </row>
    <row r="2101" spans="1:7" x14ac:dyDescent="0.2">
      <c r="A2101" s="3" t="s">
        <v>1072</v>
      </c>
      <c r="B2101" s="4">
        <v>44895</v>
      </c>
      <c r="C2101" s="3" t="s">
        <v>1210</v>
      </c>
      <c r="D2101" s="3" t="s">
        <v>1271</v>
      </c>
      <c r="E2101" s="3" t="s">
        <v>1272</v>
      </c>
      <c r="F2101" s="3">
        <v>0</v>
      </c>
      <c r="G2101" s="3">
        <v>-2839.7</v>
      </c>
    </row>
    <row r="2102" spans="1:7" x14ac:dyDescent="0.2">
      <c r="A2102" s="3" t="s">
        <v>1072</v>
      </c>
      <c r="B2102" s="4">
        <v>44895</v>
      </c>
      <c r="C2102" s="3" t="s">
        <v>1210</v>
      </c>
      <c r="D2102" s="3" t="s">
        <v>1273</v>
      </c>
      <c r="E2102" s="3" t="s">
        <v>1274</v>
      </c>
      <c r="F2102" s="3">
        <v>-3490.94</v>
      </c>
      <c r="G2102" s="3">
        <v>-31418.46</v>
      </c>
    </row>
    <row r="2103" spans="1:7" x14ac:dyDescent="0.2">
      <c r="A2103" s="3" t="s">
        <v>1074</v>
      </c>
      <c r="B2103" s="4">
        <v>44895</v>
      </c>
      <c r="C2103" s="3" t="s">
        <v>1168</v>
      </c>
      <c r="D2103" s="3" t="s">
        <v>1538</v>
      </c>
      <c r="E2103" s="3" t="s">
        <v>1539</v>
      </c>
      <c r="F2103" s="3">
        <v>0</v>
      </c>
      <c r="G2103" s="3">
        <v>678.59</v>
      </c>
    </row>
    <row r="2104" spans="1:7" x14ac:dyDescent="0.2">
      <c r="A2104" s="3" t="s">
        <v>1069</v>
      </c>
      <c r="B2104" s="4">
        <v>44895</v>
      </c>
      <c r="C2104" s="3" t="s">
        <v>1168</v>
      </c>
      <c r="D2104" s="3" t="s">
        <v>1514</v>
      </c>
      <c r="E2104" s="3" t="s">
        <v>1515</v>
      </c>
      <c r="F2104" s="3">
        <v>0</v>
      </c>
      <c r="G2104" s="3">
        <v>86956.52</v>
      </c>
    </row>
    <row r="2105" spans="1:7" x14ac:dyDescent="0.2">
      <c r="A2105" s="3" t="s">
        <v>1069</v>
      </c>
      <c r="B2105" s="4">
        <v>44895</v>
      </c>
      <c r="C2105" s="3" t="s">
        <v>1168</v>
      </c>
      <c r="D2105" s="3" t="s">
        <v>1531</v>
      </c>
      <c r="E2105" s="3" t="s">
        <v>1532</v>
      </c>
      <c r="F2105" s="3">
        <v>375272.82</v>
      </c>
      <c r="G2105" s="3">
        <v>433116.76</v>
      </c>
    </row>
    <row r="2106" spans="1:7" x14ac:dyDescent="0.2">
      <c r="A2106" s="3" t="s">
        <v>1069</v>
      </c>
      <c r="B2106" s="4">
        <v>44895</v>
      </c>
      <c r="C2106" s="3" t="s">
        <v>1168</v>
      </c>
      <c r="D2106" s="3" t="s">
        <v>1540</v>
      </c>
      <c r="E2106" s="3" t="s">
        <v>1541</v>
      </c>
      <c r="F2106" s="3">
        <v>0</v>
      </c>
      <c r="G2106" s="3">
        <v>9738.91</v>
      </c>
    </row>
    <row r="2107" spans="1:7" x14ac:dyDescent="0.2">
      <c r="A2107" s="3" t="s">
        <v>1069</v>
      </c>
      <c r="B2107" s="4">
        <v>44895</v>
      </c>
      <c r="C2107" s="3" t="s">
        <v>1168</v>
      </c>
      <c r="D2107" s="3" t="s">
        <v>1556</v>
      </c>
      <c r="E2107" s="3" t="s">
        <v>1557</v>
      </c>
      <c r="F2107" s="3">
        <v>27473.64</v>
      </c>
      <c r="G2107" s="3">
        <v>27473.64</v>
      </c>
    </row>
    <row r="2108" spans="1:7" x14ac:dyDescent="0.2">
      <c r="A2108" s="3" t="s">
        <v>1069</v>
      </c>
      <c r="B2108" s="4">
        <v>44895</v>
      </c>
      <c r="C2108" s="3" t="s">
        <v>1168</v>
      </c>
      <c r="D2108" s="3" t="s">
        <v>1558</v>
      </c>
      <c r="E2108" s="3" t="s">
        <v>1559</v>
      </c>
      <c r="F2108" s="3">
        <v>123904.35</v>
      </c>
      <c r="G2108" s="3">
        <v>123904.35</v>
      </c>
    </row>
    <row r="2109" spans="1:7" x14ac:dyDescent="0.2">
      <c r="A2109" s="3" t="s">
        <v>1072</v>
      </c>
      <c r="B2109" s="4">
        <v>44895</v>
      </c>
      <c r="C2109" s="3" t="s">
        <v>1168</v>
      </c>
      <c r="D2109" s="3" t="s">
        <v>1545</v>
      </c>
      <c r="E2109" s="3" t="s">
        <v>1546</v>
      </c>
      <c r="F2109" s="3">
        <v>0</v>
      </c>
      <c r="G2109" s="3">
        <v>-762078.59</v>
      </c>
    </row>
    <row r="2110" spans="1:7" x14ac:dyDescent="0.2">
      <c r="A2110" s="3" t="s">
        <v>1072</v>
      </c>
      <c r="B2110" s="4">
        <v>44895</v>
      </c>
      <c r="C2110" s="3" t="s">
        <v>1168</v>
      </c>
      <c r="D2110" s="3" t="s">
        <v>1466</v>
      </c>
      <c r="E2110" s="3" t="s">
        <v>1467</v>
      </c>
      <c r="F2110" s="3">
        <v>0</v>
      </c>
      <c r="G2110" s="3">
        <v>957.28</v>
      </c>
    </row>
    <row r="2111" spans="1:7" x14ac:dyDescent="0.2">
      <c r="A2111" s="3" t="s">
        <v>1072</v>
      </c>
      <c r="B2111" s="4">
        <v>44895</v>
      </c>
      <c r="C2111" s="3" t="s">
        <v>1168</v>
      </c>
      <c r="D2111" s="3" t="s">
        <v>1281</v>
      </c>
      <c r="E2111" s="3" t="s">
        <v>1282</v>
      </c>
      <c r="F2111" s="3">
        <v>69498.75</v>
      </c>
      <c r="G2111" s="3">
        <v>16386459.52</v>
      </c>
    </row>
    <row r="2112" spans="1:7" x14ac:dyDescent="0.2">
      <c r="A2112" s="3" t="s">
        <v>1072</v>
      </c>
      <c r="B2112" s="4">
        <v>44895</v>
      </c>
      <c r="C2112" s="3" t="s">
        <v>1168</v>
      </c>
      <c r="D2112" s="3" t="s">
        <v>1283</v>
      </c>
      <c r="E2112" s="3" t="s">
        <v>1284</v>
      </c>
      <c r="F2112" s="3">
        <v>62857.36</v>
      </c>
      <c r="G2112" s="3">
        <v>951744.35</v>
      </c>
    </row>
    <row r="2113" spans="1:7" x14ac:dyDescent="0.2">
      <c r="A2113" s="3" t="s">
        <v>1072</v>
      </c>
      <c r="B2113" s="4">
        <v>44895</v>
      </c>
      <c r="C2113" s="3" t="s">
        <v>1168</v>
      </c>
      <c r="D2113" s="3" t="s">
        <v>1285</v>
      </c>
      <c r="E2113" s="3" t="s">
        <v>1286</v>
      </c>
      <c r="F2113" s="3">
        <v>2719.44</v>
      </c>
      <c r="G2113" s="3">
        <v>37450.69</v>
      </c>
    </row>
    <row r="2114" spans="1:7" x14ac:dyDescent="0.2">
      <c r="A2114" s="3" t="s">
        <v>1072</v>
      </c>
      <c r="B2114" s="4">
        <v>44895</v>
      </c>
      <c r="C2114" s="3" t="s">
        <v>1168</v>
      </c>
      <c r="D2114" s="3" t="s">
        <v>1287</v>
      </c>
      <c r="E2114" s="3" t="s">
        <v>1288</v>
      </c>
      <c r="F2114" s="3">
        <v>0</v>
      </c>
      <c r="G2114" s="3">
        <v>269.64999999999998</v>
      </c>
    </row>
    <row r="2115" spans="1:7" x14ac:dyDescent="0.2">
      <c r="A2115" s="3" t="s">
        <v>1072</v>
      </c>
      <c r="B2115" s="4">
        <v>44895</v>
      </c>
      <c r="C2115" s="3" t="s">
        <v>1168</v>
      </c>
      <c r="D2115" s="3" t="s">
        <v>1289</v>
      </c>
      <c r="E2115" s="3" t="s">
        <v>1290</v>
      </c>
      <c r="F2115" s="3">
        <v>0</v>
      </c>
      <c r="G2115" s="3">
        <v>11000</v>
      </c>
    </row>
    <row r="2116" spans="1:7" x14ac:dyDescent="0.2">
      <c r="A2116" s="3" t="s">
        <v>1072</v>
      </c>
      <c r="B2116" s="4">
        <v>44895</v>
      </c>
      <c r="C2116" s="3" t="s">
        <v>1168</v>
      </c>
      <c r="D2116" s="3" t="s">
        <v>1291</v>
      </c>
      <c r="E2116" s="3" t="s">
        <v>1292</v>
      </c>
      <c r="F2116" s="3">
        <v>0</v>
      </c>
      <c r="G2116" s="3">
        <v>19600</v>
      </c>
    </row>
    <row r="2117" spans="1:7" x14ac:dyDescent="0.2">
      <c r="A2117" s="3" t="s">
        <v>1072</v>
      </c>
      <c r="B2117" s="4">
        <v>44895</v>
      </c>
      <c r="C2117" s="3" t="s">
        <v>1168</v>
      </c>
      <c r="D2117" s="3" t="s">
        <v>1299</v>
      </c>
      <c r="E2117" s="3" t="s">
        <v>1300</v>
      </c>
      <c r="F2117" s="3">
        <v>0</v>
      </c>
      <c r="G2117" s="3">
        <v>2473.65</v>
      </c>
    </row>
    <row r="2118" spans="1:7" x14ac:dyDescent="0.2">
      <c r="A2118" s="3" t="s">
        <v>1072</v>
      </c>
      <c r="B2118" s="4">
        <v>44895</v>
      </c>
      <c r="C2118" s="3" t="s">
        <v>1168</v>
      </c>
      <c r="D2118" s="3" t="s">
        <v>1301</v>
      </c>
      <c r="E2118" s="3" t="s">
        <v>1302</v>
      </c>
      <c r="F2118" s="3">
        <v>0</v>
      </c>
      <c r="G2118" s="3">
        <v>937.39</v>
      </c>
    </row>
    <row r="2119" spans="1:7" x14ac:dyDescent="0.2">
      <c r="A2119" s="3" t="s">
        <v>1072</v>
      </c>
      <c r="B2119" s="4">
        <v>44895</v>
      </c>
      <c r="C2119" s="3" t="s">
        <v>1168</v>
      </c>
      <c r="D2119" s="3" t="s">
        <v>1305</v>
      </c>
      <c r="E2119" s="3" t="s">
        <v>1306</v>
      </c>
      <c r="F2119" s="3">
        <v>0</v>
      </c>
      <c r="G2119" s="3">
        <v>4661.74</v>
      </c>
    </row>
    <row r="2120" spans="1:7" x14ac:dyDescent="0.2">
      <c r="A2120" s="3" t="s">
        <v>1072</v>
      </c>
      <c r="B2120" s="4">
        <v>44895</v>
      </c>
      <c r="C2120" s="3" t="s">
        <v>1168</v>
      </c>
      <c r="D2120" s="3" t="s">
        <v>1315</v>
      </c>
      <c r="E2120" s="3" t="s">
        <v>1316</v>
      </c>
      <c r="F2120" s="3">
        <v>0</v>
      </c>
      <c r="G2120" s="3">
        <v>2952.7</v>
      </c>
    </row>
    <row r="2121" spans="1:7" x14ac:dyDescent="0.2">
      <c r="A2121" s="3" t="s">
        <v>1072</v>
      </c>
      <c r="B2121" s="4">
        <v>44895</v>
      </c>
      <c r="C2121" s="3" t="s">
        <v>1168</v>
      </c>
      <c r="D2121" s="3" t="s">
        <v>1450</v>
      </c>
      <c r="E2121" s="3" t="s">
        <v>1451</v>
      </c>
      <c r="F2121" s="3">
        <v>2296557.5699999998</v>
      </c>
      <c r="G2121" s="3">
        <v>27773747.309999999</v>
      </c>
    </row>
    <row r="2122" spans="1:7" x14ac:dyDescent="0.2">
      <c r="A2122" s="3" t="s">
        <v>1072</v>
      </c>
      <c r="B2122" s="4">
        <v>44895</v>
      </c>
      <c r="C2122" s="3" t="s">
        <v>1168</v>
      </c>
      <c r="D2122" s="3" t="s">
        <v>1452</v>
      </c>
      <c r="E2122" s="3" t="s">
        <v>1453</v>
      </c>
      <c r="F2122" s="3">
        <v>274149.5</v>
      </c>
      <c r="G2122" s="3">
        <v>2359788.94</v>
      </c>
    </row>
    <row r="2123" spans="1:7" x14ac:dyDescent="0.2">
      <c r="A2123" s="3" t="s">
        <v>1072</v>
      </c>
      <c r="B2123" s="4">
        <v>44895</v>
      </c>
      <c r="C2123" s="3" t="s">
        <v>1168</v>
      </c>
      <c r="D2123" s="3" t="s">
        <v>1454</v>
      </c>
      <c r="E2123" s="3" t="s">
        <v>1455</v>
      </c>
      <c r="F2123" s="3">
        <v>0</v>
      </c>
      <c r="G2123" s="3">
        <v>22286.3</v>
      </c>
    </row>
    <row r="2124" spans="1:7" x14ac:dyDescent="0.2">
      <c r="A2124" s="3" t="s">
        <v>1072</v>
      </c>
      <c r="B2124" s="4">
        <v>44895</v>
      </c>
      <c r="C2124" s="3" t="s">
        <v>1168</v>
      </c>
      <c r="D2124" s="3" t="s">
        <v>1468</v>
      </c>
      <c r="E2124" s="3" t="s">
        <v>1469</v>
      </c>
      <c r="F2124" s="3">
        <v>607.83000000000004</v>
      </c>
      <c r="G2124" s="3">
        <v>5277.79</v>
      </c>
    </row>
    <row r="2125" spans="1:7" x14ac:dyDescent="0.2">
      <c r="A2125" s="3" t="s">
        <v>1072</v>
      </c>
      <c r="B2125" s="4">
        <v>44895</v>
      </c>
      <c r="C2125" s="3" t="s">
        <v>1168</v>
      </c>
      <c r="D2125" s="3" t="s">
        <v>1502</v>
      </c>
      <c r="E2125" s="3" t="s">
        <v>1503</v>
      </c>
      <c r="F2125" s="3">
        <v>0</v>
      </c>
      <c r="G2125" s="3">
        <v>20565.22</v>
      </c>
    </row>
    <row r="2126" spans="1:7" x14ac:dyDescent="0.2">
      <c r="A2126" s="3" t="s">
        <v>1072</v>
      </c>
      <c r="B2126" s="4">
        <v>44895</v>
      </c>
      <c r="C2126" s="3" t="s">
        <v>1168</v>
      </c>
      <c r="D2126" s="3" t="s">
        <v>1542</v>
      </c>
      <c r="E2126" s="3" t="s">
        <v>1543</v>
      </c>
      <c r="F2126" s="3">
        <v>1000578.69</v>
      </c>
      <c r="G2126" s="3">
        <v>2725233.79</v>
      </c>
    </row>
    <row r="2127" spans="1:7" x14ac:dyDescent="0.2">
      <c r="A2127" s="3" t="s">
        <v>1072</v>
      </c>
      <c r="B2127" s="4">
        <v>44895</v>
      </c>
      <c r="C2127" s="3" t="s">
        <v>1168</v>
      </c>
      <c r="D2127" s="3" t="s">
        <v>1527</v>
      </c>
      <c r="E2127" s="3" t="s">
        <v>1528</v>
      </c>
      <c r="F2127" s="3">
        <v>74859.360000000001</v>
      </c>
      <c r="G2127" s="3">
        <v>185912.79</v>
      </c>
    </row>
    <row r="2128" spans="1:7" x14ac:dyDescent="0.2">
      <c r="A2128" s="3" t="s">
        <v>1072</v>
      </c>
      <c r="B2128" s="4">
        <v>44895</v>
      </c>
      <c r="C2128" s="3" t="s">
        <v>1168</v>
      </c>
      <c r="D2128" s="3" t="s">
        <v>1560</v>
      </c>
      <c r="E2128" s="3" t="s">
        <v>1561</v>
      </c>
      <c r="F2128" s="3">
        <v>32261.99</v>
      </c>
      <c r="G2128" s="3">
        <v>32261.99</v>
      </c>
    </row>
    <row r="2129" spans="1:7" x14ac:dyDescent="0.2">
      <c r="A2129" s="3" t="s">
        <v>1072</v>
      </c>
      <c r="B2129" s="4">
        <v>44895</v>
      </c>
      <c r="C2129" s="3" t="s">
        <v>1168</v>
      </c>
      <c r="D2129" s="3" t="s">
        <v>1562</v>
      </c>
      <c r="E2129" s="3" t="s">
        <v>1563</v>
      </c>
      <c r="F2129" s="3">
        <v>11169.12</v>
      </c>
      <c r="G2129" s="3">
        <v>11169.12</v>
      </c>
    </row>
    <row r="2130" spans="1:7" x14ac:dyDescent="0.2">
      <c r="A2130" s="3" t="s">
        <v>1072</v>
      </c>
      <c r="B2130" s="4">
        <v>44895</v>
      </c>
      <c r="C2130" s="3" t="s">
        <v>1210</v>
      </c>
      <c r="D2130" s="3" t="s">
        <v>1509</v>
      </c>
      <c r="E2130" s="3" t="s">
        <v>1510</v>
      </c>
      <c r="F2130" s="3">
        <v>-300.55</v>
      </c>
      <c r="G2130" s="3">
        <v>-999.4</v>
      </c>
    </row>
    <row r="2131" spans="1:7" x14ac:dyDescent="0.2">
      <c r="A2131" s="3" t="s">
        <v>1072</v>
      </c>
      <c r="B2131" s="4">
        <v>44895</v>
      </c>
      <c r="C2131" s="3" t="s">
        <v>1210</v>
      </c>
      <c r="D2131" s="3" t="s">
        <v>1323</v>
      </c>
      <c r="E2131" s="3" t="s">
        <v>1324</v>
      </c>
      <c r="F2131" s="3">
        <v>0</v>
      </c>
      <c r="G2131" s="3">
        <v>-18.22</v>
      </c>
    </row>
    <row r="2132" spans="1:7" x14ac:dyDescent="0.2">
      <c r="A2132" s="3" t="s">
        <v>1069</v>
      </c>
      <c r="B2132" s="4">
        <v>44895</v>
      </c>
      <c r="C2132" s="3" t="s">
        <v>1210</v>
      </c>
      <c r="D2132" s="3" t="s">
        <v>1249</v>
      </c>
      <c r="E2132" s="3" t="s">
        <v>1250</v>
      </c>
      <c r="F2132" s="3">
        <v>-58002.69</v>
      </c>
      <c r="G2132" s="3">
        <v>-340955.25</v>
      </c>
    </row>
    <row r="2133" spans="1:7" x14ac:dyDescent="0.2">
      <c r="A2133" s="3" t="s">
        <v>1069</v>
      </c>
      <c r="B2133" s="4">
        <v>44895</v>
      </c>
      <c r="C2133" s="3" t="s">
        <v>1168</v>
      </c>
      <c r="D2133" s="3" t="s">
        <v>1226</v>
      </c>
      <c r="E2133" s="3" t="s">
        <v>1126</v>
      </c>
      <c r="F2133" s="3">
        <v>0</v>
      </c>
      <c r="G2133" s="3">
        <v>150</v>
      </c>
    </row>
    <row r="2134" spans="1:7" x14ac:dyDescent="0.2">
      <c r="A2134" s="3" t="s">
        <v>1072</v>
      </c>
      <c r="B2134" s="4">
        <v>44895</v>
      </c>
      <c r="C2134" s="3" t="s">
        <v>1168</v>
      </c>
      <c r="D2134" s="3" t="s">
        <v>1326</v>
      </c>
      <c r="E2134" s="3" t="s">
        <v>1088</v>
      </c>
      <c r="F2134" s="3">
        <v>0</v>
      </c>
      <c r="G2134" s="3">
        <v>10600</v>
      </c>
    </row>
    <row r="2135" spans="1:7" x14ac:dyDescent="0.2">
      <c r="A2135" s="3" t="s">
        <v>1072</v>
      </c>
      <c r="B2135" s="4">
        <v>44895</v>
      </c>
      <c r="C2135" s="3" t="s">
        <v>1168</v>
      </c>
      <c r="D2135" s="3" t="s">
        <v>1337</v>
      </c>
      <c r="E2135" s="3" t="s">
        <v>1338</v>
      </c>
      <c r="F2135" s="3">
        <v>0</v>
      </c>
      <c r="G2135" s="3">
        <v>14139.13</v>
      </c>
    </row>
    <row r="2136" spans="1:7" x14ac:dyDescent="0.2">
      <c r="A2136" s="3" t="s">
        <v>1072</v>
      </c>
      <c r="B2136" s="4">
        <v>44895</v>
      </c>
      <c r="C2136" s="3" t="s">
        <v>1168</v>
      </c>
      <c r="D2136" s="3" t="s">
        <v>1169</v>
      </c>
      <c r="E2136" s="3" t="s">
        <v>1079</v>
      </c>
      <c r="F2136" s="3">
        <v>2990</v>
      </c>
      <c r="G2136" s="3">
        <v>3677.5</v>
      </c>
    </row>
    <row r="2137" spans="1:7" x14ac:dyDescent="0.2">
      <c r="A2137" s="3" t="s">
        <v>1069</v>
      </c>
      <c r="B2137" s="4">
        <v>44895</v>
      </c>
      <c r="C2137" s="3" t="s">
        <v>1168</v>
      </c>
      <c r="D2137" s="3" t="s">
        <v>1169</v>
      </c>
      <c r="E2137" s="3" t="s">
        <v>1079</v>
      </c>
      <c r="F2137" s="3">
        <v>6705</v>
      </c>
      <c r="G2137" s="3">
        <v>106783.86</v>
      </c>
    </row>
    <row r="2138" spans="1:7" x14ac:dyDescent="0.2">
      <c r="A2138" s="3" t="s">
        <v>1074</v>
      </c>
      <c r="B2138" s="4">
        <v>44895</v>
      </c>
      <c r="C2138" s="3" t="s">
        <v>1168</v>
      </c>
      <c r="D2138" s="3" t="s">
        <v>1169</v>
      </c>
      <c r="E2138" s="3" t="s">
        <v>1079</v>
      </c>
      <c r="F2138" s="3">
        <v>7000</v>
      </c>
      <c r="G2138" s="3">
        <v>9500</v>
      </c>
    </row>
    <row r="2139" spans="1:7" x14ac:dyDescent="0.2">
      <c r="A2139" s="3" t="s">
        <v>1069</v>
      </c>
      <c r="B2139" s="4">
        <v>44895</v>
      </c>
      <c r="C2139" s="3" t="s">
        <v>1168</v>
      </c>
      <c r="D2139" s="3" t="s">
        <v>1261</v>
      </c>
      <c r="E2139" s="3" t="s">
        <v>1145</v>
      </c>
      <c r="F2139" s="3">
        <v>11556</v>
      </c>
      <c r="G2139" s="3">
        <v>104004</v>
      </c>
    </row>
    <row r="2140" spans="1:7" x14ac:dyDescent="0.2">
      <c r="A2140" s="3" t="s">
        <v>1072</v>
      </c>
      <c r="B2140" s="4">
        <v>44895</v>
      </c>
      <c r="C2140" s="3" t="s">
        <v>1168</v>
      </c>
      <c r="D2140" s="3" t="s">
        <v>1339</v>
      </c>
      <c r="E2140" s="3" t="s">
        <v>1087</v>
      </c>
      <c r="F2140" s="3">
        <v>0</v>
      </c>
      <c r="G2140" s="3">
        <v>137.5</v>
      </c>
    </row>
    <row r="2141" spans="1:7" x14ac:dyDescent="0.2">
      <c r="A2141" s="3" t="s">
        <v>1072</v>
      </c>
      <c r="B2141" s="4">
        <v>44895</v>
      </c>
      <c r="C2141" s="3" t="s">
        <v>1168</v>
      </c>
      <c r="D2141" s="3" t="s">
        <v>1195</v>
      </c>
      <c r="E2141" s="3" t="s">
        <v>1085</v>
      </c>
      <c r="F2141" s="3">
        <v>18474.810000000001</v>
      </c>
      <c r="G2141" s="3">
        <v>41295.51</v>
      </c>
    </row>
    <row r="2142" spans="1:7" x14ac:dyDescent="0.2">
      <c r="A2142" s="3" t="s">
        <v>1069</v>
      </c>
      <c r="B2142" s="4">
        <v>44895</v>
      </c>
      <c r="C2142" s="3" t="s">
        <v>1168</v>
      </c>
      <c r="D2142" s="3" t="s">
        <v>1195</v>
      </c>
      <c r="E2142" s="3" t="s">
        <v>1085</v>
      </c>
      <c r="F2142" s="3">
        <v>290.77999999999997</v>
      </c>
      <c r="G2142" s="3">
        <v>6029.35</v>
      </c>
    </row>
    <row r="2143" spans="1:7" x14ac:dyDescent="0.2">
      <c r="A2143" s="3" t="s">
        <v>1072</v>
      </c>
      <c r="B2143" s="4">
        <v>44895</v>
      </c>
      <c r="C2143" s="3" t="s">
        <v>1168</v>
      </c>
      <c r="D2143" s="3" t="s">
        <v>1340</v>
      </c>
      <c r="E2143" s="3" t="s">
        <v>1141</v>
      </c>
      <c r="F2143" s="3">
        <v>0</v>
      </c>
      <c r="G2143" s="3">
        <v>1986.89</v>
      </c>
    </row>
    <row r="2144" spans="1:7" x14ac:dyDescent="0.2">
      <c r="A2144" s="3" t="s">
        <v>1072</v>
      </c>
      <c r="B2144" s="4">
        <v>44895</v>
      </c>
      <c r="C2144" s="3" t="s">
        <v>1168</v>
      </c>
      <c r="D2144" s="3" t="s">
        <v>1341</v>
      </c>
      <c r="E2144" s="3" t="s">
        <v>1135</v>
      </c>
      <c r="F2144" s="3">
        <v>811.48</v>
      </c>
      <c r="G2144" s="3">
        <v>6187.88</v>
      </c>
    </row>
    <row r="2145" spans="1:7" x14ac:dyDescent="0.2">
      <c r="A2145" s="3" t="s">
        <v>1072</v>
      </c>
      <c r="B2145" s="4">
        <v>44895</v>
      </c>
      <c r="C2145" s="3" t="s">
        <v>1168</v>
      </c>
      <c r="D2145" s="3" t="s">
        <v>1342</v>
      </c>
      <c r="E2145" s="3" t="s">
        <v>1080</v>
      </c>
      <c r="F2145" s="3">
        <v>584.35</v>
      </c>
      <c r="G2145" s="3">
        <v>4848.5600000000004</v>
      </c>
    </row>
    <row r="2146" spans="1:7" x14ac:dyDescent="0.2">
      <c r="A2146" s="3" t="s">
        <v>1072</v>
      </c>
      <c r="B2146" s="4">
        <v>44895</v>
      </c>
      <c r="C2146" s="3" t="s">
        <v>1168</v>
      </c>
      <c r="D2146" s="3" t="s">
        <v>1504</v>
      </c>
      <c r="E2146" s="3" t="s">
        <v>1142</v>
      </c>
      <c r="F2146" s="3">
        <v>3480</v>
      </c>
      <c r="G2146" s="3">
        <v>35449</v>
      </c>
    </row>
    <row r="2147" spans="1:7" x14ac:dyDescent="0.2">
      <c r="A2147" s="3" t="s">
        <v>1069</v>
      </c>
      <c r="B2147" s="4">
        <v>44895</v>
      </c>
      <c r="C2147" s="3" t="s">
        <v>1168</v>
      </c>
      <c r="D2147" s="3" t="s">
        <v>1251</v>
      </c>
      <c r="E2147" s="3" t="s">
        <v>1095</v>
      </c>
      <c r="F2147" s="3">
        <v>81000</v>
      </c>
      <c r="G2147" s="3">
        <v>751540.68</v>
      </c>
    </row>
    <row r="2148" spans="1:7" x14ac:dyDescent="0.2">
      <c r="A2148" s="3" t="s">
        <v>1072</v>
      </c>
      <c r="B2148" s="4">
        <v>44895</v>
      </c>
      <c r="C2148" s="3" t="s">
        <v>1168</v>
      </c>
      <c r="D2148" s="3" t="s">
        <v>1251</v>
      </c>
      <c r="E2148" s="3" t="s">
        <v>1345</v>
      </c>
      <c r="F2148" s="3">
        <v>30572.45</v>
      </c>
      <c r="G2148" s="3">
        <v>318572.45</v>
      </c>
    </row>
    <row r="2149" spans="1:7" x14ac:dyDescent="0.2">
      <c r="A2149" s="3" t="s">
        <v>1072</v>
      </c>
      <c r="B2149" s="4">
        <v>44895</v>
      </c>
      <c r="C2149" s="3" t="s">
        <v>1168</v>
      </c>
      <c r="D2149" s="3" t="s">
        <v>1348</v>
      </c>
      <c r="E2149" s="3" t="s">
        <v>1095</v>
      </c>
      <c r="F2149" s="3">
        <v>124600</v>
      </c>
      <c r="G2149" s="3">
        <v>1128221.8700000001</v>
      </c>
    </row>
    <row r="2150" spans="1:7" x14ac:dyDescent="0.2">
      <c r="A2150" s="3" t="s">
        <v>1069</v>
      </c>
      <c r="B2150" s="4">
        <v>44895</v>
      </c>
      <c r="C2150" s="3" t="s">
        <v>1168</v>
      </c>
      <c r="D2150" s="3" t="s">
        <v>1252</v>
      </c>
      <c r="E2150" s="3" t="s">
        <v>1120</v>
      </c>
      <c r="F2150" s="3">
        <v>4000</v>
      </c>
      <c r="G2150" s="3">
        <v>56000</v>
      </c>
    </row>
    <row r="2151" spans="1:7" x14ac:dyDescent="0.2">
      <c r="A2151" s="3" t="s">
        <v>1072</v>
      </c>
      <c r="B2151" s="4">
        <v>44895</v>
      </c>
      <c r="C2151" s="3" t="s">
        <v>1168</v>
      </c>
      <c r="D2151" s="3" t="s">
        <v>1349</v>
      </c>
      <c r="E2151" s="3" t="s">
        <v>1089</v>
      </c>
      <c r="F2151" s="3">
        <v>1217.3900000000001</v>
      </c>
      <c r="G2151" s="3">
        <v>1378.26</v>
      </c>
    </row>
    <row r="2152" spans="1:7" x14ac:dyDescent="0.2">
      <c r="A2152" s="3" t="s">
        <v>1072</v>
      </c>
      <c r="B2152" s="4">
        <v>44895</v>
      </c>
      <c r="C2152" s="3" t="s">
        <v>1168</v>
      </c>
      <c r="D2152" s="3" t="s">
        <v>1350</v>
      </c>
      <c r="E2152" s="3" t="s">
        <v>1115</v>
      </c>
      <c r="F2152" s="3">
        <v>2165.84</v>
      </c>
      <c r="G2152" s="3">
        <v>17284.38</v>
      </c>
    </row>
    <row r="2153" spans="1:7" x14ac:dyDescent="0.2">
      <c r="A2153" s="3" t="s">
        <v>1072</v>
      </c>
      <c r="B2153" s="4">
        <v>44895</v>
      </c>
      <c r="C2153" s="3" t="s">
        <v>1168</v>
      </c>
      <c r="D2153" s="3" t="s">
        <v>1351</v>
      </c>
      <c r="E2153" s="3" t="s">
        <v>1096</v>
      </c>
      <c r="F2153" s="3">
        <v>193.33</v>
      </c>
      <c r="G2153" s="3">
        <v>1740</v>
      </c>
    </row>
    <row r="2154" spans="1:7" x14ac:dyDescent="0.2">
      <c r="A2154" s="3" t="s">
        <v>1072</v>
      </c>
      <c r="B2154" s="4">
        <v>44895</v>
      </c>
      <c r="C2154" s="3" t="s">
        <v>1168</v>
      </c>
      <c r="D2154" s="3" t="s">
        <v>1472</v>
      </c>
      <c r="E2154" s="3" t="s">
        <v>1473</v>
      </c>
      <c r="F2154" s="3">
        <v>0</v>
      </c>
      <c r="G2154" s="3">
        <v>39610.1</v>
      </c>
    </row>
    <row r="2155" spans="1:7" x14ac:dyDescent="0.2">
      <c r="A2155" s="3" t="s">
        <v>1072</v>
      </c>
      <c r="B2155" s="4">
        <v>44895</v>
      </c>
      <c r="C2155" s="3" t="s">
        <v>1168</v>
      </c>
      <c r="D2155" s="3" t="s">
        <v>1474</v>
      </c>
      <c r="E2155" s="3" t="s">
        <v>1114</v>
      </c>
      <c r="F2155" s="3">
        <v>427.2</v>
      </c>
      <c r="G2155" s="3">
        <v>3844.85</v>
      </c>
    </row>
    <row r="2156" spans="1:7" x14ac:dyDescent="0.2">
      <c r="A2156" s="3" t="s">
        <v>1069</v>
      </c>
      <c r="B2156" s="4">
        <v>44895</v>
      </c>
      <c r="C2156" s="3" t="s">
        <v>1168</v>
      </c>
      <c r="D2156" s="3" t="s">
        <v>1229</v>
      </c>
      <c r="E2156" s="3" t="s">
        <v>1136</v>
      </c>
      <c r="F2156" s="3">
        <v>3070.69</v>
      </c>
      <c r="G2156" s="3">
        <v>26707.66</v>
      </c>
    </row>
    <row r="2157" spans="1:7" x14ac:dyDescent="0.2">
      <c r="A2157" s="3" t="s">
        <v>1072</v>
      </c>
      <c r="B2157" s="4">
        <v>44895</v>
      </c>
      <c r="C2157" s="3" t="s">
        <v>1168</v>
      </c>
      <c r="D2157" s="3" t="s">
        <v>1229</v>
      </c>
      <c r="E2157" s="3" t="s">
        <v>1106</v>
      </c>
      <c r="F2157" s="3">
        <v>5605.63</v>
      </c>
      <c r="G2157" s="3">
        <v>44853.61</v>
      </c>
    </row>
    <row r="2158" spans="1:7" x14ac:dyDescent="0.2">
      <c r="A2158" s="3" t="s">
        <v>1069</v>
      </c>
      <c r="B2158" s="4">
        <v>44895</v>
      </c>
      <c r="C2158" s="3" t="s">
        <v>1168</v>
      </c>
      <c r="D2158" s="3" t="s">
        <v>1230</v>
      </c>
      <c r="E2158" s="3" t="s">
        <v>1109</v>
      </c>
      <c r="F2158" s="3">
        <v>8627.1200000000008</v>
      </c>
      <c r="G2158" s="3">
        <v>51881.47</v>
      </c>
    </row>
    <row r="2159" spans="1:7" x14ac:dyDescent="0.2">
      <c r="A2159" s="3" t="s">
        <v>1069</v>
      </c>
      <c r="B2159" s="4">
        <v>44895</v>
      </c>
      <c r="C2159" s="3" t="s">
        <v>1168</v>
      </c>
      <c r="D2159" s="3" t="s">
        <v>1564</v>
      </c>
      <c r="E2159" s="3" t="s">
        <v>1101</v>
      </c>
      <c r="F2159" s="3">
        <v>3563.4</v>
      </c>
      <c r="G2159" s="3">
        <v>3563.4</v>
      </c>
    </row>
    <row r="2160" spans="1:7" x14ac:dyDescent="0.2">
      <c r="A2160" s="3" t="s">
        <v>1072</v>
      </c>
      <c r="B2160" s="4">
        <v>44895</v>
      </c>
      <c r="C2160" s="3" t="s">
        <v>1168</v>
      </c>
      <c r="D2160" s="3" t="s">
        <v>1196</v>
      </c>
      <c r="E2160" s="3" t="s">
        <v>1131</v>
      </c>
      <c r="F2160" s="3">
        <v>0</v>
      </c>
      <c r="G2160" s="3">
        <v>7651.52</v>
      </c>
    </row>
    <row r="2161" spans="1:7" x14ac:dyDescent="0.2">
      <c r="A2161" s="3" t="s">
        <v>1072</v>
      </c>
      <c r="B2161" s="4">
        <v>44895</v>
      </c>
      <c r="C2161" s="3" t="s">
        <v>1168</v>
      </c>
      <c r="D2161" s="3" t="s">
        <v>1544</v>
      </c>
      <c r="E2161" s="3" t="s">
        <v>1159</v>
      </c>
      <c r="F2161" s="3">
        <v>273.20999999999998</v>
      </c>
      <c r="G2161" s="3">
        <v>819.63</v>
      </c>
    </row>
    <row r="2162" spans="1:7" x14ac:dyDescent="0.2">
      <c r="A2162" s="3" t="s">
        <v>1069</v>
      </c>
      <c r="B2162" s="4">
        <v>44895</v>
      </c>
      <c r="C2162" s="3" t="s">
        <v>1168</v>
      </c>
      <c r="D2162" s="3" t="s">
        <v>1544</v>
      </c>
      <c r="E2162" s="3" t="s">
        <v>1159</v>
      </c>
      <c r="F2162" s="3">
        <v>4092.56</v>
      </c>
      <c r="G2162" s="3">
        <v>8234.86</v>
      </c>
    </row>
    <row r="2163" spans="1:7" x14ac:dyDescent="0.2">
      <c r="A2163" s="3" t="s">
        <v>1072</v>
      </c>
      <c r="B2163" s="4">
        <v>44895</v>
      </c>
      <c r="C2163" s="3" t="s">
        <v>1168</v>
      </c>
      <c r="D2163" s="3" t="s">
        <v>1354</v>
      </c>
      <c r="E2163" s="3" t="s">
        <v>1078</v>
      </c>
      <c r="F2163" s="3">
        <v>1474.21</v>
      </c>
      <c r="G2163" s="3">
        <v>10957.97</v>
      </c>
    </row>
    <row r="2164" spans="1:7" x14ac:dyDescent="0.2">
      <c r="A2164" s="3" t="s">
        <v>1072</v>
      </c>
      <c r="B2164" s="4">
        <v>44895</v>
      </c>
      <c r="C2164" s="3" t="s">
        <v>1168</v>
      </c>
      <c r="D2164" s="3" t="s">
        <v>1355</v>
      </c>
      <c r="E2164" s="3" t="s">
        <v>1356</v>
      </c>
      <c r="F2164" s="3">
        <v>0</v>
      </c>
      <c r="G2164" s="3">
        <v>1425.42</v>
      </c>
    </row>
    <row r="2165" spans="1:7" x14ac:dyDescent="0.2">
      <c r="A2165" s="3" t="s">
        <v>1069</v>
      </c>
      <c r="B2165" s="4">
        <v>44895</v>
      </c>
      <c r="C2165" s="3" t="s">
        <v>1168</v>
      </c>
      <c r="D2165" s="3" t="s">
        <v>1456</v>
      </c>
      <c r="E2165" s="3" t="s">
        <v>1457</v>
      </c>
      <c r="F2165" s="3">
        <v>0</v>
      </c>
      <c r="G2165" s="3">
        <v>588.44000000000005</v>
      </c>
    </row>
    <row r="2166" spans="1:7" x14ac:dyDescent="0.2">
      <c r="A2166" s="3" t="s">
        <v>1069</v>
      </c>
      <c r="B2166" s="4">
        <v>44895</v>
      </c>
      <c r="C2166" s="3" t="s">
        <v>1168</v>
      </c>
      <c r="D2166" s="3" t="s">
        <v>1565</v>
      </c>
      <c r="E2166" s="3" t="s">
        <v>1566</v>
      </c>
      <c r="F2166" s="3">
        <v>218305.31</v>
      </c>
      <c r="G2166" s="3">
        <v>218305.31</v>
      </c>
    </row>
    <row r="2167" spans="1:7" x14ac:dyDescent="0.2">
      <c r="A2167" s="3" t="s">
        <v>1069</v>
      </c>
      <c r="B2167" s="4">
        <v>44895</v>
      </c>
      <c r="C2167" s="3" t="s">
        <v>1168</v>
      </c>
      <c r="D2167" s="3" t="s">
        <v>1567</v>
      </c>
      <c r="E2167" s="3" t="s">
        <v>1568</v>
      </c>
      <c r="F2167" s="3">
        <v>29312.34</v>
      </c>
      <c r="G2167" s="3">
        <v>29312.34</v>
      </c>
    </row>
    <row r="2168" spans="1:7" x14ac:dyDescent="0.2">
      <c r="A2168" s="3" t="s">
        <v>1069</v>
      </c>
      <c r="B2168" s="4">
        <v>44895</v>
      </c>
      <c r="C2168" s="3" t="s">
        <v>1168</v>
      </c>
      <c r="D2168" s="3" t="s">
        <v>1569</v>
      </c>
      <c r="E2168" s="3" t="s">
        <v>1570</v>
      </c>
      <c r="F2168" s="3">
        <v>560.97</v>
      </c>
      <c r="G2168" s="3">
        <v>560.97</v>
      </c>
    </row>
    <row r="2169" spans="1:7" x14ac:dyDescent="0.2">
      <c r="A2169" s="3" t="s">
        <v>1069</v>
      </c>
      <c r="B2169" s="4">
        <v>44895</v>
      </c>
      <c r="C2169" s="3" t="s">
        <v>1168</v>
      </c>
      <c r="D2169" s="3" t="s">
        <v>1571</v>
      </c>
      <c r="E2169" s="3" t="s">
        <v>1572</v>
      </c>
      <c r="F2169" s="3">
        <v>10317.81</v>
      </c>
      <c r="G2169" s="3">
        <v>10317.81</v>
      </c>
    </row>
    <row r="2170" spans="1:7" x14ac:dyDescent="0.2">
      <c r="A2170" s="3" t="s">
        <v>1069</v>
      </c>
      <c r="B2170" s="4">
        <v>44895</v>
      </c>
      <c r="C2170" s="3" t="s">
        <v>1168</v>
      </c>
      <c r="D2170" s="3" t="s">
        <v>1573</v>
      </c>
      <c r="E2170" s="3" t="s">
        <v>1574</v>
      </c>
      <c r="F2170" s="3">
        <v>376726.01</v>
      </c>
      <c r="G2170" s="3">
        <v>376726.01</v>
      </c>
    </row>
    <row r="2171" spans="1:7" x14ac:dyDescent="0.2">
      <c r="A2171" s="3" t="s">
        <v>1069</v>
      </c>
      <c r="B2171" s="4">
        <v>44895</v>
      </c>
      <c r="C2171" s="3" t="s">
        <v>1168</v>
      </c>
      <c r="D2171" s="3" t="s">
        <v>1575</v>
      </c>
      <c r="E2171" s="3" t="s">
        <v>1576</v>
      </c>
      <c r="F2171" s="3">
        <v>2035109.56</v>
      </c>
      <c r="G2171" s="3">
        <v>2035109.56</v>
      </c>
    </row>
    <row r="2172" spans="1:7" x14ac:dyDescent="0.2">
      <c r="A2172" s="3" t="s">
        <v>1072</v>
      </c>
      <c r="B2172" s="4">
        <v>44895</v>
      </c>
      <c r="C2172" s="3" t="s">
        <v>1168</v>
      </c>
      <c r="D2172" s="3" t="s">
        <v>1547</v>
      </c>
      <c r="E2172" s="3" t="s">
        <v>1548</v>
      </c>
      <c r="F2172" s="3">
        <v>360.82</v>
      </c>
      <c r="G2172" s="3">
        <v>1209.8699999999999</v>
      </c>
    </row>
    <row r="2173" spans="1:7" x14ac:dyDescent="0.2">
      <c r="A2173" s="3" t="s">
        <v>1069</v>
      </c>
      <c r="B2173" s="4">
        <v>44895</v>
      </c>
      <c r="C2173" s="3" t="s">
        <v>1168</v>
      </c>
      <c r="D2173" s="3" t="s">
        <v>1549</v>
      </c>
      <c r="E2173" s="3" t="s">
        <v>1154</v>
      </c>
      <c r="F2173" s="3">
        <v>0</v>
      </c>
      <c r="G2173" s="3">
        <v>400000</v>
      </c>
    </row>
    <row r="2174" spans="1:7" x14ac:dyDescent="0.2">
      <c r="A2174" s="3" t="s">
        <v>1069</v>
      </c>
      <c r="B2174" s="4">
        <v>44895</v>
      </c>
      <c r="C2174" s="3" t="s">
        <v>1168</v>
      </c>
      <c r="D2174" s="3" t="s">
        <v>1253</v>
      </c>
      <c r="E2174" s="3" t="s">
        <v>1103</v>
      </c>
      <c r="F2174" s="3">
        <v>3173.36</v>
      </c>
      <c r="G2174" s="3">
        <v>243102.26</v>
      </c>
    </row>
    <row r="2175" spans="1:7" x14ac:dyDescent="0.2">
      <c r="A2175" s="3" t="s">
        <v>1072</v>
      </c>
      <c r="B2175" s="4">
        <v>44895</v>
      </c>
      <c r="C2175" s="3" t="s">
        <v>1168</v>
      </c>
      <c r="D2175" s="3" t="s">
        <v>1358</v>
      </c>
      <c r="E2175" s="3" t="s">
        <v>1122</v>
      </c>
      <c r="F2175" s="3">
        <v>0</v>
      </c>
      <c r="G2175" s="3">
        <v>4033.01</v>
      </c>
    </row>
    <row r="2176" spans="1:7" x14ac:dyDescent="0.2">
      <c r="A2176" s="3" t="s">
        <v>1072</v>
      </c>
      <c r="B2176" s="4">
        <v>44895</v>
      </c>
      <c r="C2176" s="3" t="s">
        <v>1168</v>
      </c>
      <c r="D2176" s="3" t="s">
        <v>1359</v>
      </c>
      <c r="E2176" s="3" t="s">
        <v>1086</v>
      </c>
      <c r="F2176" s="3">
        <v>0</v>
      </c>
      <c r="G2176" s="3">
        <v>1200</v>
      </c>
    </row>
    <row r="2177" spans="1:7" x14ac:dyDescent="0.2">
      <c r="A2177" s="3" t="s">
        <v>1072</v>
      </c>
      <c r="B2177" s="4">
        <v>44895</v>
      </c>
      <c r="C2177" s="3" t="s">
        <v>1168</v>
      </c>
      <c r="D2177" s="3" t="s">
        <v>1201</v>
      </c>
      <c r="E2177" s="3" t="s">
        <v>1112</v>
      </c>
      <c r="F2177" s="3">
        <v>2252.09</v>
      </c>
      <c r="G2177" s="3">
        <v>11847.29</v>
      </c>
    </row>
    <row r="2178" spans="1:7" x14ac:dyDescent="0.2">
      <c r="A2178" s="3" t="s">
        <v>1074</v>
      </c>
      <c r="B2178" s="4">
        <v>44895</v>
      </c>
      <c r="C2178" s="3" t="s">
        <v>1168</v>
      </c>
      <c r="D2178" s="3" t="s">
        <v>1201</v>
      </c>
      <c r="E2178" s="3" t="s">
        <v>1112</v>
      </c>
      <c r="F2178" s="3">
        <v>0</v>
      </c>
      <c r="G2178" s="3">
        <v>3404.62</v>
      </c>
    </row>
    <row r="2179" spans="1:7" x14ac:dyDescent="0.2">
      <c r="A2179" s="3" t="s">
        <v>1072</v>
      </c>
      <c r="B2179" s="4">
        <v>44895</v>
      </c>
      <c r="C2179" s="3" t="s">
        <v>1168</v>
      </c>
      <c r="D2179" s="3" t="s">
        <v>1360</v>
      </c>
      <c r="E2179" s="3" t="s">
        <v>1098</v>
      </c>
      <c r="F2179" s="3">
        <v>631.41999999999996</v>
      </c>
      <c r="G2179" s="3">
        <v>6198.89</v>
      </c>
    </row>
    <row r="2180" spans="1:7" x14ac:dyDescent="0.2">
      <c r="A2180" s="3" t="s">
        <v>1072</v>
      </c>
      <c r="B2180" s="4">
        <v>44895</v>
      </c>
      <c r="C2180" s="3" t="s">
        <v>1168</v>
      </c>
      <c r="D2180" s="3" t="s">
        <v>1361</v>
      </c>
      <c r="E2180" s="3" t="s">
        <v>1121</v>
      </c>
      <c r="F2180" s="3">
        <v>28591.67</v>
      </c>
      <c r="G2180" s="3">
        <v>253291.67</v>
      </c>
    </row>
    <row r="2181" spans="1:7" x14ac:dyDescent="0.2">
      <c r="A2181" s="3" t="s">
        <v>1072</v>
      </c>
      <c r="B2181" s="4">
        <v>44895</v>
      </c>
      <c r="C2181" s="3" t="s">
        <v>1168</v>
      </c>
      <c r="D2181" s="3" t="s">
        <v>1231</v>
      </c>
      <c r="E2181" s="3" t="s">
        <v>1083</v>
      </c>
      <c r="F2181" s="3">
        <v>843.6</v>
      </c>
      <c r="G2181" s="3">
        <v>7592.4</v>
      </c>
    </row>
    <row r="2182" spans="1:7" x14ac:dyDescent="0.2">
      <c r="A2182" s="3" t="s">
        <v>1069</v>
      </c>
      <c r="B2182" s="4">
        <v>44895</v>
      </c>
      <c r="C2182" s="3" t="s">
        <v>1168</v>
      </c>
      <c r="D2182" s="3" t="s">
        <v>1231</v>
      </c>
      <c r="E2182" s="3" t="s">
        <v>1070</v>
      </c>
      <c r="F2182" s="3">
        <v>3335.21</v>
      </c>
      <c r="G2182" s="3">
        <v>29104.79</v>
      </c>
    </row>
    <row r="2183" spans="1:7" x14ac:dyDescent="0.2">
      <c r="A2183" s="3" t="s">
        <v>1072</v>
      </c>
      <c r="B2183" s="4">
        <v>44895</v>
      </c>
      <c r="C2183" s="3" t="s">
        <v>1168</v>
      </c>
      <c r="D2183" s="3" t="s">
        <v>1254</v>
      </c>
      <c r="E2183" s="3" t="s">
        <v>1075</v>
      </c>
      <c r="F2183" s="3">
        <v>10511.3</v>
      </c>
      <c r="G2183" s="3">
        <v>21033.01</v>
      </c>
    </row>
    <row r="2184" spans="1:7" x14ac:dyDescent="0.2">
      <c r="A2184" s="3" t="s">
        <v>1069</v>
      </c>
      <c r="B2184" s="4">
        <v>44895</v>
      </c>
      <c r="C2184" s="3" t="s">
        <v>1168</v>
      </c>
      <c r="D2184" s="3" t="s">
        <v>1254</v>
      </c>
      <c r="E2184" s="3" t="s">
        <v>1075</v>
      </c>
      <c r="F2184" s="3">
        <v>0</v>
      </c>
      <c r="G2184" s="3">
        <v>22719.99</v>
      </c>
    </row>
    <row r="2185" spans="1:7" x14ac:dyDescent="0.2">
      <c r="A2185" s="3" t="s">
        <v>1072</v>
      </c>
      <c r="B2185" s="4">
        <v>44895</v>
      </c>
      <c r="C2185" s="3" t="s">
        <v>1168</v>
      </c>
      <c r="D2185" s="3" t="s">
        <v>1362</v>
      </c>
      <c r="E2185" s="3" t="s">
        <v>1123</v>
      </c>
      <c r="F2185" s="3">
        <v>176711.56</v>
      </c>
      <c r="G2185" s="3">
        <v>1937653.36</v>
      </c>
    </row>
    <row r="2186" spans="1:7" x14ac:dyDescent="0.2">
      <c r="A2186" s="3" t="s">
        <v>1072</v>
      </c>
      <c r="B2186" s="4">
        <v>44895</v>
      </c>
      <c r="C2186" s="3" t="s">
        <v>1168</v>
      </c>
      <c r="D2186" s="3" t="s">
        <v>1365</v>
      </c>
      <c r="E2186" s="3" t="s">
        <v>1090</v>
      </c>
      <c r="F2186" s="3">
        <v>0</v>
      </c>
      <c r="G2186" s="3">
        <v>3746.27</v>
      </c>
    </row>
    <row r="2187" spans="1:7" x14ac:dyDescent="0.2">
      <c r="A2187" s="3" t="s">
        <v>1072</v>
      </c>
      <c r="B2187" s="4">
        <v>44895</v>
      </c>
      <c r="C2187" s="3" t="s">
        <v>1168</v>
      </c>
      <c r="D2187" s="3" t="s">
        <v>1511</v>
      </c>
      <c r="E2187" s="3" t="s">
        <v>1104</v>
      </c>
      <c r="F2187" s="3">
        <v>177.33</v>
      </c>
      <c r="G2187" s="3">
        <v>1340.76</v>
      </c>
    </row>
    <row r="2188" spans="1:7" x14ac:dyDescent="0.2">
      <c r="A2188" s="3" t="s">
        <v>1072</v>
      </c>
      <c r="B2188" s="4">
        <v>44895</v>
      </c>
      <c r="C2188" s="3" t="s">
        <v>1168</v>
      </c>
      <c r="D2188" s="3" t="s">
        <v>1366</v>
      </c>
      <c r="E2188" s="3" t="s">
        <v>1144</v>
      </c>
      <c r="F2188" s="3">
        <v>1389.56</v>
      </c>
      <c r="G2188" s="3">
        <v>9013.48</v>
      </c>
    </row>
    <row r="2189" spans="1:7" x14ac:dyDescent="0.2">
      <c r="A2189" s="3" t="s">
        <v>1069</v>
      </c>
      <c r="B2189" s="4">
        <v>44895</v>
      </c>
      <c r="C2189" s="3" t="s">
        <v>1168</v>
      </c>
      <c r="D2189" s="3" t="s">
        <v>1213</v>
      </c>
      <c r="E2189" s="3" t="s">
        <v>1150</v>
      </c>
      <c r="F2189" s="3">
        <v>328.38</v>
      </c>
      <c r="G2189" s="3">
        <v>4255.84</v>
      </c>
    </row>
    <row r="2190" spans="1:7" x14ac:dyDescent="0.2">
      <c r="A2190" s="3" t="s">
        <v>1072</v>
      </c>
      <c r="B2190" s="4">
        <v>44895</v>
      </c>
      <c r="C2190" s="3" t="s">
        <v>1168</v>
      </c>
      <c r="D2190" s="3" t="s">
        <v>1367</v>
      </c>
      <c r="E2190" s="3" t="s">
        <v>1147</v>
      </c>
      <c r="F2190" s="3">
        <v>0</v>
      </c>
      <c r="G2190" s="3">
        <v>6800</v>
      </c>
    </row>
    <row r="2191" spans="1:7" x14ac:dyDescent="0.2">
      <c r="A2191" s="3" t="s">
        <v>1072</v>
      </c>
      <c r="B2191" s="4">
        <v>44895</v>
      </c>
      <c r="C2191" s="3" t="s">
        <v>1168</v>
      </c>
      <c r="D2191" s="3" t="s">
        <v>1368</v>
      </c>
      <c r="E2191" s="3" t="s">
        <v>1124</v>
      </c>
      <c r="F2191" s="3">
        <v>1251.56</v>
      </c>
      <c r="G2191" s="3">
        <v>4770.66</v>
      </c>
    </row>
    <row r="2192" spans="1:7" x14ac:dyDescent="0.2">
      <c r="A2192" s="3" t="s">
        <v>1072</v>
      </c>
      <c r="B2192" s="4">
        <v>44895</v>
      </c>
      <c r="C2192" s="3" t="s">
        <v>1168</v>
      </c>
      <c r="D2192" s="3" t="s">
        <v>1369</v>
      </c>
      <c r="E2192" s="3" t="s">
        <v>1099</v>
      </c>
      <c r="F2192" s="3">
        <v>0</v>
      </c>
      <c r="G2192" s="3">
        <v>526.32000000000005</v>
      </c>
    </row>
    <row r="2193" spans="1:7" x14ac:dyDescent="0.2">
      <c r="A2193" s="3" t="s">
        <v>1072</v>
      </c>
      <c r="B2193" s="4">
        <v>44895</v>
      </c>
      <c r="C2193" s="3" t="s">
        <v>1168</v>
      </c>
      <c r="D2193" s="3" t="s">
        <v>1370</v>
      </c>
      <c r="E2193" s="3" t="s">
        <v>1129</v>
      </c>
      <c r="F2193" s="3">
        <v>686</v>
      </c>
      <c r="G2193" s="3">
        <v>5394</v>
      </c>
    </row>
    <row r="2194" spans="1:7" x14ac:dyDescent="0.2">
      <c r="A2194" s="3" t="s">
        <v>1072</v>
      </c>
      <c r="B2194" s="4">
        <v>44895</v>
      </c>
      <c r="C2194" s="3" t="s">
        <v>1168</v>
      </c>
      <c r="D2194" s="3" t="s">
        <v>1372</v>
      </c>
      <c r="E2194" s="3" t="s">
        <v>1158</v>
      </c>
      <c r="F2194" s="3">
        <v>600</v>
      </c>
      <c r="G2194" s="3">
        <v>5400</v>
      </c>
    </row>
    <row r="2195" spans="1:7" x14ac:dyDescent="0.2">
      <c r="A2195" s="3" t="s">
        <v>1072</v>
      </c>
      <c r="B2195" s="4">
        <v>44895</v>
      </c>
      <c r="C2195" s="3" t="s">
        <v>1168</v>
      </c>
      <c r="D2195" s="3" t="s">
        <v>1373</v>
      </c>
      <c r="E2195" s="3" t="s">
        <v>1092</v>
      </c>
      <c r="F2195" s="3">
        <v>484</v>
      </c>
      <c r="G2195" s="3">
        <v>3802.6</v>
      </c>
    </row>
    <row r="2196" spans="1:7" x14ac:dyDescent="0.2">
      <c r="A2196" s="3" t="s">
        <v>1072</v>
      </c>
      <c r="B2196" s="4">
        <v>44895</v>
      </c>
      <c r="C2196" s="3" t="s">
        <v>1168</v>
      </c>
      <c r="D2196" s="3" t="s">
        <v>1490</v>
      </c>
      <c r="E2196" s="3" t="s">
        <v>1491</v>
      </c>
      <c r="F2196" s="3">
        <v>0</v>
      </c>
      <c r="G2196" s="3">
        <v>13765</v>
      </c>
    </row>
    <row r="2197" spans="1:7" x14ac:dyDescent="0.2">
      <c r="A2197" s="3" t="s">
        <v>1069</v>
      </c>
      <c r="B2197" s="4">
        <v>44895</v>
      </c>
      <c r="C2197" s="3" t="s">
        <v>1168</v>
      </c>
      <c r="D2197" s="3" t="s">
        <v>1232</v>
      </c>
      <c r="E2197" s="3" t="s">
        <v>1105</v>
      </c>
      <c r="F2197" s="3">
        <v>600</v>
      </c>
      <c r="G2197" s="3">
        <v>5400</v>
      </c>
    </row>
    <row r="2198" spans="1:7" x14ac:dyDescent="0.2">
      <c r="A2198" s="3" t="s">
        <v>1074</v>
      </c>
      <c r="B2198" s="4">
        <v>44895</v>
      </c>
      <c r="C2198" s="3" t="s">
        <v>1168</v>
      </c>
      <c r="D2198" s="3" t="s">
        <v>1232</v>
      </c>
      <c r="E2198" s="3" t="s">
        <v>1105</v>
      </c>
      <c r="F2198" s="3">
        <v>600</v>
      </c>
      <c r="G2198" s="3">
        <v>9000</v>
      </c>
    </row>
    <row r="2199" spans="1:7" x14ac:dyDescent="0.2">
      <c r="A2199" s="3" t="s">
        <v>1069</v>
      </c>
      <c r="B2199" s="4">
        <v>44895</v>
      </c>
      <c r="C2199" s="3" t="s">
        <v>1168</v>
      </c>
      <c r="D2199" s="3" t="s">
        <v>1262</v>
      </c>
      <c r="E2199" s="3" t="s">
        <v>1127</v>
      </c>
      <c r="F2199" s="3">
        <v>262.11</v>
      </c>
      <c r="G2199" s="3">
        <v>788.43</v>
      </c>
    </row>
    <row r="2200" spans="1:7" x14ac:dyDescent="0.2">
      <c r="A2200" s="3" t="s">
        <v>1072</v>
      </c>
      <c r="B2200" s="4">
        <v>44895</v>
      </c>
      <c r="C2200" s="3" t="s">
        <v>1168</v>
      </c>
      <c r="D2200" s="3" t="s">
        <v>1374</v>
      </c>
      <c r="E2200" s="3" t="s">
        <v>1108</v>
      </c>
      <c r="F2200" s="3">
        <v>0</v>
      </c>
      <c r="G2200" s="3">
        <v>2500</v>
      </c>
    </row>
    <row r="2201" spans="1:7" x14ac:dyDescent="0.2">
      <c r="A2201" s="3" t="s">
        <v>1072</v>
      </c>
      <c r="B2201" s="4">
        <v>44895</v>
      </c>
      <c r="C2201" s="3" t="s">
        <v>1168</v>
      </c>
      <c r="D2201" s="3" t="s">
        <v>1376</v>
      </c>
      <c r="E2201" s="3" t="s">
        <v>1377</v>
      </c>
      <c r="F2201" s="3">
        <v>0</v>
      </c>
      <c r="G2201" s="3">
        <v>13.04</v>
      </c>
    </row>
    <row r="2202" spans="1:7" x14ac:dyDescent="0.2">
      <c r="A2202" s="3" t="s">
        <v>1072</v>
      </c>
      <c r="B2202" s="4">
        <v>44895</v>
      </c>
      <c r="C2202" s="3" t="s">
        <v>1168</v>
      </c>
      <c r="D2202" s="3" t="s">
        <v>1378</v>
      </c>
      <c r="E2202" s="3" t="s">
        <v>1143</v>
      </c>
      <c r="F2202" s="3">
        <v>23576.11</v>
      </c>
      <c r="G2202" s="3">
        <v>295440.3</v>
      </c>
    </row>
    <row r="2203" spans="1:7" x14ac:dyDescent="0.2">
      <c r="A2203" s="3" t="s">
        <v>1072</v>
      </c>
      <c r="B2203" s="4">
        <v>44895</v>
      </c>
      <c r="C2203" s="3" t="s">
        <v>1168</v>
      </c>
      <c r="D2203" s="3" t="s">
        <v>1379</v>
      </c>
      <c r="E2203" s="3" t="s">
        <v>1107</v>
      </c>
      <c r="F2203" s="3">
        <v>1902.99</v>
      </c>
      <c r="G2203" s="3">
        <v>21398.720000000001</v>
      </c>
    </row>
    <row r="2204" spans="1:7" x14ac:dyDescent="0.2">
      <c r="A2204" s="3" t="s">
        <v>1072</v>
      </c>
      <c r="B2204" s="4">
        <v>44895</v>
      </c>
      <c r="C2204" s="3" t="s">
        <v>1168</v>
      </c>
      <c r="D2204" s="3" t="s">
        <v>1380</v>
      </c>
      <c r="E2204" s="3" t="s">
        <v>1125</v>
      </c>
      <c r="F2204" s="3">
        <v>1432.65</v>
      </c>
      <c r="G2204" s="3">
        <v>15464.71</v>
      </c>
    </row>
    <row r="2205" spans="1:7" x14ac:dyDescent="0.2">
      <c r="A2205" s="3" t="s">
        <v>1072</v>
      </c>
      <c r="B2205" s="4">
        <v>44895</v>
      </c>
      <c r="C2205" s="3" t="s">
        <v>1168</v>
      </c>
      <c r="D2205" s="3" t="s">
        <v>1381</v>
      </c>
      <c r="E2205" s="3" t="s">
        <v>1130</v>
      </c>
      <c r="F2205" s="3">
        <v>1432.65</v>
      </c>
      <c r="G2205" s="3">
        <v>15464.71</v>
      </c>
    </row>
    <row r="2206" spans="1:7" x14ac:dyDescent="0.2">
      <c r="A2206" s="3" t="s">
        <v>1072</v>
      </c>
      <c r="B2206" s="4">
        <v>44895</v>
      </c>
      <c r="C2206" s="3" t="s">
        <v>1168</v>
      </c>
      <c r="D2206" s="3" t="s">
        <v>1458</v>
      </c>
      <c r="E2206" s="3" t="s">
        <v>1113</v>
      </c>
      <c r="F2206" s="3">
        <v>8981.75</v>
      </c>
      <c r="G2206" s="3">
        <v>65997.64</v>
      </c>
    </row>
    <row r="2207" spans="1:7" x14ac:dyDescent="0.2">
      <c r="A2207" s="3" t="s">
        <v>1072</v>
      </c>
      <c r="B2207" s="4">
        <v>44895</v>
      </c>
      <c r="C2207" s="3" t="s">
        <v>1168</v>
      </c>
      <c r="D2207" s="3" t="s">
        <v>1459</v>
      </c>
      <c r="E2207" s="3" t="s">
        <v>1139</v>
      </c>
      <c r="F2207" s="3">
        <v>2367</v>
      </c>
      <c r="G2207" s="3">
        <v>22073.8</v>
      </c>
    </row>
    <row r="2208" spans="1:7" x14ac:dyDescent="0.2">
      <c r="A2208" s="3" t="s">
        <v>1069</v>
      </c>
      <c r="B2208" s="4">
        <v>44895</v>
      </c>
      <c r="C2208" s="3" t="s">
        <v>1172</v>
      </c>
      <c r="D2208" s="3" t="s">
        <v>1173</v>
      </c>
      <c r="E2208" s="3" t="s">
        <v>1174</v>
      </c>
      <c r="F2208" s="3">
        <v>0</v>
      </c>
      <c r="G2208" s="3">
        <v>-100</v>
      </c>
    </row>
    <row r="2209" spans="1:7" x14ac:dyDescent="0.2">
      <c r="A2209" s="3" t="s">
        <v>1072</v>
      </c>
      <c r="B2209" s="4">
        <v>44895</v>
      </c>
      <c r="C2209" s="3" t="s">
        <v>1172</v>
      </c>
      <c r="D2209" s="3" t="s">
        <v>1382</v>
      </c>
      <c r="E2209" s="3" t="s">
        <v>1383</v>
      </c>
      <c r="F2209" s="3">
        <v>0</v>
      </c>
      <c r="G2209" s="3">
        <v>-120</v>
      </c>
    </row>
    <row r="2210" spans="1:7" x14ac:dyDescent="0.2">
      <c r="A2210" s="3" t="s">
        <v>1072</v>
      </c>
      <c r="B2210" s="4">
        <v>44895</v>
      </c>
      <c r="C2210" s="3" t="s">
        <v>1172</v>
      </c>
      <c r="D2210" s="3" t="s">
        <v>1384</v>
      </c>
      <c r="E2210" s="3" t="s">
        <v>1385</v>
      </c>
      <c r="F2210" s="3">
        <v>0</v>
      </c>
      <c r="G2210" s="3">
        <v>247347.05</v>
      </c>
    </row>
    <row r="2211" spans="1:7" x14ac:dyDescent="0.2">
      <c r="A2211" s="3" t="s">
        <v>1069</v>
      </c>
      <c r="B2211" s="4">
        <v>44895</v>
      </c>
      <c r="C2211" s="3" t="s">
        <v>1172</v>
      </c>
      <c r="D2211" s="3" t="s">
        <v>1384</v>
      </c>
      <c r="E2211" s="3" t="s">
        <v>1385</v>
      </c>
      <c r="F2211" s="3">
        <v>0</v>
      </c>
      <c r="G2211" s="3">
        <v>-17080353.050000001</v>
      </c>
    </row>
    <row r="2212" spans="1:7" x14ac:dyDescent="0.2">
      <c r="A2212" s="3" t="s">
        <v>1069</v>
      </c>
      <c r="B2212" s="4">
        <v>44895</v>
      </c>
      <c r="C2212" s="3" t="s">
        <v>1180</v>
      </c>
      <c r="D2212" s="3" t="s">
        <v>1241</v>
      </c>
      <c r="E2212" s="3" t="s">
        <v>1242</v>
      </c>
      <c r="F2212" s="3">
        <v>0</v>
      </c>
      <c r="G2212" s="3">
        <v>17562360.850000001</v>
      </c>
    </row>
    <row r="2213" spans="1:7" x14ac:dyDescent="0.2">
      <c r="A2213" s="3" t="s">
        <v>1072</v>
      </c>
      <c r="B2213" s="4">
        <v>44895</v>
      </c>
      <c r="C2213" s="3" t="s">
        <v>1180</v>
      </c>
      <c r="D2213" s="3" t="s">
        <v>1460</v>
      </c>
      <c r="E2213" s="3" t="s">
        <v>1461</v>
      </c>
      <c r="F2213" s="3">
        <v>270000</v>
      </c>
      <c r="G2213" s="3">
        <v>0</v>
      </c>
    </row>
    <row r="2214" spans="1:7" x14ac:dyDescent="0.2">
      <c r="A2214" s="3" t="s">
        <v>1072</v>
      </c>
      <c r="B2214" s="4">
        <v>44895</v>
      </c>
      <c r="C2214" s="3" t="s">
        <v>1180</v>
      </c>
      <c r="D2214" s="3" t="s">
        <v>1483</v>
      </c>
      <c r="E2214" s="3" t="s">
        <v>1177</v>
      </c>
      <c r="F2214" s="3">
        <v>3521187.4</v>
      </c>
      <c r="G2214" s="3">
        <v>6571187.4000000004</v>
      </c>
    </row>
    <row r="2215" spans="1:7" x14ac:dyDescent="0.2">
      <c r="A2215" s="3" t="s">
        <v>1072</v>
      </c>
      <c r="B2215" s="4">
        <v>44895</v>
      </c>
      <c r="C2215" s="3" t="s">
        <v>1180</v>
      </c>
      <c r="D2215" s="3" t="s">
        <v>1394</v>
      </c>
      <c r="E2215" s="3" t="s">
        <v>1256</v>
      </c>
      <c r="F2215" s="3">
        <v>-1200</v>
      </c>
      <c r="G2215" s="3">
        <v>0</v>
      </c>
    </row>
    <row r="2216" spans="1:7" x14ac:dyDescent="0.2">
      <c r="A2216" s="3" t="s">
        <v>1072</v>
      </c>
      <c r="B2216" s="4">
        <v>44895</v>
      </c>
      <c r="C2216" s="3" t="s">
        <v>1180</v>
      </c>
      <c r="D2216" s="3" t="s">
        <v>1395</v>
      </c>
      <c r="E2216" s="3" t="s">
        <v>1396</v>
      </c>
      <c r="F2216" s="3">
        <v>-3726138.5</v>
      </c>
      <c r="G2216" s="3">
        <v>-8226138.5</v>
      </c>
    </row>
    <row r="2217" spans="1:7" x14ac:dyDescent="0.2">
      <c r="A2217" s="3" t="s">
        <v>1072</v>
      </c>
      <c r="B2217" s="4">
        <v>44895</v>
      </c>
      <c r="C2217" s="3" t="s">
        <v>1180</v>
      </c>
      <c r="D2217" s="3" t="s">
        <v>1397</v>
      </c>
      <c r="E2217" s="3" t="s">
        <v>1398</v>
      </c>
      <c r="F2217" s="3">
        <v>-1200</v>
      </c>
      <c r="G2217" s="3">
        <v>0</v>
      </c>
    </row>
    <row r="2218" spans="1:7" x14ac:dyDescent="0.2">
      <c r="A2218" s="3" t="s">
        <v>1072</v>
      </c>
      <c r="B2218" s="4">
        <v>44895</v>
      </c>
      <c r="C2218" s="3" t="s">
        <v>1180</v>
      </c>
      <c r="D2218" s="3" t="s">
        <v>1512</v>
      </c>
      <c r="E2218" s="3" t="s">
        <v>1513</v>
      </c>
      <c r="F2218" s="3">
        <v>0</v>
      </c>
      <c r="G2218" s="3">
        <v>1367000</v>
      </c>
    </row>
    <row r="2219" spans="1:7" x14ac:dyDescent="0.2">
      <c r="A2219" s="3" t="s">
        <v>1074</v>
      </c>
      <c r="B2219" s="4">
        <v>44895</v>
      </c>
      <c r="C2219" s="3" t="s">
        <v>1175</v>
      </c>
      <c r="D2219" s="3" t="s">
        <v>1492</v>
      </c>
      <c r="E2219" s="3" t="s">
        <v>1493</v>
      </c>
      <c r="F2219" s="3">
        <v>-600</v>
      </c>
      <c r="G2219" s="3">
        <v>-2029913.01</v>
      </c>
    </row>
    <row r="2220" spans="1:7" x14ac:dyDescent="0.2">
      <c r="A2220" s="3" t="s">
        <v>1069</v>
      </c>
      <c r="B2220" s="4">
        <v>44895</v>
      </c>
      <c r="C2220" s="3" t="s">
        <v>1175</v>
      </c>
      <c r="D2220" s="3" t="s">
        <v>1176</v>
      </c>
      <c r="E2220" s="3" t="s">
        <v>1177</v>
      </c>
      <c r="F2220" s="3">
        <v>4240.63</v>
      </c>
      <c r="G2220" s="3">
        <v>0</v>
      </c>
    </row>
    <row r="2221" spans="1:7" x14ac:dyDescent="0.2">
      <c r="A2221" s="3" t="s">
        <v>1069</v>
      </c>
      <c r="B2221" s="4">
        <v>44895</v>
      </c>
      <c r="C2221" s="3" t="s">
        <v>1175</v>
      </c>
      <c r="D2221" s="3" t="s">
        <v>1178</v>
      </c>
      <c r="E2221" s="3" t="s">
        <v>1179</v>
      </c>
      <c r="F2221" s="3">
        <v>3726138.5</v>
      </c>
      <c r="G2221" s="3">
        <v>8226138.5</v>
      </c>
    </row>
    <row r="2222" spans="1:7" x14ac:dyDescent="0.2">
      <c r="A2222" s="3" t="s">
        <v>1069</v>
      </c>
      <c r="B2222" s="4">
        <v>44895</v>
      </c>
      <c r="C2222" s="3" t="s">
        <v>1175</v>
      </c>
      <c r="D2222" s="3" t="s">
        <v>1494</v>
      </c>
      <c r="E2222" s="3" t="s">
        <v>1495</v>
      </c>
      <c r="F2222" s="3">
        <v>600</v>
      </c>
      <c r="G2222" s="3">
        <v>2029913.01</v>
      </c>
    </row>
    <row r="2223" spans="1:7" x14ac:dyDescent="0.2">
      <c r="A2223" s="3" t="s">
        <v>1069</v>
      </c>
      <c r="B2223" s="4">
        <v>44895</v>
      </c>
      <c r="C2223" s="3" t="s">
        <v>1175</v>
      </c>
      <c r="D2223" s="3" t="s">
        <v>1516</v>
      </c>
      <c r="E2223" s="3" t="s">
        <v>1400</v>
      </c>
      <c r="F2223" s="3">
        <v>30000</v>
      </c>
      <c r="G2223" s="3">
        <v>0</v>
      </c>
    </row>
    <row r="2224" spans="1:7" x14ac:dyDescent="0.2">
      <c r="A2224" s="3" t="s">
        <v>1072</v>
      </c>
      <c r="B2224" s="4">
        <v>44895</v>
      </c>
      <c r="C2224" s="3" t="s">
        <v>1175</v>
      </c>
      <c r="D2224" s="3" t="s">
        <v>1405</v>
      </c>
      <c r="E2224" s="3" t="s">
        <v>1406</v>
      </c>
      <c r="F2224" s="3">
        <v>5233.24</v>
      </c>
      <c r="G2224" s="3">
        <v>46897.96</v>
      </c>
    </row>
    <row r="2225" spans="1:7" x14ac:dyDescent="0.2">
      <c r="A2225" s="3" t="s">
        <v>1072</v>
      </c>
      <c r="B2225" s="4">
        <v>44895</v>
      </c>
      <c r="C2225" s="3" t="s">
        <v>1175</v>
      </c>
      <c r="D2225" s="3" t="s">
        <v>1407</v>
      </c>
      <c r="E2225" s="3" t="s">
        <v>1408</v>
      </c>
      <c r="F2225" s="3">
        <v>0</v>
      </c>
      <c r="G2225" s="3">
        <v>-58920.1</v>
      </c>
    </row>
    <row r="2226" spans="1:7" x14ac:dyDescent="0.2">
      <c r="A2226" s="3" t="s">
        <v>1072</v>
      </c>
      <c r="B2226" s="4">
        <v>44895</v>
      </c>
      <c r="C2226" s="3" t="s">
        <v>1180</v>
      </c>
      <c r="D2226" s="3" t="s">
        <v>1409</v>
      </c>
      <c r="E2226" s="3" t="s">
        <v>1410</v>
      </c>
      <c r="F2226" s="3">
        <v>0</v>
      </c>
      <c r="G2226" s="3">
        <v>216064.1</v>
      </c>
    </row>
    <row r="2227" spans="1:7" x14ac:dyDescent="0.2">
      <c r="A2227" s="3" t="s">
        <v>1072</v>
      </c>
      <c r="B2227" s="4">
        <v>44895</v>
      </c>
      <c r="C2227" s="3" t="s">
        <v>1180</v>
      </c>
      <c r="D2227" s="3" t="s">
        <v>1411</v>
      </c>
      <c r="E2227" s="3" t="s">
        <v>1412</v>
      </c>
      <c r="F2227" s="3">
        <v>0</v>
      </c>
      <c r="G2227" s="3">
        <v>-216063.1</v>
      </c>
    </row>
    <row r="2228" spans="1:7" x14ac:dyDescent="0.2">
      <c r="A2228" s="3" t="s">
        <v>1072</v>
      </c>
      <c r="B2228" s="4">
        <v>44895</v>
      </c>
      <c r="C2228" s="3" t="s">
        <v>1180</v>
      </c>
      <c r="D2228" s="3" t="s">
        <v>1413</v>
      </c>
      <c r="E2228" s="3" t="s">
        <v>1414</v>
      </c>
      <c r="F2228" s="3">
        <v>0</v>
      </c>
      <c r="G2228" s="3">
        <v>92100.13</v>
      </c>
    </row>
    <row r="2229" spans="1:7" x14ac:dyDescent="0.2">
      <c r="A2229" s="3" t="s">
        <v>1072</v>
      </c>
      <c r="B2229" s="4">
        <v>44895</v>
      </c>
      <c r="C2229" s="3" t="s">
        <v>1180</v>
      </c>
      <c r="D2229" s="3" t="s">
        <v>1415</v>
      </c>
      <c r="E2229" s="3" t="s">
        <v>1416</v>
      </c>
      <c r="F2229" s="3">
        <v>-2165.84</v>
      </c>
      <c r="G2229" s="3">
        <v>-36425.47</v>
      </c>
    </row>
    <row r="2230" spans="1:7" x14ac:dyDescent="0.2">
      <c r="A2230" s="3" t="s">
        <v>1072</v>
      </c>
      <c r="B2230" s="4">
        <v>44895</v>
      </c>
      <c r="C2230" s="3" t="s">
        <v>1180</v>
      </c>
      <c r="D2230" s="3" t="s">
        <v>1462</v>
      </c>
      <c r="E2230" s="3" t="s">
        <v>1463</v>
      </c>
      <c r="F2230" s="3">
        <v>8673.91</v>
      </c>
      <c r="G2230" s="3">
        <v>37955.300000000003</v>
      </c>
    </row>
    <row r="2231" spans="1:7" x14ac:dyDescent="0.2">
      <c r="A2231" s="3" t="s">
        <v>1072</v>
      </c>
      <c r="B2231" s="4">
        <v>44895</v>
      </c>
      <c r="C2231" s="3" t="s">
        <v>1180</v>
      </c>
      <c r="D2231" s="3" t="s">
        <v>1484</v>
      </c>
      <c r="E2231" s="3" t="s">
        <v>1485</v>
      </c>
      <c r="F2231" s="3">
        <v>-427.2</v>
      </c>
      <c r="G2231" s="3">
        <v>-4251.54</v>
      </c>
    </row>
    <row r="2232" spans="1:7" x14ac:dyDescent="0.2">
      <c r="A2232" s="3" t="s">
        <v>1072</v>
      </c>
      <c r="B2232" s="4">
        <v>44895</v>
      </c>
      <c r="C2232" s="3" t="s">
        <v>1180</v>
      </c>
      <c r="D2232" s="3" t="s">
        <v>1417</v>
      </c>
      <c r="E2232" s="3" t="s">
        <v>1418</v>
      </c>
      <c r="F2232" s="3">
        <v>0</v>
      </c>
      <c r="G2232" s="3">
        <v>11600</v>
      </c>
    </row>
    <row r="2233" spans="1:7" x14ac:dyDescent="0.2">
      <c r="A2233" s="3" t="s">
        <v>1072</v>
      </c>
      <c r="B2233" s="4">
        <v>44895</v>
      </c>
      <c r="C2233" s="3" t="s">
        <v>1180</v>
      </c>
      <c r="D2233" s="3" t="s">
        <v>1419</v>
      </c>
      <c r="E2233" s="3" t="s">
        <v>1420</v>
      </c>
      <c r="F2233" s="3">
        <v>-193.33</v>
      </c>
      <c r="G2233" s="3">
        <v>-2545.56</v>
      </c>
    </row>
    <row r="2234" spans="1:7" x14ac:dyDescent="0.2">
      <c r="A2234" s="3" t="s">
        <v>1069</v>
      </c>
      <c r="B2234" s="4">
        <v>44895</v>
      </c>
      <c r="C2234" s="3" t="s">
        <v>1180</v>
      </c>
      <c r="D2234" s="3" t="s">
        <v>1421</v>
      </c>
      <c r="E2234" s="3" t="s">
        <v>1422</v>
      </c>
      <c r="F2234" s="3">
        <v>0</v>
      </c>
      <c r="G2234" s="3">
        <v>874505.75</v>
      </c>
    </row>
    <row r="2235" spans="1:7" x14ac:dyDescent="0.2">
      <c r="A2235" s="3" t="s">
        <v>1074</v>
      </c>
      <c r="B2235" s="4">
        <v>44895</v>
      </c>
      <c r="C2235" s="3" t="s">
        <v>1180</v>
      </c>
      <c r="D2235" s="3" t="s">
        <v>1421</v>
      </c>
      <c r="E2235" s="3" t="s">
        <v>1533</v>
      </c>
      <c r="F2235" s="3">
        <v>154268.25</v>
      </c>
      <c r="G2235" s="3">
        <v>439254.75</v>
      </c>
    </row>
    <row r="2236" spans="1:7" x14ac:dyDescent="0.2">
      <c r="A2236" s="3" t="s">
        <v>1069</v>
      </c>
      <c r="B2236" s="4">
        <v>44895</v>
      </c>
      <c r="C2236" s="3" t="s">
        <v>1180</v>
      </c>
      <c r="D2236" s="3" t="s">
        <v>1214</v>
      </c>
      <c r="E2236" s="3" t="s">
        <v>1215</v>
      </c>
      <c r="F2236" s="3">
        <v>0</v>
      </c>
      <c r="G2236" s="3">
        <v>26200000</v>
      </c>
    </row>
    <row r="2237" spans="1:7" x14ac:dyDescent="0.2">
      <c r="A2237" s="3" t="s">
        <v>1069</v>
      </c>
      <c r="B2237" s="4">
        <v>44895</v>
      </c>
      <c r="C2237" s="3" t="s">
        <v>1180</v>
      </c>
      <c r="D2237" s="3" t="s">
        <v>1216</v>
      </c>
      <c r="E2237" s="3" t="s">
        <v>1217</v>
      </c>
      <c r="F2237" s="3">
        <v>0</v>
      </c>
      <c r="G2237" s="3">
        <v>68427</v>
      </c>
    </row>
    <row r="2238" spans="1:7" x14ac:dyDescent="0.2">
      <c r="A2238" s="3" t="s">
        <v>1069</v>
      </c>
      <c r="B2238" s="4">
        <v>44895</v>
      </c>
      <c r="C2238" s="3" t="s">
        <v>1180</v>
      </c>
      <c r="D2238" s="3" t="s">
        <v>1218</v>
      </c>
      <c r="E2238" s="3" t="s">
        <v>1219</v>
      </c>
      <c r="F2238" s="3">
        <v>0</v>
      </c>
      <c r="G2238" s="3">
        <v>103812</v>
      </c>
    </row>
    <row r="2239" spans="1:7" x14ac:dyDescent="0.2">
      <c r="A2239" s="3" t="s">
        <v>1069</v>
      </c>
      <c r="B2239" s="4">
        <v>44895</v>
      </c>
      <c r="C2239" s="3" t="s">
        <v>1180</v>
      </c>
      <c r="D2239" s="3" t="s">
        <v>1197</v>
      </c>
      <c r="E2239" s="3" t="s">
        <v>1198</v>
      </c>
      <c r="F2239" s="3">
        <v>694158</v>
      </c>
      <c r="G2239" s="3">
        <v>844938</v>
      </c>
    </row>
    <row r="2240" spans="1:7" x14ac:dyDescent="0.2">
      <c r="A2240" s="3" t="s">
        <v>1074</v>
      </c>
      <c r="B2240" s="4">
        <v>44895</v>
      </c>
      <c r="C2240" s="3" t="s">
        <v>1180</v>
      </c>
      <c r="D2240" s="3" t="s">
        <v>1197</v>
      </c>
      <c r="E2240" s="3" t="s">
        <v>1550</v>
      </c>
      <c r="F2240" s="3">
        <v>249703.77</v>
      </c>
      <c r="G2240" s="3">
        <v>398921</v>
      </c>
    </row>
    <row r="2241" spans="1:7" x14ac:dyDescent="0.2">
      <c r="A2241" s="3" t="s">
        <v>1069</v>
      </c>
      <c r="B2241" s="4">
        <v>44895</v>
      </c>
      <c r="C2241" s="3" t="s">
        <v>1180</v>
      </c>
      <c r="D2241" s="3" t="s">
        <v>1496</v>
      </c>
      <c r="E2241" s="3" t="s">
        <v>1497</v>
      </c>
      <c r="F2241" s="3">
        <v>15000</v>
      </c>
      <c r="G2241" s="3">
        <v>120250</v>
      </c>
    </row>
    <row r="2242" spans="1:7" x14ac:dyDescent="0.2">
      <c r="A2242" s="3" t="s">
        <v>1069</v>
      </c>
      <c r="B2242" s="4">
        <v>44895</v>
      </c>
      <c r="C2242" s="3" t="s">
        <v>1180</v>
      </c>
      <c r="D2242" s="3" t="s">
        <v>1181</v>
      </c>
      <c r="E2242" s="3" t="s">
        <v>1182</v>
      </c>
      <c r="F2242" s="3">
        <v>0</v>
      </c>
      <c r="G2242" s="3">
        <v>8127641.7999999998</v>
      </c>
    </row>
    <row r="2243" spans="1:7" x14ac:dyDescent="0.2">
      <c r="A2243" s="3" t="s">
        <v>1069</v>
      </c>
      <c r="B2243" s="4">
        <v>44895</v>
      </c>
      <c r="C2243" s="3" t="s">
        <v>1180</v>
      </c>
      <c r="D2243" s="3" t="s">
        <v>1263</v>
      </c>
      <c r="E2243" s="3" t="s">
        <v>1264</v>
      </c>
      <c r="F2243" s="3">
        <v>0</v>
      </c>
      <c r="G2243" s="3">
        <v>13807.78</v>
      </c>
    </row>
    <row r="2244" spans="1:7" x14ac:dyDescent="0.2">
      <c r="A2244" s="3" t="s">
        <v>1069</v>
      </c>
      <c r="B2244" s="4">
        <v>44895</v>
      </c>
      <c r="C2244" s="3" t="s">
        <v>1180</v>
      </c>
      <c r="D2244" s="3" t="s">
        <v>1202</v>
      </c>
      <c r="E2244" s="3" t="s">
        <v>1203</v>
      </c>
      <c r="F2244" s="3">
        <v>3835</v>
      </c>
      <c r="G2244" s="3">
        <v>152123.09</v>
      </c>
    </row>
    <row r="2245" spans="1:7" x14ac:dyDescent="0.2">
      <c r="A2245" s="3" t="s">
        <v>1074</v>
      </c>
      <c r="B2245" s="4">
        <v>44895</v>
      </c>
      <c r="C2245" s="3" t="s">
        <v>1180</v>
      </c>
      <c r="D2245" s="3" t="s">
        <v>1202</v>
      </c>
      <c r="E2245" s="3" t="s">
        <v>1577</v>
      </c>
      <c r="F2245" s="3">
        <v>11650</v>
      </c>
      <c r="G2245" s="3">
        <v>11650</v>
      </c>
    </row>
    <row r="2246" spans="1:7" x14ac:dyDescent="0.2">
      <c r="A2246" s="3" t="s">
        <v>1069</v>
      </c>
      <c r="B2246" s="4">
        <v>44895</v>
      </c>
      <c r="C2246" s="3" t="s">
        <v>1180</v>
      </c>
      <c r="D2246" s="3" t="s">
        <v>1204</v>
      </c>
      <c r="E2246" s="3" t="s">
        <v>1205</v>
      </c>
      <c r="F2246" s="3">
        <v>0</v>
      </c>
      <c r="G2246" s="3">
        <v>7500</v>
      </c>
    </row>
    <row r="2247" spans="1:7" x14ac:dyDescent="0.2">
      <c r="A2247" s="3" t="s">
        <v>1069</v>
      </c>
      <c r="B2247" s="4">
        <v>44895</v>
      </c>
      <c r="C2247" s="3" t="s">
        <v>1180</v>
      </c>
      <c r="D2247" s="3" t="s">
        <v>1199</v>
      </c>
      <c r="E2247" s="3" t="s">
        <v>1200</v>
      </c>
      <c r="F2247" s="3">
        <v>0</v>
      </c>
      <c r="G2247" s="3">
        <v>67400</v>
      </c>
    </row>
    <row r="2248" spans="1:7" x14ac:dyDescent="0.2">
      <c r="A2248" s="3" t="s">
        <v>1069</v>
      </c>
      <c r="B2248" s="4">
        <v>44895</v>
      </c>
      <c r="C2248" s="3" t="s">
        <v>1180</v>
      </c>
      <c r="D2248" s="3" t="s">
        <v>1486</v>
      </c>
      <c r="E2248" s="3" t="s">
        <v>1487</v>
      </c>
      <c r="F2248" s="3">
        <v>1400</v>
      </c>
      <c r="G2248" s="3">
        <v>19200</v>
      </c>
    </row>
    <row r="2249" spans="1:7" x14ac:dyDescent="0.2">
      <c r="A2249" s="3" t="s">
        <v>1069</v>
      </c>
      <c r="B2249" s="4">
        <v>44895</v>
      </c>
      <c r="C2249" s="3" t="s">
        <v>1180</v>
      </c>
      <c r="D2249" s="3" t="s">
        <v>1220</v>
      </c>
      <c r="E2249" s="3" t="s">
        <v>1221</v>
      </c>
      <c r="F2249" s="3">
        <v>0</v>
      </c>
      <c r="G2249" s="3">
        <v>15175</v>
      </c>
    </row>
    <row r="2250" spans="1:7" x14ac:dyDescent="0.2">
      <c r="A2250" s="3" t="s">
        <v>1069</v>
      </c>
      <c r="B2250" s="4">
        <v>44895</v>
      </c>
      <c r="C2250" s="3" t="s">
        <v>1180</v>
      </c>
      <c r="D2250" s="3" t="s">
        <v>1498</v>
      </c>
      <c r="E2250" s="3" t="s">
        <v>1499</v>
      </c>
      <c r="F2250" s="3">
        <v>0</v>
      </c>
      <c r="G2250" s="3">
        <v>570856.07999999996</v>
      </c>
    </row>
    <row r="2251" spans="1:7" x14ac:dyDescent="0.2">
      <c r="A2251" s="3" t="s">
        <v>1069</v>
      </c>
      <c r="B2251" s="4">
        <v>44895</v>
      </c>
      <c r="C2251" s="3" t="s">
        <v>1180</v>
      </c>
      <c r="D2251" s="3" t="s">
        <v>1183</v>
      </c>
      <c r="E2251" s="3" t="s">
        <v>1184</v>
      </c>
      <c r="F2251" s="3">
        <v>4324809.2</v>
      </c>
      <c r="G2251" s="3">
        <v>43331891.020000003</v>
      </c>
    </row>
    <row r="2252" spans="1:7" x14ac:dyDescent="0.2">
      <c r="A2252" s="3" t="s">
        <v>1069</v>
      </c>
      <c r="B2252" s="4">
        <v>44895</v>
      </c>
      <c r="C2252" s="3" t="s">
        <v>1180</v>
      </c>
      <c r="D2252" s="3" t="s">
        <v>1222</v>
      </c>
      <c r="E2252" s="3" t="s">
        <v>1223</v>
      </c>
      <c r="F2252" s="3">
        <v>0</v>
      </c>
      <c r="G2252" s="3">
        <v>3396905</v>
      </c>
    </row>
    <row r="2253" spans="1:7" x14ac:dyDescent="0.2">
      <c r="A2253" s="3" t="s">
        <v>1069</v>
      </c>
      <c r="B2253" s="4">
        <v>44895</v>
      </c>
      <c r="C2253" s="3" t="s">
        <v>1180</v>
      </c>
      <c r="D2253" s="3" t="s">
        <v>1235</v>
      </c>
      <c r="E2253" s="3" t="s">
        <v>1236</v>
      </c>
      <c r="F2253" s="3">
        <v>0</v>
      </c>
      <c r="G2253" s="3">
        <v>782608.07</v>
      </c>
    </row>
    <row r="2254" spans="1:7" x14ac:dyDescent="0.2">
      <c r="A2254" s="3" t="s">
        <v>1069</v>
      </c>
      <c r="B2254" s="4">
        <v>44895</v>
      </c>
      <c r="C2254" s="3" t="s">
        <v>1180</v>
      </c>
      <c r="D2254" s="3" t="s">
        <v>1206</v>
      </c>
      <c r="E2254" s="3" t="s">
        <v>1207</v>
      </c>
      <c r="F2254" s="3">
        <v>3000</v>
      </c>
      <c r="G2254" s="3">
        <v>166550</v>
      </c>
    </row>
    <row r="2255" spans="1:7" x14ac:dyDescent="0.2">
      <c r="A2255" s="3" t="s">
        <v>1069</v>
      </c>
      <c r="B2255" s="4">
        <v>44895</v>
      </c>
      <c r="C2255" s="3" t="s">
        <v>1180</v>
      </c>
      <c r="D2255" s="3" t="s">
        <v>1208</v>
      </c>
      <c r="E2255" s="3" t="s">
        <v>1209</v>
      </c>
      <c r="F2255" s="3">
        <v>0</v>
      </c>
      <c r="G2255" s="3">
        <v>45000</v>
      </c>
    </row>
    <row r="2256" spans="1:7" x14ac:dyDescent="0.2">
      <c r="A2256" s="3" t="s">
        <v>1069</v>
      </c>
      <c r="B2256" s="4">
        <v>44895</v>
      </c>
      <c r="C2256" s="3" t="s">
        <v>1180</v>
      </c>
      <c r="D2256" s="3" t="s">
        <v>1259</v>
      </c>
      <c r="E2256" s="3" t="s">
        <v>1260</v>
      </c>
      <c r="F2256" s="3">
        <v>6000</v>
      </c>
      <c r="G2256" s="3">
        <v>113000</v>
      </c>
    </row>
    <row r="2257" spans="1:7" x14ac:dyDescent="0.2">
      <c r="A2257" s="3" t="s">
        <v>1074</v>
      </c>
      <c r="B2257" s="4">
        <v>44895</v>
      </c>
      <c r="C2257" s="3" t="s">
        <v>1180</v>
      </c>
      <c r="D2257" s="3" t="s">
        <v>1578</v>
      </c>
      <c r="E2257" s="3" t="s">
        <v>1579</v>
      </c>
      <c r="F2257" s="3">
        <v>66190.11</v>
      </c>
      <c r="G2257" s="3">
        <v>66190.11</v>
      </c>
    </row>
    <row r="2258" spans="1:7" x14ac:dyDescent="0.2">
      <c r="A2258" s="3" t="s">
        <v>1069</v>
      </c>
      <c r="B2258" s="4">
        <v>44895</v>
      </c>
      <c r="C2258" s="3" t="s">
        <v>1180</v>
      </c>
      <c r="D2258" s="3" t="s">
        <v>1265</v>
      </c>
      <c r="E2258" s="3" t="s">
        <v>1266</v>
      </c>
      <c r="F2258" s="3">
        <v>0</v>
      </c>
      <c r="G2258" s="3">
        <v>1021325.63</v>
      </c>
    </row>
    <row r="2259" spans="1:7" x14ac:dyDescent="0.2">
      <c r="A2259" s="3" t="s">
        <v>1074</v>
      </c>
      <c r="B2259" s="4">
        <v>44895</v>
      </c>
      <c r="C2259" s="3" t="s">
        <v>1180</v>
      </c>
      <c r="D2259" s="3" t="s">
        <v>1265</v>
      </c>
      <c r="E2259" s="3" t="s">
        <v>1518</v>
      </c>
      <c r="F2259" s="3">
        <v>0</v>
      </c>
      <c r="G2259" s="3">
        <v>1238365.93</v>
      </c>
    </row>
    <row r="2260" spans="1:7" x14ac:dyDescent="0.2">
      <c r="A2260" s="3" t="s">
        <v>1069</v>
      </c>
      <c r="B2260" s="4">
        <v>44895</v>
      </c>
      <c r="C2260" s="3" t="s">
        <v>1180</v>
      </c>
      <c r="D2260" s="3" t="s">
        <v>1423</v>
      </c>
      <c r="E2260" s="3" t="s">
        <v>1424</v>
      </c>
      <c r="F2260" s="3">
        <v>0</v>
      </c>
      <c r="G2260" s="3">
        <v>622274.51</v>
      </c>
    </row>
    <row r="2261" spans="1:7" x14ac:dyDescent="0.2">
      <c r="A2261" s="3" t="s">
        <v>1074</v>
      </c>
      <c r="B2261" s="4">
        <v>44895</v>
      </c>
      <c r="C2261" s="3" t="s">
        <v>1180</v>
      </c>
      <c r="D2261" s="3" t="s">
        <v>1519</v>
      </c>
      <c r="E2261" s="3" t="s">
        <v>1551</v>
      </c>
      <c r="F2261" s="3">
        <v>4500</v>
      </c>
      <c r="G2261" s="3">
        <v>12030</v>
      </c>
    </row>
    <row r="2262" spans="1:7" x14ac:dyDescent="0.2">
      <c r="A2262" s="3" t="s">
        <v>1069</v>
      </c>
      <c r="B2262" s="4">
        <v>44895</v>
      </c>
      <c r="C2262" s="3" t="s">
        <v>1180</v>
      </c>
      <c r="D2262" s="3" t="s">
        <v>1519</v>
      </c>
      <c r="E2262" s="3" t="s">
        <v>1520</v>
      </c>
      <c r="F2262" s="3">
        <v>0</v>
      </c>
      <c r="G2262" s="3">
        <v>985049.68</v>
      </c>
    </row>
    <row r="2263" spans="1:7" x14ac:dyDescent="0.2">
      <c r="A2263" s="3" t="s">
        <v>1074</v>
      </c>
      <c r="B2263" s="4">
        <v>44895</v>
      </c>
      <c r="C2263" s="3" t="s">
        <v>1180</v>
      </c>
      <c r="D2263" s="3" t="s">
        <v>1521</v>
      </c>
      <c r="E2263" s="3" t="s">
        <v>1522</v>
      </c>
      <c r="F2263" s="3">
        <v>1100</v>
      </c>
      <c r="G2263" s="3">
        <v>11800</v>
      </c>
    </row>
    <row r="2264" spans="1:7" x14ac:dyDescent="0.2">
      <c r="A2264" s="3" t="s">
        <v>1074</v>
      </c>
      <c r="B2264" s="4">
        <v>44895</v>
      </c>
      <c r="C2264" s="3" t="s">
        <v>1180</v>
      </c>
      <c r="D2264" s="3" t="s">
        <v>1534</v>
      </c>
      <c r="E2264" s="3" t="s">
        <v>1535</v>
      </c>
      <c r="F2264" s="3">
        <v>0</v>
      </c>
      <c r="G2264" s="3">
        <v>250000</v>
      </c>
    </row>
    <row r="2265" spans="1:7" x14ac:dyDescent="0.2">
      <c r="A2265" s="3" t="s">
        <v>1069</v>
      </c>
      <c r="B2265" s="4">
        <v>44895</v>
      </c>
      <c r="C2265" s="3" t="s">
        <v>1180</v>
      </c>
      <c r="D2265" s="3" t="s">
        <v>1529</v>
      </c>
      <c r="E2265" s="3" t="s">
        <v>1530</v>
      </c>
      <c r="F2265" s="3">
        <v>0</v>
      </c>
      <c r="G2265" s="3">
        <v>3023829.42</v>
      </c>
    </row>
    <row r="2266" spans="1:7" x14ac:dyDescent="0.2">
      <c r="A2266" s="3" t="s">
        <v>1069</v>
      </c>
      <c r="B2266" s="4">
        <v>44895</v>
      </c>
      <c r="C2266" s="3" t="s">
        <v>1180</v>
      </c>
      <c r="D2266" s="3" t="s">
        <v>1536</v>
      </c>
      <c r="E2266" s="3" t="s">
        <v>1537</v>
      </c>
      <c r="F2266" s="3">
        <v>0</v>
      </c>
      <c r="G2266" s="3">
        <v>850000</v>
      </c>
    </row>
    <row r="2267" spans="1:7" x14ac:dyDescent="0.2">
      <c r="A2267" s="3" t="s">
        <v>1072</v>
      </c>
      <c r="B2267" s="4">
        <v>44895</v>
      </c>
      <c r="C2267" s="3" t="s">
        <v>1180</v>
      </c>
      <c r="D2267" s="3" t="s">
        <v>1425</v>
      </c>
      <c r="E2267" s="3" t="s">
        <v>1426</v>
      </c>
      <c r="F2267" s="3">
        <v>0</v>
      </c>
      <c r="G2267" s="3">
        <v>8387.9500000000007</v>
      </c>
    </row>
    <row r="2268" spans="1:7" x14ac:dyDescent="0.2">
      <c r="A2268" s="3" t="s">
        <v>1072</v>
      </c>
      <c r="B2268" s="4">
        <v>44895</v>
      </c>
      <c r="C2268" s="3" t="s">
        <v>1180</v>
      </c>
      <c r="D2268" s="3" t="s">
        <v>1427</v>
      </c>
      <c r="E2268" s="3" t="s">
        <v>1428</v>
      </c>
      <c r="F2268" s="3">
        <v>-373642.23999999999</v>
      </c>
      <c r="G2268" s="3">
        <v>3713632.21</v>
      </c>
    </row>
    <row r="2269" spans="1:7" x14ac:dyDescent="0.2">
      <c r="A2269" s="3" t="s">
        <v>1069</v>
      </c>
      <c r="B2269" s="4">
        <v>44895</v>
      </c>
      <c r="C2269" s="3" t="s">
        <v>1180</v>
      </c>
      <c r="D2269" s="3" t="s">
        <v>1427</v>
      </c>
      <c r="E2269" s="3" t="s">
        <v>1428</v>
      </c>
      <c r="F2269" s="3">
        <v>10000</v>
      </c>
      <c r="G2269" s="3">
        <v>10000</v>
      </c>
    </row>
    <row r="2270" spans="1:7" x14ac:dyDescent="0.2">
      <c r="A2270" s="3" t="s">
        <v>1072</v>
      </c>
      <c r="B2270" s="4">
        <v>44895</v>
      </c>
      <c r="C2270" s="3" t="s">
        <v>1180</v>
      </c>
      <c r="D2270" s="3" t="s">
        <v>1429</v>
      </c>
      <c r="E2270" s="3" t="s">
        <v>1430</v>
      </c>
      <c r="F2270" s="3">
        <v>-2719.44</v>
      </c>
      <c r="G2270" s="3">
        <v>10877.75</v>
      </c>
    </row>
    <row r="2271" spans="1:7" x14ac:dyDescent="0.2">
      <c r="A2271" s="3" t="s">
        <v>1069</v>
      </c>
      <c r="B2271" s="4">
        <v>44895</v>
      </c>
      <c r="C2271" s="3" t="s">
        <v>1180</v>
      </c>
      <c r="D2271" s="3" t="s">
        <v>1187</v>
      </c>
      <c r="E2271" s="3" t="s">
        <v>1188</v>
      </c>
      <c r="F2271" s="3">
        <v>1348338.4</v>
      </c>
      <c r="G2271" s="3">
        <v>1669217.49</v>
      </c>
    </row>
    <row r="2272" spans="1:7" x14ac:dyDescent="0.2">
      <c r="A2272" s="3" t="s">
        <v>1072</v>
      </c>
      <c r="B2272" s="4">
        <v>44895</v>
      </c>
      <c r="C2272" s="3" t="s">
        <v>1180</v>
      </c>
      <c r="D2272" s="3" t="s">
        <v>1187</v>
      </c>
      <c r="E2272" s="3" t="s">
        <v>1433</v>
      </c>
      <c r="F2272" s="3">
        <v>1709176.01</v>
      </c>
      <c r="G2272" s="3">
        <v>1813733.65</v>
      </c>
    </row>
    <row r="2273" spans="1:7" x14ac:dyDescent="0.2">
      <c r="A2273" s="3" t="s">
        <v>1072</v>
      </c>
      <c r="B2273" s="4">
        <v>44895</v>
      </c>
      <c r="C2273" s="3" t="s">
        <v>1180</v>
      </c>
      <c r="D2273" s="3" t="s">
        <v>1435</v>
      </c>
      <c r="E2273" s="3" t="s">
        <v>1436</v>
      </c>
      <c r="F2273" s="3">
        <v>0</v>
      </c>
      <c r="G2273" s="3">
        <v>527.86</v>
      </c>
    </row>
    <row r="2274" spans="1:7" x14ac:dyDescent="0.2">
      <c r="A2274" s="3" t="s">
        <v>1069</v>
      </c>
      <c r="B2274" s="4">
        <v>44895</v>
      </c>
      <c r="C2274" s="3" t="s">
        <v>1180</v>
      </c>
      <c r="D2274" s="3" t="s">
        <v>1243</v>
      </c>
      <c r="E2274" s="3" t="s">
        <v>1244</v>
      </c>
      <c r="F2274" s="3">
        <v>4.03</v>
      </c>
      <c r="G2274" s="3">
        <v>813.94</v>
      </c>
    </row>
    <row r="2275" spans="1:7" x14ac:dyDescent="0.2">
      <c r="A2275" s="3" t="s">
        <v>1069</v>
      </c>
      <c r="B2275" s="4">
        <v>44895</v>
      </c>
      <c r="C2275" s="3" t="s">
        <v>1180</v>
      </c>
      <c r="D2275" s="3" t="s">
        <v>1245</v>
      </c>
      <c r="E2275" s="3" t="s">
        <v>1246</v>
      </c>
      <c r="F2275" s="3">
        <v>869537.73</v>
      </c>
      <c r="G2275" s="3">
        <v>9715961.6099999994</v>
      </c>
    </row>
    <row r="2276" spans="1:7" x14ac:dyDescent="0.2">
      <c r="A2276" s="3" t="s">
        <v>1072</v>
      </c>
      <c r="B2276" s="4">
        <v>44895</v>
      </c>
      <c r="C2276" s="3" t="s">
        <v>1175</v>
      </c>
      <c r="D2276" s="3" t="s">
        <v>1437</v>
      </c>
      <c r="E2276" s="3" t="s">
        <v>1438</v>
      </c>
      <c r="F2276" s="3">
        <v>-0.17</v>
      </c>
      <c r="G2276" s="3">
        <v>-0.49</v>
      </c>
    </row>
    <row r="2277" spans="1:7" x14ac:dyDescent="0.2">
      <c r="A2277" s="3" t="s">
        <v>1072</v>
      </c>
      <c r="B2277" s="4">
        <v>44895</v>
      </c>
      <c r="C2277" s="3" t="s">
        <v>1175</v>
      </c>
      <c r="D2277" s="3" t="s">
        <v>1191</v>
      </c>
      <c r="E2277" s="3" t="s">
        <v>1192</v>
      </c>
      <c r="F2277" s="3">
        <v>-1189280.17</v>
      </c>
      <c r="G2277" s="3">
        <v>-4705629.72</v>
      </c>
    </row>
    <row r="2278" spans="1:7" x14ac:dyDescent="0.2">
      <c r="A2278" s="3" t="s">
        <v>1069</v>
      </c>
      <c r="B2278" s="4">
        <v>44895</v>
      </c>
      <c r="C2278" s="3" t="s">
        <v>1175</v>
      </c>
      <c r="D2278" s="3" t="s">
        <v>1191</v>
      </c>
      <c r="E2278" s="3" t="s">
        <v>1192</v>
      </c>
      <c r="F2278" s="3">
        <v>5520573.29</v>
      </c>
      <c r="G2278" s="3">
        <v>-103763296.33</v>
      </c>
    </row>
    <row r="2279" spans="1:7" x14ac:dyDescent="0.2">
      <c r="A2279" s="3" t="s">
        <v>1074</v>
      </c>
      <c r="B2279" s="4">
        <v>44895</v>
      </c>
      <c r="C2279" s="3" t="s">
        <v>1175</v>
      </c>
      <c r="D2279" s="3" t="s">
        <v>1191</v>
      </c>
      <c r="E2279" s="3" t="s">
        <v>1192</v>
      </c>
      <c r="F2279" s="3">
        <v>-542058.72</v>
      </c>
      <c r="G2279" s="3">
        <v>-715858.53</v>
      </c>
    </row>
    <row r="2280" spans="1:7" x14ac:dyDescent="0.2">
      <c r="A2280" s="3" t="s">
        <v>1072</v>
      </c>
      <c r="B2280" s="4">
        <v>44895</v>
      </c>
      <c r="C2280" s="3" t="s">
        <v>1175</v>
      </c>
      <c r="D2280" s="3" t="s">
        <v>1488</v>
      </c>
      <c r="E2280" s="3" t="s">
        <v>1489</v>
      </c>
      <c r="F2280" s="3">
        <v>0</v>
      </c>
      <c r="G2280" s="3">
        <v>1186.1300000000001</v>
      </c>
    </row>
    <row r="2281" spans="1:7" x14ac:dyDescent="0.2">
      <c r="A2281" s="3" t="s">
        <v>1072</v>
      </c>
      <c r="B2281" s="4">
        <v>44895</v>
      </c>
      <c r="C2281" s="3" t="s">
        <v>1175</v>
      </c>
      <c r="D2281" s="3" t="s">
        <v>1439</v>
      </c>
      <c r="E2281" s="3" t="s">
        <v>1440</v>
      </c>
      <c r="F2281" s="3">
        <v>0</v>
      </c>
      <c r="G2281" s="3">
        <v>20758.55</v>
      </c>
    </row>
    <row r="2282" spans="1:7" x14ac:dyDescent="0.2">
      <c r="A2282" s="3" t="s">
        <v>1072</v>
      </c>
      <c r="B2282" s="4">
        <v>44895</v>
      </c>
      <c r="C2282" s="3" t="s">
        <v>1175</v>
      </c>
      <c r="D2282" s="3" t="s">
        <v>1441</v>
      </c>
      <c r="E2282" s="3" t="s">
        <v>1442</v>
      </c>
      <c r="F2282" s="3">
        <v>7816.97</v>
      </c>
      <c r="G2282" s="3">
        <v>-29956.55</v>
      </c>
    </row>
    <row r="2283" spans="1:7" x14ac:dyDescent="0.2">
      <c r="A2283" s="3" t="s">
        <v>1072</v>
      </c>
      <c r="B2283" s="4">
        <v>44895</v>
      </c>
      <c r="C2283" s="3" t="s">
        <v>1175</v>
      </c>
      <c r="D2283" s="3" t="s">
        <v>1464</v>
      </c>
      <c r="E2283" s="3" t="s">
        <v>1465</v>
      </c>
      <c r="F2283" s="3">
        <v>2562.9499999999998</v>
      </c>
      <c r="G2283" s="3">
        <v>-11348.75</v>
      </c>
    </row>
    <row r="2284" spans="1:7" x14ac:dyDescent="0.2">
      <c r="A2284" s="3" t="s">
        <v>1072</v>
      </c>
      <c r="B2284" s="4">
        <v>44895</v>
      </c>
      <c r="C2284" s="3" t="s">
        <v>1175</v>
      </c>
      <c r="D2284" s="3" t="s">
        <v>1193</v>
      </c>
      <c r="E2284" s="3" t="s">
        <v>1443</v>
      </c>
      <c r="F2284" s="3">
        <v>-181396.47</v>
      </c>
      <c r="G2284" s="3">
        <v>-255924.7</v>
      </c>
    </row>
    <row r="2285" spans="1:7" x14ac:dyDescent="0.2">
      <c r="A2285" s="3" t="s">
        <v>1069</v>
      </c>
      <c r="B2285" s="4">
        <v>44895</v>
      </c>
      <c r="C2285" s="3" t="s">
        <v>1175</v>
      </c>
      <c r="D2285" s="3" t="s">
        <v>1193</v>
      </c>
      <c r="E2285" s="3" t="s">
        <v>1194</v>
      </c>
      <c r="F2285" s="3">
        <v>-6589202.6699999999</v>
      </c>
      <c r="G2285" s="3">
        <v>-1488130.97</v>
      </c>
    </row>
    <row r="2286" spans="1:7" x14ac:dyDescent="0.2">
      <c r="A2286" s="3" t="s">
        <v>1074</v>
      </c>
      <c r="B2286" s="4">
        <v>44895</v>
      </c>
      <c r="C2286" s="3" t="s">
        <v>1175</v>
      </c>
      <c r="D2286" s="3" t="s">
        <v>1193</v>
      </c>
      <c r="E2286" s="3" t="s">
        <v>1194</v>
      </c>
      <c r="F2286" s="3">
        <v>47646.59</v>
      </c>
      <c r="G2286" s="3">
        <v>294976.53999999998</v>
      </c>
    </row>
    <row r="2287" spans="1:7" x14ac:dyDescent="0.2">
      <c r="A2287" s="3" t="s">
        <v>1069</v>
      </c>
      <c r="B2287" s="4">
        <v>44895</v>
      </c>
      <c r="C2287" s="3" t="s">
        <v>1175</v>
      </c>
      <c r="D2287" s="3" t="s">
        <v>1580</v>
      </c>
      <c r="E2287" s="3" t="s">
        <v>1581</v>
      </c>
      <c r="F2287" s="3">
        <v>74995</v>
      </c>
      <c r="G2287" s="3">
        <v>74995</v>
      </c>
    </row>
    <row r="2288" spans="1:7" x14ac:dyDescent="0.2">
      <c r="A2288" s="3" t="s">
        <v>1069</v>
      </c>
      <c r="B2288" s="4">
        <v>44895</v>
      </c>
      <c r="C2288" s="3" t="s">
        <v>1175</v>
      </c>
      <c r="D2288" s="3" t="s">
        <v>1582</v>
      </c>
      <c r="E2288" s="3" t="s">
        <v>1583</v>
      </c>
      <c r="F2288" s="3">
        <v>74995</v>
      </c>
      <c r="G2288" s="3">
        <v>74995</v>
      </c>
    </row>
    <row r="2289" spans="1:7" x14ac:dyDescent="0.2">
      <c r="A2289" s="3" t="s">
        <v>1069</v>
      </c>
      <c r="B2289" s="4">
        <v>44895</v>
      </c>
      <c r="C2289" s="3" t="s">
        <v>1175</v>
      </c>
      <c r="D2289" s="3" t="s">
        <v>1584</v>
      </c>
      <c r="E2289" s="3" t="s">
        <v>1585</v>
      </c>
      <c r="F2289" s="3">
        <v>77495</v>
      </c>
      <c r="G2289" s="3">
        <v>77495</v>
      </c>
    </row>
    <row r="2290" spans="1:7" x14ac:dyDescent="0.2">
      <c r="A2290" s="3" t="s">
        <v>1069</v>
      </c>
      <c r="B2290" s="4">
        <v>44895</v>
      </c>
      <c r="C2290" s="3" t="s">
        <v>1175</v>
      </c>
      <c r="D2290" s="3" t="s">
        <v>1586</v>
      </c>
      <c r="E2290" s="3" t="s">
        <v>1587</v>
      </c>
      <c r="F2290" s="3">
        <v>76995</v>
      </c>
      <c r="G2290" s="3">
        <v>76995</v>
      </c>
    </row>
    <row r="2291" spans="1:7" x14ac:dyDescent="0.2">
      <c r="A2291" s="3" t="s">
        <v>1069</v>
      </c>
      <c r="B2291" s="4">
        <v>44895</v>
      </c>
      <c r="C2291" s="3" t="s">
        <v>1175</v>
      </c>
      <c r="D2291" s="3" t="s">
        <v>1588</v>
      </c>
      <c r="E2291" s="3" t="s">
        <v>1589</v>
      </c>
      <c r="F2291" s="3">
        <v>77495</v>
      </c>
      <c r="G2291" s="3">
        <v>77495</v>
      </c>
    </row>
    <row r="2292" spans="1:7" x14ac:dyDescent="0.2">
      <c r="A2292" s="3" t="s">
        <v>1069</v>
      </c>
      <c r="B2292" s="4">
        <v>44895</v>
      </c>
      <c r="C2292" s="3" t="s">
        <v>1175</v>
      </c>
      <c r="D2292" s="3" t="s">
        <v>1590</v>
      </c>
      <c r="E2292" s="3" t="s">
        <v>1591</v>
      </c>
      <c r="F2292" s="3">
        <v>62495</v>
      </c>
      <c r="G2292" s="3">
        <v>62495</v>
      </c>
    </row>
    <row r="2293" spans="1:7" x14ac:dyDescent="0.2">
      <c r="A2293" s="3" t="s">
        <v>1069</v>
      </c>
      <c r="B2293" s="4">
        <v>44895</v>
      </c>
      <c r="C2293" s="3" t="s">
        <v>1175</v>
      </c>
      <c r="D2293" s="3" t="s">
        <v>1592</v>
      </c>
      <c r="E2293" s="3" t="s">
        <v>1593</v>
      </c>
      <c r="F2293" s="3">
        <v>64995</v>
      </c>
      <c r="G2293" s="3">
        <v>64995</v>
      </c>
    </row>
    <row r="2294" spans="1:7" x14ac:dyDescent="0.2">
      <c r="A2294" s="3" t="s">
        <v>1069</v>
      </c>
      <c r="B2294" s="4">
        <v>44895</v>
      </c>
      <c r="C2294" s="3" t="s">
        <v>1175</v>
      </c>
      <c r="D2294" s="3" t="s">
        <v>1594</v>
      </c>
      <c r="E2294" s="3" t="s">
        <v>1595</v>
      </c>
      <c r="F2294" s="3">
        <v>67495</v>
      </c>
      <c r="G2294" s="3">
        <v>67495</v>
      </c>
    </row>
    <row r="2295" spans="1:7" x14ac:dyDescent="0.2">
      <c r="A2295" s="3" t="s">
        <v>1069</v>
      </c>
      <c r="B2295" s="4">
        <v>44895</v>
      </c>
      <c r="C2295" s="3" t="s">
        <v>1175</v>
      </c>
      <c r="D2295" s="3" t="s">
        <v>1596</v>
      </c>
      <c r="E2295" s="3" t="s">
        <v>1597</v>
      </c>
      <c r="F2295" s="3">
        <v>76745</v>
      </c>
      <c r="G2295" s="3">
        <v>76745</v>
      </c>
    </row>
    <row r="2296" spans="1:7" x14ac:dyDescent="0.2">
      <c r="A2296" s="3" t="s">
        <v>1072</v>
      </c>
      <c r="B2296" s="4">
        <v>44895</v>
      </c>
      <c r="C2296" s="3" t="s">
        <v>1175</v>
      </c>
      <c r="D2296" s="3" t="s">
        <v>1444</v>
      </c>
      <c r="E2296" s="3" t="s">
        <v>1445</v>
      </c>
      <c r="F2296" s="3">
        <v>0</v>
      </c>
      <c r="G2296" s="3">
        <v>1869.8</v>
      </c>
    </row>
    <row r="2297" spans="1:7" x14ac:dyDescent="0.2">
      <c r="A2297" s="3" t="s">
        <v>1072</v>
      </c>
      <c r="B2297" s="4">
        <v>44895</v>
      </c>
      <c r="C2297" s="3" t="s">
        <v>1175</v>
      </c>
      <c r="D2297" s="3" t="s">
        <v>1446</v>
      </c>
      <c r="E2297" s="3" t="s">
        <v>1447</v>
      </c>
      <c r="F2297" s="3">
        <v>0</v>
      </c>
      <c r="G2297" s="3">
        <v>-254.99</v>
      </c>
    </row>
    <row r="2298" spans="1:7" x14ac:dyDescent="0.2">
      <c r="A2298" s="3" t="s">
        <v>1069</v>
      </c>
      <c r="B2298" s="4">
        <v>44926</v>
      </c>
      <c r="C2298" s="3" t="s">
        <v>1210</v>
      </c>
      <c r="D2298" s="3" t="s">
        <v>1552</v>
      </c>
      <c r="E2298" s="3" t="s">
        <v>1553</v>
      </c>
      <c r="F2298" s="3">
        <v>-8891565.2300000004</v>
      </c>
      <c r="G2298" s="3">
        <v>-22716695.670000002</v>
      </c>
    </row>
    <row r="2299" spans="1:7" x14ac:dyDescent="0.2">
      <c r="A2299" s="3" t="s">
        <v>1069</v>
      </c>
      <c r="B2299" s="4">
        <v>44926</v>
      </c>
      <c r="C2299" s="3" t="s">
        <v>1210</v>
      </c>
      <c r="D2299" s="3" t="s">
        <v>1554</v>
      </c>
      <c r="E2299" s="3" t="s">
        <v>1555</v>
      </c>
      <c r="F2299" s="3">
        <v>-22499.99</v>
      </c>
      <c r="G2299" s="3">
        <v>-89091.39</v>
      </c>
    </row>
    <row r="2300" spans="1:7" x14ac:dyDescent="0.2">
      <c r="A2300" s="3" t="s">
        <v>1072</v>
      </c>
      <c r="B2300" s="4">
        <v>44926</v>
      </c>
      <c r="C2300" s="3" t="s">
        <v>1210</v>
      </c>
      <c r="D2300" s="3" t="s">
        <v>1448</v>
      </c>
      <c r="E2300" s="3" t="s">
        <v>1449</v>
      </c>
      <c r="F2300" s="3">
        <v>-4857562.08</v>
      </c>
      <c r="G2300" s="3">
        <v>-45832766.890000001</v>
      </c>
    </row>
    <row r="2301" spans="1:7" x14ac:dyDescent="0.2">
      <c r="A2301" s="3" t="s">
        <v>1072</v>
      </c>
      <c r="B2301" s="4">
        <v>44926</v>
      </c>
      <c r="C2301" s="3" t="s">
        <v>1210</v>
      </c>
      <c r="D2301" s="3" t="s">
        <v>1267</v>
      </c>
      <c r="E2301" s="3" t="s">
        <v>1268</v>
      </c>
      <c r="F2301" s="3">
        <v>0</v>
      </c>
      <c r="G2301" s="3">
        <v>-12046638.060000001</v>
      </c>
    </row>
    <row r="2302" spans="1:7" x14ac:dyDescent="0.2">
      <c r="A2302" s="3" t="s">
        <v>1072</v>
      </c>
      <c r="B2302" s="4">
        <v>44926</v>
      </c>
      <c r="C2302" s="3" t="s">
        <v>1210</v>
      </c>
      <c r="D2302" s="3" t="s">
        <v>1507</v>
      </c>
      <c r="E2302" s="3" t="s">
        <v>1508</v>
      </c>
      <c r="F2302" s="3">
        <v>0</v>
      </c>
      <c r="G2302" s="3">
        <v>-1782369.8</v>
      </c>
    </row>
    <row r="2303" spans="1:7" x14ac:dyDescent="0.2">
      <c r="A2303" s="3" t="s">
        <v>1072</v>
      </c>
      <c r="B2303" s="4">
        <v>44926</v>
      </c>
      <c r="C2303" s="3" t="s">
        <v>1210</v>
      </c>
      <c r="D2303" s="3" t="s">
        <v>1525</v>
      </c>
      <c r="E2303" s="3" t="s">
        <v>1526</v>
      </c>
      <c r="F2303" s="3">
        <v>0</v>
      </c>
      <c r="G2303" s="3">
        <v>1616.91</v>
      </c>
    </row>
    <row r="2304" spans="1:7" x14ac:dyDescent="0.2">
      <c r="A2304" s="3" t="s">
        <v>1072</v>
      </c>
      <c r="B2304" s="4">
        <v>44926</v>
      </c>
      <c r="C2304" s="3" t="s">
        <v>1210</v>
      </c>
      <c r="D2304" s="3" t="s">
        <v>1271</v>
      </c>
      <c r="E2304" s="3" t="s">
        <v>1272</v>
      </c>
      <c r="F2304" s="3">
        <v>0</v>
      </c>
      <c r="G2304" s="3">
        <v>-2839.7</v>
      </c>
    </row>
    <row r="2305" spans="1:7" x14ac:dyDescent="0.2">
      <c r="A2305" s="3" t="s">
        <v>1072</v>
      </c>
      <c r="B2305" s="4">
        <v>44926</v>
      </c>
      <c r="C2305" s="3" t="s">
        <v>1210</v>
      </c>
      <c r="D2305" s="3" t="s">
        <v>1273</v>
      </c>
      <c r="E2305" s="3" t="s">
        <v>1274</v>
      </c>
      <c r="F2305" s="3">
        <v>0</v>
      </c>
      <c r="G2305" s="3">
        <v>-31418.46</v>
      </c>
    </row>
    <row r="2306" spans="1:7" x14ac:dyDescent="0.2">
      <c r="A2306" s="3" t="s">
        <v>1074</v>
      </c>
      <c r="B2306" s="4">
        <v>44926</v>
      </c>
      <c r="C2306" s="3" t="s">
        <v>1168</v>
      </c>
      <c r="D2306" s="3" t="s">
        <v>1538</v>
      </c>
      <c r="E2306" s="3" t="s">
        <v>1539</v>
      </c>
      <c r="F2306" s="3">
        <v>0</v>
      </c>
      <c r="G2306" s="3">
        <v>678.59</v>
      </c>
    </row>
    <row r="2307" spans="1:7" x14ac:dyDescent="0.2">
      <c r="A2307" s="3" t="s">
        <v>1069</v>
      </c>
      <c r="B2307" s="4">
        <v>44926</v>
      </c>
      <c r="C2307" s="3" t="s">
        <v>1168</v>
      </c>
      <c r="D2307" s="3" t="s">
        <v>1514</v>
      </c>
      <c r="E2307" s="3" t="s">
        <v>1515</v>
      </c>
      <c r="F2307" s="3">
        <v>0</v>
      </c>
      <c r="G2307" s="3">
        <v>86956.52</v>
      </c>
    </row>
    <row r="2308" spans="1:7" x14ac:dyDescent="0.2">
      <c r="A2308" s="3" t="s">
        <v>1069</v>
      </c>
      <c r="B2308" s="4">
        <v>44926</v>
      </c>
      <c r="C2308" s="3" t="s">
        <v>1168</v>
      </c>
      <c r="D2308" s="3" t="s">
        <v>1531</v>
      </c>
      <c r="E2308" s="3" t="s">
        <v>1532</v>
      </c>
      <c r="F2308" s="3">
        <v>157031.19</v>
      </c>
      <c r="G2308" s="3">
        <v>590147.94999999995</v>
      </c>
    </row>
    <row r="2309" spans="1:7" x14ac:dyDescent="0.2">
      <c r="A2309" s="3" t="s">
        <v>1069</v>
      </c>
      <c r="B2309" s="4">
        <v>44926</v>
      </c>
      <c r="C2309" s="3" t="s">
        <v>1168</v>
      </c>
      <c r="D2309" s="3" t="s">
        <v>1540</v>
      </c>
      <c r="E2309" s="3" t="s">
        <v>1541</v>
      </c>
      <c r="F2309" s="3">
        <v>0</v>
      </c>
      <c r="G2309" s="3">
        <v>9738.91</v>
      </c>
    </row>
    <row r="2310" spans="1:7" x14ac:dyDescent="0.2">
      <c r="A2310" s="3" t="s">
        <v>1069</v>
      </c>
      <c r="B2310" s="4">
        <v>44926</v>
      </c>
      <c r="C2310" s="3" t="s">
        <v>1168</v>
      </c>
      <c r="D2310" s="3" t="s">
        <v>1556</v>
      </c>
      <c r="E2310" s="3" t="s">
        <v>1557</v>
      </c>
      <c r="F2310" s="3">
        <v>175176.84</v>
      </c>
      <c r="G2310" s="3">
        <v>202650.48</v>
      </c>
    </row>
    <row r="2311" spans="1:7" x14ac:dyDescent="0.2">
      <c r="A2311" s="3" t="s">
        <v>1069</v>
      </c>
      <c r="B2311" s="4">
        <v>44926</v>
      </c>
      <c r="C2311" s="3" t="s">
        <v>1168</v>
      </c>
      <c r="D2311" s="3" t="s">
        <v>1558</v>
      </c>
      <c r="E2311" s="3" t="s">
        <v>1559</v>
      </c>
      <c r="F2311" s="3">
        <v>257634.78</v>
      </c>
      <c r="G2311" s="3">
        <v>381539.13</v>
      </c>
    </row>
    <row r="2312" spans="1:7" x14ac:dyDescent="0.2">
      <c r="A2312" s="3" t="s">
        <v>1072</v>
      </c>
      <c r="B2312" s="4">
        <v>44926</v>
      </c>
      <c r="C2312" s="3" t="s">
        <v>1168</v>
      </c>
      <c r="D2312" s="3" t="s">
        <v>1598</v>
      </c>
      <c r="E2312" s="3" t="s">
        <v>1599</v>
      </c>
      <c r="F2312" s="3">
        <v>6160.34</v>
      </c>
      <c r="G2312" s="3">
        <v>6160.34</v>
      </c>
    </row>
    <row r="2313" spans="1:7" x14ac:dyDescent="0.2">
      <c r="A2313" s="3" t="s">
        <v>1072</v>
      </c>
      <c r="B2313" s="4">
        <v>44926</v>
      </c>
      <c r="C2313" s="3" t="s">
        <v>1168</v>
      </c>
      <c r="D2313" s="3" t="s">
        <v>1600</v>
      </c>
      <c r="E2313" s="3" t="s">
        <v>1601</v>
      </c>
      <c r="F2313" s="3">
        <v>250</v>
      </c>
      <c r="G2313" s="3">
        <v>250</v>
      </c>
    </row>
    <row r="2314" spans="1:7" x14ac:dyDescent="0.2">
      <c r="A2314" s="3" t="s">
        <v>1072</v>
      </c>
      <c r="B2314" s="4">
        <v>44926</v>
      </c>
      <c r="C2314" s="3" t="s">
        <v>1168</v>
      </c>
      <c r="D2314" s="3" t="s">
        <v>1602</v>
      </c>
      <c r="E2314" s="3" t="s">
        <v>1603</v>
      </c>
      <c r="F2314" s="3">
        <v>1876.17</v>
      </c>
      <c r="G2314" s="3">
        <v>1876.17</v>
      </c>
    </row>
    <row r="2315" spans="1:7" x14ac:dyDescent="0.2">
      <c r="A2315" s="3" t="s">
        <v>1072</v>
      </c>
      <c r="B2315" s="4">
        <v>44926</v>
      </c>
      <c r="C2315" s="3" t="s">
        <v>1168</v>
      </c>
      <c r="D2315" s="3" t="s">
        <v>1604</v>
      </c>
      <c r="E2315" s="3" t="s">
        <v>1605</v>
      </c>
      <c r="F2315" s="3">
        <v>4440.6099999999997</v>
      </c>
      <c r="G2315" s="3">
        <v>4440.6099999999997</v>
      </c>
    </row>
    <row r="2316" spans="1:7" x14ac:dyDescent="0.2">
      <c r="A2316" s="3" t="s">
        <v>1072</v>
      </c>
      <c r="B2316" s="4">
        <v>44926</v>
      </c>
      <c r="C2316" s="3" t="s">
        <v>1168</v>
      </c>
      <c r="D2316" s="3" t="s">
        <v>1606</v>
      </c>
      <c r="E2316" s="3" t="s">
        <v>1607</v>
      </c>
      <c r="F2316" s="3">
        <v>31736.5</v>
      </c>
      <c r="G2316" s="3">
        <v>31736.5</v>
      </c>
    </row>
    <row r="2317" spans="1:7" x14ac:dyDescent="0.2">
      <c r="A2317" s="3" t="s">
        <v>1072</v>
      </c>
      <c r="B2317" s="4">
        <v>44926</v>
      </c>
      <c r="C2317" s="3" t="s">
        <v>1168</v>
      </c>
      <c r="D2317" s="3" t="s">
        <v>1545</v>
      </c>
      <c r="E2317" s="3" t="s">
        <v>1546</v>
      </c>
      <c r="F2317" s="3">
        <v>0</v>
      </c>
      <c r="G2317" s="3">
        <v>-762078.59</v>
      </c>
    </row>
    <row r="2318" spans="1:7" x14ac:dyDescent="0.2">
      <c r="A2318" s="3" t="s">
        <v>1072</v>
      </c>
      <c r="B2318" s="4">
        <v>44926</v>
      </c>
      <c r="C2318" s="3" t="s">
        <v>1168</v>
      </c>
      <c r="D2318" s="3" t="s">
        <v>1466</v>
      </c>
      <c r="E2318" s="3" t="s">
        <v>1467</v>
      </c>
      <c r="F2318" s="3">
        <v>0</v>
      </c>
      <c r="G2318" s="3">
        <v>957.28</v>
      </c>
    </row>
    <row r="2319" spans="1:7" x14ac:dyDescent="0.2">
      <c r="A2319" s="3" t="s">
        <v>1072</v>
      </c>
      <c r="B2319" s="4">
        <v>44926</v>
      </c>
      <c r="C2319" s="3" t="s">
        <v>1168</v>
      </c>
      <c r="D2319" s="3" t="s">
        <v>1281</v>
      </c>
      <c r="E2319" s="3" t="s">
        <v>1282</v>
      </c>
      <c r="F2319" s="3">
        <v>74843.460000000006</v>
      </c>
      <c r="G2319" s="3">
        <v>16461302.98</v>
      </c>
    </row>
    <row r="2320" spans="1:7" x14ac:dyDescent="0.2">
      <c r="A2320" s="3" t="s">
        <v>1072</v>
      </c>
      <c r="B2320" s="4">
        <v>44926</v>
      </c>
      <c r="C2320" s="3" t="s">
        <v>1168</v>
      </c>
      <c r="D2320" s="3" t="s">
        <v>1283</v>
      </c>
      <c r="E2320" s="3" t="s">
        <v>1284</v>
      </c>
      <c r="F2320" s="3">
        <v>38000</v>
      </c>
      <c r="G2320" s="3">
        <v>989744.35</v>
      </c>
    </row>
    <row r="2321" spans="1:7" x14ac:dyDescent="0.2">
      <c r="A2321" s="3" t="s">
        <v>1072</v>
      </c>
      <c r="B2321" s="4">
        <v>44926</v>
      </c>
      <c r="C2321" s="3" t="s">
        <v>1168</v>
      </c>
      <c r="D2321" s="3" t="s">
        <v>1285</v>
      </c>
      <c r="E2321" s="3" t="s">
        <v>1286</v>
      </c>
      <c r="F2321" s="3">
        <v>2719.44</v>
      </c>
      <c r="G2321" s="3">
        <v>40170.129999999997</v>
      </c>
    </row>
    <row r="2322" spans="1:7" x14ac:dyDescent="0.2">
      <c r="A2322" s="3" t="s">
        <v>1072</v>
      </c>
      <c r="B2322" s="4">
        <v>44926</v>
      </c>
      <c r="C2322" s="3" t="s">
        <v>1168</v>
      </c>
      <c r="D2322" s="3" t="s">
        <v>1287</v>
      </c>
      <c r="E2322" s="3" t="s">
        <v>1288</v>
      </c>
      <c r="F2322" s="3">
        <v>0</v>
      </c>
      <c r="G2322" s="3">
        <v>269.64999999999998</v>
      </c>
    </row>
    <row r="2323" spans="1:7" x14ac:dyDescent="0.2">
      <c r="A2323" s="3" t="s">
        <v>1072</v>
      </c>
      <c r="B2323" s="4">
        <v>44926</v>
      </c>
      <c r="C2323" s="3" t="s">
        <v>1168</v>
      </c>
      <c r="D2323" s="3" t="s">
        <v>1289</v>
      </c>
      <c r="E2323" s="3" t="s">
        <v>1290</v>
      </c>
      <c r="F2323" s="3">
        <v>0</v>
      </c>
      <c r="G2323" s="3">
        <v>11000</v>
      </c>
    </row>
    <row r="2324" spans="1:7" x14ac:dyDescent="0.2">
      <c r="A2324" s="3" t="s">
        <v>1072</v>
      </c>
      <c r="B2324" s="4">
        <v>44926</v>
      </c>
      <c r="C2324" s="3" t="s">
        <v>1168</v>
      </c>
      <c r="D2324" s="3" t="s">
        <v>1291</v>
      </c>
      <c r="E2324" s="3" t="s">
        <v>1292</v>
      </c>
      <c r="F2324" s="3">
        <v>0</v>
      </c>
      <c r="G2324" s="3">
        <v>19600</v>
      </c>
    </row>
    <row r="2325" spans="1:7" x14ac:dyDescent="0.2">
      <c r="A2325" s="3" t="s">
        <v>1072</v>
      </c>
      <c r="B2325" s="4">
        <v>44926</v>
      </c>
      <c r="C2325" s="3" t="s">
        <v>1168</v>
      </c>
      <c r="D2325" s="3" t="s">
        <v>1299</v>
      </c>
      <c r="E2325" s="3" t="s">
        <v>1300</v>
      </c>
      <c r="F2325" s="3">
        <v>0</v>
      </c>
      <c r="G2325" s="3">
        <v>2473.65</v>
      </c>
    </row>
    <row r="2326" spans="1:7" x14ac:dyDescent="0.2">
      <c r="A2326" s="3" t="s">
        <v>1072</v>
      </c>
      <c r="B2326" s="4">
        <v>44926</v>
      </c>
      <c r="C2326" s="3" t="s">
        <v>1168</v>
      </c>
      <c r="D2326" s="3" t="s">
        <v>1301</v>
      </c>
      <c r="E2326" s="3" t="s">
        <v>1302</v>
      </c>
      <c r="F2326" s="3">
        <v>0</v>
      </c>
      <c r="G2326" s="3">
        <v>937.39</v>
      </c>
    </row>
    <row r="2327" spans="1:7" x14ac:dyDescent="0.2">
      <c r="A2327" s="3" t="s">
        <v>1072</v>
      </c>
      <c r="B2327" s="4">
        <v>44926</v>
      </c>
      <c r="C2327" s="3" t="s">
        <v>1168</v>
      </c>
      <c r="D2327" s="3" t="s">
        <v>1305</v>
      </c>
      <c r="E2327" s="3" t="s">
        <v>1306</v>
      </c>
      <c r="F2327" s="3">
        <v>0</v>
      </c>
      <c r="G2327" s="3">
        <v>4661.74</v>
      </c>
    </row>
    <row r="2328" spans="1:7" x14ac:dyDescent="0.2">
      <c r="A2328" s="3" t="s">
        <v>1072</v>
      </c>
      <c r="B2328" s="4">
        <v>44926</v>
      </c>
      <c r="C2328" s="3" t="s">
        <v>1168</v>
      </c>
      <c r="D2328" s="3" t="s">
        <v>1315</v>
      </c>
      <c r="E2328" s="3" t="s">
        <v>1316</v>
      </c>
      <c r="F2328" s="3">
        <v>0</v>
      </c>
      <c r="G2328" s="3">
        <v>2952.7</v>
      </c>
    </row>
    <row r="2329" spans="1:7" x14ac:dyDescent="0.2">
      <c r="A2329" s="3" t="s">
        <v>1072</v>
      </c>
      <c r="B2329" s="4">
        <v>44926</v>
      </c>
      <c r="C2329" s="3" t="s">
        <v>1168</v>
      </c>
      <c r="D2329" s="3" t="s">
        <v>1450</v>
      </c>
      <c r="E2329" s="3" t="s">
        <v>1451</v>
      </c>
      <c r="F2329" s="3">
        <v>2454778.69</v>
      </c>
      <c r="G2329" s="3">
        <v>30228526</v>
      </c>
    </row>
    <row r="2330" spans="1:7" x14ac:dyDescent="0.2">
      <c r="A2330" s="3" t="s">
        <v>1072</v>
      </c>
      <c r="B2330" s="4">
        <v>44926</v>
      </c>
      <c r="C2330" s="3" t="s">
        <v>1168</v>
      </c>
      <c r="D2330" s="3" t="s">
        <v>1452</v>
      </c>
      <c r="E2330" s="3" t="s">
        <v>1453</v>
      </c>
      <c r="F2330" s="3">
        <v>313402.61</v>
      </c>
      <c r="G2330" s="3">
        <v>2673191.5499999998</v>
      </c>
    </row>
    <row r="2331" spans="1:7" x14ac:dyDescent="0.2">
      <c r="A2331" s="3" t="s">
        <v>1072</v>
      </c>
      <c r="B2331" s="4">
        <v>44926</v>
      </c>
      <c r="C2331" s="3" t="s">
        <v>1168</v>
      </c>
      <c r="D2331" s="3" t="s">
        <v>1454</v>
      </c>
      <c r="E2331" s="3" t="s">
        <v>1455</v>
      </c>
      <c r="F2331" s="3">
        <v>0</v>
      </c>
      <c r="G2331" s="3">
        <v>22286.3</v>
      </c>
    </row>
    <row r="2332" spans="1:7" x14ac:dyDescent="0.2">
      <c r="A2332" s="3" t="s">
        <v>1072</v>
      </c>
      <c r="B2332" s="4">
        <v>44926</v>
      </c>
      <c r="C2332" s="3" t="s">
        <v>1168</v>
      </c>
      <c r="D2332" s="3" t="s">
        <v>1468</v>
      </c>
      <c r="E2332" s="3" t="s">
        <v>1469</v>
      </c>
      <c r="F2332" s="3">
        <v>607.83000000000004</v>
      </c>
      <c r="G2332" s="3">
        <v>5885.62</v>
      </c>
    </row>
    <row r="2333" spans="1:7" x14ac:dyDescent="0.2">
      <c r="A2333" s="3" t="s">
        <v>1072</v>
      </c>
      <c r="B2333" s="4">
        <v>44926</v>
      </c>
      <c r="C2333" s="3" t="s">
        <v>1168</v>
      </c>
      <c r="D2333" s="3" t="s">
        <v>1502</v>
      </c>
      <c r="E2333" s="3" t="s">
        <v>1503</v>
      </c>
      <c r="F2333" s="3">
        <v>0</v>
      </c>
      <c r="G2333" s="3">
        <v>20565.22</v>
      </c>
    </row>
    <row r="2334" spans="1:7" x14ac:dyDescent="0.2">
      <c r="A2334" s="3" t="s">
        <v>1072</v>
      </c>
      <c r="B2334" s="4">
        <v>44926</v>
      </c>
      <c r="C2334" s="3" t="s">
        <v>1168</v>
      </c>
      <c r="D2334" s="3" t="s">
        <v>1542</v>
      </c>
      <c r="E2334" s="3" t="s">
        <v>1543</v>
      </c>
      <c r="F2334" s="3">
        <v>1439041.06</v>
      </c>
      <c r="G2334" s="3">
        <v>4164274.85</v>
      </c>
    </row>
    <row r="2335" spans="1:7" x14ac:dyDescent="0.2">
      <c r="A2335" s="3" t="s">
        <v>1072</v>
      </c>
      <c r="B2335" s="4">
        <v>44926</v>
      </c>
      <c r="C2335" s="3" t="s">
        <v>1168</v>
      </c>
      <c r="D2335" s="3" t="s">
        <v>1527</v>
      </c>
      <c r="E2335" s="3" t="s">
        <v>1528</v>
      </c>
      <c r="F2335" s="3">
        <v>10636.8</v>
      </c>
      <c r="G2335" s="3">
        <v>196549.59</v>
      </c>
    </row>
    <row r="2336" spans="1:7" x14ac:dyDescent="0.2">
      <c r="A2336" s="3" t="s">
        <v>1072</v>
      </c>
      <c r="B2336" s="4">
        <v>44926</v>
      </c>
      <c r="C2336" s="3" t="s">
        <v>1168</v>
      </c>
      <c r="D2336" s="3" t="s">
        <v>1560</v>
      </c>
      <c r="E2336" s="3" t="s">
        <v>1561</v>
      </c>
      <c r="F2336" s="3">
        <v>0</v>
      </c>
      <c r="G2336" s="3">
        <v>32261.99</v>
      </c>
    </row>
    <row r="2337" spans="1:7" x14ac:dyDescent="0.2">
      <c r="A2337" s="3" t="s">
        <v>1072</v>
      </c>
      <c r="B2337" s="4">
        <v>44926</v>
      </c>
      <c r="C2337" s="3" t="s">
        <v>1168</v>
      </c>
      <c r="D2337" s="3" t="s">
        <v>1562</v>
      </c>
      <c r="E2337" s="3" t="s">
        <v>1563</v>
      </c>
      <c r="F2337" s="3">
        <v>0</v>
      </c>
      <c r="G2337" s="3">
        <v>11169.12</v>
      </c>
    </row>
    <row r="2338" spans="1:7" x14ac:dyDescent="0.2">
      <c r="A2338" s="3" t="s">
        <v>1072</v>
      </c>
      <c r="B2338" s="4">
        <v>44926</v>
      </c>
      <c r="C2338" s="3" t="s">
        <v>1210</v>
      </c>
      <c r="D2338" s="3" t="s">
        <v>1509</v>
      </c>
      <c r="E2338" s="3" t="s">
        <v>1510</v>
      </c>
      <c r="F2338" s="3">
        <v>-705.27</v>
      </c>
      <c r="G2338" s="3">
        <v>-1704.67</v>
      </c>
    </row>
    <row r="2339" spans="1:7" x14ac:dyDescent="0.2">
      <c r="A2339" s="3" t="s">
        <v>1072</v>
      </c>
      <c r="B2339" s="4">
        <v>44926</v>
      </c>
      <c r="C2339" s="3" t="s">
        <v>1210</v>
      </c>
      <c r="D2339" s="3" t="s">
        <v>1323</v>
      </c>
      <c r="E2339" s="3" t="s">
        <v>1324</v>
      </c>
      <c r="F2339" s="3">
        <v>0</v>
      </c>
      <c r="G2339" s="3">
        <v>-18.22</v>
      </c>
    </row>
    <row r="2340" spans="1:7" x14ac:dyDescent="0.2">
      <c r="A2340" s="3" t="s">
        <v>1069</v>
      </c>
      <c r="B2340" s="4">
        <v>44926</v>
      </c>
      <c r="C2340" s="3" t="s">
        <v>1210</v>
      </c>
      <c r="D2340" s="3" t="s">
        <v>1249</v>
      </c>
      <c r="E2340" s="3" t="s">
        <v>1250</v>
      </c>
      <c r="F2340" s="3">
        <v>-49646.57</v>
      </c>
      <c r="G2340" s="3">
        <v>-390601.82</v>
      </c>
    </row>
    <row r="2341" spans="1:7" x14ac:dyDescent="0.2">
      <c r="A2341" s="3" t="s">
        <v>1069</v>
      </c>
      <c r="B2341" s="4">
        <v>44926</v>
      </c>
      <c r="C2341" s="3" t="s">
        <v>1168</v>
      </c>
      <c r="D2341" s="3" t="s">
        <v>1226</v>
      </c>
      <c r="E2341" s="3" t="s">
        <v>1126</v>
      </c>
      <c r="F2341" s="3">
        <v>0</v>
      </c>
      <c r="G2341" s="3">
        <v>150</v>
      </c>
    </row>
    <row r="2342" spans="1:7" x14ac:dyDescent="0.2">
      <c r="A2342" s="3" t="s">
        <v>1072</v>
      </c>
      <c r="B2342" s="4">
        <v>44926</v>
      </c>
      <c r="C2342" s="3" t="s">
        <v>1168</v>
      </c>
      <c r="D2342" s="3" t="s">
        <v>1326</v>
      </c>
      <c r="E2342" s="3" t="s">
        <v>1088</v>
      </c>
      <c r="F2342" s="3">
        <v>0</v>
      </c>
      <c r="G2342" s="3">
        <v>10600</v>
      </c>
    </row>
    <row r="2343" spans="1:7" x14ac:dyDescent="0.2">
      <c r="A2343" s="3" t="s">
        <v>1072</v>
      </c>
      <c r="B2343" s="4">
        <v>44926</v>
      </c>
      <c r="C2343" s="3" t="s">
        <v>1168</v>
      </c>
      <c r="D2343" s="3" t="s">
        <v>1337</v>
      </c>
      <c r="E2343" s="3" t="s">
        <v>1338</v>
      </c>
      <c r="F2343" s="3">
        <v>0</v>
      </c>
      <c r="G2343" s="3">
        <v>14139.13</v>
      </c>
    </row>
    <row r="2344" spans="1:7" x14ac:dyDescent="0.2">
      <c r="A2344" s="3" t="s">
        <v>1072</v>
      </c>
      <c r="B2344" s="4">
        <v>44926</v>
      </c>
      <c r="C2344" s="3" t="s">
        <v>1168</v>
      </c>
      <c r="D2344" s="3" t="s">
        <v>1169</v>
      </c>
      <c r="E2344" s="3" t="s">
        <v>1079</v>
      </c>
      <c r="F2344" s="3">
        <v>20519.53</v>
      </c>
      <c r="G2344" s="3">
        <v>24197.03</v>
      </c>
    </row>
    <row r="2345" spans="1:7" x14ac:dyDescent="0.2">
      <c r="A2345" s="3" t="s">
        <v>1069</v>
      </c>
      <c r="B2345" s="4">
        <v>44926</v>
      </c>
      <c r="C2345" s="3" t="s">
        <v>1168</v>
      </c>
      <c r="D2345" s="3" t="s">
        <v>1169</v>
      </c>
      <c r="E2345" s="3" t="s">
        <v>1079</v>
      </c>
      <c r="F2345" s="3">
        <v>550</v>
      </c>
      <c r="G2345" s="3">
        <v>107333.86</v>
      </c>
    </row>
    <row r="2346" spans="1:7" x14ac:dyDescent="0.2">
      <c r="A2346" s="3" t="s">
        <v>1074</v>
      </c>
      <c r="B2346" s="4">
        <v>44926</v>
      </c>
      <c r="C2346" s="3" t="s">
        <v>1168</v>
      </c>
      <c r="D2346" s="3" t="s">
        <v>1169</v>
      </c>
      <c r="E2346" s="3" t="s">
        <v>1079</v>
      </c>
      <c r="F2346" s="3">
        <v>5750</v>
      </c>
      <c r="G2346" s="3">
        <v>15250</v>
      </c>
    </row>
    <row r="2347" spans="1:7" x14ac:dyDescent="0.2">
      <c r="A2347" s="3" t="s">
        <v>1069</v>
      </c>
      <c r="B2347" s="4">
        <v>44926</v>
      </c>
      <c r="C2347" s="3" t="s">
        <v>1168</v>
      </c>
      <c r="D2347" s="3" t="s">
        <v>1261</v>
      </c>
      <c r="E2347" s="3" t="s">
        <v>1145</v>
      </c>
      <c r="F2347" s="3">
        <v>11556</v>
      </c>
      <c r="G2347" s="3">
        <v>115560</v>
      </c>
    </row>
    <row r="2348" spans="1:7" x14ac:dyDescent="0.2">
      <c r="A2348" s="3" t="s">
        <v>1072</v>
      </c>
      <c r="B2348" s="4">
        <v>44926</v>
      </c>
      <c r="C2348" s="3" t="s">
        <v>1168</v>
      </c>
      <c r="D2348" s="3" t="s">
        <v>1339</v>
      </c>
      <c r="E2348" s="3" t="s">
        <v>1087</v>
      </c>
      <c r="F2348" s="3">
        <v>0</v>
      </c>
      <c r="G2348" s="3">
        <v>137.5</v>
      </c>
    </row>
    <row r="2349" spans="1:7" x14ac:dyDescent="0.2">
      <c r="A2349" s="3" t="s">
        <v>1072</v>
      </c>
      <c r="B2349" s="4">
        <v>44926</v>
      </c>
      <c r="C2349" s="3" t="s">
        <v>1168</v>
      </c>
      <c r="D2349" s="3" t="s">
        <v>1195</v>
      </c>
      <c r="E2349" s="3" t="s">
        <v>1085</v>
      </c>
      <c r="F2349" s="3">
        <v>-14064.1</v>
      </c>
      <c r="G2349" s="3">
        <v>27231.41</v>
      </c>
    </row>
    <row r="2350" spans="1:7" x14ac:dyDescent="0.2">
      <c r="A2350" s="3" t="s">
        <v>1069</v>
      </c>
      <c r="B2350" s="4">
        <v>44926</v>
      </c>
      <c r="C2350" s="3" t="s">
        <v>1168</v>
      </c>
      <c r="D2350" s="3" t="s">
        <v>1195</v>
      </c>
      <c r="E2350" s="3" t="s">
        <v>1085</v>
      </c>
      <c r="F2350" s="3">
        <v>242.38</v>
      </c>
      <c r="G2350" s="3">
        <v>6271.73</v>
      </c>
    </row>
    <row r="2351" spans="1:7" x14ac:dyDescent="0.2">
      <c r="A2351" s="3" t="s">
        <v>1072</v>
      </c>
      <c r="B2351" s="4">
        <v>44926</v>
      </c>
      <c r="C2351" s="3" t="s">
        <v>1168</v>
      </c>
      <c r="D2351" s="3" t="s">
        <v>1340</v>
      </c>
      <c r="E2351" s="3" t="s">
        <v>1141</v>
      </c>
      <c r="F2351" s="3">
        <v>366.9</v>
      </c>
      <c r="G2351" s="3">
        <v>2353.79</v>
      </c>
    </row>
    <row r="2352" spans="1:7" x14ac:dyDescent="0.2">
      <c r="A2352" s="3" t="s">
        <v>1072</v>
      </c>
      <c r="B2352" s="4">
        <v>44926</v>
      </c>
      <c r="C2352" s="3" t="s">
        <v>1168</v>
      </c>
      <c r="D2352" s="3" t="s">
        <v>1341</v>
      </c>
      <c r="E2352" s="3" t="s">
        <v>1135</v>
      </c>
      <c r="F2352" s="3">
        <v>956.25</v>
      </c>
      <c r="G2352" s="3">
        <v>7144.13</v>
      </c>
    </row>
    <row r="2353" spans="1:7" x14ac:dyDescent="0.2">
      <c r="A2353" s="3" t="s">
        <v>1072</v>
      </c>
      <c r="B2353" s="4">
        <v>44926</v>
      </c>
      <c r="C2353" s="3" t="s">
        <v>1168</v>
      </c>
      <c r="D2353" s="3" t="s">
        <v>1342</v>
      </c>
      <c r="E2353" s="3" t="s">
        <v>1080</v>
      </c>
      <c r="F2353" s="3">
        <v>0</v>
      </c>
      <c r="G2353" s="3">
        <v>4848.5600000000004</v>
      </c>
    </row>
    <row r="2354" spans="1:7" x14ac:dyDescent="0.2">
      <c r="A2354" s="3" t="s">
        <v>1072</v>
      </c>
      <c r="B2354" s="4">
        <v>44926</v>
      </c>
      <c r="C2354" s="3" t="s">
        <v>1168</v>
      </c>
      <c r="D2354" s="3" t="s">
        <v>1504</v>
      </c>
      <c r="E2354" s="3" t="s">
        <v>1142</v>
      </c>
      <c r="F2354" s="3">
        <v>3130</v>
      </c>
      <c r="G2354" s="3">
        <v>38579</v>
      </c>
    </row>
    <row r="2355" spans="1:7" x14ac:dyDescent="0.2">
      <c r="A2355" s="3" t="s">
        <v>1069</v>
      </c>
      <c r="B2355" s="4">
        <v>44926</v>
      </c>
      <c r="C2355" s="3" t="s">
        <v>1168</v>
      </c>
      <c r="D2355" s="3" t="s">
        <v>1251</v>
      </c>
      <c r="E2355" s="3" t="s">
        <v>1095</v>
      </c>
      <c r="F2355" s="3">
        <v>102812.43</v>
      </c>
      <c r="G2355" s="3">
        <v>854353.11</v>
      </c>
    </row>
    <row r="2356" spans="1:7" x14ac:dyDescent="0.2">
      <c r="A2356" s="3" t="s">
        <v>1072</v>
      </c>
      <c r="B2356" s="4">
        <v>44926</v>
      </c>
      <c r="C2356" s="3" t="s">
        <v>1168</v>
      </c>
      <c r="D2356" s="3" t="s">
        <v>1251</v>
      </c>
      <c r="E2356" s="3" t="s">
        <v>1345</v>
      </c>
      <c r="F2356" s="3">
        <v>0</v>
      </c>
      <c r="G2356" s="3">
        <v>318572.45</v>
      </c>
    </row>
    <row r="2357" spans="1:7" x14ac:dyDescent="0.2">
      <c r="A2357" s="3" t="s">
        <v>1072</v>
      </c>
      <c r="B2357" s="4">
        <v>44926</v>
      </c>
      <c r="C2357" s="3" t="s">
        <v>1168</v>
      </c>
      <c r="D2357" s="3" t="s">
        <v>1348</v>
      </c>
      <c r="E2357" s="3" t="s">
        <v>1095</v>
      </c>
      <c r="F2357" s="3">
        <v>145076.46</v>
      </c>
      <c r="G2357" s="3">
        <v>1273298.33</v>
      </c>
    </row>
    <row r="2358" spans="1:7" x14ac:dyDescent="0.2">
      <c r="A2358" s="3" t="s">
        <v>1069</v>
      </c>
      <c r="B2358" s="4">
        <v>44926</v>
      </c>
      <c r="C2358" s="3" t="s">
        <v>1168</v>
      </c>
      <c r="D2358" s="3" t="s">
        <v>1252</v>
      </c>
      <c r="E2358" s="3" t="s">
        <v>1120</v>
      </c>
      <c r="F2358" s="3">
        <v>4000</v>
      </c>
      <c r="G2358" s="3">
        <v>60000</v>
      </c>
    </row>
    <row r="2359" spans="1:7" x14ac:dyDescent="0.2">
      <c r="A2359" s="3" t="s">
        <v>1072</v>
      </c>
      <c r="B2359" s="4">
        <v>44926</v>
      </c>
      <c r="C2359" s="3" t="s">
        <v>1168</v>
      </c>
      <c r="D2359" s="3" t="s">
        <v>1349</v>
      </c>
      <c r="E2359" s="3" t="s">
        <v>1089</v>
      </c>
      <c r="F2359" s="3">
        <v>0</v>
      </c>
      <c r="G2359" s="3">
        <v>1378.26</v>
      </c>
    </row>
    <row r="2360" spans="1:7" x14ac:dyDescent="0.2">
      <c r="A2360" s="3" t="s">
        <v>1072</v>
      </c>
      <c r="B2360" s="4">
        <v>44926</v>
      </c>
      <c r="C2360" s="3" t="s">
        <v>1168</v>
      </c>
      <c r="D2360" s="3" t="s">
        <v>1350</v>
      </c>
      <c r="E2360" s="3" t="s">
        <v>1115</v>
      </c>
      <c r="F2360" s="3">
        <v>2165.83</v>
      </c>
      <c r="G2360" s="3">
        <v>19450.21</v>
      </c>
    </row>
    <row r="2361" spans="1:7" x14ac:dyDescent="0.2">
      <c r="A2361" s="3" t="s">
        <v>1072</v>
      </c>
      <c r="B2361" s="4">
        <v>44926</v>
      </c>
      <c r="C2361" s="3" t="s">
        <v>1168</v>
      </c>
      <c r="D2361" s="3" t="s">
        <v>1351</v>
      </c>
      <c r="E2361" s="3" t="s">
        <v>1096</v>
      </c>
      <c r="F2361" s="3">
        <v>193.33</v>
      </c>
      <c r="G2361" s="3">
        <v>1933.33</v>
      </c>
    </row>
    <row r="2362" spans="1:7" x14ac:dyDescent="0.2">
      <c r="A2362" s="3" t="s">
        <v>1072</v>
      </c>
      <c r="B2362" s="4">
        <v>44926</v>
      </c>
      <c r="C2362" s="3" t="s">
        <v>1168</v>
      </c>
      <c r="D2362" s="3" t="s">
        <v>1472</v>
      </c>
      <c r="E2362" s="3" t="s">
        <v>1473</v>
      </c>
      <c r="F2362" s="3">
        <v>0</v>
      </c>
      <c r="G2362" s="3">
        <v>39610.1</v>
      </c>
    </row>
    <row r="2363" spans="1:7" x14ac:dyDescent="0.2">
      <c r="A2363" s="3" t="s">
        <v>1072</v>
      </c>
      <c r="B2363" s="4">
        <v>44926</v>
      </c>
      <c r="C2363" s="3" t="s">
        <v>1168</v>
      </c>
      <c r="D2363" s="3" t="s">
        <v>1474</v>
      </c>
      <c r="E2363" s="3" t="s">
        <v>1114</v>
      </c>
      <c r="F2363" s="3">
        <v>547.67999999999995</v>
      </c>
      <c r="G2363" s="3">
        <v>4392.53</v>
      </c>
    </row>
    <row r="2364" spans="1:7" x14ac:dyDescent="0.2">
      <c r="A2364" s="3" t="s">
        <v>1069</v>
      </c>
      <c r="B2364" s="4">
        <v>44926</v>
      </c>
      <c r="C2364" s="3" t="s">
        <v>1168</v>
      </c>
      <c r="D2364" s="3" t="s">
        <v>1229</v>
      </c>
      <c r="E2364" s="3" t="s">
        <v>1136</v>
      </c>
      <c r="F2364" s="3">
        <v>0</v>
      </c>
      <c r="G2364" s="3">
        <v>26707.66</v>
      </c>
    </row>
    <row r="2365" spans="1:7" x14ac:dyDescent="0.2">
      <c r="A2365" s="3" t="s">
        <v>1072</v>
      </c>
      <c r="B2365" s="4">
        <v>44926</v>
      </c>
      <c r="C2365" s="3" t="s">
        <v>1168</v>
      </c>
      <c r="D2365" s="3" t="s">
        <v>1229</v>
      </c>
      <c r="E2365" s="3" t="s">
        <v>1106</v>
      </c>
      <c r="F2365" s="3">
        <v>5575.9</v>
      </c>
      <c r="G2365" s="3">
        <v>50429.51</v>
      </c>
    </row>
    <row r="2366" spans="1:7" x14ac:dyDescent="0.2">
      <c r="A2366" s="3" t="s">
        <v>1069</v>
      </c>
      <c r="B2366" s="4">
        <v>44926</v>
      </c>
      <c r="C2366" s="3" t="s">
        <v>1168</v>
      </c>
      <c r="D2366" s="3" t="s">
        <v>1230</v>
      </c>
      <c r="E2366" s="3" t="s">
        <v>1109</v>
      </c>
      <c r="F2366" s="3">
        <v>0</v>
      </c>
      <c r="G2366" s="3">
        <v>51881.47</v>
      </c>
    </row>
    <row r="2367" spans="1:7" x14ac:dyDescent="0.2">
      <c r="A2367" s="3" t="s">
        <v>1069</v>
      </c>
      <c r="B2367" s="4">
        <v>44926</v>
      </c>
      <c r="C2367" s="3" t="s">
        <v>1168</v>
      </c>
      <c r="D2367" s="3" t="s">
        <v>1564</v>
      </c>
      <c r="E2367" s="3" t="s">
        <v>1101</v>
      </c>
      <c r="F2367" s="3">
        <v>0</v>
      </c>
      <c r="G2367" s="3">
        <v>3563.4</v>
      </c>
    </row>
    <row r="2368" spans="1:7" x14ac:dyDescent="0.2">
      <c r="A2368" s="3" t="s">
        <v>1072</v>
      </c>
      <c r="B2368" s="4">
        <v>44926</v>
      </c>
      <c r="C2368" s="3" t="s">
        <v>1168</v>
      </c>
      <c r="D2368" s="3" t="s">
        <v>1196</v>
      </c>
      <c r="E2368" s="3" t="s">
        <v>1131</v>
      </c>
      <c r="F2368" s="3">
        <v>0</v>
      </c>
      <c r="G2368" s="3">
        <v>7651.52</v>
      </c>
    </row>
    <row r="2369" spans="1:7" x14ac:dyDescent="0.2">
      <c r="A2369" s="3" t="s">
        <v>1072</v>
      </c>
      <c r="B2369" s="4">
        <v>44926</v>
      </c>
      <c r="C2369" s="3" t="s">
        <v>1168</v>
      </c>
      <c r="D2369" s="3" t="s">
        <v>1544</v>
      </c>
      <c r="E2369" s="3" t="s">
        <v>1159</v>
      </c>
      <c r="F2369" s="3">
        <v>0</v>
      </c>
      <c r="G2369" s="3">
        <v>819.63</v>
      </c>
    </row>
    <row r="2370" spans="1:7" x14ac:dyDescent="0.2">
      <c r="A2370" s="3" t="s">
        <v>1069</v>
      </c>
      <c r="B2370" s="4">
        <v>44926</v>
      </c>
      <c r="C2370" s="3" t="s">
        <v>1168</v>
      </c>
      <c r="D2370" s="3" t="s">
        <v>1544</v>
      </c>
      <c r="E2370" s="3" t="s">
        <v>1159</v>
      </c>
      <c r="F2370" s="3">
        <v>4467.96</v>
      </c>
      <c r="G2370" s="3">
        <v>12702.82</v>
      </c>
    </row>
    <row r="2371" spans="1:7" x14ac:dyDescent="0.2">
      <c r="A2371" s="3" t="s">
        <v>1072</v>
      </c>
      <c r="B2371" s="4">
        <v>44926</v>
      </c>
      <c r="C2371" s="3" t="s">
        <v>1168</v>
      </c>
      <c r="D2371" s="3" t="s">
        <v>1354</v>
      </c>
      <c r="E2371" s="3" t="s">
        <v>1078</v>
      </c>
      <c r="F2371" s="3">
        <v>2668.36</v>
      </c>
      <c r="G2371" s="3">
        <v>13626.33</v>
      </c>
    </row>
    <row r="2372" spans="1:7" x14ac:dyDescent="0.2">
      <c r="A2372" s="3" t="s">
        <v>1072</v>
      </c>
      <c r="B2372" s="4">
        <v>44926</v>
      </c>
      <c r="C2372" s="3" t="s">
        <v>1168</v>
      </c>
      <c r="D2372" s="3" t="s">
        <v>1355</v>
      </c>
      <c r="E2372" s="3" t="s">
        <v>1356</v>
      </c>
      <c r="F2372" s="3">
        <v>0</v>
      </c>
      <c r="G2372" s="3">
        <v>1425.42</v>
      </c>
    </row>
    <row r="2373" spans="1:7" x14ac:dyDescent="0.2">
      <c r="A2373" s="3" t="s">
        <v>1069</v>
      </c>
      <c r="B2373" s="4">
        <v>44926</v>
      </c>
      <c r="C2373" s="3" t="s">
        <v>1168</v>
      </c>
      <c r="D2373" s="3" t="s">
        <v>1456</v>
      </c>
      <c r="E2373" s="3" t="s">
        <v>1457</v>
      </c>
      <c r="F2373" s="3">
        <v>0</v>
      </c>
      <c r="G2373" s="3">
        <v>588.44000000000005</v>
      </c>
    </row>
    <row r="2374" spans="1:7" x14ac:dyDescent="0.2">
      <c r="A2374" s="3" t="s">
        <v>1069</v>
      </c>
      <c r="B2374" s="4">
        <v>44926</v>
      </c>
      <c r="C2374" s="3" t="s">
        <v>1168</v>
      </c>
      <c r="D2374" s="3" t="s">
        <v>1565</v>
      </c>
      <c r="E2374" s="3" t="s">
        <v>1566</v>
      </c>
      <c r="F2374" s="3">
        <v>146097.54999999999</v>
      </c>
      <c r="G2374" s="3">
        <v>364402.86</v>
      </c>
    </row>
    <row r="2375" spans="1:7" x14ac:dyDescent="0.2">
      <c r="A2375" s="3" t="s">
        <v>1069</v>
      </c>
      <c r="B2375" s="4">
        <v>44926</v>
      </c>
      <c r="C2375" s="3" t="s">
        <v>1168</v>
      </c>
      <c r="D2375" s="3" t="s">
        <v>1567</v>
      </c>
      <c r="E2375" s="3" t="s">
        <v>1568</v>
      </c>
      <c r="F2375" s="3">
        <v>2920.55</v>
      </c>
      <c r="G2375" s="3">
        <v>32232.89</v>
      </c>
    </row>
    <row r="2376" spans="1:7" x14ac:dyDescent="0.2">
      <c r="A2376" s="3" t="s">
        <v>1069</v>
      </c>
      <c r="B2376" s="4">
        <v>44926</v>
      </c>
      <c r="C2376" s="3" t="s">
        <v>1168</v>
      </c>
      <c r="D2376" s="3" t="s">
        <v>1569</v>
      </c>
      <c r="E2376" s="3" t="s">
        <v>1570</v>
      </c>
      <c r="F2376" s="3">
        <v>1091.0999999999999</v>
      </c>
      <c r="G2376" s="3">
        <v>1652.07</v>
      </c>
    </row>
    <row r="2377" spans="1:7" x14ac:dyDescent="0.2">
      <c r="A2377" s="3" t="s">
        <v>1069</v>
      </c>
      <c r="B2377" s="4">
        <v>44926</v>
      </c>
      <c r="C2377" s="3" t="s">
        <v>1168</v>
      </c>
      <c r="D2377" s="3" t="s">
        <v>1608</v>
      </c>
      <c r="E2377" s="3" t="s">
        <v>1609</v>
      </c>
      <c r="F2377" s="3">
        <v>249.32</v>
      </c>
      <c r="G2377" s="3">
        <v>249.32</v>
      </c>
    </row>
    <row r="2378" spans="1:7" x14ac:dyDescent="0.2">
      <c r="A2378" s="3" t="s">
        <v>1069</v>
      </c>
      <c r="B2378" s="4">
        <v>44926</v>
      </c>
      <c r="C2378" s="3" t="s">
        <v>1168</v>
      </c>
      <c r="D2378" s="3" t="s">
        <v>1571</v>
      </c>
      <c r="E2378" s="3" t="s">
        <v>1572</v>
      </c>
      <c r="F2378" s="3">
        <v>53315.08</v>
      </c>
      <c r="G2378" s="3">
        <v>63632.89</v>
      </c>
    </row>
    <row r="2379" spans="1:7" x14ac:dyDescent="0.2">
      <c r="A2379" s="3" t="s">
        <v>1069</v>
      </c>
      <c r="B2379" s="4">
        <v>44926</v>
      </c>
      <c r="C2379" s="3" t="s">
        <v>1168</v>
      </c>
      <c r="D2379" s="3" t="s">
        <v>1573</v>
      </c>
      <c r="E2379" s="3" t="s">
        <v>1574</v>
      </c>
      <c r="F2379" s="3">
        <v>324986.28000000003</v>
      </c>
      <c r="G2379" s="3">
        <v>701712.29</v>
      </c>
    </row>
    <row r="2380" spans="1:7" x14ac:dyDescent="0.2">
      <c r="A2380" s="3" t="s">
        <v>1069</v>
      </c>
      <c r="B2380" s="4">
        <v>44926</v>
      </c>
      <c r="C2380" s="3" t="s">
        <v>1168</v>
      </c>
      <c r="D2380" s="3" t="s">
        <v>1575</v>
      </c>
      <c r="E2380" s="3" t="s">
        <v>1576</v>
      </c>
      <c r="F2380" s="3">
        <v>1199211.5</v>
      </c>
      <c r="G2380" s="3">
        <v>3234321.06</v>
      </c>
    </row>
    <row r="2381" spans="1:7" x14ac:dyDescent="0.2">
      <c r="A2381" s="3" t="s">
        <v>1072</v>
      </c>
      <c r="B2381" s="4">
        <v>44926</v>
      </c>
      <c r="C2381" s="3" t="s">
        <v>1168</v>
      </c>
      <c r="D2381" s="3" t="s">
        <v>1547</v>
      </c>
      <c r="E2381" s="3" t="s">
        <v>1548</v>
      </c>
      <c r="F2381" s="3">
        <v>0</v>
      </c>
      <c r="G2381" s="3">
        <v>1209.8699999999999</v>
      </c>
    </row>
    <row r="2382" spans="1:7" x14ac:dyDescent="0.2">
      <c r="A2382" s="3" t="s">
        <v>1069</v>
      </c>
      <c r="B2382" s="4">
        <v>44926</v>
      </c>
      <c r="C2382" s="3" t="s">
        <v>1168</v>
      </c>
      <c r="D2382" s="3" t="s">
        <v>1549</v>
      </c>
      <c r="E2382" s="3" t="s">
        <v>1154</v>
      </c>
      <c r="F2382" s="3">
        <v>0</v>
      </c>
      <c r="G2382" s="3">
        <v>400000</v>
      </c>
    </row>
    <row r="2383" spans="1:7" x14ac:dyDescent="0.2">
      <c r="A2383" s="3" t="s">
        <v>1069</v>
      </c>
      <c r="B2383" s="4">
        <v>44926</v>
      </c>
      <c r="C2383" s="3" t="s">
        <v>1168</v>
      </c>
      <c r="D2383" s="3" t="s">
        <v>1253</v>
      </c>
      <c r="E2383" s="3" t="s">
        <v>1103</v>
      </c>
      <c r="F2383" s="3">
        <v>2354.4499999999998</v>
      </c>
      <c r="G2383" s="3">
        <v>245456.71</v>
      </c>
    </row>
    <row r="2384" spans="1:7" x14ac:dyDescent="0.2">
      <c r="A2384" s="3" t="s">
        <v>1072</v>
      </c>
      <c r="B2384" s="4">
        <v>44926</v>
      </c>
      <c r="C2384" s="3" t="s">
        <v>1168</v>
      </c>
      <c r="D2384" s="3" t="s">
        <v>1358</v>
      </c>
      <c r="E2384" s="3" t="s">
        <v>1122</v>
      </c>
      <c r="F2384" s="3">
        <v>0</v>
      </c>
      <c r="G2384" s="3">
        <v>4033.01</v>
      </c>
    </row>
    <row r="2385" spans="1:7" x14ac:dyDescent="0.2">
      <c r="A2385" s="3" t="s">
        <v>1072</v>
      </c>
      <c r="B2385" s="4">
        <v>44926</v>
      </c>
      <c r="C2385" s="3" t="s">
        <v>1168</v>
      </c>
      <c r="D2385" s="3" t="s">
        <v>1359</v>
      </c>
      <c r="E2385" s="3" t="s">
        <v>1086</v>
      </c>
      <c r="F2385" s="3">
        <v>0</v>
      </c>
      <c r="G2385" s="3">
        <v>1200</v>
      </c>
    </row>
    <row r="2386" spans="1:7" x14ac:dyDescent="0.2">
      <c r="A2386" s="3" t="s">
        <v>1072</v>
      </c>
      <c r="B2386" s="4">
        <v>44926</v>
      </c>
      <c r="C2386" s="3" t="s">
        <v>1168</v>
      </c>
      <c r="D2386" s="3" t="s">
        <v>1201</v>
      </c>
      <c r="E2386" s="3" t="s">
        <v>1112</v>
      </c>
      <c r="F2386" s="3">
        <v>736.17</v>
      </c>
      <c r="G2386" s="3">
        <v>12583.46</v>
      </c>
    </row>
    <row r="2387" spans="1:7" x14ac:dyDescent="0.2">
      <c r="A2387" s="3" t="s">
        <v>1074</v>
      </c>
      <c r="B2387" s="4">
        <v>44926</v>
      </c>
      <c r="C2387" s="3" t="s">
        <v>1168</v>
      </c>
      <c r="D2387" s="3" t="s">
        <v>1201</v>
      </c>
      <c r="E2387" s="3" t="s">
        <v>1112</v>
      </c>
      <c r="F2387" s="3">
        <v>0</v>
      </c>
      <c r="G2387" s="3">
        <v>3404.62</v>
      </c>
    </row>
    <row r="2388" spans="1:7" x14ac:dyDescent="0.2">
      <c r="A2388" s="3" t="s">
        <v>1072</v>
      </c>
      <c r="B2388" s="4">
        <v>44926</v>
      </c>
      <c r="C2388" s="3" t="s">
        <v>1168</v>
      </c>
      <c r="D2388" s="3" t="s">
        <v>1360</v>
      </c>
      <c r="E2388" s="3" t="s">
        <v>1098</v>
      </c>
      <c r="F2388" s="3">
        <v>0</v>
      </c>
      <c r="G2388" s="3">
        <v>6198.89</v>
      </c>
    </row>
    <row r="2389" spans="1:7" x14ac:dyDescent="0.2">
      <c r="A2389" s="3" t="s">
        <v>1072</v>
      </c>
      <c r="B2389" s="4">
        <v>44926</v>
      </c>
      <c r="C2389" s="3" t="s">
        <v>1168</v>
      </c>
      <c r="D2389" s="3" t="s">
        <v>1361</v>
      </c>
      <c r="E2389" s="3" t="s">
        <v>1121</v>
      </c>
      <c r="F2389" s="3">
        <v>29600</v>
      </c>
      <c r="G2389" s="3">
        <v>282891.67</v>
      </c>
    </row>
    <row r="2390" spans="1:7" x14ac:dyDescent="0.2">
      <c r="A2390" s="3" t="s">
        <v>1072</v>
      </c>
      <c r="B2390" s="4">
        <v>44926</v>
      </c>
      <c r="C2390" s="3" t="s">
        <v>1168</v>
      </c>
      <c r="D2390" s="3" t="s">
        <v>1231</v>
      </c>
      <c r="E2390" s="3" t="s">
        <v>1083</v>
      </c>
      <c r="F2390" s="3">
        <v>843.6</v>
      </c>
      <c r="G2390" s="3">
        <v>8436</v>
      </c>
    </row>
    <row r="2391" spans="1:7" x14ac:dyDescent="0.2">
      <c r="A2391" s="3" t="s">
        <v>1069</v>
      </c>
      <c r="B2391" s="4">
        <v>44926</v>
      </c>
      <c r="C2391" s="3" t="s">
        <v>1168</v>
      </c>
      <c r="D2391" s="3" t="s">
        <v>1231</v>
      </c>
      <c r="E2391" s="3" t="s">
        <v>1070</v>
      </c>
      <c r="F2391" s="3">
        <v>0</v>
      </c>
      <c r="G2391" s="3">
        <v>29104.79</v>
      </c>
    </row>
    <row r="2392" spans="1:7" x14ac:dyDescent="0.2">
      <c r="A2392" s="3" t="s">
        <v>1072</v>
      </c>
      <c r="B2392" s="4">
        <v>44926</v>
      </c>
      <c r="C2392" s="3" t="s">
        <v>1168</v>
      </c>
      <c r="D2392" s="3" t="s">
        <v>1254</v>
      </c>
      <c r="E2392" s="3" t="s">
        <v>1075</v>
      </c>
      <c r="F2392" s="3">
        <v>3390</v>
      </c>
      <c r="G2392" s="3">
        <v>24423.01</v>
      </c>
    </row>
    <row r="2393" spans="1:7" x14ac:dyDescent="0.2">
      <c r="A2393" s="3" t="s">
        <v>1069</v>
      </c>
      <c r="B2393" s="4">
        <v>44926</v>
      </c>
      <c r="C2393" s="3" t="s">
        <v>1168</v>
      </c>
      <c r="D2393" s="3" t="s">
        <v>1254</v>
      </c>
      <c r="E2393" s="3" t="s">
        <v>1075</v>
      </c>
      <c r="F2393" s="3">
        <v>0</v>
      </c>
      <c r="G2393" s="3">
        <v>22719.99</v>
      </c>
    </row>
    <row r="2394" spans="1:7" x14ac:dyDescent="0.2">
      <c r="A2394" s="3" t="s">
        <v>1072</v>
      </c>
      <c r="B2394" s="4">
        <v>44926</v>
      </c>
      <c r="C2394" s="3" t="s">
        <v>1168</v>
      </c>
      <c r="D2394" s="3" t="s">
        <v>1362</v>
      </c>
      <c r="E2394" s="3" t="s">
        <v>1123</v>
      </c>
      <c r="F2394" s="3">
        <v>193482.22</v>
      </c>
      <c r="G2394" s="3">
        <v>2131135.58</v>
      </c>
    </row>
    <row r="2395" spans="1:7" x14ac:dyDescent="0.2">
      <c r="A2395" s="3" t="s">
        <v>1072</v>
      </c>
      <c r="B2395" s="4">
        <v>44926</v>
      </c>
      <c r="C2395" s="3" t="s">
        <v>1168</v>
      </c>
      <c r="D2395" s="3" t="s">
        <v>1365</v>
      </c>
      <c r="E2395" s="3" t="s">
        <v>1090</v>
      </c>
      <c r="F2395" s="3">
        <v>0</v>
      </c>
      <c r="G2395" s="3">
        <v>3746.27</v>
      </c>
    </row>
    <row r="2396" spans="1:7" x14ac:dyDescent="0.2">
      <c r="A2396" s="3" t="s">
        <v>1072</v>
      </c>
      <c r="B2396" s="4">
        <v>44926</v>
      </c>
      <c r="C2396" s="3" t="s">
        <v>1168</v>
      </c>
      <c r="D2396" s="3" t="s">
        <v>1511</v>
      </c>
      <c r="E2396" s="3" t="s">
        <v>1104</v>
      </c>
      <c r="F2396" s="3">
        <v>177.33</v>
      </c>
      <c r="G2396" s="3">
        <v>1518.09</v>
      </c>
    </row>
    <row r="2397" spans="1:7" x14ac:dyDescent="0.2">
      <c r="A2397" s="3" t="s">
        <v>1072</v>
      </c>
      <c r="B2397" s="4">
        <v>44926</v>
      </c>
      <c r="C2397" s="3" t="s">
        <v>1168</v>
      </c>
      <c r="D2397" s="3" t="s">
        <v>1366</v>
      </c>
      <c r="E2397" s="3" t="s">
        <v>1144</v>
      </c>
      <c r="F2397" s="3">
        <v>0</v>
      </c>
      <c r="G2397" s="3">
        <v>9013.48</v>
      </c>
    </row>
    <row r="2398" spans="1:7" x14ac:dyDescent="0.2">
      <c r="A2398" s="3" t="s">
        <v>1069</v>
      </c>
      <c r="B2398" s="4">
        <v>44926</v>
      </c>
      <c r="C2398" s="3" t="s">
        <v>1168</v>
      </c>
      <c r="D2398" s="3" t="s">
        <v>1213</v>
      </c>
      <c r="E2398" s="3" t="s">
        <v>1150</v>
      </c>
      <c r="F2398" s="3">
        <v>665.19</v>
      </c>
      <c r="G2398" s="3">
        <v>4921.03</v>
      </c>
    </row>
    <row r="2399" spans="1:7" x14ac:dyDescent="0.2">
      <c r="A2399" s="3" t="s">
        <v>1072</v>
      </c>
      <c r="B2399" s="4">
        <v>44926</v>
      </c>
      <c r="C2399" s="3" t="s">
        <v>1168</v>
      </c>
      <c r="D2399" s="3" t="s">
        <v>1367</v>
      </c>
      <c r="E2399" s="3" t="s">
        <v>1147</v>
      </c>
      <c r="F2399" s="3">
        <v>0</v>
      </c>
      <c r="G2399" s="3">
        <v>6800</v>
      </c>
    </row>
    <row r="2400" spans="1:7" x14ac:dyDescent="0.2">
      <c r="A2400" s="3" t="s">
        <v>1072</v>
      </c>
      <c r="B2400" s="4">
        <v>44926</v>
      </c>
      <c r="C2400" s="3" t="s">
        <v>1168</v>
      </c>
      <c r="D2400" s="3" t="s">
        <v>1368</v>
      </c>
      <c r="E2400" s="3" t="s">
        <v>1124</v>
      </c>
      <c r="F2400" s="3">
        <v>0</v>
      </c>
      <c r="G2400" s="3">
        <v>4770.66</v>
      </c>
    </row>
    <row r="2401" spans="1:7" x14ac:dyDescent="0.2">
      <c r="A2401" s="3" t="s">
        <v>1072</v>
      </c>
      <c r="B2401" s="4">
        <v>44926</v>
      </c>
      <c r="C2401" s="3" t="s">
        <v>1168</v>
      </c>
      <c r="D2401" s="3" t="s">
        <v>1369</v>
      </c>
      <c r="E2401" s="3" t="s">
        <v>1099</v>
      </c>
      <c r="F2401" s="3">
        <v>0</v>
      </c>
      <c r="G2401" s="3">
        <v>526.32000000000005</v>
      </c>
    </row>
    <row r="2402" spans="1:7" x14ac:dyDescent="0.2">
      <c r="A2402" s="3" t="s">
        <v>1072</v>
      </c>
      <c r="B2402" s="4">
        <v>44926</v>
      </c>
      <c r="C2402" s="3" t="s">
        <v>1168</v>
      </c>
      <c r="D2402" s="3" t="s">
        <v>1370</v>
      </c>
      <c r="E2402" s="3" t="s">
        <v>1129</v>
      </c>
      <c r="F2402" s="3">
        <v>686</v>
      </c>
      <c r="G2402" s="3">
        <v>6080</v>
      </c>
    </row>
    <row r="2403" spans="1:7" x14ac:dyDescent="0.2">
      <c r="A2403" s="3" t="s">
        <v>1072</v>
      </c>
      <c r="B2403" s="4">
        <v>44926</v>
      </c>
      <c r="C2403" s="3" t="s">
        <v>1168</v>
      </c>
      <c r="D2403" s="3" t="s">
        <v>1372</v>
      </c>
      <c r="E2403" s="3" t="s">
        <v>1158</v>
      </c>
      <c r="F2403" s="3">
        <v>600</v>
      </c>
      <c r="G2403" s="3">
        <v>6000</v>
      </c>
    </row>
    <row r="2404" spans="1:7" x14ac:dyDescent="0.2">
      <c r="A2404" s="3" t="s">
        <v>1072</v>
      </c>
      <c r="B2404" s="4">
        <v>44926</v>
      </c>
      <c r="C2404" s="3" t="s">
        <v>1168</v>
      </c>
      <c r="D2404" s="3" t="s">
        <v>1373</v>
      </c>
      <c r="E2404" s="3" t="s">
        <v>1092</v>
      </c>
      <c r="F2404" s="3">
        <v>484</v>
      </c>
      <c r="G2404" s="3">
        <v>4286.6000000000004</v>
      </c>
    </row>
    <row r="2405" spans="1:7" x14ac:dyDescent="0.2">
      <c r="A2405" s="3" t="s">
        <v>1072</v>
      </c>
      <c r="B2405" s="4">
        <v>44926</v>
      </c>
      <c r="C2405" s="3" t="s">
        <v>1168</v>
      </c>
      <c r="D2405" s="3" t="s">
        <v>1490</v>
      </c>
      <c r="E2405" s="3" t="s">
        <v>1491</v>
      </c>
      <c r="F2405" s="3">
        <v>0</v>
      </c>
      <c r="G2405" s="3">
        <v>13765</v>
      </c>
    </row>
    <row r="2406" spans="1:7" x14ac:dyDescent="0.2">
      <c r="A2406" s="3" t="s">
        <v>1069</v>
      </c>
      <c r="B2406" s="4">
        <v>44926</v>
      </c>
      <c r="C2406" s="3" t="s">
        <v>1168</v>
      </c>
      <c r="D2406" s="3" t="s">
        <v>1232</v>
      </c>
      <c r="E2406" s="3" t="s">
        <v>1105</v>
      </c>
      <c r="F2406" s="3">
        <v>600</v>
      </c>
      <c r="G2406" s="3">
        <v>6000</v>
      </c>
    </row>
    <row r="2407" spans="1:7" x14ac:dyDescent="0.2">
      <c r="A2407" s="3" t="s">
        <v>1074</v>
      </c>
      <c r="B2407" s="4">
        <v>44926</v>
      </c>
      <c r="C2407" s="3" t="s">
        <v>1168</v>
      </c>
      <c r="D2407" s="3" t="s">
        <v>1232</v>
      </c>
      <c r="E2407" s="3" t="s">
        <v>1105</v>
      </c>
      <c r="F2407" s="3">
        <v>600</v>
      </c>
      <c r="G2407" s="3">
        <v>9600</v>
      </c>
    </row>
    <row r="2408" spans="1:7" x14ac:dyDescent="0.2">
      <c r="A2408" s="3" t="s">
        <v>1069</v>
      </c>
      <c r="B2408" s="4">
        <v>44926</v>
      </c>
      <c r="C2408" s="3" t="s">
        <v>1168</v>
      </c>
      <c r="D2408" s="3" t="s">
        <v>1262</v>
      </c>
      <c r="E2408" s="3" t="s">
        <v>1127</v>
      </c>
      <c r="F2408" s="3">
        <v>0</v>
      </c>
      <c r="G2408" s="3">
        <v>788.43</v>
      </c>
    </row>
    <row r="2409" spans="1:7" x14ac:dyDescent="0.2">
      <c r="A2409" s="3" t="s">
        <v>1072</v>
      </c>
      <c r="B2409" s="4">
        <v>44926</v>
      </c>
      <c r="C2409" s="3" t="s">
        <v>1168</v>
      </c>
      <c r="D2409" s="3" t="s">
        <v>1374</v>
      </c>
      <c r="E2409" s="3" t="s">
        <v>1108</v>
      </c>
      <c r="F2409" s="3">
        <v>0</v>
      </c>
      <c r="G2409" s="3">
        <v>2500</v>
      </c>
    </row>
    <row r="2410" spans="1:7" x14ac:dyDescent="0.2">
      <c r="A2410" s="3" t="s">
        <v>1072</v>
      </c>
      <c r="B2410" s="4">
        <v>44926</v>
      </c>
      <c r="C2410" s="3" t="s">
        <v>1168</v>
      </c>
      <c r="D2410" s="3" t="s">
        <v>1376</v>
      </c>
      <c r="E2410" s="3" t="s">
        <v>1377</v>
      </c>
      <c r="F2410" s="3">
        <v>0</v>
      </c>
      <c r="G2410" s="3">
        <v>13.04</v>
      </c>
    </row>
    <row r="2411" spans="1:7" x14ac:dyDescent="0.2">
      <c r="A2411" s="3" t="s">
        <v>1072</v>
      </c>
      <c r="B2411" s="4">
        <v>44926</v>
      </c>
      <c r="C2411" s="3" t="s">
        <v>1168</v>
      </c>
      <c r="D2411" s="3" t="s">
        <v>1378</v>
      </c>
      <c r="E2411" s="3" t="s">
        <v>1143</v>
      </c>
      <c r="F2411" s="3">
        <v>23916.38</v>
      </c>
      <c r="G2411" s="3">
        <v>319356.68</v>
      </c>
    </row>
    <row r="2412" spans="1:7" x14ac:dyDescent="0.2">
      <c r="A2412" s="3" t="s">
        <v>1072</v>
      </c>
      <c r="B2412" s="4">
        <v>44926</v>
      </c>
      <c r="C2412" s="3" t="s">
        <v>1168</v>
      </c>
      <c r="D2412" s="3" t="s">
        <v>1379</v>
      </c>
      <c r="E2412" s="3" t="s">
        <v>1107</v>
      </c>
      <c r="F2412" s="3">
        <v>1953.67</v>
      </c>
      <c r="G2412" s="3">
        <v>23352.39</v>
      </c>
    </row>
    <row r="2413" spans="1:7" x14ac:dyDescent="0.2">
      <c r="A2413" s="3" t="s">
        <v>1072</v>
      </c>
      <c r="B2413" s="4">
        <v>44926</v>
      </c>
      <c r="C2413" s="3" t="s">
        <v>1168</v>
      </c>
      <c r="D2413" s="3" t="s">
        <v>1380</v>
      </c>
      <c r="E2413" s="3" t="s">
        <v>1125</v>
      </c>
      <c r="F2413" s="3">
        <v>1473.9</v>
      </c>
      <c r="G2413" s="3">
        <v>16938.61</v>
      </c>
    </row>
    <row r="2414" spans="1:7" x14ac:dyDescent="0.2">
      <c r="A2414" s="3" t="s">
        <v>1072</v>
      </c>
      <c r="B2414" s="4">
        <v>44926</v>
      </c>
      <c r="C2414" s="3" t="s">
        <v>1168</v>
      </c>
      <c r="D2414" s="3" t="s">
        <v>1381</v>
      </c>
      <c r="E2414" s="3" t="s">
        <v>1130</v>
      </c>
      <c r="F2414" s="3">
        <v>1473.9</v>
      </c>
      <c r="G2414" s="3">
        <v>16938.61</v>
      </c>
    </row>
    <row r="2415" spans="1:7" x14ac:dyDescent="0.2">
      <c r="A2415" s="3" t="s">
        <v>1072</v>
      </c>
      <c r="B2415" s="4">
        <v>44926</v>
      </c>
      <c r="C2415" s="3" t="s">
        <v>1168</v>
      </c>
      <c r="D2415" s="3" t="s">
        <v>1458</v>
      </c>
      <c r="E2415" s="3" t="s">
        <v>1113</v>
      </c>
      <c r="F2415" s="3">
        <v>5034</v>
      </c>
      <c r="G2415" s="3">
        <v>71031.64</v>
      </c>
    </row>
    <row r="2416" spans="1:7" x14ac:dyDescent="0.2">
      <c r="A2416" s="3" t="s">
        <v>1072</v>
      </c>
      <c r="B2416" s="4">
        <v>44926</v>
      </c>
      <c r="C2416" s="3" t="s">
        <v>1168</v>
      </c>
      <c r="D2416" s="3" t="s">
        <v>1459</v>
      </c>
      <c r="E2416" s="3" t="s">
        <v>1139</v>
      </c>
      <c r="F2416" s="3">
        <v>1775.25</v>
      </c>
      <c r="G2416" s="3">
        <v>23849.05</v>
      </c>
    </row>
    <row r="2417" spans="1:7" x14ac:dyDescent="0.2">
      <c r="A2417" s="3" t="s">
        <v>1069</v>
      </c>
      <c r="B2417" s="4">
        <v>44926</v>
      </c>
      <c r="C2417" s="3" t="s">
        <v>1172</v>
      </c>
      <c r="D2417" s="3" t="s">
        <v>1173</v>
      </c>
      <c r="E2417" s="3" t="s">
        <v>1174</v>
      </c>
      <c r="F2417" s="3">
        <v>0</v>
      </c>
      <c r="G2417" s="3">
        <v>-100</v>
      </c>
    </row>
    <row r="2418" spans="1:7" x14ac:dyDescent="0.2">
      <c r="A2418" s="3" t="s">
        <v>1072</v>
      </c>
      <c r="B2418" s="4">
        <v>44926</v>
      </c>
      <c r="C2418" s="3" t="s">
        <v>1172</v>
      </c>
      <c r="D2418" s="3" t="s">
        <v>1382</v>
      </c>
      <c r="E2418" s="3" t="s">
        <v>1383</v>
      </c>
      <c r="F2418" s="3">
        <v>0</v>
      </c>
      <c r="G2418" s="3">
        <v>-120</v>
      </c>
    </row>
    <row r="2419" spans="1:7" x14ac:dyDescent="0.2">
      <c r="A2419" s="3" t="s">
        <v>1072</v>
      </c>
      <c r="B2419" s="4">
        <v>44926</v>
      </c>
      <c r="C2419" s="3" t="s">
        <v>1172</v>
      </c>
      <c r="D2419" s="3" t="s">
        <v>1384</v>
      </c>
      <c r="E2419" s="3" t="s">
        <v>1385</v>
      </c>
      <c r="F2419" s="3">
        <v>0</v>
      </c>
      <c r="G2419" s="3">
        <v>247347.05</v>
      </c>
    </row>
    <row r="2420" spans="1:7" x14ac:dyDescent="0.2">
      <c r="A2420" s="3" t="s">
        <v>1069</v>
      </c>
      <c r="B2420" s="4">
        <v>44926</v>
      </c>
      <c r="C2420" s="3" t="s">
        <v>1172</v>
      </c>
      <c r="D2420" s="3" t="s">
        <v>1384</v>
      </c>
      <c r="E2420" s="3" t="s">
        <v>1385</v>
      </c>
      <c r="F2420" s="3">
        <v>0</v>
      </c>
      <c r="G2420" s="3">
        <v>-17080353.050000001</v>
      </c>
    </row>
    <row r="2421" spans="1:7" x14ac:dyDescent="0.2">
      <c r="A2421" s="3" t="s">
        <v>1069</v>
      </c>
      <c r="B2421" s="4">
        <v>44926</v>
      </c>
      <c r="C2421" s="3" t="s">
        <v>1180</v>
      </c>
      <c r="D2421" s="3" t="s">
        <v>1241</v>
      </c>
      <c r="E2421" s="3" t="s">
        <v>1242</v>
      </c>
      <c r="F2421" s="3">
        <v>0</v>
      </c>
      <c r="G2421" s="3">
        <v>17562360.850000001</v>
      </c>
    </row>
    <row r="2422" spans="1:7" x14ac:dyDescent="0.2">
      <c r="A2422" s="3" t="s">
        <v>1072</v>
      </c>
      <c r="B2422" s="4">
        <v>44926</v>
      </c>
      <c r="C2422" s="3" t="s">
        <v>1180</v>
      </c>
      <c r="D2422" s="3" t="s">
        <v>1483</v>
      </c>
      <c r="E2422" s="3" t="s">
        <v>1177</v>
      </c>
      <c r="F2422" s="3">
        <v>225000</v>
      </c>
      <c r="G2422" s="3">
        <v>6796187.4000000004</v>
      </c>
    </row>
    <row r="2423" spans="1:7" x14ac:dyDescent="0.2">
      <c r="A2423" s="3" t="s">
        <v>1072</v>
      </c>
      <c r="B2423" s="4">
        <v>44926</v>
      </c>
      <c r="C2423" s="3" t="s">
        <v>1180</v>
      </c>
      <c r="D2423" s="3" t="s">
        <v>1390</v>
      </c>
      <c r="E2423" s="3" t="s">
        <v>1391</v>
      </c>
      <c r="F2423" s="3">
        <v>-271000</v>
      </c>
      <c r="G2423" s="3">
        <v>-271000</v>
      </c>
    </row>
    <row r="2424" spans="1:7" x14ac:dyDescent="0.2">
      <c r="A2424" s="3" t="s">
        <v>1072</v>
      </c>
      <c r="B2424" s="4">
        <v>44926</v>
      </c>
      <c r="C2424" s="3" t="s">
        <v>1180</v>
      </c>
      <c r="D2424" s="3" t="s">
        <v>1394</v>
      </c>
      <c r="E2424" s="3" t="s">
        <v>1256</v>
      </c>
      <c r="F2424" s="3">
        <v>600</v>
      </c>
      <c r="G2424" s="3">
        <v>600</v>
      </c>
    </row>
    <row r="2425" spans="1:7" x14ac:dyDescent="0.2">
      <c r="A2425" s="3" t="s">
        <v>1072</v>
      </c>
      <c r="B2425" s="4">
        <v>44926</v>
      </c>
      <c r="C2425" s="3" t="s">
        <v>1180</v>
      </c>
      <c r="D2425" s="3" t="s">
        <v>1395</v>
      </c>
      <c r="E2425" s="3" t="s">
        <v>1396</v>
      </c>
      <c r="F2425" s="3">
        <v>0</v>
      </c>
      <c r="G2425" s="3">
        <v>-8226138.5</v>
      </c>
    </row>
    <row r="2426" spans="1:7" x14ac:dyDescent="0.2">
      <c r="A2426" s="3" t="s">
        <v>1072</v>
      </c>
      <c r="B2426" s="4">
        <v>44926</v>
      </c>
      <c r="C2426" s="3" t="s">
        <v>1180</v>
      </c>
      <c r="D2426" s="3" t="s">
        <v>1397</v>
      </c>
      <c r="E2426" s="3" t="s">
        <v>1398</v>
      </c>
      <c r="F2426" s="3">
        <v>600</v>
      </c>
      <c r="G2426" s="3">
        <v>600</v>
      </c>
    </row>
    <row r="2427" spans="1:7" x14ac:dyDescent="0.2">
      <c r="A2427" s="3" t="s">
        <v>1072</v>
      </c>
      <c r="B2427" s="4">
        <v>44926</v>
      </c>
      <c r="C2427" s="3" t="s">
        <v>1180</v>
      </c>
      <c r="D2427" s="3" t="s">
        <v>1512</v>
      </c>
      <c r="E2427" s="3" t="s">
        <v>1513</v>
      </c>
      <c r="F2427" s="3">
        <v>4692000</v>
      </c>
      <c r="G2427" s="3">
        <v>6059000</v>
      </c>
    </row>
    <row r="2428" spans="1:7" x14ac:dyDescent="0.2">
      <c r="A2428" s="3" t="s">
        <v>1072</v>
      </c>
      <c r="B2428" s="4">
        <v>44926</v>
      </c>
      <c r="C2428" s="3" t="s">
        <v>1180</v>
      </c>
      <c r="D2428" s="3" t="s">
        <v>1399</v>
      </c>
      <c r="E2428" s="3" t="s">
        <v>1400</v>
      </c>
      <c r="F2428" s="3">
        <v>-120000</v>
      </c>
      <c r="G2428" s="3">
        <v>-120000</v>
      </c>
    </row>
    <row r="2429" spans="1:7" x14ac:dyDescent="0.2">
      <c r="A2429" s="3" t="s">
        <v>1074</v>
      </c>
      <c r="B2429" s="4">
        <v>44926</v>
      </c>
      <c r="C2429" s="3" t="s">
        <v>1175</v>
      </c>
      <c r="D2429" s="3" t="s">
        <v>1492</v>
      </c>
      <c r="E2429" s="3" t="s">
        <v>1493</v>
      </c>
      <c r="F2429" s="3">
        <v>-269534.38</v>
      </c>
      <c r="G2429" s="3">
        <v>-2299447.39</v>
      </c>
    </row>
    <row r="2430" spans="1:7" x14ac:dyDescent="0.2">
      <c r="A2430" s="3" t="s">
        <v>1069</v>
      </c>
      <c r="B2430" s="4">
        <v>44926</v>
      </c>
      <c r="C2430" s="3" t="s">
        <v>1175</v>
      </c>
      <c r="D2430" s="3" t="s">
        <v>1178</v>
      </c>
      <c r="E2430" s="3" t="s">
        <v>1179</v>
      </c>
      <c r="F2430" s="3">
        <v>0</v>
      </c>
      <c r="G2430" s="3">
        <v>8226138.5</v>
      </c>
    </row>
    <row r="2431" spans="1:7" x14ac:dyDescent="0.2">
      <c r="A2431" s="3" t="s">
        <v>1069</v>
      </c>
      <c r="B2431" s="4">
        <v>44926</v>
      </c>
      <c r="C2431" s="3" t="s">
        <v>1175</v>
      </c>
      <c r="D2431" s="3" t="s">
        <v>1233</v>
      </c>
      <c r="E2431" s="3" t="s">
        <v>1234</v>
      </c>
      <c r="F2431" s="3">
        <v>-60000</v>
      </c>
      <c r="G2431" s="3">
        <v>-60000</v>
      </c>
    </row>
    <row r="2432" spans="1:7" x14ac:dyDescent="0.2">
      <c r="A2432" s="3" t="s">
        <v>1069</v>
      </c>
      <c r="B2432" s="4">
        <v>44926</v>
      </c>
      <c r="C2432" s="3" t="s">
        <v>1175</v>
      </c>
      <c r="D2432" s="3" t="s">
        <v>1494</v>
      </c>
      <c r="E2432" s="3" t="s">
        <v>1495</v>
      </c>
      <c r="F2432" s="3">
        <v>6186594.5499999998</v>
      </c>
      <c r="G2432" s="3">
        <v>8216507.5599999996</v>
      </c>
    </row>
    <row r="2433" spans="1:7" x14ac:dyDescent="0.2">
      <c r="A2433" s="3" t="s">
        <v>1072</v>
      </c>
      <c r="B2433" s="4">
        <v>44926</v>
      </c>
      <c r="C2433" s="3" t="s">
        <v>1175</v>
      </c>
      <c r="D2433" s="3" t="s">
        <v>1405</v>
      </c>
      <c r="E2433" s="3" t="s">
        <v>1406</v>
      </c>
      <c r="F2433" s="3">
        <v>5233.24</v>
      </c>
      <c r="G2433" s="3">
        <v>52131.199999999997</v>
      </c>
    </row>
    <row r="2434" spans="1:7" x14ac:dyDescent="0.2">
      <c r="A2434" s="3" t="s">
        <v>1072</v>
      </c>
      <c r="B2434" s="4">
        <v>44926</v>
      </c>
      <c r="C2434" s="3" t="s">
        <v>1175</v>
      </c>
      <c r="D2434" s="3" t="s">
        <v>1407</v>
      </c>
      <c r="E2434" s="3" t="s">
        <v>1408</v>
      </c>
      <c r="F2434" s="3">
        <v>0</v>
      </c>
      <c r="G2434" s="3">
        <v>-58920.1</v>
      </c>
    </row>
    <row r="2435" spans="1:7" x14ac:dyDescent="0.2">
      <c r="A2435" s="3" t="s">
        <v>1072</v>
      </c>
      <c r="B2435" s="4">
        <v>44926</v>
      </c>
      <c r="C2435" s="3" t="s">
        <v>1180</v>
      </c>
      <c r="D2435" s="3" t="s">
        <v>1409</v>
      </c>
      <c r="E2435" s="3" t="s">
        <v>1410</v>
      </c>
      <c r="F2435" s="3">
        <v>0</v>
      </c>
      <c r="G2435" s="3">
        <v>216064.1</v>
      </c>
    </row>
    <row r="2436" spans="1:7" x14ac:dyDescent="0.2">
      <c r="A2436" s="3" t="s">
        <v>1072</v>
      </c>
      <c r="B2436" s="4">
        <v>44926</v>
      </c>
      <c r="C2436" s="3" t="s">
        <v>1180</v>
      </c>
      <c r="D2436" s="3" t="s">
        <v>1411</v>
      </c>
      <c r="E2436" s="3" t="s">
        <v>1412</v>
      </c>
      <c r="F2436" s="3">
        <v>0</v>
      </c>
      <c r="G2436" s="3">
        <v>-216063.1</v>
      </c>
    </row>
    <row r="2437" spans="1:7" x14ac:dyDescent="0.2">
      <c r="A2437" s="3" t="s">
        <v>1072</v>
      </c>
      <c r="B2437" s="4">
        <v>44926</v>
      </c>
      <c r="C2437" s="3" t="s">
        <v>1180</v>
      </c>
      <c r="D2437" s="3" t="s">
        <v>1413</v>
      </c>
      <c r="E2437" s="3" t="s">
        <v>1414</v>
      </c>
      <c r="F2437" s="3">
        <v>0</v>
      </c>
      <c r="G2437" s="3">
        <v>92100.13</v>
      </c>
    </row>
    <row r="2438" spans="1:7" x14ac:dyDescent="0.2">
      <c r="A2438" s="3" t="s">
        <v>1072</v>
      </c>
      <c r="B2438" s="4">
        <v>44926</v>
      </c>
      <c r="C2438" s="3" t="s">
        <v>1180</v>
      </c>
      <c r="D2438" s="3" t="s">
        <v>1415</v>
      </c>
      <c r="E2438" s="3" t="s">
        <v>1416</v>
      </c>
      <c r="F2438" s="3">
        <v>-2165.83</v>
      </c>
      <c r="G2438" s="3">
        <v>-38591.300000000003</v>
      </c>
    </row>
    <row r="2439" spans="1:7" x14ac:dyDescent="0.2">
      <c r="A2439" s="3" t="s">
        <v>1072</v>
      </c>
      <c r="B2439" s="4">
        <v>44926</v>
      </c>
      <c r="C2439" s="3" t="s">
        <v>1180</v>
      </c>
      <c r="D2439" s="3" t="s">
        <v>1462</v>
      </c>
      <c r="E2439" s="3" t="s">
        <v>1463</v>
      </c>
      <c r="F2439" s="3">
        <v>0</v>
      </c>
      <c r="G2439" s="3">
        <v>37955.300000000003</v>
      </c>
    </row>
    <row r="2440" spans="1:7" x14ac:dyDescent="0.2">
      <c r="A2440" s="3" t="s">
        <v>1072</v>
      </c>
      <c r="B2440" s="4">
        <v>44926</v>
      </c>
      <c r="C2440" s="3" t="s">
        <v>1180</v>
      </c>
      <c r="D2440" s="3" t="s">
        <v>1484</v>
      </c>
      <c r="E2440" s="3" t="s">
        <v>1485</v>
      </c>
      <c r="F2440" s="3">
        <v>-547.67999999999995</v>
      </c>
      <c r="G2440" s="3">
        <v>-4799.22</v>
      </c>
    </row>
    <row r="2441" spans="1:7" x14ac:dyDescent="0.2">
      <c r="A2441" s="3" t="s">
        <v>1072</v>
      </c>
      <c r="B2441" s="4">
        <v>44926</v>
      </c>
      <c r="C2441" s="3" t="s">
        <v>1180</v>
      </c>
      <c r="D2441" s="3" t="s">
        <v>1417</v>
      </c>
      <c r="E2441" s="3" t="s">
        <v>1418</v>
      </c>
      <c r="F2441" s="3">
        <v>0</v>
      </c>
      <c r="G2441" s="3">
        <v>11600</v>
      </c>
    </row>
    <row r="2442" spans="1:7" x14ac:dyDescent="0.2">
      <c r="A2442" s="3" t="s">
        <v>1072</v>
      </c>
      <c r="B2442" s="4">
        <v>44926</v>
      </c>
      <c r="C2442" s="3" t="s">
        <v>1180</v>
      </c>
      <c r="D2442" s="3" t="s">
        <v>1419</v>
      </c>
      <c r="E2442" s="3" t="s">
        <v>1420</v>
      </c>
      <c r="F2442" s="3">
        <v>-193.33</v>
      </c>
      <c r="G2442" s="3">
        <v>-2738.89</v>
      </c>
    </row>
    <row r="2443" spans="1:7" x14ac:dyDescent="0.2">
      <c r="A2443" s="3" t="s">
        <v>1069</v>
      </c>
      <c r="B2443" s="4">
        <v>44926</v>
      </c>
      <c r="C2443" s="3" t="s">
        <v>1180</v>
      </c>
      <c r="D2443" s="3" t="s">
        <v>1421</v>
      </c>
      <c r="E2443" s="3" t="s">
        <v>1422</v>
      </c>
      <c r="F2443" s="3">
        <v>0</v>
      </c>
      <c r="G2443" s="3">
        <v>874505.75</v>
      </c>
    </row>
    <row r="2444" spans="1:7" x14ac:dyDescent="0.2">
      <c r="A2444" s="3" t="s">
        <v>1074</v>
      </c>
      <c r="B2444" s="4">
        <v>44926</v>
      </c>
      <c r="C2444" s="3" t="s">
        <v>1180</v>
      </c>
      <c r="D2444" s="3" t="s">
        <v>1421</v>
      </c>
      <c r="E2444" s="3" t="s">
        <v>1533</v>
      </c>
      <c r="F2444" s="3">
        <v>0</v>
      </c>
      <c r="G2444" s="3">
        <v>439254.75</v>
      </c>
    </row>
    <row r="2445" spans="1:7" x14ac:dyDescent="0.2">
      <c r="A2445" s="3" t="s">
        <v>1069</v>
      </c>
      <c r="B2445" s="4">
        <v>44926</v>
      </c>
      <c r="C2445" s="3" t="s">
        <v>1180</v>
      </c>
      <c r="D2445" s="3" t="s">
        <v>1214</v>
      </c>
      <c r="E2445" s="3" t="s">
        <v>1215</v>
      </c>
      <c r="F2445" s="3">
        <v>0</v>
      </c>
      <c r="G2445" s="3">
        <v>26200000</v>
      </c>
    </row>
    <row r="2446" spans="1:7" x14ac:dyDescent="0.2">
      <c r="A2446" s="3" t="s">
        <v>1069</v>
      </c>
      <c r="B2446" s="4">
        <v>44926</v>
      </c>
      <c r="C2446" s="3" t="s">
        <v>1180</v>
      </c>
      <c r="D2446" s="3" t="s">
        <v>1216</v>
      </c>
      <c r="E2446" s="3" t="s">
        <v>1217</v>
      </c>
      <c r="F2446" s="3">
        <v>0</v>
      </c>
      <c r="G2446" s="3">
        <v>68427</v>
      </c>
    </row>
    <row r="2447" spans="1:7" x14ac:dyDescent="0.2">
      <c r="A2447" s="3" t="s">
        <v>1069</v>
      </c>
      <c r="B2447" s="4">
        <v>44926</v>
      </c>
      <c r="C2447" s="3" t="s">
        <v>1180</v>
      </c>
      <c r="D2447" s="3" t="s">
        <v>1218</v>
      </c>
      <c r="E2447" s="3" t="s">
        <v>1219</v>
      </c>
      <c r="F2447" s="3">
        <v>0</v>
      </c>
      <c r="G2447" s="3">
        <v>103812</v>
      </c>
    </row>
    <row r="2448" spans="1:7" x14ac:dyDescent="0.2">
      <c r="A2448" s="3" t="s">
        <v>1069</v>
      </c>
      <c r="B2448" s="4">
        <v>44926</v>
      </c>
      <c r="C2448" s="3" t="s">
        <v>1180</v>
      </c>
      <c r="D2448" s="3" t="s">
        <v>1197</v>
      </c>
      <c r="E2448" s="3" t="s">
        <v>1198</v>
      </c>
      <c r="F2448" s="3">
        <v>2500</v>
      </c>
      <c r="G2448" s="3">
        <v>847438</v>
      </c>
    </row>
    <row r="2449" spans="1:7" x14ac:dyDescent="0.2">
      <c r="A2449" s="3" t="s">
        <v>1074</v>
      </c>
      <c r="B2449" s="4">
        <v>44926</v>
      </c>
      <c r="C2449" s="3" t="s">
        <v>1180</v>
      </c>
      <c r="D2449" s="3" t="s">
        <v>1197</v>
      </c>
      <c r="E2449" s="3" t="s">
        <v>1550</v>
      </c>
      <c r="F2449" s="3">
        <v>0</v>
      </c>
      <c r="G2449" s="3">
        <v>398921</v>
      </c>
    </row>
    <row r="2450" spans="1:7" x14ac:dyDescent="0.2">
      <c r="A2450" s="3" t="s">
        <v>1069</v>
      </c>
      <c r="B2450" s="4">
        <v>44926</v>
      </c>
      <c r="C2450" s="3" t="s">
        <v>1180</v>
      </c>
      <c r="D2450" s="3" t="s">
        <v>1496</v>
      </c>
      <c r="E2450" s="3" t="s">
        <v>1497</v>
      </c>
      <c r="F2450" s="3">
        <v>12250</v>
      </c>
      <c r="G2450" s="3">
        <v>132500</v>
      </c>
    </row>
    <row r="2451" spans="1:7" x14ac:dyDescent="0.2">
      <c r="A2451" s="3" t="s">
        <v>1069</v>
      </c>
      <c r="B2451" s="4">
        <v>44926</v>
      </c>
      <c r="C2451" s="3" t="s">
        <v>1180</v>
      </c>
      <c r="D2451" s="3" t="s">
        <v>1181</v>
      </c>
      <c r="E2451" s="3" t="s">
        <v>1182</v>
      </c>
      <c r="F2451" s="3">
        <v>430000</v>
      </c>
      <c r="G2451" s="3">
        <v>8557641.8000000007</v>
      </c>
    </row>
    <row r="2452" spans="1:7" x14ac:dyDescent="0.2">
      <c r="A2452" s="3" t="s">
        <v>1069</v>
      </c>
      <c r="B2452" s="4">
        <v>44926</v>
      </c>
      <c r="C2452" s="3" t="s">
        <v>1180</v>
      </c>
      <c r="D2452" s="3" t="s">
        <v>1263</v>
      </c>
      <c r="E2452" s="3" t="s">
        <v>1264</v>
      </c>
      <c r="F2452" s="3">
        <v>0</v>
      </c>
      <c r="G2452" s="3">
        <v>13807.78</v>
      </c>
    </row>
    <row r="2453" spans="1:7" x14ac:dyDescent="0.2">
      <c r="A2453" s="3" t="s">
        <v>1069</v>
      </c>
      <c r="B2453" s="4">
        <v>44926</v>
      </c>
      <c r="C2453" s="3" t="s">
        <v>1180</v>
      </c>
      <c r="D2453" s="3" t="s">
        <v>1202</v>
      </c>
      <c r="E2453" s="3" t="s">
        <v>1203</v>
      </c>
      <c r="F2453" s="3">
        <v>0</v>
      </c>
      <c r="G2453" s="3">
        <v>152123.09</v>
      </c>
    </row>
    <row r="2454" spans="1:7" x14ac:dyDescent="0.2">
      <c r="A2454" s="3" t="s">
        <v>1074</v>
      </c>
      <c r="B2454" s="4">
        <v>44926</v>
      </c>
      <c r="C2454" s="3" t="s">
        <v>1180</v>
      </c>
      <c r="D2454" s="3" t="s">
        <v>1202</v>
      </c>
      <c r="E2454" s="3" t="s">
        <v>1577</v>
      </c>
      <c r="F2454" s="3">
        <v>0</v>
      </c>
      <c r="G2454" s="3">
        <v>11650</v>
      </c>
    </row>
    <row r="2455" spans="1:7" x14ac:dyDescent="0.2">
      <c r="A2455" s="3" t="s">
        <v>1069</v>
      </c>
      <c r="B2455" s="4">
        <v>44926</v>
      </c>
      <c r="C2455" s="3" t="s">
        <v>1180</v>
      </c>
      <c r="D2455" s="3" t="s">
        <v>1204</v>
      </c>
      <c r="E2455" s="3" t="s">
        <v>1205</v>
      </c>
      <c r="F2455" s="3">
        <v>0</v>
      </c>
      <c r="G2455" s="3">
        <v>7500</v>
      </c>
    </row>
    <row r="2456" spans="1:7" x14ac:dyDescent="0.2">
      <c r="A2456" s="3" t="s">
        <v>1069</v>
      </c>
      <c r="B2456" s="4">
        <v>44926</v>
      </c>
      <c r="C2456" s="3" t="s">
        <v>1180</v>
      </c>
      <c r="D2456" s="3" t="s">
        <v>1199</v>
      </c>
      <c r="E2456" s="3" t="s">
        <v>1200</v>
      </c>
      <c r="F2456" s="3">
        <v>0</v>
      </c>
      <c r="G2456" s="3">
        <v>67400</v>
      </c>
    </row>
    <row r="2457" spans="1:7" x14ac:dyDescent="0.2">
      <c r="A2457" s="3" t="s">
        <v>1069</v>
      </c>
      <c r="B2457" s="4">
        <v>44926</v>
      </c>
      <c r="C2457" s="3" t="s">
        <v>1180</v>
      </c>
      <c r="D2457" s="3" t="s">
        <v>1486</v>
      </c>
      <c r="E2457" s="3" t="s">
        <v>1487</v>
      </c>
      <c r="F2457" s="3">
        <v>0</v>
      </c>
      <c r="G2457" s="3">
        <v>19200</v>
      </c>
    </row>
    <row r="2458" spans="1:7" x14ac:dyDescent="0.2">
      <c r="A2458" s="3" t="s">
        <v>1069</v>
      </c>
      <c r="B2458" s="4">
        <v>44926</v>
      </c>
      <c r="C2458" s="3" t="s">
        <v>1180</v>
      </c>
      <c r="D2458" s="3" t="s">
        <v>1220</v>
      </c>
      <c r="E2458" s="3" t="s">
        <v>1221</v>
      </c>
      <c r="F2458" s="3">
        <v>0</v>
      </c>
      <c r="G2458" s="3">
        <v>15175</v>
      </c>
    </row>
    <row r="2459" spans="1:7" x14ac:dyDescent="0.2">
      <c r="A2459" s="3" t="s">
        <v>1069</v>
      </c>
      <c r="B2459" s="4">
        <v>44926</v>
      </c>
      <c r="C2459" s="3" t="s">
        <v>1180</v>
      </c>
      <c r="D2459" s="3" t="s">
        <v>1498</v>
      </c>
      <c r="E2459" s="3" t="s">
        <v>1499</v>
      </c>
      <c r="F2459" s="3">
        <v>0</v>
      </c>
      <c r="G2459" s="3">
        <v>570856.07999999996</v>
      </c>
    </row>
    <row r="2460" spans="1:7" x14ac:dyDescent="0.2">
      <c r="A2460" s="3" t="s">
        <v>1069</v>
      </c>
      <c r="B2460" s="4">
        <v>44926</v>
      </c>
      <c r="C2460" s="3" t="s">
        <v>1180</v>
      </c>
      <c r="D2460" s="3" t="s">
        <v>1183</v>
      </c>
      <c r="E2460" s="3" t="s">
        <v>1184</v>
      </c>
      <c r="F2460" s="3">
        <v>4857562.08</v>
      </c>
      <c r="G2460" s="3">
        <v>48189453.100000001</v>
      </c>
    </row>
    <row r="2461" spans="1:7" x14ac:dyDescent="0.2">
      <c r="A2461" s="3" t="s">
        <v>1069</v>
      </c>
      <c r="B2461" s="4">
        <v>44926</v>
      </c>
      <c r="C2461" s="3" t="s">
        <v>1180</v>
      </c>
      <c r="D2461" s="3" t="s">
        <v>1222</v>
      </c>
      <c r="E2461" s="3" t="s">
        <v>1223</v>
      </c>
      <c r="F2461" s="3">
        <v>280000</v>
      </c>
      <c r="G2461" s="3">
        <v>3676905</v>
      </c>
    </row>
    <row r="2462" spans="1:7" x14ac:dyDescent="0.2">
      <c r="A2462" s="3" t="s">
        <v>1069</v>
      </c>
      <c r="B2462" s="4">
        <v>44926</v>
      </c>
      <c r="C2462" s="3" t="s">
        <v>1180</v>
      </c>
      <c r="D2462" s="3" t="s">
        <v>1235</v>
      </c>
      <c r="E2462" s="3" t="s">
        <v>1236</v>
      </c>
      <c r="F2462" s="3">
        <v>0</v>
      </c>
      <c r="G2462" s="3">
        <v>782608.07</v>
      </c>
    </row>
    <row r="2463" spans="1:7" x14ac:dyDescent="0.2">
      <c r="A2463" s="3" t="s">
        <v>1069</v>
      </c>
      <c r="B2463" s="4">
        <v>44926</v>
      </c>
      <c r="C2463" s="3" t="s">
        <v>1180</v>
      </c>
      <c r="D2463" s="3" t="s">
        <v>1206</v>
      </c>
      <c r="E2463" s="3" t="s">
        <v>1207</v>
      </c>
      <c r="F2463" s="3">
        <v>0</v>
      </c>
      <c r="G2463" s="3">
        <v>166550</v>
      </c>
    </row>
    <row r="2464" spans="1:7" x14ac:dyDescent="0.2">
      <c r="A2464" s="3" t="s">
        <v>1069</v>
      </c>
      <c r="B2464" s="4">
        <v>44926</v>
      </c>
      <c r="C2464" s="3" t="s">
        <v>1180</v>
      </c>
      <c r="D2464" s="3" t="s">
        <v>1208</v>
      </c>
      <c r="E2464" s="3" t="s">
        <v>1209</v>
      </c>
      <c r="F2464" s="3">
        <v>0</v>
      </c>
      <c r="G2464" s="3">
        <v>45000</v>
      </c>
    </row>
    <row r="2465" spans="1:7" x14ac:dyDescent="0.2">
      <c r="A2465" s="3" t="s">
        <v>1069</v>
      </c>
      <c r="B2465" s="4">
        <v>44926</v>
      </c>
      <c r="C2465" s="3" t="s">
        <v>1180</v>
      </c>
      <c r="D2465" s="3" t="s">
        <v>1259</v>
      </c>
      <c r="E2465" s="3" t="s">
        <v>1260</v>
      </c>
      <c r="F2465" s="3">
        <v>6000</v>
      </c>
      <c r="G2465" s="3">
        <v>119000</v>
      </c>
    </row>
    <row r="2466" spans="1:7" x14ac:dyDescent="0.2">
      <c r="A2466" s="3" t="s">
        <v>1074</v>
      </c>
      <c r="B2466" s="4">
        <v>44926</v>
      </c>
      <c r="C2466" s="3" t="s">
        <v>1180</v>
      </c>
      <c r="D2466" s="3" t="s">
        <v>1578</v>
      </c>
      <c r="E2466" s="3" t="s">
        <v>1579</v>
      </c>
      <c r="F2466" s="3">
        <v>0</v>
      </c>
      <c r="G2466" s="3">
        <v>66190.11</v>
      </c>
    </row>
    <row r="2467" spans="1:7" x14ac:dyDescent="0.2">
      <c r="A2467" s="3" t="s">
        <v>1069</v>
      </c>
      <c r="B2467" s="4">
        <v>44926</v>
      </c>
      <c r="C2467" s="3" t="s">
        <v>1180</v>
      </c>
      <c r="D2467" s="3" t="s">
        <v>1265</v>
      </c>
      <c r="E2467" s="3" t="s">
        <v>1266</v>
      </c>
      <c r="F2467" s="3">
        <v>0</v>
      </c>
      <c r="G2467" s="3">
        <v>1021325.63</v>
      </c>
    </row>
    <row r="2468" spans="1:7" x14ac:dyDescent="0.2">
      <c r="A2468" s="3" t="s">
        <v>1074</v>
      </c>
      <c r="B2468" s="4">
        <v>44926</v>
      </c>
      <c r="C2468" s="3" t="s">
        <v>1180</v>
      </c>
      <c r="D2468" s="3" t="s">
        <v>1265</v>
      </c>
      <c r="E2468" s="3" t="s">
        <v>1518</v>
      </c>
      <c r="F2468" s="3">
        <v>0</v>
      </c>
      <c r="G2468" s="3">
        <v>1238365.93</v>
      </c>
    </row>
    <row r="2469" spans="1:7" x14ac:dyDescent="0.2">
      <c r="A2469" s="3" t="s">
        <v>1069</v>
      </c>
      <c r="B2469" s="4">
        <v>44926</v>
      </c>
      <c r="C2469" s="3" t="s">
        <v>1180</v>
      </c>
      <c r="D2469" s="3" t="s">
        <v>1423</v>
      </c>
      <c r="E2469" s="3" t="s">
        <v>1424</v>
      </c>
      <c r="F2469" s="3">
        <v>0</v>
      </c>
      <c r="G2469" s="3">
        <v>622274.51</v>
      </c>
    </row>
    <row r="2470" spans="1:7" x14ac:dyDescent="0.2">
      <c r="A2470" s="3" t="s">
        <v>1074</v>
      </c>
      <c r="B2470" s="4">
        <v>44926</v>
      </c>
      <c r="C2470" s="3" t="s">
        <v>1180</v>
      </c>
      <c r="D2470" s="3" t="s">
        <v>1519</v>
      </c>
      <c r="E2470" s="3" t="s">
        <v>1551</v>
      </c>
      <c r="F2470" s="3">
        <v>3750</v>
      </c>
      <c r="G2470" s="3">
        <v>15780</v>
      </c>
    </row>
    <row r="2471" spans="1:7" x14ac:dyDescent="0.2">
      <c r="A2471" s="3" t="s">
        <v>1069</v>
      </c>
      <c r="B2471" s="4">
        <v>44926</v>
      </c>
      <c r="C2471" s="3" t="s">
        <v>1180</v>
      </c>
      <c r="D2471" s="3" t="s">
        <v>1519</v>
      </c>
      <c r="E2471" s="3" t="s">
        <v>1520</v>
      </c>
      <c r="F2471" s="3">
        <v>0</v>
      </c>
      <c r="G2471" s="3">
        <v>985049.68</v>
      </c>
    </row>
    <row r="2472" spans="1:7" x14ac:dyDescent="0.2">
      <c r="A2472" s="3" t="s">
        <v>1074</v>
      </c>
      <c r="B2472" s="4">
        <v>44926</v>
      </c>
      <c r="C2472" s="3" t="s">
        <v>1180</v>
      </c>
      <c r="D2472" s="3" t="s">
        <v>1521</v>
      </c>
      <c r="E2472" s="3" t="s">
        <v>1522</v>
      </c>
      <c r="F2472" s="3">
        <v>0</v>
      </c>
      <c r="G2472" s="3">
        <v>11800</v>
      </c>
    </row>
    <row r="2473" spans="1:7" x14ac:dyDescent="0.2">
      <c r="A2473" s="3" t="s">
        <v>1074</v>
      </c>
      <c r="B2473" s="4">
        <v>44926</v>
      </c>
      <c r="C2473" s="3" t="s">
        <v>1180</v>
      </c>
      <c r="D2473" s="3" t="s">
        <v>1534</v>
      </c>
      <c r="E2473" s="3" t="s">
        <v>1535</v>
      </c>
      <c r="F2473" s="3">
        <v>0</v>
      </c>
      <c r="G2473" s="3">
        <v>250000</v>
      </c>
    </row>
    <row r="2474" spans="1:7" x14ac:dyDescent="0.2">
      <c r="A2474" s="3" t="s">
        <v>1074</v>
      </c>
      <c r="B2474" s="4">
        <v>44926</v>
      </c>
      <c r="C2474" s="3" t="s">
        <v>1180</v>
      </c>
      <c r="D2474" s="3" t="s">
        <v>1610</v>
      </c>
      <c r="E2474" s="3" t="s">
        <v>1611</v>
      </c>
      <c r="F2474" s="3">
        <v>812587.84</v>
      </c>
      <c r="G2474" s="3">
        <v>812587.84</v>
      </c>
    </row>
    <row r="2475" spans="1:7" x14ac:dyDescent="0.2">
      <c r="A2475" s="3" t="s">
        <v>1069</v>
      </c>
      <c r="B2475" s="4">
        <v>44926</v>
      </c>
      <c r="C2475" s="3" t="s">
        <v>1180</v>
      </c>
      <c r="D2475" s="3" t="s">
        <v>1529</v>
      </c>
      <c r="E2475" s="3" t="s">
        <v>1530</v>
      </c>
      <c r="F2475" s="3">
        <v>0</v>
      </c>
      <c r="G2475" s="3">
        <v>3023829.42</v>
      </c>
    </row>
    <row r="2476" spans="1:7" x14ac:dyDescent="0.2">
      <c r="A2476" s="3" t="s">
        <v>1069</v>
      </c>
      <c r="B2476" s="4">
        <v>44926</v>
      </c>
      <c r="C2476" s="3" t="s">
        <v>1180</v>
      </c>
      <c r="D2476" s="3" t="s">
        <v>1536</v>
      </c>
      <c r="E2476" s="3" t="s">
        <v>1537</v>
      </c>
      <c r="F2476" s="3">
        <v>400000</v>
      </c>
      <c r="G2476" s="3">
        <v>1250000</v>
      </c>
    </row>
    <row r="2477" spans="1:7" x14ac:dyDescent="0.2">
      <c r="A2477" s="3" t="s">
        <v>1072</v>
      </c>
      <c r="B2477" s="4">
        <v>44926</v>
      </c>
      <c r="C2477" s="3" t="s">
        <v>1180</v>
      </c>
      <c r="D2477" s="3" t="s">
        <v>1425</v>
      </c>
      <c r="E2477" s="3" t="s">
        <v>1426</v>
      </c>
      <c r="F2477" s="3">
        <v>0</v>
      </c>
      <c r="G2477" s="3">
        <v>8387.9500000000007</v>
      </c>
    </row>
    <row r="2478" spans="1:7" x14ac:dyDescent="0.2">
      <c r="A2478" s="3" t="s">
        <v>1072</v>
      </c>
      <c r="B2478" s="4">
        <v>44926</v>
      </c>
      <c r="C2478" s="3" t="s">
        <v>1180</v>
      </c>
      <c r="D2478" s="3" t="s">
        <v>1427</v>
      </c>
      <c r="E2478" s="3" t="s">
        <v>1428</v>
      </c>
      <c r="F2478" s="3">
        <v>-6868531.6100000003</v>
      </c>
      <c r="G2478" s="3">
        <v>-3154899.4</v>
      </c>
    </row>
    <row r="2479" spans="1:7" x14ac:dyDescent="0.2">
      <c r="A2479" s="3" t="s">
        <v>1069</v>
      </c>
      <c r="B2479" s="4">
        <v>44926</v>
      </c>
      <c r="C2479" s="3" t="s">
        <v>1180</v>
      </c>
      <c r="D2479" s="3" t="s">
        <v>1427</v>
      </c>
      <c r="E2479" s="3" t="s">
        <v>1428</v>
      </c>
      <c r="F2479" s="3">
        <v>-10000</v>
      </c>
      <c r="G2479" s="3">
        <v>0</v>
      </c>
    </row>
    <row r="2480" spans="1:7" x14ac:dyDescent="0.2">
      <c r="A2480" s="3" t="s">
        <v>1072</v>
      </c>
      <c r="B2480" s="4">
        <v>44926</v>
      </c>
      <c r="C2480" s="3" t="s">
        <v>1180</v>
      </c>
      <c r="D2480" s="3" t="s">
        <v>1429</v>
      </c>
      <c r="E2480" s="3" t="s">
        <v>1430</v>
      </c>
      <c r="F2480" s="3">
        <v>-2719.44</v>
      </c>
      <c r="G2480" s="3">
        <v>8158.31</v>
      </c>
    </row>
    <row r="2481" spans="1:7" x14ac:dyDescent="0.2">
      <c r="A2481" s="3" t="s">
        <v>1069</v>
      </c>
      <c r="B2481" s="4">
        <v>44926</v>
      </c>
      <c r="C2481" s="3" t="s">
        <v>1180</v>
      </c>
      <c r="D2481" s="3" t="s">
        <v>1187</v>
      </c>
      <c r="E2481" s="3" t="s">
        <v>1188</v>
      </c>
      <c r="F2481" s="3">
        <v>-632783.25</v>
      </c>
      <c r="G2481" s="3">
        <v>1036434.24</v>
      </c>
    </row>
    <row r="2482" spans="1:7" x14ac:dyDescent="0.2">
      <c r="A2482" s="3" t="s">
        <v>1072</v>
      </c>
      <c r="B2482" s="4">
        <v>44926</v>
      </c>
      <c r="C2482" s="3" t="s">
        <v>1180</v>
      </c>
      <c r="D2482" s="3" t="s">
        <v>1187</v>
      </c>
      <c r="E2482" s="3" t="s">
        <v>1433</v>
      </c>
      <c r="F2482" s="3">
        <v>-907077.23</v>
      </c>
      <c r="G2482" s="3">
        <v>906656.42</v>
      </c>
    </row>
    <row r="2483" spans="1:7" x14ac:dyDescent="0.2">
      <c r="A2483" s="3" t="s">
        <v>1072</v>
      </c>
      <c r="B2483" s="4">
        <v>44926</v>
      </c>
      <c r="C2483" s="3" t="s">
        <v>1180</v>
      </c>
      <c r="D2483" s="3" t="s">
        <v>1435</v>
      </c>
      <c r="E2483" s="3" t="s">
        <v>1436</v>
      </c>
      <c r="F2483" s="3">
        <v>0</v>
      </c>
      <c r="G2483" s="3">
        <v>527.86</v>
      </c>
    </row>
    <row r="2484" spans="1:7" x14ac:dyDescent="0.2">
      <c r="A2484" s="3" t="s">
        <v>1069</v>
      </c>
      <c r="B2484" s="4">
        <v>44926</v>
      </c>
      <c r="C2484" s="3" t="s">
        <v>1180</v>
      </c>
      <c r="D2484" s="3" t="s">
        <v>1243</v>
      </c>
      <c r="E2484" s="3" t="s">
        <v>1244</v>
      </c>
      <c r="F2484" s="3">
        <v>4.53</v>
      </c>
      <c r="G2484" s="3">
        <v>818.47</v>
      </c>
    </row>
    <row r="2485" spans="1:7" x14ac:dyDescent="0.2">
      <c r="A2485" s="3" t="s">
        <v>1069</v>
      </c>
      <c r="B2485" s="4">
        <v>44926</v>
      </c>
      <c r="C2485" s="3" t="s">
        <v>1180</v>
      </c>
      <c r="D2485" s="3" t="s">
        <v>1245</v>
      </c>
      <c r="E2485" s="3" t="s">
        <v>1246</v>
      </c>
      <c r="F2485" s="3">
        <v>40316.31</v>
      </c>
      <c r="G2485" s="3">
        <v>9756277.9199999999</v>
      </c>
    </row>
    <row r="2486" spans="1:7" x14ac:dyDescent="0.2">
      <c r="A2486" s="3" t="s">
        <v>1072</v>
      </c>
      <c r="B2486" s="4">
        <v>44926</v>
      </c>
      <c r="C2486" s="3" t="s">
        <v>1175</v>
      </c>
      <c r="D2486" s="3" t="s">
        <v>1437</v>
      </c>
      <c r="E2486" s="3" t="s">
        <v>1438</v>
      </c>
      <c r="F2486" s="3">
        <v>123.93</v>
      </c>
      <c r="G2486" s="3">
        <v>123.44</v>
      </c>
    </row>
    <row r="2487" spans="1:7" x14ac:dyDescent="0.2">
      <c r="A2487" s="3" t="s">
        <v>1069</v>
      </c>
      <c r="B2487" s="4">
        <v>44926</v>
      </c>
      <c r="C2487" s="3" t="s">
        <v>1175</v>
      </c>
      <c r="D2487" s="3" t="s">
        <v>1437</v>
      </c>
      <c r="E2487" s="3" t="s">
        <v>1438</v>
      </c>
      <c r="F2487" s="3">
        <v>0.03</v>
      </c>
      <c r="G2487" s="3">
        <v>0.03</v>
      </c>
    </row>
    <row r="2488" spans="1:7" x14ac:dyDescent="0.2">
      <c r="A2488" s="3" t="s">
        <v>1072</v>
      </c>
      <c r="B2488" s="4">
        <v>44926</v>
      </c>
      <c r="C2488" s="3" t="s">
        <v>1175</v>
      </c>
      <c r="D2488" s="3" t="s">
        <v>1191</v>
      </c>
      <c r="E2488" s="3" t="s">
        <v>1192</v>
      </c>
      <c r="F2488" s="3">
        <v>3238614.62</v>
      </c>
      <c r="G2488" s="3">
        <v>-1467015.1</v>
      </c>
    </row>
    <row r="2489" spans="1:7" x14ac:dyDescent="0.2">
      <c r="A2489" s="3" t="s">
        <v>1069</v>
      </c>
      <c r="B2489" s="4">
        <v>44926</v>
      </c>
      <c r="C2489" s="3" t="s">
        <v>1175</v>
      </c>
      <c r="D2489" s="3" t="s">
        <v>1191</v>
      </c>
      <c r="E2489" s="3" t="s">
        <v>1192</v>
      </c>
      <c r="F2489" s="3">
        <v>-4846247.79</v>
      </c>
      <c r="G2489" s="3">
        <v>-108609544.12</v>
      </c>
    </row>
    <row r="2490" spans="1:7" x14ac:dyDescent="0.2">
      <c r="A2490" s="3" t="s">
        <v>1074</v>
      </c>
      <c r="B2490" s="4">
        <v>44926</v>
      </c>
      <c r="C2490" s="3" t="s">
        <v>1175</v>
      </c>
      <c r="D2490" s="3" t="s">
        <v>1191</v>
      </c>
      <c r="E2490" s="3" t="s">
        <v>1192</v>
      </c>
      <c r="F2490" s="3">
        <v>-675041.64</v>
      </c>
      <c r="G2490" s="3">
        <v>-1390900.17</v>
      </c>
    </row>
    <row r="2491" spans="1:7" x14ac:dyDescent="0.2">
      <c r="A2491" s="3" t="s">
        <v>1072</v>
      </c>
      <c r="B2491" s="4">
        <v>44926</v>
      </c>
      <c r="C2491" s="3" t="s">
        <v>1175</v>
      </c>
      <c r="D2491" s="3" t="s">
        <v>1488</v>
      </c>
      <c r="E2491" s="3" t="s">
        <v>1489</v>
      </c>
      <c r="F2491" s="3">
        <v>0</v>
      </c>
      <c r="G2491" s="3">
        <v>1186.1300000000001</v>
      </c>
    </row>
    <row r="2492" spans="1:7" x14ac:dyDescent="0.2">
      <c r="A2492" s="3" t="s">
        <v>1072</v>
      </c>
      <c r="B2492" s="4">
        <v>44926</v>
      </c>
      <c r="C2492" s="3" t="s">
        <v>1175</v>
      </c>
      <c r="D2492" s="3" t="s">
        <v>1439</v>
      </c>
      <c r="E2492" s="3" t="s">
        <v>1440</v>
      </c>
      <c r="F2492" s="3">
        <v>0</v>
      </c>
      <c r="G2492" s="3">
        <v>20758.55</v>
      </c>
    </row>
    <row r="2493" spans="1:7" x14ac:dyDescent="0.2">
      <c r="A2493" s="3" t="s">
        <v>1072</v>
      </c>
      <c r="B2493" s="4">
        <v>44926</v>
      </c>
      <c r="C2493" s="3" t="s">
        <v>1175</v>
      </c>
      <c r="D2493" s="3" t="s">
        <v>1441</v>
      </c>
      <c r="E2493" s="3" t="s">
        <v>1442</v>
      </c>
      <c r="F2493" s="3">
        <v>-473.45</v>
      </c>
      <c r="G2493" s="3">
        <v>-30430</v>
      </c>
    </row>
    <row r="2494" spans="1:7" x14ac:dyDescent="0.2">
      <c r="A2494" s="3" t="s">
        <v>1072</v>
      </c>
      <c r="B2494" s="4">
        <v>44926</v>
      </c>
      <c r="C2494" s="3" t="s">
        <v>1175</v>
      </c>
      <c r="D2494" s="3" t="s">
        <v>1464</v>
      </c>
      <c r="E2494" s="3" t="s">
        <v>1465</v>
      </c>
      <c r="F2494" s="3">
        <v>-6809.25</v>
      </c>
      <c r="G2494" s="3">
        <v>-18158</v>
      </c>
    </row>
    <row r="2495" spans="1:7" x14ac:dyDescent="0.2">
      <c r="A2495" s="3" t="s">
        <v>1072</v>
      </c>
      <c r="B2495" s="4">
        <v>44926</v>
      </c>
      <c r="C2495" s="3" t="s">
        <v>1175</v>
      </c>
      <c r="D2495" s="3" t="s">
        <v>1193</v>
      </c>
      <c r="E2495" s="3" t="s">
        <v>1443</v>
      </c>
      <c r="F2495" s="3">
        <v>64357.31</v>
      </c>
      <c r="G2495" s="3">
        <v>-191567.39</v>
      </c>
    </row>
    <row r="2496" spans="1:7" x14ac:dyDescent="0.2">
      <c r="A2496" s="3" t="s">
        <v>1069</v>
      </c>
      <c r="B2496" s="4">
        <v>44926</v>
      </c>
      <c r="C2496" s="3" t="s">
        <v>1175</v>
      </c>
      <c r="D2496" s="3" t="s">
        <v>1193</v>
      </c>
      <c r="E2496" s="3" t="s">
        <v>1194</v>
      </c>
      <c r="F2496" s="3">
        <v>-362432.27</v>
      </c>
      <c r="G2496" s="3">
        <v>-1850563.24</v>
      </c>
    </row>
    <row r="2497" spans="1:7" x14ac:dyDescent="0.2">
      <c r="A2497" s="3" t="s">
        <v>1074</v>
      </c>
      <c r="B2497" s="4">
        <v>44926</v>
      </c>
      <c r="C2497" s="3" t="s">
        <v>1175</v>
      </c>
      <c r="D2497" s="3" t="s">
        <v>1193</v>
      </c>
      <c r="E2497" s="3" t="s">
        <v>1194</v>
      </c>
      <c r="F2497" s="3">
        <v>121888.18</v>
      </c>
      <c r="G2497" s="3">
        <v>416864.72</v>
      </c>
    </row>
    <row r="2498" spans="1:7" x14ac:dyDescent="0.2">
      <c r="A2498" s="3" t="s">
        <v>1069</v>
      </c>
      <c r="B2498" s="4">
        <v>44926</v>
      </c>
      <c r="C2498" s="3" t="s">
        <v>1175</v>
      </c>
      <c r="D2498" s="3" t="s">
        <v>1580</v>
      </c>
      <c r="E2498" s="3" t="s">
        <v>1581</v>
      </c>
      <c r="F2498" s="3">
        <v>0</v>
      </c>
      <c r="G2498" s="3">
        <v>74995</v>
      </c>
    </row>
    <row r="2499" spans="1:7" x14ac:dyDescent="0.2">
      <c r="A2499" s="3" t="s">
        <v>1069</v>
      </c>
      <c r="B2499" s="4">
        <v>44926</v>
      </c>
      <c r="C2499" s="3" t="s">
        <v>1175</v>
      </c>
      <c r="D2499" s="3" t="s">
        <v>1582</v>
      </c>
      <c r="E2499" s="3" t="s">
        <v>1583</v>
      </c>
      <c r="F2499" s="3">
        <v>0</v>
      </c>
      <c r="G2499" s="3">
        <v>74995</v>
      </c>
    </row>
    <row r="2500" spans="1:7" x14ac:dyDescent="0.2">
      <c r="A2500" s="3" t="s">
        <v>1069</v>
      </c>
      <c r="B2500" s="4">
        <v>44926</v>
      </c>
      <c r="C2500" s="3" t="s">
        <v>1175</v>
      </c>
      <c r="D2500" s="3" t="s">
        <v>1584</v>
      </c>
      <c r="E2500" s="3" t="s">
        <v>1585</v>
      </c>
      <c r="F2500" s="3">
        <v>0</v>
      </c>
      <c r="G2500" s="3">
        <v>77495</v>
      </c>
    </row>
    <row r="2501" spans="1:7" x14ac:dyDescent="0.2">
      <c r="A2501" s="3" t="s">
        <v>1069</v>
      </c>
      <c r="B2501" s="4">
        <v>44926</v>
      </c>
      <c r="C2501" s="3" t="s">
        <v>1175</v>
      </c>
      <c r="D2501" s="3" t="s">
        <v>1586</v>
      </c>
      <c r="E2501" s="3" t="s">
        <v>1587</v>
      </c>
      <c r="F2501" s="3">
        <v>0</v>
      </c>
      <c r="G2501" s="3">
        <v>76995</v>
      </c>
    </row>
    <row r="2502" spans="1:7" x14ac:dyDescent="0.2">
      <c r="A2502" s="3" t="s">
        <v>1069</v>
      </c>
      <c r="B2502" s="4">
        <v>44926</v>
      </c>
      <c r="C2502" s="3" t="s">
        <v>1175</v>
      </c>
      <c r="D2502" s="3" t="s">
        <v>1588</v>
      </c>
      <c r="E2502" s="3" t="s">
        <v>1589</v>
      </c>
      <c r="F2502" s="3">
        <v>0</v>
      </c>
      <c r="G2502" s="3">
        <v>77495</v>
      </c>
    </row>
    <row r="2503" spans="1:7" x14ac:dyDescent="0.2">
      <c r="A2503" s="3" t="s">
        <v>1069</v>
      </c>
      <c r="B2503" s="4">
        <v>44926</v>
      </c>
      <c r="C2503" s="3" t="s">
        <v>1175</v>
      </c>
      <c r="D2503" s="3" t="s">
        <v>1590</v>
      </c>
      <c r="E2503" s="3" t="s">
        <v>1591</v>
      </c>
      <c r="F2503" s="3">
        <v>0</v>
      </c>
      <c r="G2503" s="3">
        <v>62495</v>
      </c>
    </row>
    <row r="2504" spans="1:7" x14ac:dyDescent="0.2">
      <c r="A2504" s="3" t="s">
        <v>1069</v>
      </c>
      <c r="B2504" s="4">
        <v>44926</v>
      </c>
      <c r="C2504" s="3" t="s">
        <v>1175</v>
      </c>
      <c r="D2504" s="3" t="s">
        <v>1592</v>
      </c>
      <c r="E2504" s="3" t="s">
        <v>1593</v>
      </c>
      <c r="F2504" s="3">
        <v>0</v>
      </c>
      <c r="G2504" s="3">
        <v>64995</v>
      </c>
    </row>
    <row r="2505" spans="1:7" x14ac:dyDescent="0.2">
      <c r="A2505" s="3" t="s">
        <v>1069</v>
      </c>
      <c r="B2505" s="4">
        <v>44926</v>
      </c>
      <c r="C2505" s="3" t="s">
        <v>1175</v>
      </c>
      <c r="D2505" s="3" t="s">
        <v>1594</v>
      </c>
      <c r="E2505" s="3" t="s">
        <v>1595</v>
      </c>
      <c r="F2505" s="3">
        <v>0</v>
      </c>
      <c r="G2505" s="3">
        <v>67495</v>
      </c>
    </row>
    <row r="2506" spans="1:7" x14ac:dyDescent="0.2">
      <c r="A2506" s="3" t="s">
        <v>1069</v>
      </c>
      <c r="B2506" s="4">
        <v>44926</v>
      </c>
      <c r="C2506" s="3" t="s">
        <v>1175</v>
      </c>
      <c r="D2506" s="3" t="s">
        <v>1612</v>
      </c>
      <c r="E2506" s="3" t="s">
        <v>1613</v>
      </c>
      <c r="F2506" s="3">
        <v>67495</v>
      </c>
      <c r="G2506" s="3">
        <v>67495</v>
      </c>
    </row>
    <row r="2507" spans="1:7" x14ac:dyDescent="0.2">
      <c r="A2507" s="3" t="s">
        <v>1069</v>
      </c>
      <c r="B2507" s="4">
        <v>44926</v>
      </c>
      <c r="C2507" s="3" t="s">
        <v>1175</v>
      </c>
      <c r="D2507" s="3" t="s">
        <v>1614</v>
      </c>
      <c r="E2507" s="3" t="s">
        <v>1615</v>
      </c>
      <c r="F2507" s="3">
        <v>69495</v>
      </c>
      <c r="G2507" s="3">
        <v>69495</v>
      </c>
    </row>
    <row r="2508" spans="1:7" x14ac:dyDescent="0.2">
      <c r="A2508" s="3" t="s">
        <v>1069</v>
      </c>
      <c r="B2508" s="4">
        <v>44926</v>
      </c>
      <c r="C2508" s="3" t="s">
        <v>1175</v>
      </c>
      <c r="D2508" s="3" t="s">
        <v>1616</v>
      </c>
      <c r="E2508" s="3" t="s">
        <v>1617</v>
      </c>
      <c r="F2508" s="3">
        <v>77995</v>
      </c>
      <c r="G2508" s="3">
        <v>77995</v>
      </c>
    </row>
    <row r="2509" spans="1:7" x14ac:dyDescent="0.2">
      <c r="A2509" s="3" t="s">
        <v>1069</v>
      </c>
      <c r="B2509" s="4">
        <v>44926</v>
      </c>
      <c r="C2509" s="3" t="s">
        <v>1175</v>
      </c>
      <c r="D2509" s="3" t="s">
        <v>1596</v>
      </c>
      <c r="E2509" s="3" t="s">
        <v>1597</v>
      </c>
      <c r="F2509" s="3">
        <v>0</v>
      </c>
      <c r="G2509" s="3">
        <v>76745</v>
      </c>
    </row>
    <row r="2510" spans="1:7" x14ac:dyDescent="0.2">
      <c r="A2510" s="3" t="s">
        <v>1072</v>
      </c>
      <c r="B2510" s="4">
        <v>44926</v>
      </c>
      <c r="C2510" s="3" t="s">
        <v>1175</v>
      </c>
      <c r="D2510" s="3" t="s">
        <v>1444</v>
      </c>
      <c r="E2510" s="3" t="s">
        <v>1445</v>
      </c>
      <c r="F2510" s="3">
        <v>0</v>
      </c>
      <c r="G2510" s="3">
        <v>1869.8</v>
      </c>
    </row>
    <row r="2511" spans="1:7" x14ac:dyDescent="0.2">
      <c r="A2511" s="3" t="s">
        <v>1072</v>
      </c>
      <c r="B2511" s="4">
        <v>44926</v>
      </c>
      <c r="C2511" s="3" t="s">
        <v>1175</v>
      </c>
      <c r="D2511" s="3" t="s">
        <v>1446</v>
      </c>
      <c r="E2511" s="3" t="s">
        <v>1447</v>
      </c>
      <c r="F2511" s="3">
        <v>0</v>
      </c>
      <c r="G2511" s="3">
        <v>-254.99</v>
      </c>
    </row>
    <row r="2512" spans="1:7" x14ac:dyDescent="0.2">
      <c r="A2512" s="3" t="s">
        <v>1069</v>
      </c>
      <c r="B2512" s="4">
        <v>44957</v>
      </c>
      <c r="C2512" s="3" t="s">
        <v>1210</v>
      </c>
      <c r="D2512" s="3" t="s">
        <v>1552</v>
      </c>
      <c r="E2512" s="3" t="s">
        <v>1553</v>
      </c>
      <c r="F2512" s="3">
        <v>-10938347.82</v>
      </c>
      <c r="G2512" s="3">
        <v>-33655043.490000002</v>
      </c>
    </row>
    <row r="2513" spans="1:7" x14ac:dyDescent="0.2">
      <c r="A2513" s="3" t="s">
        <v>1069</v>
      </c>
      <c r="B2513" s="4">
        <v>44957</v>
      </c>
      <c r="C2513" s="3" t="s">
        <v>1210</v>
      </c>
      <c r="D2513" s="3" t="s">
        <v>1554</v>
      </c>
      <c r="E2513" s="3" t="s">
        <v>1555</v>
      </c>
      <c r="F2513" s="3">
        <v>-23741.94</v>
      </c>
      <c r="G2513" s="3">
        <v>-112833.33</v>
      </c>
    </row>
    <row r="2514" spans="1:7" x14ac:dyDescent="0.2">
      <c r="A2514" s="3" t="s">
        <v>1069</v>
      </c>
      <c r="B2514" s="4">
        <v>44957</v>
      </c>
      <c r="C2514" s="3" t="s">
        <v>1210</v>
      </c>
      <c r="D2514" s="3" t="s">
        <v>1618</v>
      </c>
      <c r="E2514" s="3" t="s">
        <v>1619</v>
      </c>
      <c r="F2514" s="3">
        <v>-35916.78</v>
      </c>
      <c r="G2514" s="3">
        <v>-35916.78</v>
      </c>
    </row>
    <row r="2515" spans="1:7" x14ac:dyDescent="0.2">
      <c r="A2515" s="3" t="s">
        <v>1072</v>
      </c>
      <c r="B2515" s="4">
        <v>44957</v>
      </c>
      <c r="C2515" s="3" t="s">
        <v>1210</v>
      </c>
      <c r="D2515" s="3" t="s">
        <v>1448</v>
      </c>
      <c r="E2515" s="3" t="s">
        <v>1449</v>
      </c>
      <c r="F2515" s="3">
        <v>-1980000</v>
      </c>
      <c r="G2515" s="3">
        <v>-47812766.890000001</v>
      </c>
    </row>
    <row r="2516" spans="1:7" x14ac:dyDescent="0.2">
      <c r="A2516" s="3" t="s">
        <v>1072</v>
      </c>
      <c r="B2516" s="4">
        <v>44957</v>
      </c>
      <c r="C2516" s="3" t="s">
        <v>1210</v>
      </c>
      <c r="D2516" s="3" t="s">
        <v>1267</v>
      </c>
      <c r="E2516" s="3" t="s">
        <v>1268</v>
      </c>
      <c r="F2516" s="3">
        <v>0</v>
      </c>
      <c r="G2516" s="3">
        <v>-12046638.060000001</v>
      </c>
    </row>
    <row r="2517" spans="1:7" x14ac:dyDescent="0.2">
      <c r="A2517" s="3" t="s">
        <v>1072</v>
      </c>
      <c r="B2517" s="4">
        <v>44957</v>
      </c>
      <c r="C2517" s="3" t="s">
        <v>1210</v>
      </c>
      <c r="D2517" s="3" t="s">
        <v>1507</v>
      </c>
      <c r="E2517" s="3" t="s">
        <v>1508</v>
      </c>
      <c r="F2517" s="3">
        <v>0</v>
      </c>
      <c r="G2517" s="3">
        <v>-1782369.8</v>
      </c>
    </row>
    <row r="2518" spans="1:7" x14ac:dyDescent="0.2">
      <c r="A2518" s="3" t="s">
        <v>1072</v>
      </c>
      <c r="B2518" s="4">
        <v>44957</v>
      </c>
      <c r="C2518" s="3" t="s">
        <v>1210</v>
      </c>
      <c r="D2518" s="3" t="s">
        <v>1525</v>
      </c>
      <c r="E2518" s="3" t="s">
        <v>1526</v>
      </c>
      <c r="F2518" s="3">
        <v>0</v>
      </c>
      <c r="G2518" s="3">
        <v>1616.91</v>
      </c>
    </row>
    <row r="2519" spans="1:7" x14ac:dyDescent="0.2">
      <c r="A2519" s="3" t="s">
        <v>1072</v>
      </c>
      <c r="B2519" s="4">
        <v>44957</v>
      </c>
      <c r="C2519" s="3" t="s">
        <v>1210</v>
      </c>
      <c r="D2519" s="3" t="s">
        <v>1271</v>
      </c>
      <c r="E2519" s="3" t="s">
        <v>1272</v>
      </c>
      <c r="F2519" s="3">
        <v>0</v>
      </c>
      <c r="G2519" s="3">
        <v>-2839.7</v>
      </c>
    </row>
    <row r="2520" spans="1:7" x14ac:dyDescent="0.2">
      <c r="A2520" s="3" t="s">
        <v>1072</v>
      </c>
      <c r="B2520" s="4">
        <v>44957</v>
      </c>
      <c r="C2520" s="3" t="s">
        <v>1210</v>
      </c>
      <c r="D2520" s="3" t="s">
        <v>1273</v>
      </c>
      <c r="E2520" s="3" t="s">
        <v>1274</v>
      </c>
      <c r="F2520" s="3">
        <v>0</v>
      </c>
      <c r="G2520" s="3">
        <v>-31418.46</v>
      </c>
    </row>
    <row r="2521" spans="1:7" x14ac:dyDescent="0.2">
      <c r="A2521" s="3" t="s">
        <v>1074</v>
      </c>
      <c r="B2521" s="4">
        <v>44957</v>
      </c>
      <c r="C2521" s="3" t="s">
        <v>1168</v>
      </c>
      <c r="D2521" s="3" t="s">
        <v>1538</v>
      </c>
      <c r="E2521" s="3" t="s">
        <v>1539</v>
      </c>
      <c r="F2521" s="3">
        <v>0</v>
      </c>
      <c r="G2521" s="3">
        <v>678.59</v>
      </c>
    </row>
    <row r="2522" spans="1:7" x14ac:dyDescent="0.2">
      <c r="A2522" s="3" t="s">
        <v>1069</v>
      </c>
      <c r="B2522" s="4">
        <v>44957</v>
      </c>
      <c r="C2522" s="3" t="s">
        <v>1168</v>
      </c>
      <c r="D2522" s="3" t="s">
        <v>1514</v>
      </c>
      <c r="E2522" s="3" t="s">
        <v>1515</v>
      </c>
      <c r="F2522" s="3">
        <v>0</v>
      </c>
      <c r="G2522" s="3">
        <v>86956.52</v>
      </c>
    </row>
    <row r="2523" spans="1:7" x14ac:dyDescent="0.2">
      <c r="A2523" s="3" t="s">
        <v>1069</v>
      </c>
      <c r="B2523" s="4">
        <v>44957</v>
      </c>
      <c r="C2523" s="3" t="s">
        <v>1168</v>
      </c>
      <c r="D2523" s="3" t="s">
        <v>1531</v>
      </c>
      <c r="E2523" s="3" t="s">
        <v>1532</v>
      </c>
      <c r="F2523" s="3">
        <v>190695.35</v>
      </c>
      <c r="G2523" s="3">
        <v>780843.3</v>
      </c>
    </row>
    <row r="2524" spans="1:7" x14ac:dyDescent="0.2">
      <c r="A2524" s="3" t="s">
        <v>1069</v>
      </c>
      <c r="B2524" s="4">
        <v>44957</v>
      </c>
      <c r="C2524" s="3" t="s">
        <v>1168</v>
      </c>
      <c r="D2524" s="3" t="s">
        <v>1540</v>
      </c>
      <c r="E2524" s="3" t="s">
        <v>1541</v>
      </c>
      <c r="F2524" s="3">
        <v>0</v>
      </c>
      <c r="G2524" s="3">
        <v>9738.91</v>
      </c>
    </row>
    <row r="2525" spans="1:7" x14ac:dyDescent="0.2">
      <c r="A2525" s="3" t="s">
        <v>1069</v>
      </c>
      <c r="B2525" s="4">
        <v>44957</v>
      </c>
      <c r="C2525" s="3" t="s">
        <v>1168</v>
      </c>
      <c r="D2525" s="3" t="s">
        <v>1556</v>
      </c>
      <c r="E2525" s="3" t="s">
        <v>1557</v>
      </c>
      <c r="F2525" s="3">
        <v>14453.64</v>
      </c>
      <c r="G2525" s="3">
        <v>217104.12</v>
      </c>
    </row>
    <row r="2526" spans="1:7" x14ac:dyDescent="0.2">
      <c r="A2526" s="3" t="s">
        <v>1069</v>
      </c>
      <c r="B2526" s="4">
        <v>44957</v>
      </c>
      <c r="C2526" s="3" t="s">
        <v>1168</v>
      </c>
      <c r="D2526" s="3" t="s">
        <v>1558</v>
      </c>
      <c r="E2526" s="3" t="s">
        <v>1559</v>
      </c>
      <c r="F2526" s="3">
        <v>974495.64</v>
      </c>
      <c r="G2526" s="3">
        <v>1356034.77</v>
      </c>
    </row>
    <row r="2527" spans="1:7" x14ac:dyDescent="0.2">
      <c r="A2527" s="3" t="s">
        <v>1072</v>
      </c>
      <c r="B2527" s="4">
        <v>44957</v>
      </c>
      <c r="C2527" s="3" t="s">
        <v>1168</v>
      </c>
      <c r="D2527" s="3" t="s">
        <v>1598</v>
      </c>
      <c r="E2527" s="3" t="s">
        <v>1599</v>
      </c>
      <c r="F2527" s="3">
        <v>0</v>
      </c>
      <c r="G2527" s="3">
        <v>6160.34</v>
      </c>
    </row>
    <row r="2528" spans="1:7" x14ac:dyDescent="0.2">
      <c r="A2528" s="3" t="s">
        <v>1072</v>
      </c>
      <c r="B2528" s="4">
        <v>44957</v>
      </c>
      <c r="C2528" s="3" t="s">
        <v>1168</v>
      </c>
      <c r="D2528" s="3" t="s">
        <v>1600</v>
      </c>
      <c r="E2528" s="3" t="s">
        <v>1601</v>
      </c>
      <c r="F2528" s="3">
        <v>0</v>
      </c>
      <c r="G2528" s="3">
        <v>250</v>
      </c>
    </row>
    <row r="2529" spans="1:7" x14ac:dyDescent="0.2">
      <c r="A2529" s="3" t="s">
        <v>1072</v>
      </c>
      <c r="B2529" s="4">
        <v>44957</v>
      </c>
      <c r="C2529" s="3" t="s">
        <v>1168</v>
      </c>
      <c r="D2529" s="3" t="s">
        <v>1602</v>
      </c>
      <c r="E2529" s="3" t="s">
        <v>1603</v>
      </c>
      <c r="F2529" s="3">
        <v>0</v>
      </c>
      <c r="G2529" s="3">
        <v>1876.17</v>
      </c>
    </row>
    <row r="2530" spans="1:7" x14ac:dyDescent="0.2">
      <c r="A2530" s="3" t="s">
        <v>1072</v>
      </c>
      <c r="B2530" s="4">
        <v>44957</v>
      </c>
      <c r="C2530" s="3" t="s">
        <v>1168</v>
      </c>
      <c r="D2530" s="3" t="s">
        <v>1604</v>
      </c>
      <c r="E2530" s="3" t="s">
        <v>1605</v>
      </c>
      <c r="F2530" s="3">
        <v>0</v>
      </c>
      <c r="G2530" s="3">
        <v>4440.6099999999997</v>
      </c>
    </row>
    <row r="2531" spans="1:7" x14ac:dyDescent="0.2">
      <c r="A2531" s="3" t="s">
        <v>1072</v>
      </c>
      <c r="B2531" s="4">
        <v>44957</v>
      </c>
      <c r="C2531" s="3" t="s">
        <v>1168</v>
      </c>
      <c r="D2531" s="3" t="s">
        <v>1606</v>
      </c>
      <c r="E2531" s="3" t="s">
        <v>1607</v>
      </c>
      <c r="F2531" s="3">
        <v>0</v>
      </c>
      <c r="G2531" s="3">
        <v>31736.5</v>
      </c>
    </row>
    <row r="2532" spans="1:7" x14ac:dyDescent="0.2">
      <c r="A2532" s="3" t="s">
        <v>1072</v>
      </c>
      <c r="B2532" s="4">
        <v>44957</v>
      </c>
      <c r="C2532" s="3" t="s">
        <v>1168</v>
      </c>
      <c r="D2532" s="3" t="s">
        <v>1545</v>
      </c>
      <c r="E2532" s="3" t="s">
        <v>1546</v>
      </c>
      <c r="F2532" s="3">
        <v>0</v>
      </c>
      <c r="G2532" s="3">
        <v>-762078.59</v>
      </c>
    </row>
    <row r="2533" spans="1:7" x14ac:dyDescent="0.2">
      <c r="A2533" s="3" t="s">
        <v>1072</v>
      </c>
      <c r="B2533" s="4">
        <v>44957</v>
      </c>
      <c r="C2533" s="3" t="s">
        <v>1168</v>
      </c>
      <c r="D2533" s="3" t="s">
        <v>1466</v>
      </c>
      <c r="E2533" s="3" t="s">
        <v>1467</v>
      </c>
      <c r="F2533" s="3">
        <v>0</v>
      </c>
      <c r="G2533" s="3">
        <v>957.28</v>
      </c>
    </row>
    <row r="2534" spans="1:7" x14ac:dyDescent="0.2">
      <c r="A2534" s="3" t="s">
        <v>1072</v>
      </c>
      <c r="B2534" s="4">
        <v>44957</v>
      </c>
      <c r="C2534" s="3" t="s">
        <v>1168</v>
      </c>
      <c r="D2534" s="3" t="s">
        <v>1281</v>
      </c>
      <c r="E2534" s="3" t="s">
        <v>1282</v>
      </c>
      <c r="F2534" s="3">
        <v>287574.43</v>
      </c>
      <c r="G2534" s="3">
        <v>16748877.41</v>
      </c>
    </row>
    <row r="2535" spans="1:7" x14ac:dyDescent="0.2">
      <c r="A2535" s="3" t="s">
        <v>1072</v>
      </c>
      <c r="B2535" s="4">
        <v>44957</v>
      </c>
      <c r="C2535" s="3" t="s">
        <v>1168</v>
      </c>
      <c r="D2535" s="3" t="s">
        <v>1283</v>
      </c>
      <c r="E2535" s="3" t="s">
        <v>1284</v>
      </c>
      <c r="F2535" s="3">
        <v>4500</v>
      </c>
      <c r="G2535" s="3">
        <v>994244.35</v>
      </c>
    </row>
    <row r="2536" spans="1:7" x14ac:dyDescent="0.2">
      <c r="A2536" s="3" t="s">
        <v>1072</v>
      </c>
      <c r="B2536" s="4">
        <v>44957</v>
      </c>
      <c r="C2536" s="3" t="s">
        <v>1168</v>
      </c>
      <c r="D2536" s="3" t="s">
        <v>1285</v>
      </c>
      <c r="E2536" s="3" t="s">
        <v>1286</v>
      </c>
      <c r="F2536" s="3">
        <v>2719.44</v>
      </c>
      <c r="G2536" s="3">
        <v>42889.57</v>
      </c>
    </row>
    <row r="2537" spans="1:7" x14ac:dyDescent="0.2">
      <c r="A2537" s="3" t="s">
        <v>1072</v>
      </c>
      <c r="B2537" s="4">
        <v>44957</v>
      </c>
      <c r="C2537" s="3" t="s">
        <v>1168</v>
      </c>
      <c r="D2537" s="3" t="s">
        <v>1287</v>
      </c>
      <c r="E2537" s="3" t="s">
        <v>1288</v>
      </c>
      <c r="F2537" s="3">
        <v>0</v>
      </c>
      <c r="G2537" s="3">
        <v>269.64999999999998</v>
      </c>
    </row>
    <row r="2538" spans="1:7" x14ac:dyDescent="0.2">
      <c r="A2538" s="3" t="s">
        <v>1072</v>
      </c>
      <c r="B2538" s="4">
        <v>44957</v>
      </c>
      <c r="C2538" s="3" t="s">
        <v>1168</v>
      </c>
      <c r="D2538" s="3" t="s">
        <v>1289</v>
      </c>
      <c r="E2538" s="3" t="s">
        <v>1290</v>
      </c>
      <c r="F2538" s="3">
        <v>0</v>
      </c>
      <c r="G2538" s="3">
        <v>11000</v>
      </c>
    </row>
    <row r="2539" spans="1:7" x14ac:dyDescent="0.2">
      <c r="A2539" s="3" t="s">
        <v>1072</v>
      </c>
      <c r="B2539" s="4">
        <v>44957</v>
      </c>
      <c r="C2539" s="3" t="s">
        <v>1168</v>
      </c>
      <c r="D2539" s="3" t="s">
        <v>1291</v>
      </c>
      <c r="E2539" s="3" t="s">
        <v>1292</v>
      </c>
      <c r="F2539" s="3">
        <v>0</v>
      </c>
      <c r="G2539" s="3">
        <v>19600</v>
      </c>
    </row>
    <row r="2540" spans="1:7" x14ac:dyDescent="0.2">
      <c r="A2540" s="3" t="s">
        <v>1072</v>
      </c>
      <c r="B2540" s="4">
        <v>44957</v>
      </c>
      <c r="C2540" s="3" t="s">
        <v>1168</v>
      </c>
      <c r="D2540" s="3" t="s">
        <v>1299</v>
      </c>
      <c r="E2540" s="3" t="s">
        <v>1300</v>
      </c>
      <c r="F2540" s="3">
        <v>0</v>
      </c>
      <c r="G2540" s="3">
        <v>2473.65</v>
      </c>
    </row>
    <row r="2541" spans="1:7" x14ac:dyDescent="0.2">
      <c r="A2541" s="3" t="s">
        <v>1072</v>
      </c>
      <c r="B2541" s="4">
        <v>44957</v>
      </c>
      <c r="C2541" s="3" t="s">
        <v>1168</v>
      </c>
      <c r="D2541" s="3" t="s">
        <v>1301</v>
      </c>
      <c r="E2541" s="3" t="s">
        <v>1302</v>
      </c>
      <c r="F2541" s="3">
        <v>0</v>
      </c>
      <c r="G2541" s="3">
        <v>937.39</v>
      </c>
    </row>
    <row r="2542" spans="1:7" x14ac:dyDescent="0.2">
      <c r="A2542" s="3" t="s">
        <v>1072</v>
      </c>
      <c r="B2542" s="4">
        <v>44957</v>
      </c>
      <c r="C2542" s="3" t="s">
        <v>1168</v>
      </c>
      <c r="D2542" s="3" t="s">
        <v>1305</v>
      </c>
      <c r="E2542" s="3" t="s">
        <v>1306</v>
      </c>
      <c r="F2542" s="3">
        <v>0</v>
      </c>
      <c r="G2542" s="3">
        <v>4661.74</v>
      </c>
    </row>
    <row r="2543" spans="1:7" x14ac:dyDescent="0.2">
      <c r="A2543" s="3" t="s">
        <v>1072</v>
      </c>
      <c r="B2543" s="4">
        <v>44957</v>
      </c>
      <c r="C2543" s="3" t="s">
        <v>1168</v>
      </c>
      <c r="D2543" s="3" t="s">
        <v>1315</v>
      </c>
      <c r="E2543" s="3" t="s">
        <v>1316</v>
      </c>
      <c r="F2543" s="3">
        <v>0</v>
      </c>
      <c r="G2543" s="3">
        <v>2952.7</v>
      </c>
    </row>
    <row r="2544" spans="1:7" x14ac:dyDescent="0.2">
      <c r="A2544" s="3" t="s">
        <v>1072</v>
      </c>
      <c r="B2544" s="4">
        <v>44957</v>
      </c>
      <c r="C2544" s="3" t="s">
        <v>1168</v>
      </c>
      <c r="D2544" s="3" t="s">
        <v>1450</v>
      </c>
      <c r="E2544" s="3" t="s">
        <v>1451</v>
      </c>
      <c r="F2544" s="3">
        <v>290144.51</v>
      </c>
      <c r="G2544" s="3">
        <v>30518670.510000002</v>
      </c>
    </row>
    <row r="2545" spans="1:7" x14ac:dyDescent="0.2">
      <c r="A2545" s="3" t="s">
        <v>1072</v>
      </c>
      <c r="B2545" s="4">
        <v>44957</v>
      </c>
      <c r="C2545" s="3" t="s">
        <v>1168</v>
      </c>
      <c r="D2545" s="3" t="s">
        <v>1452</v>
      </c>
      <c r="E2545" s="3" t="s">
        <v>1453</v>
      </c>
      <c r="F2545" s="3">
        <v>103191.35</v>
      </c>
      <c r="G2545" s="3">
        <v>2776382.9</v>
      </c>
    </row>
    <row r="2546" spans="1:7" x14ac:dyDescent="0.2">
      <c r="A2546" s="3" t="s">
        <v>1072</v>
      </c>
      <c r="B2546" s="4">
        <v>44957</v>
      </c>
      <c r="C2546" s="3" t="s">
        <v>1168</v>
      </c>
      <c r="D2546" s="3" t="s">
        <v>1454</v>
      </c>
      <c r="E2546" s="3" t="s">
        <v>1455</v>
      </c>
      <c r="F2546" s="3">
        <v>0</v>
      </c>
      <c r="G2546" s="3">
        <v>22286.3</v>
      </c>
    </row>
    <row r="2547" spans="1:7" x14ac:dyDescent="0.2">
      <c r="A2547" s="3" t="s">
        <v>1072</v>
      </c>
      <c r="B2547" s="4">
        <v>44957</v>
      </c>
      <c r="C2547" s="3" t="s">
        <v>1168</v>
      </c>
      <c r="D2547" s="3" t="s">
        <v>1468</v>
      </c>
      <c r="E2547" s="3" t="s">
        <v>1469</v>
      </c>
      <c r="F2547" s="3">
        <v>831.81</v>
      </c>
      <c r="G2547" s="3">
        <v>6717.43</v>
      </c>
    </row>
    <row r="2548" spans="1:7" x14ac:dyDescent="0.2">
      <c r="A2548" s="3" t="s">
        <v>1072</v>
      </c>
      <c r="B2548" s="4">
        <v>44957</v>
      </c>
      <c r="C2548" s="3" t="s">
        <v>1168</v>
      </c>
      <c r="D2548" s="3" t="s">
        <v>1502</v>
      </c>
      <c r="E2548" s="3" t="s">
        <v>1503</v>
      </c>
      <c r="F2548" s="3">
        <v>0</v>
      </c>
      <c r="G2548" s="3">
        <v>20565.22</v>
      </c>
    </row>
    <row r="2549" spans="1:7" x14ac:dyDescent="0.2">
      <c r="A2549" s="3" t="s">
        <v>1072</v>
      </c>
      <c r="B2549" s="4">
        <v>44957</v>
      </c>
      <c r="C2549" s="3" t="s">
        <v>1168</v>
      </c>
      <c r="D2549" s="3" t="s">
        <v>1620</v>
      </c>
      <c r="E2549" s="3" t="s">
        <v>1621</v>
      </c>
      <c r="F2549" s="3">
        <v>1404.78</v>
      </c>
      <c r="G2549" s="3">
        <v>1404.78</v>
      </c>
    </row>
    <row r="2550" spans="1:7" x14ac:dyDescent="0.2">
      <c r="A2550" s="3" t="s">
        <v>1072</v>
      </c>
      <c r="B2550" s="4">
        <v>44957</v>
      </c>
      <c r="C2550" s="3" t="s">
        <v>1168</v>
      </c>
      <c r="D2550" s="3" t="s">
        <v>1542</v>
      </c>
      <c r="E2550" s="3" t="s">
        <v>1543</v>
      </c>
      <c r="F2550" s="3">
        <v>695304.12</v>
      </c>
      <c r="G2550" s="3">
        <v>4859578.97</v>
      </c>
    </row>
    <row r="2551" spans="1:7" x14ac:dyDescent="0.2">
      <c r="A2551" s="3" t="s">
        <v>1072</v>
      </c>
      <c r="B2551" s="4">
        <v>44957</v>
      </c>
      <c r="C2551" s="3" t="s">
        <v>1168</v>
      </c>
      <c r="D2551" s="3" t="s">
        <v>1527</v>
      </c>
      <c r="E2551" s="3" t="s">
        <v>1528</v>
      </c>
      <c r="F2551" s="3">
        <v>40096.92</v>
      </c>
      <c r="G2551" s="3">
        <v>236646.51</v>
      </c>
    </row>
    <row r="2552" spans="1:7" x14ac:dyDescent="0.2">
      <c r="A2552" s="3" t="s">
        <v>1072</v>
      </c>
      <c r="B2552" s="4">
        <v>44957</v>
      </c>
      <c r="C2552" s="3" t="s">
        <v>1168</v>
      </c>
      <c r="D2552" s="3" t="s">
        <v>1560</v>
      </c>
      <c r="E2552" s="3" t="s">
        <v>1561</v>
      </c>
      <c r="F2552" s="3">
        <v>0</v>
      </c>
      <c r="G2552" s="3">
        <v>32261.99</v>
      </c>
    </row>
    <row r="2553" spans="1:7" x14ac:dyDescent="0.2">
      <c r="A2553" s="3" t="s">
        <v>1072</v>
      </c>
      <c r="B2553" s="4">
        <v>44957</v>
      </c>
      <c r="C2553" s="3" t="s">
        <v>1168</v>
      </c>
      <c r="D2553" s="3" t="s">
        <v>1562</v>
      </c>
      <c r="E2553" s="3" t="s">
        <v>1563</v>
      </c>
      <c r="F2553" s="3">
        <v>0</v>
      </c>
      <c r="G2553" s="3">
        <v>11169.12</v>
      </c>
    </row>
    <row r="2554" spans="1:7" x14ac:dyDescent="0.2">
      <c r="A2554" s="3" t="s">
        <v>1072</v>
      </c>
      <c r="B2554" s="4">
        <v>44957</v>
      </c>
      <c r="C2554" s="3" t="s">
        <v>1210</v>
      </c>
      <c r="D2554" s="3" t="s">
        <v>1509</v>
      </c>
      <c r="E2554" s="3" t="s">
        <v>1510</v>
      </c>
      <c r="F2554" s="3">
        <v>-845.51</v>
      </c>
      <c r="G2554" s="3">
        <v>-2550.1799999999998</v>
      </c>
    </row>
    <row r="2555" spans="1:7" x14ac:dyDescent="0.2">
      <c r="A2555" s="3" t="s">
        <v>1072</v>
      </c>
      <c r="B2555" s="4">
        <v>44957</v>
      </c>
      <c r="C2555" s="3" t="s">
        <v>1210</v>
      </c>
      <c r="D2555" s="3" t="s">
        <v>1323</v>
      </c>
      <c r="E2555" s="3" t="s">
        <v>1324</v>
      </c>
      <c r="F2555" s="3">
        <v>-9.4600000000000009</v>
      </c>
      <c r="G2555" s="3">
        <v>-27.68</v>
      </c>
    </row>
    <row r="2556" spans="1:7" x14ac:dyDescent="0.2">
      <c r="A2556" s="3" t="s">
        <v>1069</v>
      </c>
      <c r="B2556" s="4">
        <v>44957</v>
      </c>
      <c r="C2556" s="3" t="s">
        <v>1210</v>
      </c>
      <c r="D2556" s="3" t="s">
        <v>1249</v>
      </c>
      <c r="E2556" s="3" t="s">
        <v>1250</v>
      </c>
      <c r="F2556" s="3">
        <v>-71924.81</v>
      </c>
      <c r="G2556" s="3">
        <v>-462526.63</v>
      </c>
    </row>
    <row r="2557" spans="1:7" x14ac:dyDescent="0.2">
      <c r="A2557" s="3" t="s">
        <v>1069</v>
      </c>
      <c r="B2557" s="4">
        <v>44957</v>
      </c>
      <c r="C2557" s="3" t="s">
        <v>1168</v>
      </c>
      <c r="D2557" s="3" t="s">
        <v>1226</v>
      </c>
      <c r="E2557" s="3" t="s">
        <v>1126</v>
      </c>
      <c r="F2557" s="3">
        <v>0</v>
      </c>
      <c r="G2557" s="3">
        <v>150</v>
      </c>
    </row>
    <row r="2558" spans="1:7" x14ac:dyDescent="0.2">
      <c r="A2558" s="3" t="s">
        <v>1072</v>
      </c>
      <c r="B2558" s="4">
        <v>44957</v>
      </c>
      <c r="C2558" s="3" t="s">
        <v>1168</v>
      </c>
      <c r="D2558" s="3" t="s">
        <v>1326</v>
      </c>
      <c r="E2558" s="3" t="s">
        <v>1088</v>
      </c>
      <c r="F2558" s="3">
        <v>0</v>
      </c>
      <c r="G2558" s="3">
        <v>10600</v>
      </c>
    </row>
    <row r="2559" spans="1:7" x14ac:dyDescent="0.2">
      <c r="A2559" s="3" t="s">
        <v>1072</v>
      </c>
      <c r="B2559" s="4">
        <v>44957</v>
      </c>
      <c r="C2559" s="3" t="s">
        <v>1168</v>
      </c>
      <c r="D2559" s="3" t="s">
        <v>1337</v>
      </c>
      <c r="E2559" s="3" t="s">
        <v>1338</v>
      </c>
      <c r="F2559" s="3">
        <v>0</v>
      </c>
      <c r="G2559" s="3">
        <v>14139.13</v>
      </c>
    </row>
    <row r="2560" spans="1:7" x14ac:dyDescent="0.2">
      <c r="A2560" s="3" t="s">
        <v>1072</v>
      </c>
      <c r="B2560" s="4">
        <v>44957</v>
      </c>
      <c r="C2560" s="3" t="s">
        <v>1168</v>
      </c>
      <c r="D2560" s="3" t="s">
        <v>1169</v>
      </c>
      <c r="E2560" s="3" t="s">
        <v>1079</v>
      </c>
      <c r="F2560" s="3">
        <v>71.760000000000005</v>
      </c>
      <c r="G2560" s="3">
        <v>24268.79</v>
      </c>
    </row>
    <row r="2561" spans="1:7" x14ac:dyDescent="0.2">
      <c r="A2561" s="3" t="s">
        <v>1069</v>
      </c>
      <c r="B2561" s="4">
        <v>44957</v>
      </c>
      <c r="C2561" s="3" t="s">
        <v>1168</v>
      </c>
      <c r="D2561" s="3" t="s">
        <v>1169</v>
      </c>
      <c r="E2561" s="3" t="s">
        <v>1079</v>
      </c>
      <c r="F2561" s="3">
        <v>0</v>
      </c>
      <c r="G2561" s="3">
        <v>107333.86</v>
      </c>
    </row>
    <row r="2562" spans="1:7" x14ac:dyDescent="0.2">
      <c r="A2562" s="3" t="s">
        <v>1074</v>
      </c>
      <c r="B2562" s="4">
        <v>44957</v>
      </c>
      <c r="C2562" s="3" t="s">
        <v>1168</v>
      </c>
      <c r="D2562" s="3" t="s">
        <v>1169</v>
      </c>
      <c r="E2562" s="3" t="s">
        <v>1079</v>
      </c>
      <c r="F2562" s="3">
        <v>0</v>
      </c>
      <c r="G2562" s="3">
        <v>15250</v>
      </c>
    </row>
    <row r="2563" spans="1:7" x14ac:dyDescent="0.2">
      <c r="A2563" s="3" t="s">
        <v>1069</v>
      </c>
      <c r="B2563" s="4">
        <v>44957</v>
      </c>
      <c r="C2563" s="3" t="s">
        <v>1168</v>
      </c>
      <c r="D2563" s="3" t="s">
        <v>1261</v>
      </c>
      <c r="E2563" s="3" t="s">
        <v>1145</v>
      </c>
      <c r="F2563" s="3">
        <v>11556</v>
      </c>
      <c r="G2563" s="3">
        <v>127116</v>
      </c>
    </row>
    <row r="2564" spans="1:7" x14ac:dyDescent="0.2">
      <c r="A2564" s="3" t="s">
        <v>1074</v>
      </c>
      <c r="B2564" s="4">
        <v>44957</v>
      </c>
      <c r="C2564" s="3" t="s">
        <v>1168</v>
      </c>
      <c r="D2564" s="3" t="s">
        <v>1622</v>
      </c>
      <c r="E2564" s="3" t="s">
        <v>1623</v>
      </c>
      <c r="F2564" s="3">
        <v>13500</v>
      </c>
      <c r="G2564" s="3">
        <v>13500</v>
      </c>
    </row>
    <row r="2565" spans="1:7" x14ac:dyDescent="0.2">
      <c r="A2565" s="3" t="s">
        <v>1074</v>
      </c>
      <c r="B2565" s="4">
        <v>44957</v>
      </c>
      <c r="C2565" s="3" t="s">
        <v>1168</v>
      </c>
      <c r="D2565" s="3" t="s">
        <v>1624</v>
      </c>
      <c r="E2565" s="3" t="s">
        <v>1160</v>
      </c>
      <c r="F2565" s="3">
        <v>8263.91</v>
      </c>
      <c r="G2565" s="3">
        <v>8263.91</v>
      </c>
    </row>
    <row r="2566" spans="1:7" x14ac:dyDescent="0.2">
      <c r="A2566" s="3" t="s">
        <v>1072</v>
      </c>
      <c r="B2566" s="4">
        <v>44957</v>
      </c>
      <c r="C2566" s="3" t="s">
        <v>1168</v>
      </c>
      <c r="D2566" s="3" t="s">
        <v>1339</v>
      </c>
      <c r="E2566" s="3" t="s">
        <v>1087</v>
      </c>
      <c r="F2566" s="3">
        <v>0</v>
      </c>
      <c r="G2566" s="3">
        <v>137.5</v>
      </c>
    </row>
    <row r="2567" spans="1:7" x14ac:dyDescent="0.2">
      <c r="A2567" s="3" t="s">
        <v>1072</v>
      </c>
      <c r="B2567" s="4">
        <v>44957</v>
      </c>
      <c r="C2567" s="3" t="s">
        <v>1168</v>
      </c>
      <c r="D2567" s="3" t="s">
        <v>1195</v>
      </c>
      <c r="E2567" s="3" t="s">
        <v>1085</v>
      </c>
      <c r="F2567" s="3">
        <v>2215.09</v>
      </c>
      <c r="G2567" s="3">
        <v>29446.5</v>
      </c>
    </row>
    <row r="2568" spans="1:7" x14ac:dyDescent="0.2">
      <c r="A2568" s="3" t="s">
        <v>1069</v>
      </c>
      <c r="B2568" s="4">
        <v>44957</v>
      </c>
      <c r="C2568" s="3" t="s">
        <v>1168</v>
      </c>
      <c r="D2568" s="3" t="s">
        <v>1195</v>
      </c>
      <c r="E2568" s="3" t="s">
        <v>1085</v>
      </c>
      <c r="F2568" s="3">
        <v>406.48</v>
      </c>
      <c r="G2568" s="3">
        <v>6678.21</v>
      </c>
    </row>
    <row r="2569" spans="1:7" x14ac:dyDescent="0.2">
      <c r="A2569" s="3" t="s">
        <v>1072</v>
      </c>
      <c r="B2569" s="4">
        <v>44957</v>
      </c>
      <c r="C2569" s="3" t="s">
        <v>1168</v>
      </c>
      <c r="D2569" s="3" t="s">
        <v>1340</v>
      </c>
      <c r="E2569" s="3" t="s">
        <v>1141</v>
      </c>
      <c r="F2569" s="3">
        <v>0</v>
      </c>
      <c r="G2569" s="3">
        <v>2353.79</v>
      </c>
    </row>
    <row r="2570" spans="1:7" x14ac:dyDescent="0.2">
      <c r="A2570" s="3" t="s">
        <v>1072</v>
      </c>
      <c r="B2570" s="4">
        <v>44957</v>
      </c>
      <c r="C2570" s="3" t="s">
        <v>1168</v>
      </c>
      <c r="D2570" s="3" t="s">
        <v>1341</v>
      </c>
      <c r="E2570" s="3" t="s">
        <v>1135</v>
      </c>
      <c r="F2570" s="3">
        <v>805.3</v>
      </c>
      <c r="G2570" s="3">
        <v>7949.43</v>
      </c>
    </row>
    <row r="2571" spans="1:7" x14ac:dyDescent="0.2">
      <c r="A2571" s="3" t="s">
        <v>1072</v>
      </c>
      <c r="B2571" s="4">
        <v>44957</v>
      </c>
      <c r="C2571" s="3" t="s">
        <v>1168</v>
      </c>
      <c r="D2571" s="3" t="s">
        <v>1342</v>
      </c>
      <c r="E2571" s="3" t="s">
        <v>1080</v>
      </c>
      <c r="F2571" s="3">
        <v>1100</v>
      </c>
      <c r="G2571" s="3">
        <v>5948.56</v>
      </c>
    </row>
    <row r="2572" spans="1:7" x14ac:dyDescent="0.2">
      <c r="A2572" s="3" t="s">
        <v>1072</v>
      </c>
      <c r="B2572" s="4">
        <v>44957</v>
      </c>
      <c r="C2572" s="3" t="s">
        <v>1168</v>
      </c>
      <c r="D2572" s="3" t="s">
        <v>1504</v>
      </c>
      <c r="E2572" s="3" t="s">
        <v>1142</v>
      </c>
      <c r="F2572" s="3">
        <v>3130</v>
      </c>
      <c r="G2572" s="3">
        <v>41709</v>
      </c>
    </row>
    <row r="2573" spans="1:7" x14ac:dyDescent="0.2">
      <c r="A2573" s="3" t="s">
        <v>1069</v>
      </c>
      <c r="B2573" s="4">
        <v>44957</v>
      </c>
      <c r="C2573" s="3" t="s">
        <v>1168</v>
      </c>
      <c r="D2573" s="3" t="s">
        <v>1251</v>
      </c>
      <c r="E2573" s="3" t="s">
        <v>1095</v>
      </c>
      <c r="F2573" s="3">
        <v>82812.429999999993</v>
      </c>
      <c r="G2573" s="3">
        <v>937165.54</v>
      </c>
    </row>
    <row r="2574" spans="1:7" x14ac:dyDescent="0.2">
      <c r="A2574" s="3" t="s">
        <v>1072</v>
      </c>
      <c r="B2574" s="4">
        <v>44957</v>
      </c>
      <c r="C2574" s="3" t="s">
        <v>1168</v>
      </c>
      <c r="D2574" s="3" t="s">
        <v>1251</v>
      </c>
      <c r="E2574" s="3" t="s">
        <v>1345</v>
      </c>
      <c r="F2574" s="3">
        <v>0</v>
      </c>
      <c r="G2574" s="3">
        <v>318572.45</v>
      </c>
    </row>
    <row r="2575" spans="1:7" x14ac:dyDescent="0.2">
      <c r="A2575" s="3" t="s">
        <v>1072</v>
      </c>
      <c r="B2575" s="4">
        <v>44957</v>
      </c>
      <c r="C2575" s="3" t="s">
        <v>1168</v>
      </c>
      <c r="D2575" s="3" t="s">
        <v>1348</v>
      </c>
      <c r="E2575" s="3" t="s">
        <v>1095</v>
      </c>
      <c r="F2575" s="3">
        <v>135076.46</v>
      </c>
      <c r="G2575" s="3">
        <v>1408374.79</v>
      </c>
    </row>
    <row r="2576" spans="1:7" x14ac:dyDescent="0.2">
      <c r="A2576" s="3" t="s">
        <v>1069</v>
      </c>
      <c r="B2576" s="4">
        <v>44957</v>
      </c>
      <c r="C2576" s="3" t="s">
        <v>1168</v>
      </c>
      <c r="D2576" s="3" t="s">
        <v>1252</v>
      </c>
      <c r="E2576" s="3" t="s">
        <v>1120</v>
      </c>
      <c r="F2576" s="3">
        <v>0</v>
      </c>
      <c r="G2576" s="3">
        <v>60000</v>
      </c>
    </row>
    <row r="2577" spans="1:7" x14ac:dyDescent="0.2">
      <c r="A2577" s="3" t="s">
        <v>1072</v>
      </c>
      <c r="B2577" s="4">
        <v>44957</v>
      </c>
      <c r="C2577" s="3" t="s">
        <v>1168</v>
      </c>
      <c r="D2577" s="3" t="s">
        <v>1349</v>
      </c>
      <c r="E2577" s="3" t="s">
        <v>1089</v>
      </c>
      <c r="F2577" s="3">
        <v>0</v>
      </c>
      <c r="G2577" s="3">
        <v>1378.26</v>
      </c>
    </row>
    <row r="2578" spans="1:7" x14ac:dyDescent="0.2">
      <c r="A2578" s="3" t="s">
        <v>1072</v>
      </c>
      <c r="B2578" s="4">
        <v>44957</v>
      </c>
      <c r="C2578" s="3" t="s">
        <v>1168</v>
      </c>
      <c r="D2578" s="3" t="s">
        <v>1350</v>
      </c>
      <c r="E2578" s="3" t="s">
        <v>1115</v>
      </c>
      <c r="F2578" s="3">
        <v>2165.86</v>
      </c>
      <c r="G2578" s="3">
        <v>21616.07</v>
      </c>
    </row>
    <row r="2579" spans="1:7" x14ac:dyDescent="0.2">
      <c r="A2579" s="3" t="s">
        <v>1072</v>
      </c>
      <c r="B2579" s="4">
        <v>44957</v>
      </c>
      <c r="C2579" s="3" t="s">
        <v>1168</v>
      </c>
      <c r="D2579" s="3" t="s">
        <v>1351</v>
      </c>
      <c r="E2579" s="3" t="s">
        <v>1096</v>
      </c>
      <c r="F2579" s="3">
        <v>193.34</v>
      </c>
      <c r="G2579" s="3">
        <v>2126.67</v>
      </c>
    </row>
    <row r="2580" spans="1:7" x14ac:dyDescent="0.2">
      <c r="A2580" s="3" t="s">
        <v>1072</v>
      </c>
      <c r="B2580" s="4">
        <v>44957</v>
      </c>
      <c r="C2580" s="3" t="s">
        <v>1168</v>
      </c>
      <c r="D2580" s="3" t="s">
        <v>1472</v>
      </c>
      <c r="E2580" s="3" t="s">
        <v>1473</v>
      </c>
      <c r="F2580" s="3">
        <v>0</v>
      </c>
      <c r="G2580" s="3">
        <v>39610.1</v>
      </c>
    </row>
    <row r="2581" spans="1:7" x14ac:dyDescent="0.2">
      <c r="A2581" s="3" t="s">
        <v>1072</v>
      </c>
      <c r="B2581" s="4">
        <v>44957</v>
      </c>
      <c r="C2581" s="3" t="s">
        <v>1168</v>
      </c>
      <c r="D2581" s="3" t="s">
        <v>1474</v>
      </c>
      <c r="E2581" s="3" t="s">
        <v>1114</v>
      </c>
      <c r="F2581" s="3">
        <v>547.66999999999996</v>
      </c>
      <c r="G2581" s="3">
        <v>4940.2</v>
      </c>
    </row>
    <row r="2582" spans="1:7" x14ac:dyDescent="0.2">
      <c r="A2582" s="3" t="s">
        <v>1069</v>
      </c>
      <c r="B2582" s="4">
        <v>44957</v>
      </c>
      <c r="C2582" s="3" t="s">
        <v>1168</v>
      </c>
      <c r="D2582" s="3" t="s">
        <v>1229</v>
      </c>
      <c r="E2582" s="3" t="s">
        <v>1136</v>
      </c>
      <c r="F2582" s="3">
        <v>5123.04</v>
      </c>
      <c r="G2582" s="3">
        <v>31830.7</v>
      </c>
    </row>
    <row r="2583" spans="1:7" x14ac:dyDescent="0.2">
      <c r="A2583" s="3" t="s">
        <v>1072</v>
      </c>
      <c r="B2583" s="4">
        <v>44957</v>
      </c>
      <c r="C2583" s="3" t="s">
        <v>1168</v>
      </c>
      <c r="D2583" s="3" t="s">
        <v>1229</v>
      </c>
      <c r="E2583" s="3" t="s">
        <v>1106</v>
      </c>
      <c r="F2583" s="3">
        <v>4667.6499999999996</v>
      </c>
      <c r="G2583" s="3">
        <v>55097.16</v>
      </c>
    </row>
    <row r="2584" spans="1:7" x14ac:dyDescent="0.2">
      <c r="A2584" s="3" t="s">
        <v>1069</v>
      </c>
      <c r="B2584" s="4">
        <v>44957</v>
      </c>
      <c r="C2584" s="3" t="s">
        <v>1168</v>
      </c>
      <c r="D2584" s="3" t="s">
        <v>1230</v>
      </c>
      <c r="E2584" s="3" t="s">
        <v>1109</v>
      </c>
      <c r="F2584" s="3">
        <v>25749.27</v>
      </c>
      <c r="G2584" s="3">
        <v>77630.740000000005</v>
      </c>
    </row>
    <row r="2585" spans="1:7" x14ac:dyDescent="0.2">
      <c r="A2585" s="3" t="s">
        <v>1069</v>
      </c>
      <c r="B2585" s="4">
        <v>44957</v>
      </c>
      <c r="C2585" s="3" t="s">
        <v>1168</v>
      </c>
      <c r="D2585" s="3" t="s">
        <v>1564</v>
      </c>
      <c r="E2585" s="3" t="s">
        <v>1101</v>
      </c>
      <c r="F2585" s="3">
        <v>7126.8</v>
      </c>
      <c r="G2585" s="3">
        <v>10690.2</v>
      </c>
    </row>
    <row r="2586" spans="1:7" x14ac:dyDescent="0.2">
      <c r="A2586" s="3" t="s">
        <v>1072</v>
      </c>
      <c r="B2586" s="4">
        <v>44957</v>
      </c>
      <c r="C2586" s="3" t="s">
        <v>1168</v>
      </c>
      <c r="D2586" s="3" t="s">
        <v>1196</v>
      </c>
      <c r="E2586" s="3" t="s">
        <v>1131</v>
      </c>
      <c r="F2586" s="3">
        <v>0</v>
      </c>
      <c r="G2586" s="3">
        <v>7651.52</v>
      </c>
    </row>
    <row r="2587" spans="1:7" x14ac:dyDescent="0.2">
      <c r="A2587" s="3" t="s">
        <v>1072</v>
      </c>
      <c r="B2587" s="4">
        <v>44957</v>
      </c>
      <c r="C2587" s="3" t="s">
        <v>1168</v>
      </c>
      <c r="D2587" s="3" t="s">
        <v>1544</v>
      </c>
      <c r="E2587" s="3" t="s">
        <v>1159</v>
      </c>
      <c r="F2587" s="3">
        <v>0</v>
      </c>
      <c r="G2587" s="3">
        <v>819.63</v>
      </c>
    </row>
    <row r="2588" spans="1:7" x14ac:dyDescent="0.2">
      <c r="A2588" s="3" t="s">
        <v>1069</v>
      </c>
      <c r="B2588" s="4">
        <v>44957</v>
      </c>
      <c r="C2588" s="3" t="s">
        <v>1168</v>
      </c>
      <c r="D2588" s="3" t="s">
        <v>1544</v>
      </c>
      <c r="E2588" s="3" t="s">
        <v>1159</v>
      </c>
      <c r="F2588" s="3">
        <v>4379.83</v>
      </c>
      <c r="G2588" s="3">
        <v>17082.650000000001</v>
      </c>
    </row>
    <row r="2589" spans="1:7" x14ac:dyDescent="0.2">
      <c r="A2589" s="3" t="s">
        <v>1072</v>
      </c>
      <c r="B2589" s="4">
        <v>44957</v>
      </c>
      <c r="C2589" s="3" t="s">
        <v>1168</v>
      </c>
      <c r="D2589" s="3" t="s">
        <v>1354</v>
      </c>
      <c r="E2589" s="3" t="s">
        <v>1078</v>
      </c>
      <c r="F2589" s="3">
        <v>0</v>
      </c>
      <c r="G2589" s="3">
        <v>13626.33</v>
      </c>
    </row>
    <row r="2590" spans="1:7" x14ac:dyDescent="0.2">
      <c r="A2590" s="3" t="s">
        <v>1072</v>
      </c>
      <c r="B2590" s="4">
        <v>44957</v>
      </c>
      <c r="C2590" s="3" t="s">
        <v>1168</v>
      </c>
      <c r="D2590" s="3" t="s">
        <v>1355</v>
      </c>
      <c r="E2590" s="3" t="s">
        <v>1356</v>
      </c>
      <c r="F2590" s="3">
        <v>0</v>
      </c>
      <c r="G2590" s="3">
        <v>1425.42</v>
      </c>
    </row>
    <row r="2591" spans="1:7" x14ac:dyDescent="0.2">
      <c r="A2591" s="3" t="s">
        <v>1069</v>
      </c>
      <c r="B2591" s="4">
        <v>44957</v>
      </c>
      <c r="C2591" s="3" t="s">
        <v>1168</v>
      </c>
      <c r="D2591" s="3" t="s">
        <v>1456</v>
      </c>
      <c r="E2591" s="3" t="s">
        <v>1457</v>
      </c>
      <c r="F2591" s="3">
        <v>0</v>
      </c>
      <c r="G2591" s="3">
        <v>588.44000000000005</v>
      </c>
    </row>
    <row r="2592" spans="1:7" x14ac:dyDescent="0.2">
      <c r="A2592" s="3" t="s">
        <v>1072</v>
      </c>
      <c r="B2592" s="4">
        <v>44957</v>
      </c>
      <c r="C2592" s="3" t="s">
        <v>1168</v>
      </c>
      <c r="D2592" s="3" t="s">
        <v>1625</v>
      </c>
      <c r="E2592" s="3" t="s">
        <v>1626</v>
      </c>
      <c r="F2592" s="3">
        <v>165.33</v>
      </c>
      <c r="G2592" s="3">
        <v>165.33</v>
      </c>
    </row>
    <row r="2593" spans="1:7" x14ac:dyDescent="0.2">
      <c r="A2593" s="3" t="s">
        <v>1069</v>
      </c>
      <c r="B2593" s="4">
        <v>44957</v>
      </c>
      <c r="C2593" s="3" t="s">
        <v>1168</v>
      </c>
      <c r="D2593" s="3" t="s">
        <v>1565</v>
      </c>
      <c r="E2593" s="3" t="s">
        <v>1566</v>
      </c>
      <c r="F2593" s="3">
        <v>114401.55</v>
      </c>
      <c r="G2593" s="3">
        <v>478804.41</v>
      </c>
    </row>
    <row r="2594" spans="1:7" x14ac:dyDescent="0.2">
      <c r="A2594" s="3" t="s">
        <v>1069</v>
      </c>
      <c r="B2594" s="4">
        <v>44957</v>
      </c>
      <c r="C2594" s="3" t="s">
        <v>1168</v>
      </c>
      <c r="D2594" s="3" t="s">
        <v>1567</v>
      </c>
      <c r="E2594" s="3" t="s">
        <v>1568</v>
      </c>
      <c r="F2594" s="3">
        <v>18431.5</v>
      </c>
      <c r="G2594" s="3">
        <v>50664.39</v>
      </c>
    </row>
    <row r="2595" spans="1:7" x14ac:dyDescent="0.2">
      <c r="A2595" s="3" t="s">
        <v>1069</v>
      </c>
      <c r="B2595" s="4">
        <v>44957</v>
      </c>
      <c r="C2595" s="3" t="s">
        <v>1168</v>
      </c>
      <c r="D2595" s="3" t="s">
        <v>1569</v>
      </c>
      <c r="E2595" s="3" t="s">
        <v>1570</v>
      </c>
      <c r="F2595" s="3">
        <v>13213.35</v>
      </c>
      <c r="G2595" s="3">
        <v>14865.42</v>
      </c>
    </row>
    <row r="2596" spans="1:7" x14ac:dyDescent="0.2">
      <c r="A2596" s="3" t="s">
        <v>1069</v>
      </c>
      <c r="B2596" s="4">
        <v>44957</v>
      </c>
      <c r="C2596" s="3" t="s">
        <v>1168</v>
      </c>
      <c r="D2596" s="3" t="s">
        <v>1608</v>
      </c>
      <c r="E2596" s="3" t="s">
        <v>1609</v>
      </c>
      <c r="F2596" s="3">
        <v>2493.14</v>
      </c>
      <c r="G2596" s="3">
        <v>2742.46</v>
      </c>
    </row>
    <row r="2597" spans="1:7" x14ac:dyDescent="0.2">
      <c r="A2597" s="3" t="s">
        <v>1069</v>
      </c>
      <c r="B2597" s="4">
        <v>44957</v>
      </c>
      <c r="C2597" s="3" t="s">
        <v>1168</v>
      </c>
      <c r="D2597" s="3" t="s">
        <v>1627</v>
      </c>
      <c r="E2597" s="3" t="s">
        <v>1628</v>
      </c>
      <c r="F2597" s="3">
        <v>48.99</v>
      </c>
      <c r="G2597" s="3">
        <v>48.99</v>
      </c>
    </row>
    <row r="2598" spans="1:7" x14ac:dyDescent="0.2">
      <c r="A2598" s="3" t="s">
        <v>1069</v>
      </c>
      <c r="B2598" s="4">
        <v>44957</v>
      </c>
      <c r="C2598" s="3" t="s">
        <v>1168</v>
      </c>
      <c r="D2598" s="3" t="s">
        <v>1571</v>
      </c>
      <c r="E2598" s="3" t="s">
        <v>1572</v>
      </c>
      <c r="F2598" s="3">
        <v>79243.86</v>
      </c>
      <c r="G2598" s="3">
        <v>142876.75</v>
      </c>
    </row>
    <row r="2599" spans="1:7" x14ac:dyDescent="0.2">
      <c r="A2599" s="3" t="s">
        <v>1069</v>
      </c>
      <c r="B2599" s="4">
        <v>44957</v>
      </c>
      <c r="C2599" s="3" t="s">
        <v>1168</v>
      </c>
      <c r="D2599" s="3" t="s">
        <v>1573</v>
      </c>
      <c r="E2599" s="3" t="s">
        <v>1574</v>
      </c>
      <c r="F2599" s="3">
        <v>333904.11</v>
      </c>
      <c r="G2599" s="3">
        <v>1035616.4</v>
      </c>
    </row>
    <row r="2600" spans="1:7" x14ac:dyDescent="0.2">
      <c r="A2600" s="3" t="s">
        <v>1069</v>
      </c>
      <c r="B2600" s="4">
        <v>44957</v>
      </c>
      <c r="C2600" s="3" t="s">
        <v>1168</v>
      </c>
      <c r="D2600" s="3" t="s">
        <v>1629</v>
      </c>
      <c r="E2600" s="3" t="s">
        <v>1630</v>
      </c>
      <c r="F2600" s="3">
        <v>138082.19</v>
      </c>
      <c r="G2600" s="3">
        <v>138082.19</v>
      </c>
    </row>
    <row r="2601" spans="1:7" x14ac:dyDescent="0.2">
      <c r="A2601" s="3" t="s">
        <v>1069</v>
      </c>
      <c r="B2601" s="4">
        <v>44957</v>
      </c>
      <c r="C2601" s="3" t="s">
        <v>1168</v>
      </c>
      <c r="D2601" s="3" t="s">
        <v>1575</v>
      </c>
      <c r="E2601" s="3" t="s">
        <v>1576</v>
      </c>
      <c r="F2601" s="3">
        <v>1167405.8799999999</v>
      </c>
      <c r="G2601" s="3">
        <v>4401726.9400000004</v>
      </c>
    </row>
    <row r="2602" spans="1:7" x14ac:dyDescent="0.2">
      <c r="A2602" s="3" t="s">
        <v>1072</v>
      </c>
      <c r="B2602" s="4">
        <v>44957</v>
      </c>
      <c r="C2602" s="3" t="s">
        <v>1168</v>
      </c>
      <c r="D2602" s="3" t="s">
        <v>1547</v>
      </c>
      <c r="E2602" s="3" t="s">
        <v>1548</v>
      </c>
      <c r="F2602" s="3">
        <v>0</v>
      </c>
      <c r="G2602" s="3">
        <v>1209.8699999999999</v>
      </c>
    </row>
    <row r="2603" spans="1:7" x14ac:dyDescent="0.2">
      <c r="A2603" s="3" t="s">
        <v>1069</v>
      </c>
      <c r="B2603" s="4">
        <v>44957</v>
      </c>
      <c r="C2603" s="3" t="s">
        <v>1168</v>
      </c>
      <c r="D2603" s="3" t="s">
        <v>1549</v>
      </c>
      <c r="E2603" s="3" t="s">
        <v>1154</v>
      </c>
      <c r="F2603" s="3">
        <v>0</v>
      </c>
      <c r="G2603" s="3">
        <v>400000</v>
      </c>
    </row>
    <row r="2604" spans="1:7" x14ac:dyDescent="0.2">
      <c r="A2604" s="3" t="s">
        <v>1069</v>
      </c>
      <c r="B2604" s="4">
        <v>44957</v>
      </c>
      <c r="C2604" s="3" t="s">
        <v>1168</v>
      </c>
      <c r="D2604" s="3" t="s">
        <v>1253</v>
      </c>
      <c r="E2604" s="3" t="s">
        <v>1103</v>
      </c>
      <c r="F2604" s="3">
        <v>1536.81</v>
      </c>
      <c r="G2604" s="3">
        <v>246993.52</v>
      </c>
    </row>
    <row r="2605" spans="1:7" x14ac:dyDescent="0.2">
      <c r="A2605" s="3" t="s">
        <v>1072</v>
      </c>
      <c r="B2605" s="4">
        <v>44957</v>
      </c>
      <c r="C2605" s="3" t="s">
        <v>1168</v>
      </c>
      <c r="D2605" s="3" t="s">
        <v>1357</v>
      </c>
      <c r="E2605" s="3" t="s">
        <v>1157</v>
      </c>
      <c r="F2605" s="3">
        <v>1532.8</v>
      </c>
      <c r="G2605" s="3">
        <v>1532.8</v>
      </c>
    </row>
    <row r="2606" spans="1:7" x14ac:dyDescent="0.2">
      <c r="A2606" s="3" t="s">
        <v>1072</v>
      </c>
      <c r="B2606" s="4">
        <v>44957</v>
      </c>
      <c r="C2606" s="3" t="s">
        <v>1168</v>
      </c>
      <c r="D2606" s="3" t="s">
        <v>1358</v>
      </c>
      <c r="E2606" s="3" t="s">
        <v>1122</v>
      </c>
      <c r="F2606" s="3">
        <v>7037.85</v>
      </c>
      <c r="G2606" s="3">
        <v>11070.86</v>
      </c>
    </row>
    <row r="2607" spans="1:7" x14ac:dyDescent="0.2">
      <c r="A2607" s="3" t="s">
        <v>1072</v>
      </c>
      <c r="B2607" s="4">
        <v>44957</v>
      </c>
      <c r="C2607" s="3" t="s">
        <v>1168</v>
      </c>
      <c r="D2607" s="3" t="s">
        <v>1359</v>
      </c>
      <c r="E2607" s="3" t="s">
        <v>1086</v>
      </c>
      <c r="F2607" s="3">
        <v>0</v>
      </c>
      <c r="G2607" s="3">
        <v>1200</v>
      </c>
    </row>
    <row r="2608" spans="1:7" x14ac:dyDescent="0.2">
      <c r="A2608" s="3" t="s">
        <v>1072</v>
      </c>
      <c r="B2608" s="4">
        <v>44957</v>
      </c>
      <c r="C2608" s="3" t="s">
        <v>1168</v>
      </c>
      <c r="D2608" s="3" t="s">
        <v>1201</v>
      </c>
      <c r="E2608" s="3" t="s">
        <v>1112</v>
      </c>
      <c r="F2608" s="3">
        <v>593.99</v>
      </c>
      <c r="G2608" s="3">
        <v>13177.45</v>
      </c>
    </row>
    <row r="2609" spans="1:7" x14ac:dyDescent="0.2">
      <c r="A2609" s="3" t="s">
        <v>1074</v>
      </c>
      <c r="B2609" s="4">
        <v>44957</v>
      </c>
      <c r="C2609" s="3" t="s">
        <v>1168</v>
      </c>
      <c r="D2609" s="3" t="s">
        <v>1201</v>
      </c>
      <c r="E2609" s="3" t="s">
        <v>1112</v>
      </c>
      <c r="F2609" s="3">
        <v>0</v>
      </c>
      <c r="G2609" s="3">
        <v>3404.62</v>
      </c>
    </row>
    <row r="2610" spans="1:7" x14ac:dyDescent="0.2">
      <c r="A2610" s="3" t="s">
        <v>1072</v>
      </c>
      <c r="B2610" s="4">
        <v>44957</v>
      </c>
      <c r="C2610" s="3" t="s">
        <v>1168</v>
      </c>
      <c r="D2610" s="3" t="s">
        <v>1360</v>
      </c>
      <c r="E2610" s="3" t="s">
        <v>1098</v>
      </c>
      <c r="F2610" s="3">
        <v>700.1</v>
      </c>
      <c r="G2610" s="3">
        <v>6898.99</v>
      </c>
    </row>
    <row r="2611" spans="1:7" x14ac:dyDescent="0.2">
      <c r="A2611" s="3" t="s">
        <v>1072</v>
      </c>
      <c r="B2611" s="4">
        <v>44957</v>
      </c>
      <c r="C2611" s="3" t="s">
        <v>1168</v>
      </c>
      <c r="D2611" s="3" t="s">
        <v>1361</v>
      </c>
      <c r="E2611" s="3" t="s">
        <v>1121</v>
      </c>
      <c r="F2611" s="3">
        <v>29600</v>
      </c>
      <c r="G2611" s="3">
        <v>312491.67</v>
      </c>
    </row>
    <row r="2612" spans="1:7" x14ac:dyDescent="0.2">
      <c r="A2612" s="3" t="s">
        <v>1072</v>
      </c>
      <c r="B2612" s="4">
        <v>44957</v>
      </c>
      <c r="C2612" s="3" t="s">
        <v>1168</v>
      </c>
      <c r="D2612" s="3" t="s">
        <v>1231</v>
      </c>
      <c r="E2612" s="3" t="s">
        <v>1083</v>
      </c>
      <c r="F2612" s="3">
        <v>843.6</v>
      </c>
      <c r="G2612" s="3">
        <v>9279.6</v>
      </c>
    </row>
    <row r="2613" spans="1:7" x14ac:dyDescent="0.2">
      <c r="A2613" s="3" t="s">
        <v>1069</v>
      </c>
      <c r="B2613" s="4">
        <v>44957</v>
      </c>
      <c r="C2613" s="3" t="s">
        <v>1168</v>
      </c>
      <c r="D2613" s="3" t="s">
        <v>1231</v>
      </c>
      <c r="E2613" s="3" t="s">
        <v>1070</v>
      </c>
      <c r="F2613" s="3">
        <v>6778.01</v>
      </c>
      <c r="G2613" s="3">
        <v>35882.800000000003</v>
      </c>
    </row>
    <row r="2614" spans="1:7" x14ac:dyDescent="0.2">
      <c r="A2614" s="3" t="s">
        <v>1072</v>
      </c>
      <c r="B2614" s="4">
        <v>44957</v>
      </c>
      <c r="C2614" s="3" t="s">
        <v>1168</v>
      </c>
      <c r="D2614" s="3" t="s">
        <v>1254</v>
      </c>
      <c r="E2614" s="3" t="s">
        <v>1075</v>
      </c>
      <c r="F2614" s="3">
        <v>0</v>
      </c>
      <c r="G2614" s="3">
        <v>24423.01</v>
      </c>
    </row>
    <row r="2615" spans="1:7" x14ac:dyDescent="0.2">
      <c r="A2615" s="3" t="s">
        <v>1069</v>
      </c>
      <c r="B2615" s="4">
        <v>44957</v>
      </c>
      <c r="C2615" s="3" t="s">
        <v>1168</v>
      </c>
      <c r="D2615" s="3" t="s">
        <v>1254</v>
      </c>
      <c r="E2615" s="3" t="s">
        <v>1075</v>
      </c>
      <c r="F2615" s="3">
        <v>0</v>
      </c>
      <c r="G2615" s="3">
        <v>22719.99</v>
      </c>
    </row>
    <row r="2616" spans="1:7" x14ac:dyDescent="0.2">
      <c r="A2616" s="3" t="s">
        <v>1072</v>
      </c>
      <c r="B2616" s="4">
        <v>44957</v>
      </c>
      <c r="C2616" s="3" t="s">
        <v>1168</v>
      </c>
      <c r="D2616" s="3" t="s">
        <v>1362</v>
      </c>
      <c r="E2616" s="3" t="s">
        <v>1123</v>
      </c>
      <c r="F2616" s="3">
        <v>249945.83</v>
      </c>
      <c r="G2616" s="3">
        <v>2381081.41</v>
      </c>
    </row>
    <row r="2617" spans="1:7" x14ac:dyDescent="0.2">
      <c r="A2617" s="3" t="s">
        <v>1072</v>
      </c>
      <c r="B2617" s="4">
        <v>44957</v>
      </c>
      <c r="C2617" s="3" t="s">
        <v>1168</v>
      </c>
      <c r="D2617" s="3" t="s">
        <v>1365</v>
      </c>
      <c r="E2617" s="3" t="s">
        <v>1090</v>
      </c>
      <c r="F2617" s="3">
        <v>0</v>
      </c>
      <c r="G2617" s="3">
        <v>3746.27</v>
      </c>
    </row>
    <row r="2618" spans="1:7" x14ac:dyDescent="0.2">
      <c r="A2618" s="3" t="s">
        <v>1072</v>
      </c>
      <c r="B2618" s="4">
        <v>44957</v>
      </c>
      <c r="C2618" s="3" t="s">
        <v>1168</v>
      </c>
      <c r="D2618" s="3" t="s">
        <v>1511</v>
      </c>
      <c r="E2618" s="3" t="s">
        <v>1104</v>
      </c>
      <c r="F2618" s="3">
        <v>177.33</v>
      </c>
      <c r="G2618" s="3">
        <v>1695.42</v>
      </c>
    </row>
    <row r="2619" spans="1:7" x14ac:dyDescent="0.2">
      <c r="A2619" s="3" t="s">
        <v>1072</v>
      </c>
      <c r="B2619" s="4">
        <v>44957</v>
      </c>
      <c r="C2619" s="3" t="s">
        <v>1168</v>
      </c>
      <c r="D2619" s="3" t="s">
        <v>1366</v>
      </c>
      <c r="E2619" s="3" t="s">
        <v>1144</v>
      </c>
      <c r="F2619" s="3">
        <v>1564.35</v>
      </c>
      <c r="G2619" s="3">
        <v>10577.83</v>
      </c>
    </row>
    <row r="2620" spans="1:7" x14ac:dyDescent="0.2">
      <c r="A2620" s="3" t="s">
        <v>1069</v>
      </c>
      <c r="B2620" s="4">
        <v>44957</v>
      </c>
      <c r="C2620" s="3" t="s">
        <v>1168</v>
      </c>
      <c r="D2620" s="3" t="s">
        <v>1213</v>
      </c>
      <c r="E2620" s="3" t="s">
        <v>1150</v>
      </c>
      <c r="F2620" s="3">
        <v>328.38</v>
      </c>
      <c r="G2620" s="3">
        <v>5249.41</v>
      </c>
    </row>
    <row r="2621" spans="1:7" x14ac:dyDescent="0.2">
      <c r="A2621" s="3" t="s">
        <v>1072</v>
      </c>
      <c r="B2621" s="4">
        <v>44957</v>
      </c>
      <c r="C2621" s="3" t="s">
        <v>1168</v>
      </c>
      <c r="D2621" s="3" t="s">
        <v>1367</v>
      </c>
      <c r="E2621" s="3" t="s">
        <v>1147</v>
      </c>
      <c r="F2621" s="3">
        <v>0</v>
      </c>
      <c r="G2621" s="3">
        <v>6800</v>
      </c>
    </row>
    <row r="2622" spans="1:7" x14ac:dyDescent="0.2">
      <c r="A2622" s="3" t="s">
        <v>1072</v>
      </c>
      <c r="B2622" s="4">
        <v>44957</v>
      </c>
      <c r="C2622" s="3" t="s">
        <v>1168</v>
      </c>
      <c r="D2622" s="3" t="s">
        <v>1368</v>
      </c>
      <c r="E2622" s="3" t="s">
        <v>1124</v>
      </c>
      <c r="F2622" s="3">
        <v>128.47999999999999</v>
      </c>
      <c r="G2622" s="3">
        <v>4899.1400000000003</v>
      </c>
    </row>
    <row r="2623" spans="1:7" x14ac:dyDescent="0.2">
      <c r="A2623" s="3" t="s">
        <v>1072</v>
      </c>
      <c r="B2623" s="4">
        <v>44957</v>
      </c>
      <c r="C2623" s="3" t="s">
        <v>1168</v>
      </c>
      <c r="D2623" s="3" t="s">
        <v>1369</v>
      </c>
      <c r="E2623" s="3" t="s">
        <v>1099</v>
      </c>
      <c r="F2623" s="3">
        <v>0</v>
      </c>
      <c r="G2623" s="3">
        <v>526.32000000000005</v>
      </c>
    </row>
    <row r="2624" spans="1:7" x14ac:dyDescent="0.2">
      <c r="A2624" s="3" t="s">
        <v>1072</v>
      </c>
      <c r="B2624" s="4">
        <v>44957</v>
      </c>
      <c r="C2624" s="3" t="s">
        <v>1168</v>
      </c>
      <c r="D2624" s="3" t="s">
        <v>1370</v>
      </c>
      <c r="E2624" s="3" t="s">
        <v>1129</v>
      </c>
      <c r="F2624" s="3">
        <v>747</v>
      </c>
      <c r="G2624" s="3">
        <v>6827</v>
      </c>
    </row>
    <row r="2625" spans="1:7" x14ac:dyDescent="0.2">
      <c r="A2625" s="3" t="s">
        <v>1072</v>
      </c>
      <c r="B2625" s="4">
        <v>44957</v>
      </c>
      <c r="C2625" s="3" t="s">
        <v>1168</v>
      </c>
      <c r="D2625" s="3" t="s">
        <v>1372</v>
      </c>
      <c r="E2625" s="3" t="s">
        <v>1158</v>
      </c>
      <c r="F2625" s="3">
        <v>600</v>
      </c>
      <c r="G2625" s="3">
        <v>6600</v>
      </c>
    </row>
    <row r="2626" spans="1:7" x14ac:dyDescent="0.2">
      <c r="A2626" s="3" t="s">
        <v>1072</v>
      </c>
      <c r="B2626" s="4">
        <v>44957</v>
      </c>
      <c r="C2626" s="3" t="s">
        <v>1168</v>
      </c>
      <c r="D2626" s="3" t="s">
        <v>1373</v>
      </c>
      <c r="E2626" s="3" t="s">
        <v>1092</v>
      </c>
      <c r="F2626" s="3">
        <v>621.16</v>
      </c>
      <c r="G2626" s="3">
        <v>4907.76</v>
      </c>
    </row>
    <row r="2627" spans="1:7" x14ac:dyDescent="0.2">
      <c r="A2627" s="3" t="s">
        <v>1072</v>
      </c>
      <c r="B2627" s="4">
        <v>44957</v>
      </c>
      <c r="C2627" s="3" t="s">
        <v>1168</v>
      </c>
      <c r="D2627" s="3" t="s">
        <v>1490</v>
      </c>
      <c r="E2627" s="3" t="s">
        <v>1491</v>
      </c>
      <c r="F2627" s="3">
        <v>0</v>
      </c>
      <c r="G2627" s="3">
        <v>13765</v>
      </c>
    </row>
    <row r="2628" spans="1:7" x14ac:dyDescent="0.2">
      <c r="A2628" s="3" t="s">
        <v>1069</v>
      </c>
      <c r="B2628" s="4">
        <v>44957</v>
      </c>
      <c r="C2628" s="3" t="s">
        <v>1168</v>
      </c>
      <c r="D2628" s="3" t="s">
        <v>1232</v>
      </c>
      <c r="E2628" s="3" t="s">
        <v>1105</v>
      </c>
      <c r="F2628" s="3">
        <v>600</v>
      </c>
      <c r="G2628" s="3">
        <v>6600</v>
      </c>
    </row>
    <row r="2629" spans="1:7" x14ac:dyDescent="0.2">
      <c r="A2629" s="3" t="s">
        <v>1074</v>
      </c>
      <c r="B2629" s="4">
        <v>44957</v>
      </c>
      <c r="C2629" s="3" t="s">
        <v>1168</v>
      </c>
      <c r="D2629" s="3" t="s">
        <v>1232</v>
      </c>
      <c r="E2629" s="3" t="s">
        <v>1105</v>
      </c>
      <c r="F2629" s="3">
        <v>600</v>
      </c>
      <c r="G2629" s="3">
        <v>10200</v>
      </c>
    </row>
    <row r="2630" spans="1:7" x14ac:dyDescent="0.2">
      <c r="A2630" s="3" t="s">
        <v>1069</v>
      </c>
      <c r="B2630" s="4">
        <v>44957</v>
      </c>
      <c r="C2630" s="3" t="s">
        <v>1168</v>
      </c>
      <c r="D2630" s="3" t="s">
        <v>1262</v>
      </c>
      <c r="E2630" s="3" t="s">
        <v>1127</v>
      </c>
      <c r="F2630" s="3">
        <v>0</v>
      </c>
      <c r="G2630" s="3">
        <v>788.43</v>
      </c>
    </row>
    <row r="2631" spans="1:7" x14ac:dyDescent="0.2">
      <c r="A2631" s="3" t="s">
        <v>1072</v>
      </c>
      <c r="B2631" s="4">
        <v>44957</v>
      </c>
      <c r="C2631" s="3" t="s">
        <v>1168</v>
      </c>
      <c r="D2631" s="3" t="s">
        <v>1374</v>
      </c>
      <c r="E2631" s="3" t="s">
        <v>1108</v>
      </c>
      <c r="F2631" s="3">
        <v>0</v>
      </c>
      <c r="G2631" s="3">
        <v>2500</v>
      </c>
    </row>
    <row r="2632" spans="1:7" x14ac:dyDescent="0.2">
      <c r="A2632" s="3" t="s">
        <v>1072</v>
      </c>
      <c r="B2632" s="4">
        <v>44957</v>
      </c>
      <c r="C2632" s="3" t="s">
        <v>1168</v>
      </c>
      <c r="D2632" s="3" t="s">
        <v>1376</v>
      </c>
      <c r="E2632" s="3" t="s">
        <v>1377</v>
      </c>
      <c r="F2632" s="3">
        <v>0</v>
      </c>
      <c r="G2632" s="3">
        <v>13.04</v>
      </c>
    </row>
    <row r="2633" spans="1:7" x14ac:dyDescent="0.2">
      <c r="A2633" s="3" t="s">
        <v>1072</v>
      </c>
      <c r="B2633" s="4">
        <v>44957</v>
      </c>
      <c r="C2633" s="3" t="s">
        <v>1168</v>
      </c>
      <c r="D2633" s="3" t="s">
        <v>1378</v>
      </c>
      <c r="E2633" s="3" t="s">
        <v>1143</v>
      </c>
      <c r="F2633" s="3">
        <v>65692.160000000003</v>
      </c>
      <c r="G2633" s="3">
        <v>385048.84</v>
      </c>
    </row>
    <row r="2634" spans="1:7" x14ac:dyDescent="0.2">
      <c r="A2634" s="3" t="s">
        <v>1072</v>
      </c>
      <c r="B2634" s="4">
        <v>44957</v>
      </c>
      <c r="C2634" s="3" t="s">
        <v>1168</v>
      </c>
      <c r="D2634" s="3" t="s">
        <v>1379</v>
      </c>
      <c r="E2634" s="3" t="s">
        <v>1107</v>
      </c>
      <c r="F2634" s="3">
        <v>3026.06</v>
      </c>
      <c r="G2634" s="3">
        <v>26378.45</v>
      </c>
    </row>
    <row r="2635" spans="1:7" x14ac:dyDescent="0.2">
      <c r="A2635" s="3" t="s">
        <v>1072</v>
      </c>
      <c r="B2635" s="4">
        <v>44957</v>
      </c>
      <c r="C2635" s="3" t="s">
        <v>1168</v>
      </c>
      <c r="D2635" s="3" t="s">
        <v>1380</v>
      </c>
      <c r="E2635" s="3" t="s">
        <v>1125</v>
      </c>
      <c r="F2635" s="3">
        <v>1472.76</v>
      </c>
      <c r="G2635" s="3">
        <v>18411.37</v>
      </c>
    </row>
    <row r="2636" spans="1:7" x14ac:dyDescent="0.2">
      <c r="A2636" s="3" t="s">
        <v>1072</v>
      </c>
      <c r="B2636" s="4">
        <v>44957</v>
      </c>
      <c r="C2636" s="3" t="s">
        <v>1168</v>
      </c>
      <c r="D2636" s="3" t="s">
        <v>1381</v>
      </c>
      <c r="E2636" s="3" t="s">
        <v>1130</v>
      </c>
      <c r="F2636" s="3">
        <v>1472.76</v>
      </c>
      <c r="G2636" s="3">
        <v>18411.37</v>
      </c>
    </row>
    <row r="2637" spans="1:7" x14ac:dyDescent="0.2">
      <c r="A2637" s="3" t="s">
        <v>1072</v>
      </c>
      <c r="B2637" s="4">
        <v>44957</v>
      </c>
      <c r="C2637" s="3" t="s">
        <v>1168</v>
      </c>
      <c r="D2637" s="3" t="s">
        <v>1458</v>
      </c>
      <c r="E2637" s="3" t="s">
        <v>1113</v>
      </c>
      <c r="F2637" s="3">
        <v>5034</v>
      </c>
      <c r="G2637" s="3">
        <v>76065.64</v>
      </c>
    </row>
    <row r="2638" spans="1:7" x14ac:dyDescent="0.2">
      <c r="A2638" s="3" t="s">
        <v>1072</v>
      </c>
      <c r="B2638" s="4">
        <v>44957</v>
      </c>
      <c r="C2638" s="3" t="s">
        <v>1168</v>
      </c>
      <c r="D2638" s="3" t="s">
        <v>1459</v>
      </c>
      <c r="E2638" s="3" t="s">
        <v>1139</v>
      </c>
      <c r="F2638" s="3">
        <v>1775.25</v>
      </c>
      <c r="G2638" s="3">
        <v>25624.3</v>
      </c>
    </row>
    <row r="2639" spans="1:7" x14ac:dyDescent="0.2">
      <c r="A2639" s="3" t="s">
        <v>1069</v>
      </c>
      <c r="B2639" s="4">
        <v>44957</v>
      </c>
      <c r="C2639" s="3" t="s">
        <v>1172</v>
      </c>
      <c r="D2639" s="3" t="s">
        <v>1173</v>
      </c>
      <c r="E2639" s="3" t="s">
        <v>1174</v>
      </c>
      <c r="F2639" s="3">
        <v>0</v>
      </c>
      <c r="G2639" s="3">
        <v>-100</v>
      </c>
    </row>
    <row r="2640" spans="1:7" x14ac:dyDescent="0.2">
      <c r="A2640" s="3" t="s">
        <v>1072</v>
      </c>
      <c r="B2640" s="4">
        <v>44957</v>
      </c>
      <c r="C2640" s="3" t="s">
        <v>1172</v>
      </c>
      <c r="D2640" s="3" t="s">
        <v>1382</v>
      </c>
      <c r="E2640" s="3" t="s">
        <v>1383</v>
      </c>
      <c r="F2640" s="3">
        <v>0</v>
      </c>
      <c r="G2640" s="3">
        <v>-120</v>
      </c>
    </row>
    <row r="2641" spans="1:7" x14ac:dyDescent="0.2">
      <c r="A2641" s="3" t="s">
        <v>1072</v>
      </c>
      <c r="B2641" s="4">
        <v>44957</v>
      </c>
      <c r="C2641" s="3" t="s">
        <v>1172</v>
      </c>
      <c r="D2641" s="3" t="s">
        <v>1384</v>
      </c>
      <c r="E2641" s="3" t="s">
        <v>1385</v>
      </c>
      <c r="F2641" s="3">
        <v>0</v>
      </c>
      <c r="G2641" s="3">
        <v>247347.05</v>
      </c>
    </row>
    <row r="2642" spans="1:7" x14ac:dyDescent="0.2">
      <c r="A2642" s="3" t="s">
        <v>1069</v>
      </c>
      <c r="B2642" s="4">
        <v>44957</v>
      </c>
      <c r="C2642" s="3" t="s">
        <v>1172</v>
      </c>
      <c r="D2642" s="3" t="s">
        <v>1384</v>
      </c>
      <c r="E2642" s="3" t="s">
        <v>1385</v>
      </c>
      <c r="F2642" s="3">
        <v>0</v>
      </c>
      <c r="G2642" s="3">
        <v>-17080353.050000001</v>
      </c>
    </row>
    <row r="2643" spans="1:7" x14ac:dyDescent="0.2">
      <c r="A2643" s="3" t="s">
        <v>1069</v>
      </c>
      <c r="B2643" s="4">
        <v>44957</v>
      </c>
      <c r="C2643" s="3" t="s">
        <v>1180</v>
      </c>
      <c r="D2643" s="3" t="s">
        <v>1241</v>
      </c>
      <c r="E2643" s="3" t="s">
        <v>1242</v>
      </c>
      <c r="F2643" s="3">
        <v>0</v>
      </c>
      <c r="G2643" s="3">
        <v>17562360.850000001</v>
      </c>
    </row>
    <row r="2644" spans="1:7" x14ac:dyDescent="0.2">
      <c r="A2644" s="3" t="s">
        <v>1072</v>
      </c>
      <c r="B2644" s="4">
        <v>44957</v>
      </c>
      <c r="C2644" s="3" t="s">
        <v>1180</v>
      </c>
      <c r="D2644" s="3" t="s">
        <v>1483</v>
      </c>
      <c r="E2644" s="3" t="s">
        <v>1177</v>
      </c>
      <c r="F2644" s="3">
        <v>370000</v>
      </c>
      <c r="G2644" s="3">
        <v>7166187.4000000004</v>
      </c>
    </row>
    <row r="2645" spans="1:7" x14ac:dyDescent="0.2">
      <c r="A2645" s="3" t="s">
        <v>1072</v>
      </c>
      <c r="B2645" s="4">
        <v>44957</v>
      </c>
      <c r="C2645" s="3" t="s">
        <v>1180</v>
      </c>
      <c r="D2645" s="3" t="s">
        <v>1390</v>
      </c>
      <c r="E2645" s="3" t="s">
        <v>1391</v>
      </c>
      <c r="F2645" s="3">
        <v>0</v>
      </c>
      <c r="G2645" s="3">
        <v>-271000</v>
      </c>
    </row>
    <row r="2646" spans="1:7" x14ac:dyDescent="0.2">
      <c r="A2646" s="3" t="s">
        <v>1072</v>
      </c>
      <c r="B2646" s="4">
        <v>44957</v>
      </c>
      <c r="C2646" s="3" t="s">
        <v>1180</v>
      </c>
      <c r="D2646" s="3" t="s">
        <v>1394</v>
      </c>
      <c r="E2646" s="3" t="s">
        <v>1256</v>
      </c>
      <c r="F2646" s="3">
        <v>600</v>
      </c>
      <c r="G2646" s="3">
        <v>1200</v>
      </c>
    </row>
    <row r="2647" spans="1:7" x14ac:dyDescent="0.2">
      <c r="A2647" s="3" t="s">
        <v>1072</v>
      </c>
      <c r="B2647" s="4">
        <v>44957</v>
      </c>
      <c r="C2647" s="3" t="s">
        <v>1180</v>
      </c>
      <c r="D2647" s="3" t="s">
        <v>1395</v>
      </c>
      <c r="E2647" s="3" t="s">
        <v>1396</v>
      </c>
      <c r="F2647" s="3">
        <v>0</v>
      </c>
      <c r="G2647" s="3">
        <v>-8226138.5</v>
      </c>
    </row>
    <row r="2648" spans="1:7" x14ac:dyDescent="0.2">
      <c r="A2648" s="3" t="s">
        <v>1072</v>
      </c>
      <c r="B2648" s="4">
        <v>44957</v>
      </c>
      <c r="C2648" s="3" t="s">
        <v>1180</v>
      </c>
      <c r="D2648" s="3" t="s">
        <v>1397</v>
      </c>
      <c r="E2648" s="3" t="s">
        <v>1398</v>
      </c>
      <c r="F2648" s="3">
        <v>600</v>
      </c>
      <c r="G2648" s="3">
        <v>1200</v>
      </c>
    </row>
    <row r="2649" spans="1:7" x14ac:dyDescent="0.2">
      <c r="A2649" s="3" t="s">
        <v>1072</v>
      </c>
      <c r="B2649" s="4">
        <v>44957</v>
      </c>
      <c r="C2649" s="3" t="s">
        <v>1180</v>
      </c>
      <c r="D2649" s="3" t="s">
        <v>1512</v>
      </c>
      <c r="E2649" s="3" t="s">
        <v>1513</v>
      </c>
      <c r="F2649" s="3">
        <v>0</v>
      </c>
      <c r="G2649" s="3">
        <v>6059000</v>
      </c>
    </row>
    <row r="2650" spans="1:7" x14ac:dyDescent="0.2">
      <c r="A2650" s="3" t="s">
        <v>1072</v>
      </c>
      <c r="B2650" s="4">
        <v>44957</v>
      </c>
      <c r="C2650" s="3" t="s">
        <v>1180</v>
      </c>
      <c r="D2650" s="3" t="s">
        <v>1399</v>
      </c>
      <c r="E2650" s="3" t="s">
        <v>1400</v>
      </c>
      <c r="F2650" s="3">
        <v>0</v>
      </c>
      <c r="G2650" s="3">
        <v>-120000</v>
      </c>
    </row>
    <row r="2651" spans="1:7" x14ac:dyDescent="0.2">
      <c r="A2651" s="3" t="s">
        <v>1074</v>
      </c>
      <c r="B2651" s="4">
        <v>44957</v>
      </c>
      <c r="C2651" s="3" t="s">
        <v>1175</v>
      </c>
      <c r="D2651" s="3" t="s">
        <v>1492</v>
      </c>
      <c r="E2651" s="3" t="s">
        <v>1493</v>
      </c>
      <c r="F2651" s="3">
        <v>-306036.3</v>
      </c>
      <c r="G2651" s="3">
        <v>-2605483.69</v>
      </c>
    </row>
    <row r="2652" spans="1:7" x14ac:dyDescent="0.2">
      <c r="A2652" s="3" t="s">
        <v>1069</v>
      </c>
      <c r="B2652" s="4">
        <v>44957</v>
      </c>
      <c r="C2652" s="3" t="s">
        <v>1175</v>
      </c>
      <c r="D2652" s="3" t="s">
        <v>1178</v>
      </c>
      <c r="E2652" s="3" t="s">
        <v>1179</v>
      </c>
      <c r="F2652" s="3">
        <v>0</v>
      </c>
      <c r="G2652" s="3">
        <v>8226138.5</v>
      </c>
    </row>
    <row r="2653" spans="1:7" x14ac:dyDescent="0.2">
      <c r="A2653" s="3" t="s">
        <v>1069</v>
      </c>
      <c r="B2653" s="4">
        <v>44957</v>
      </c>
      <c r="C2653" s="3" t="s">
        <v>1175</v>
      </c>
      <c r="D2653" s="3" t="s">
        <v>1233</v>
      </c>
      <c r="E2653" s="3" t="s">
        <v>1234</v>
      </c>
      <c r="F2653" s="3">
        <v>437000</v>
      </c>
      <c r="G2653" s="3">
        <v>377000</v>
      </c>
    </row>
    <row r="2654" spans="1:7" x14ac:dyDescent="0.2">
      <c r="A2654" s="3" t="s">
        <v>1069</v>
      </c>
      <c r="B2654" s="4">
        <v>44957</v>
      </c>
      <c r="C2654" s="3" t="s">
        <v>1175</v>
      </c>
      <c r="D2654" s="3" t="s">
        <v>1494</v>
      </c>
      <c r="E2654" s="3" t="s">
        <v>1495</v>
      </c>
      <c r="F2654" s="3">
        <v>306036.3</v>
      </c>
      <c r="G2654" s="3">
        <v>8522543.8599999994</v>
      </c>
    </row>
    <row r="2655" spans="1:7" x14ac:dyDescent="0.2">
      <c r="A2655" s="3" t="s">
        <v>1072</v>
      </c>
      <c r="B2655" s="4">
        <v>44957</v>
      </c>
      <c r="C2655" s="3" t="s">
        <v>1175</v>
      </c>
      <c r="D2655" s="3" t="s">
        <v>1405</v>
      </c>
      <c r="E2655" s="3" t="s">
        <v>1406</v>
      </c>
      <c r="F2655" s="3">
        <v>5239.08</v>
      </c>
      <c r="G2655" s="3">
        <v>57370.28</v>
      </c>
    </row>
    <row r="2656" spans="1:7" x14ac:dyDescent="0.2">
      <c r="A2656" s="3" t="s">
        <v>1072</v>
      </c>
      <c r="B2656" s="4">
        <v>44957</v>
      </c>
      <c r="C2656" s="3" t="s">
        <v>1175</v>
      </c>
      <c r="D2656" s="3" t="s">
        <v>1407</v>
      </c>
      <c r="E2656" s="3" t="s">
        <v>1408</v>
      </c>
      <c r="F2656" s="3">
        <v>0</v>
      </c>
      <c r="G2656" s="3">
        <v>-58920.1</v>
      </c>
    </row>
    <row r="2657" spans="1:7" x14ac:dyDescent="0.2">
      <c r="A2657" s="3" t="s">
        <v>1072</v>
      </c>
      <c r="B2657" s="4">
        <v>44957</v>
      </c>
      <c r="C2657" s="3" t="s">
        <v>1180</v>
      </c>
      <c r="D2657" s="3" t="s">
        <v>1409</v>
      </c>
      <c r="E2657" s="3" t="s">
        <v>1410</v>
      </c>
      <c r="F2657" s="3">
        <v>0</v>
      </c>
      <c r="G2657" s="3">
        <v>216064.1</v>
      </c>
    </row>
    <row r="2658" spans="1:7" x14ac:dyDescent="0.2">
      <c r="A2658" s="3" t="s">
        <v>1072</v>
      </c>
      <c r="B2658" s="4">
        <v>44957</v>
      </c>
      <c r="C2658" s="3" t="s">
        <v>1180</v>
      </c>
      <c r="D2658" s="3" t="s">
        <v>1411</v>
      </c>
      <c r="E2658" s="3" t="s">
        <v>1412</v>
      </c>
      <c r="F2658" s="3">
        <v>0</v>
      </c>
      <c r="G2658" s="3">
        <v>-216063.1</v>
      </c>
    </row>
    <row r="2659" spans="1:7" x14ac:dyDescent="0.2">
      <c r="A2659" s="3" t="s">
        <v>1072</v>
      </c>
      <c r="B2659" s="4">
        <v>44957</v>
      </c>
      <c r="C2659" s="3" t="s">
        <v>1180</v>
      </c>
      <c r="D2659" s="3" t="s">
        <v>1413</v>
      </c>
      <c r="E2659" s="3" t="s">
        <v>1414</v>
      </c>
      <c r="F2659" s="3">
        <v>0</v>
      </c>
      <c r="G2659" s="3">
        <v>92100.13</v>
      </c>
    </row>
    <row r="2660" spans="1:7" x14ac:dyDescent="0.2">
      <c r="A2660" s="3" t="s">
        <v>1072</v>
      </c>
      <c r="B2660" s="4">
        <v>44957</v>
      </c>
      <c r="C2660" s="3" t="s">
        <v>1180</v>
      </c>
      <c r="D2660" s="3" t="s">
        <v>1415</v>
      </c>
      <c r="E2660" s="3" t="s">
        <v>1416</v>
      </c>
      <c r="F2660" s="3">
        <v>-2165.86</v>
      </c>
      <c r="G2660" s="3">
        <v>-40757.160000000003</v>
      </c>
    </row>
    <row r="2661" spans="1:7" x14ac:dyDescent="0.2">
      <c r="A2661" s="3" t="s">
        <v>1072</v>
      </c>
      <c r="B2661" s="4">
        <v>44957</v>
      </c>
      <c r="C2661" s="3" t="s">
        <v>1180</v>
      </c>
      <c r="D2661" s="3" t="s">
        <v>1462</v>
      </c>
      <c r="E2661" s="3" t="s">
        <v>1463</v>
      </c>
      <c r="F2661" s="3">
        <v>0</v>
      </c>
      <c r="G2661" s="3">
        <v>37955.300000000003</v>
      </c>
    </row>
    <row r="2662" spans="1:7" x14ac:dyDescent="0.2">
      <c r="A2662" s="3" t="s">
        <v>1072</v>
      </c>
      <c r="B2662" s="4">
        <v>44957</v>
      </c>
      <c r="C2662" s="3" t="s">
        <v>1180</v>
      </c>
      <c r="D2662" s="3" t="s">
        <v>1484</v>
      </c>
      <c r="E2662" s="3" t="s">
        <v>1485</v>
      </c>
      <c r="F2662" s="3">
        <v>-547.66999999999996</v>
      </c>
      <c r="G2662" s="3">
        <v>-5346.89</v>
      </c>
    </row>
    <row r="2663" spans="1:7" x14ac:dyDescent="0.2">
      <c r="A2663" s="3" t="s">
        <v>1072</v>
      </c>
      <c r="B2663" s="4">
        <v>44957</v>
      </c>
      <c r="C2663" s="3" t="s">
        <v>1180</v>
      </c>
      <c r="D2663" s="3" t="s">
        <v>1417</v>
      </c>
      <c r="E2663" s="3" t="s">
        <v>1418</v>
      </c>
      <c r="F2663" s="3">
        <v>0</v>
      </c>
      <c r="G2663" s="3">
        <v>11600</v>
      </c>
    </row>
    <row r="2664" spans="1:7" x14ac:dyDescent="0.2">
      <c r="A2664" s="3" t="s">
        <v>1072</v>
      </c>
      <c r="B2664" s="4">
        <v>44957</v>
      </c>
      <c r="C2664" s="3" t="s">
        <v>1180</v>
      </c>
      <c r="D2664" s="3" t="s">
        <v>1419</v>
      </c>
      <c r="E2664" s="3" t="s">
        <v>1420</v>
      </c>
      <c r="F2664" s="3">
        <v>-193.34</v>
      </c>
      <c r="G2664" s="3">
        <v>-2932.23</v>
      </c>
    </row>
    <row r="2665" spans="1:7" x14ac:dyDescent="0.2">
      <c r="A2665" s="3" t="s">
        <v>1069</v>
      </c>
      <c r="B2665" s="4">
        <v>44957</v>
      </c>
      <c r="C2665" s="3" t="s">
        <v>1180</v>
      </c>
      <c r="D2665" s="3" t="s">
        <v>1421</v>
      </c>
      <c r="E2665" s="3" t="s">
        <v>1422</v>
      </c>
      <c r="F2665" s="3">
        <v>0</v>
      </c>
      <c r="G2665" s="3">
        <v>874505.75</v>
      </c>
    </row>
    <row r="2666" spans="1:7" x14ac:dyDescent="0.2">
      <c r="A2666" s="3" t="s">
        <v>1074</v>
      </c>
      <c r="B2666" s="4">
        <v>44957</v>
      </c>
      <c r="C2666" s="3" t="s">
        <v>1180</v>
      </c>
      <c r="D2666" s="3" t="s">
        <v>1421</v>
      </c>
      <c r="E2666" s="3" t="s">
        <v>1533</v>
      </c>
      <c r="F2666" s="3">
        <v>0</v>
      </c>
      <c r="G2666" s="3">
        <v>439254.75</v>
      </c>
    </row>
    <row r="2667" spans="1:7" x14ac:dyDescent="0.2">
      <c r="A2667" s="3" t="s">
        <v>1069</v>
      </c>
      <c r="B2667" s="4">
        <v>44957</v>
      </c>
      <c r="C2667" s="3" t="s">
        <v>1180</v>
      </c>
      <c r="D2667" s="3" t="s">
        <v>1214</v>
      </c>
      <c r="E2667" s="3" t="s">
        <v>1215</v>
      </c>
      <c r="F2667" s="3">
        <v>0</v>
      </c>
      <c r="G2667" s="3">
        <v>26200000</v>
      </c>
    </row>
    <row r="2668" spans="1:7" x14ac:dyDescent="0.2">
      <c r="A2668" s="3" t="s">
        <v>1069</v>
      </c>
      <c r="B2668" s="4">
        <v>44957</v>
      </c>
      <c r="C2668" s="3" t="s">
        <v>1180</v>
      </c>
      <c r="D2668" s="3" t="s">
        <v>1216</v>
      </c>
      <c r="E2668" s="3" t="s">
        <v>1217</v>
      </c>
      <c r="F2668" s="3">
        <v>0</v>
      </c>
      <c r="G2668" s="3">
        <v>68427</v>
      </c>
    </row>
    <row r="2669" spans="1:7" x14ac:dyDescent="0.2">
      <c r="A2669" s="3" t="s">
        <v>1069</v>
      </c>
      <c r="B2669" s="4">
        <v>44957</v>
      </c>
      <c r="C2669" s="3" t="s">
        <v>1180</v>
      </c>
      <c r="D2669" s="3" t="s">
        <v>1218</v>
      </c>
      <c r="E2669" s="3" t="s">
        <v>1219</v>
      </c>
      <c r="F2669" s="3">
        <v>0</v>
      </c>
      <c r="G2669" s="3">
        <v>103812</v>
      </c>
    </row>
    <row r="2670" spans="1:7" x14ac:dyDescent="0.2">
      <c r="A2670" s="3" t="s">
        <v>1069</v>
      </c>
      <c r="B2670" s="4">
        <v>44957</v>
      </c>
      <c r="C2670" s="3" t="s">
        <v>1180</v>
      </c>
      <c r="D2670" s="3" t="s">
        <v>1197</v>
      </c>
      <c r="E2670" s="3" t="s">
        <v>1198</v>
      </c>
      <c r="F2670" s="3">
        <v>0</v>
      </c>
      <c r="G2670" s="3">
        <v>847438</v>
      </c>
    </row>
    <row r="2671" spans="1:7" x14ac:dyDescent="0.2">
      <c r="A2671" s="3" t="s">
        <v>1074</v>
      </c>
      <c r="B2671" s="4">
        <v>44957</v>
      </c>
      <c r="C2671" s="3" t="s">
        <v>1180</v>
      </c>
      <c r="D2671" s="3" t="s">
        <v>1197</v>
      </c>
      <c r="E2671" s="3" t="s">
        <v>1550</v>
      </c>
      <c r="F2671" s="3">
        <v>0</v>
      </c>
      <c r="G2671" s="3">
        <v>398921</v>
      </c>
    </row>
    <row r="2672" spans="1:7" x14ac:dyDescent="0.2">
      <c r="A2672" s="3" t="s">
        <v>1069</v>
      </c>
      <c r="B2672" s="4">
        <v>44957</v>
      </c>
      <c r="C2672" s="3" t="s">
        <v>1180</v>
      </c>
      <c r="D2672" s="3" t="s">
        <v>1496</v>
      </c>
      <c r="E2672" s="3" t="s">
        <v>1497</v>
      </c>
      <c r="F2672" s="3">
        <v>4000</v>
      </c>
      <c r="G2672" s="3">
        <v>136500</v>
      </c>
    </row>
    <row r="2673" spans="1:7" x14ac:dyDescent="0.2">
      <c r="A2673" s="3" t="s">
        <v>1069</v>
      </c>
      <c r="B2673" s="4">
        <v>44957</v>
      </c>
      <c r="C2673" s="3" t="s">
        <v>1180</v>
      </c>
      <c r="D2673" s="3" t="s">
        <v>1181</v>
      </c>
      <c r="E2673" s="3" t="s">
        <v>1182</v>
      </c>
      <c r="F2673" s="3">
        <v>0</v>
      </c>
      <c r="G2673" s="3">
        <v>8557641.8000000007</v>
      </c>
    </row>
    <row r="2674" spans="1:7" x14ac:dyDescent="0.2">
      <c r="A2674" s="3" t="s">
        <v>1069</v>
      </c>
      <c r="B2674" s="4">
        <v>44957</v>
      </c>
      <c r="C2674" s="3" t="s">
        <v>1180</v>
      </c>
      <c r="D2674" s="3" t="s">
        <v>1263</v>
      </c>
      <c r="E2674" s="3" t="s">
        <v>1264</v>
      </c>
      <c r="F2674" s="3">
        <v>0</v>
      </c>
      <c r="G2674" s="3">
        <v>13807.78</v>
      </c>
    </row>
    <row r="2675" spans="1:7" x14ac:dyDescent="0.2">
      <c r="A2675" s="3" t="s">
        <v>1069</v>
      </c>
      <c r="B2675" s="4">
        <v>44957</v>
      </c>
      <c r="C2675" s="3" t="s">
        <v>1180</v>
      </c>
      <c r="D2675" s="3" t="s">
        <v>1202</v>
      </c>
      <c r="E2675" s="3" t="s">
        <v>1203</v>
      </c>
      <c r="F2675" s="3">
        <v>0</v>
      </c>
      <c r="G2675" s="3">
        <v>152123.09</v>
      </c>
    </row>
    <row r="2676" spans="1:7" x14ac:dyDescent="0.2">
      <c r="A2676" s="3" t="s">
        <v>1074</v>
      </c>
      <c r="B2676" s="4">
        <v>44957</v>
      </c>
      <c r="C2676" s="3" t="s">
        <v>1180</v>
      </c>
      <c r="D2676" s="3" t="s">
        <v>1202</v>
      </c>
      <c r="E2676" s="3" t="s">
        <v>1577</v>
      </c>
      <c r="F2676" s="3">
        <v>3835</v>
      </c>
      <c r="G2676" s="3">
        <v>15485</v>
      </c>
    </row>
    <row r="2677" spans="1:7" x14ac:dyDescent="0.2">
      <c r="A2677" s="3" t="s">
        <v>1069</v>
      </c>
      <c r="B2677" s="4">
        <v>44957</v>
      </c>
      <c r="C2677" s="3" t="s">
        <v>1180</v>
      </c>
      <c r="D2677" s="3" t="s">
        <v>1204</v>
      </c>
      <c r="E2677" s="3" t="s">
        <v>1205</v>
      </c>
      <c r="F2677" s="3">
        <v>0</v>
      </c>
      <c r="G2677" s="3">
        <v>7500</v>
      </c>
    </row>
    <row r="2678" spans="1:7" x14ac:dyDescent="0.2">
      <c r="A2678" s="3" t="s">
        <v>1069</v>
      </c>
      <c r="B2678" s="4">
        <v>44957</v>
      </c>
      <c r="C2678" s="3" t="s">
        <v>1180</v>
      </c>
      <c r="D2678" s="3" t="s">
        <v>1199</v>
      </c>
      <c r="E2678" s="3" t="s">
        <v>1200</v>
      </c>
      <c r="F2678" s="3">
        <v>0</v>
      </c>
      <c r="G2678" s="3">
        <v>67400</v>
      </c>
    </row>
    <row r="2679" spans="1:7" x14ac:dyDescent="0.2">
      <c r="A2679" s="3" t="s">
        <v>1069</v>
      </c>
      <c r="B2679" s="4">
        <v>44957</v>
      </c>
      <c r="C2679" s="3" t="s">
        <v>1180</v>
      </c>
      <c r="D2679" s="3" t="s">
        <v>1486</v>
      </c>
      <c r="E2679" s="3" t="s">
        <v>1487</v>
      </c>
      <c r="F2679" s="3">
        <v>1400</v>
      </c>
      <c r="G2679" s="3">
        <v>20600</v>
      </c>
    </row>
    <row r="2680" spans="1:7" x14ac:dyDescent="0.2">
      <c r="A2680" s="3" t="s">
        <v>1069</v>
      </c>
      <c r="B2680" s="4">
        <v>44957</v>
      </c>
      <c r="C2680" s="3" t="s">
        <v>1180</v>
      </c>
      <c r="D2680" s="3" t="s">
        <v>1220</v>
      </c>
      <c r="E2680" s="3" t="s">
        <v>1221</v>
      </c>
      <c r="F2680" s="3">
        <v>0</v>
      </c>
      <c r="G2680" s="3">
        <v>15175</v>
      </c>
    </row>
    <row r="2681" spans="1:7" x14ac:dyDescent="0.2">
      <c r="A2681" s="3" t="s">
        <v>1069</v>
      </c>
      <c r="B2681" s="4">
        <v>44957</v>
      </c>
      <c r="C2681" s="3" t="s">
        <v>1180</v>
      </c>
      <c r="D2681" s="3" t="s">
        <v>1498</v>
      </c>
      <c r="E2681" s="3" t="s">
        <v>1499</v>
      </c>
      <c r="F2681" s="3">
        <v>0</v>
      </c>
      <c r="G2681" s="3">
        <v>570856.07999999996</v>
      </c>
    </row>
    <row r="2682" spans="1:7" x14ac:dyDescent="0.2">
      <c r="A2682" s="3" t="s">
        <v>1069</v>
      </c>
      <c r="B2682" s="4">
        <v>44957</v>
      </c>
      <c r="C2682" s="3" t="s">
        <v>1180</v>
      </c>
      <c r="D2682" s="3" t="s">
        <v>1183</v>
      </c>
      <c r="E2682" s="3" t="s">
        <v>1184</v>
      </c>
      <c r="F2682" s="3">
        <v>0</v>
      </c>
      <c r="G2682" s="3">
        <v>48189453.100000001</v>
      </c>
    </row>
    <row r="2683" spans="1:7" x14ac:dyDescent="0.2">
      <c r="A2683" s="3" t="s">
        <v>1074</v>
      </c>
      <c r="B2683" s="4">
        <v>44957</v>
      </c>
      <c r="C2683" s="3" t="s">
        <v>1180</v>
      </c>
      <c r="D2683" s="3" t="s">
        <v>1183</v>
      </c>
      <c r="E2683" s="3" t="s">
        <v>1631</v>
      </c>
      <c r="F2683" s="3">
        <v>1980000</v>
      </c>
      <c r="G2683" s="3">
        <v>1980000</v>
      </c>
    </row>
    <row r="2684" spans="1:7" x14ac:dyDescent="0.2">
      <c r="A2684" s="3" t="s">
        <v>1069</v>
      </c>
      <c r="B2684" s="4">
        <v>44957</v>
      </c>
      <c r="C2684" s="3" t="s">
        <v>1180</v>
      </c>
      <c r="D2684" s="3" t="s">
        <v>1222</v>
      </c>
      <c r="E2684" s="3" t="s">
        <v>1223</v>
      </c>
      <c r="F2684" s="3">
        <v>0</v>
      </c>
      <c r="G2684" s="3">
        <v>3676905</v>
      </c>
    </row>
    <row r="2685" spans="1:7" x14ac:dyDescent="0.2">
      <c r="A2685" s="3" t="s">
        <v>1069</v>
      </c>
      <c r="B2685" s="4">
        <v>44957</v>
      </c>
      <c r="C2685" s="3" t="s">
        <v>1180</v>
      </c>
      <c r="D2685" s="3" t="s">
        <v>1235</v>
      </c>
      <c r="E2685" s="3" t="s">
        <v>1236</v>
      </c>
      <c r="F2685" s="3">
        <v>0</v>
      </c>
      <c r="G2685" s="3">
        <v>782608.07</v>
      </c>
    </row>
    <row r="2686" spans="1:7" x14ac:dyDescent="0.2">
      <c r="A2686" s="3" t="s">
        <v>1069</v>
      </c>
      <c r="B2686" s="4">
        <v>44957</v>
      </c>
      <c r="C2686" s="3" t="s">
        <v>1180</v>
      </c>
      <c r="D2686" s="3" t="s">
        <v>1206</v>
      </c>
      <c r="E2686" s="3" t="s">
        <v>1207</v>
      </c>
      <c r="F2686" s="3">
        <v>0</v>
      </c>
      <c r="G2686" s="3">
        <v>166550</v>
      </c>
    </row>
    <row r="2687" spans="1:7" x14ac:dyDescent="0.2">
      <c r="A2687" s="3" t="s">
        <v>1069</v>
      </c>
      <c r="B2687" s="4">
        <v>44957</v>
      </c>
      <c r="C2687" s="3" t="s">
        <v>1180</v>
      </c>
      <c r="D2687" s="3" t="s">
        <v>1208</v>
      </c>
      <c r="E2687" s="3" t="s">
        <v>1209</v>
      </c>
      <c r="F2687" s="3">
        <v>0</v>
      </c>
      <c r="G2687" s="3">
        <v>45000</v>
      </c>
    </row>
    <row r="2688" spans="1:7" x14ac:dyDescent="0.2">
      <c r="A2688" s="3" t="s">
        <v>1069</v>
      </c>
      <c r="B2688" s="4">
        <v>44957</v>
      </c>
      <c r="C2688" s="3" t="s">
        <v>1180</v>
      </c>
      <c r="D2688" s="3" t="s">
        <v>1259</v>
      </c>
      <c r="E2688" s="3" t="s">
        <v>1260</v>
      </c>
      <c r="F2688" s="3">
        <v>6000</v>
      </c>
      <c r="G2688" s="3">
        <v>125000</v>
      </c>
    </row>
    <row r="2689" spans="1:7" x14ac:dyDescent="0.2">
      <c r="A2689" s="3" t="s">
        <v>1074</v>
      </c>
      <c r="B2689" s="4">
        <v>44957</v>
      </c>
      <c r="C2689" s="3" t="s">
        <v>1180</v>
      </c>
      <c r="D2689" s="3" t="s">
        <v>1578</v>
      </c>
      <c r="E2689" s="3" t="s">
        <v>1579</v>
      </c>
      <c r="F2689" s="3">
        <v>0</v>
      </c>
      <c r="G2689" s="3">
        <v>66190.11</v>
      </c>
    </row>
    <row r="2690" spans="1:7" x14ac:dyDescent="0.2">
      <c r="A2690" s="3" t="s">
        <v>1069</v>
      </c>
      <c r="B2690" s="4">
        <v>44957</v>
      </c>
      <c r="C2690" s="3" t="s">
        <v>1180</v>
      </c>
      <c r="D2690" s="3" t="s">
        <v>1265</v>
      </c>
      <c r="E2690" s="3" t="s">
        <v>1266</v>
      </c>
      <c r="F2690" s="3">
        <v>0</v>
      </c>
      <c r="G2690" s="3">
        <v>1021325.63</v>
      </c>
    </row>
    <row r="2691" spans="1:7" x14ac:dyDescent="0.2">
      <c r="A2691" s="3" t="s">
        <v>1074</v>
      </c>
      <c r="B2691" s="4">
        <v>44957</v>
      </c>
      <c r="C2691" s="3" t="s">
        <v>1180</v>
      </c>
      <c r="D2691" s="3" t="s">
        <v>1265</v>
      </c>
      <c r="E2691" s="3" t="s">
        <v>1518</v>
      </c>
      <c r="F2691" s="3">
        <v>40335.910000000003</v>
      </c>
      <c r="G2691" s="3">
        <v>1278701.8400000001</v>
      </c>
    </row>
    <row r="2692" spans="1:7" x14ac:dyDescent="0.2">
      <c r="A2692" s="3" t="s">
        <v>1069</v>
      </c>
      <c r="B2692" s="4">
        <v>44957</v>
      </c>
      <c r="C2692" s="3" t="s">
        <v>1180</v>
      </c>
      <c r="D2692" s="3" t="s">
        <v>1423</v>
      </c>
      <c r="E2692" s="3" t="s">
        <v>1424</v>
      </c>
      <c r="F2692" s="3">
        <v>0</v>
      </c>
      <c r="G2692" s="3">
        <v>622274.51</v>
      </c>
    </row>
    <row r="2693" spans="1:7" x14ac:dyDescent="0.2">
      <c r="A2693" s="3" t="s">
        <v>1074</v>
      </c>
      <c r="B2693" s="4">
        <v>44957</v>
      </c>
      <c r="C2693" s="3" t="s">
        <v>1180</v>
      </c>
      <c r="D2693" s="3" t="s">
        <v>1519</v>
      </c>
      <c r="E2693" s="3" t="s">
        <v>1551</v>
      </c>
      <c r="F2693" s="3">
        <v>3000</v>
      </c>
      <c r="G2693" s="3">
        <v>18780</v>
      </c>
    </row>
    <row r="2694" spans="1:7" x14ac:dyDescent="0.2">
      <c r="A2694" s="3" t="s">
        <v>1069</v>
      </c>
      <c r="B2694" s="4">
        <v>44957</v>
      </c>
      <c r="C2694" s="3" t="s">
        <v>1180</v>
      </c>
      <c r="D2694" s="3" t="s">
        <v>1519</v>
      </c>
      <c r="E2694" s="3" t="s">
        <v>1520</v>
      </c>
      <c r="F2694" s="3">
        <v>0</v>
      </c>
      <c r="G2694" s="3">
        <v>985049.68</v>
      </c>
    </row>
    <row r="2695" spans="1:7" x14ac:dyDescent="0.2">
      <c r="A2695" s="3" t="s">
        <v>1074</v>
      </c>
      <c r="B2695" s="4">
        <v>44957</v>
      </c>
      <c r="C2695" s="3" t="s">
        <v>1180</v>
      </c>
      <c r="D2695" s="3" t="s">
        <v>1521</v>
      </c>
      <c r="E2695" s="3" t="s">
        <v>1522</v>
      </c>
      <c r="F2695" s="3">
        <v>1400</v>
      </c>
      <c r="G2695" s="3">
        <v>13200</v>
      </c>
    </row>
    <row r="2696" spans="1:7" x14ac:dyDescent="0.2">
      <c r="A2696" s="3" t="s">
        <v>1074</v>
      </c>
      <c r="B2696" s="4">
        <v>44957</v>
      </c>
      <c r="C2696" s="3" t="s">
        <v>1180</v>
      </c>
      <c r="D2696" s="3" t="s">
        <v>1534</v>
      </c>
      <c r="E2696" s="3" t="s">
        <v>1535</v>
      </c>
      <c r="F2696" s="3">
        <v>217391.3</v>
      </c>
      <c r="G2696" s="3">
        <v>467391.3</v>
      </c>
    </row>
    <row r="2697" spans="1:7" x14ac:dyDescent="0.2">
      <c r="A2697" s="3" t="s">
        <v>1074</v>
      </c>
      <c r="B2697" s="4">
        <v>44957</v>
      </c>
      <c r="C2697" s="3" t="s">
        <v>1180</v>
      </c>
      <c r="D2697" s="3" t="s">
        <v>1610</v>
      </c>
      <c r="E2697" s="3" t="s">
        <v>1611</v>
      </c>
      <c r="F2697" s="3">
        <v>0</v>
      </c>
      <c r="G2697" s="3">
        <v>812587.84</v>
      </c>
    </row>
    <row r="2698" spans="1:7" x14ac:dyDescent="0.2">
      <c r="A2698" s="3" t="s">
        <v>1069</v>
      </c>
      <c r="B2698" s="4">
        <v>44957</v>
      </c>
      <c r="C2698" s="3" t="s">
        <v>1180</v>
      </c>
      <c r="D2698" s="3" t="s">
        <v>1529</v>
      </c>
      <c r="E2698" s="3" t="s">
        <v>1530</v>
      </c>
      <c r="F2698" s="3">
        <v>0</v>
      </c>
      <c r="G2698" s="3">
        <v>3023829.42</v>
      </c>
    </row>
    <row r="2699" spans="1:7" x14ac:dyDescent="0.2">
      <c r="A2699" s="3" t="s">
        <v>1069</v>
      </c>
      <c r="B2699" s="4">
        <v>44957</v>
      </c>
      <c r="C2699" s="3" t="s">
        <v>1180</v>
      </c>
      <c r="D2699" s="3" t="s">
        <v>1536</v>
      </c>
      <c r="E2699" s="3" t="s">
        <v>1537</v>
      </c>
      <c r="F2699" s="3">
        <v>0</v>
      </c>
      <c r="G2699" s="3">
        <v>1250000</v>
      </c>
    </row>
    <row r="2700" spans="1:7" x14ac:dyDescent="0.2">
      <c r="A2700" s="3" t="s">
        <v>1072</v>
      </c>
      <c r="B2700" s="4">
        <v>44957</v>
      </c>
      <c r="C2700" s="3" t="s">
        <v>1180</v>
      </c>
      <c r="D2700" s="3" t="s">
        <v>1425</v>
      </c>
      <c r="E2700" s="3" t="s">
        <v>1426</v>
      </c>
      <c r="F2700" s="3">
        <v>0</v>
      </c>
      <c r="G2700" s="3">
        <v>8387.9500000000007</v>
      </c>
    </row>
    <row r="2701" spans="1:7" x14ac:dyDescent="0.2">
      <c r="A2701" s="3" t="s">
        <v>1072</v>
      </c>
      <c r="B2701" s="4">
        <v>44957</v>
      </c>
      <c r="C2701" s="3" t="s">
        <v>1180</v>
      </c>
      <c r="D2701" s="3" t="s">
        <v>1427</v>
      </c>
      <c r="E2701" s="3" t="s">
        <v>1428</v>
      </c>
      <c r="F2701" s="3">
        <v>1177000</v>
      </c>
      <c r="G2701" s="3">
        <v>-1977899.4</v>
      </c>
    </row>
    <row r="2702" spans="1:7" x14ac:dyDescent="0.2">
      <c r="A2702" s="3" t="s">
        <v>1069</v>
      </c>
      <c r="B2702" s="4">
        <v>44957</v>
      </c>
      <c r="C2702" s="3" t="s">
        <v>1180</v>
      </c>
      <c r="D2702" s="3" t="s">
        <v>1427</v>
      </c>
      <c r="E2702" s="3" t="s">
        <v>1428</v>
      </c>
      <c r="F2702" s="3">
        <v>218233.58</v>
      </c>
      <c r="G2702" s="3">
        <v>218233.58</v>
      </c>
    </row>
    <row r="2703" spans="1:7" x14ac:dyDescent="0.2">
      <c r="A2703" s="3" t="s">
        <v>1072</v>
      </c>
      <c r="B2703" s="4">
        <v>44957</v>
      </c>
      <c r="C2703" s="3" t="s">
        <v>1180</v>
      </c>
      <c r="D2703" s="3" t="s">
        <v>1429</v>
      </c>
      <c r="E2703" s="3" t="s">
        <v>1430</v>
      </c>
      <c r="F2703" s="3">
        <v>-2719.44</v>
      </c>
      <c r="G2703" s="3">
        <v>5438.87</v>
      </c>
    </row>
    <row r="2704" spans="1:7" x14ac:dyDescent="0.2">
      <c r="A2704" s="3" t="s">
        <v>1069</v>
      </c>
      <c r="B2704" s="4">
        <v>44957</v>
      </c>
      <c r="C2704" s="3" t="s">
        <v>1180</v>
      </c>
      <c r="D2704" s="3" t="s">
        <v>1187</v>
      </c>
      <c r="E2704" s="3" t="s">
        <v>1188</v>
      </c>
      <c r="F2704" s="3">
        <v>-423382.22</v>
      </c>
      <c r="G2704" s="3">
        <v>613052.02</v>
      </c>
    </row>
    <row r="2705" spans="1:7" x14ac:dyDescent="0.2">
      <c r="A2705" s="3" t="s">
        <v>1072</v>
      </c>
      <c r="B2705" s="4">
        <v>44957</v>
      </c>
      <c r="C2705" s="3" t="s">
        <v>1180</v>
      </c>
      <c r="D2705" s="3" t="s">
        <v>1187</v>
      </c>
      <c r="E2705" s="3" t="s">
        <v>1433</v>
      </c>
      <c r="F2705" s="3">
        <v>-832824.93</v>
      </c>
      <c r="G2705" s="3">
        <v>73831.490000000005</v>
      </c>
    </row>
    <row r="2706" spans="1:7" x14ac:dyDescent="0.2">
      <c r="A2706" s="3" t="s">
        <v>1072</v>
      </c>
      <c r="B2706" s="4">
        <v>44957</v>
      </c>
      <c r="C2706" s="3" t="s">
        <v>1180</v>
      </c>
      <c r="D2706" s="3" t="s">
        <v>1435</v>
      </c>
      <c r="E2706" s="3" t="s">
        <v>1436</v>
      </c>
      <c r="F2706" s="3">
        <v>9.4600000000000009</v>
      </c>
      <c r="G2706" s="3">
        <v>537.32000000000005</v>
      </c>
    </row>
    <row r="2707" spans="1:7" x14ac:dyDescent="0.2">
      <c r="A2707" s="3" t="s">
        <v>1069</v>
      </c>
      <c r="B2707" s="4">
        <v>44957</v>
      </c>
      <c r="C2707" s="3" t="s">
        <v>1180</v>
      </c>
      <c r="D2707" s="3" t="s">
        <v>1243</v>
      </c>
      <c r="E2707" s="3" t="s">
        <v>1244</v>
      </c>
      <c r="F2707" s="3">
        <v>4.7699999999999996</v>
      </c>
      <c r="G2707" s="3">
        <v>823.24</v>
      </c>
    </row>
    <row r="2708" spans="1:7" x14ac:dyDescent="0.2">
      <c r="A2708" s="3" t="s">
        <v>1069</v>
      </c>
      <c r="B2708" s="4">
        <v>44957</v>
      </c>
      <c r="C2708" s="3" t="s">
        <v>1180</v>
      </c>
      <c r="D2708" s="3" t="s">
        <v>1245</v>
      </c>
      <c r="E2708" s="3" t="s">
        <v>1246</v>
      </c>
      <c r="F2708" s="3">
        <v>12840006.93</v>
      </c>
      <c r="G2708" s="3">
        <v>22596284.850000001</v>
      </c>
    </row>
    <row r="2709" spans="1:7" x14ac:dyDescent="0.2">
      <c r="A2709" s="3" t="s">
        <v>1072</v>
      </c>
      <c r="B2709" s="4">
        <v>44957</v>
      </c>
      <c r="C2709" s="3" t="s">
        <v>1175</v>
      </c>
      <c r="D2709" s="3" t="s">
        <v>1437</v>
      </c>
      <c r="E2709" s="3" t="s">
        <v>1438</v>
      </c>
      <c r="F2709" s="3">
        <v>-0.02</v>
      </c>
      <c r="G2709" s="3">
        <v>123.42</v>
      </c>
    </row>
    <row r="2710" spans="1:7" x14ac:dyDescent="0.2">
      <c r="A2710" s="3" t="s">
        <v>1069</v>
      </c>
      <c r="B2710" s="4">
        <v>44957</v>
      </c>
      <c r="C2710" s="3" t="s">
        <v>1175</v>
      </c>
      <c r="D2710" s="3" t="s">
        <v>1437</v>
      </c>
      <c r="E2710" s="3" t="s">
        <v>1438</v>
      </c>
      <c r="F2710" s="3">
        <v>0</v>
      </c>
      <c r="G2710" s="3">
        <v>0.03</v>
      </c>
    </row>
    <row r="2711" spans="1:7" x14ac:dyDescent="0.2">
      <c r="A2711" s="3" t="s">
        <v>1072</v>
      </c>
      <c r="B2711" s="4">
        <v>44957</v>
      </c>
      <c r="C2711" s="3" t="s">
        <v>1175</v>
      </c>
      <c r="D2711" s="3" t="s">
        <v>1191</v>
      </c>
      <c r="E2711" s="3" t="s">
        <v>1192</v>
      </c>
      <c r="F2711" s="3">
        <v>-533669.78</v>
      </c>
      <c r="G2711" s="3">
        <v>-2000684.88</v>
      </c>
    </row>
    <row r="2712" spans="1:7" x14ac:dyDescent="0.2">
      <c r="A2712" s="3" t="s">
        <v>1069</v>
      </c>
      <c r="B2712" s="4">
        <v>44957</v>
      </c>
      <c r="C2712" s="3" t="s">
        <v>1175</v>
      </c>
      <c r="D2712" s="3" t="s">
        <v>1191</v>
      </c>
      <c r="E2712" s="3" t="s">
        <v>1192</v>
      </c>
      <c r="F2712" s="3">
        <v>-5134699.75</v>
      </c>
      <c r="G2712" s="3">
        <v>-113744243.87</v>
      </c>
    </row>
    <row r="2713" spans="1:7" x14ac:dyDescent="0.2">
      <c r="A2713" s="3" t="s">
        <v>1074</v>
      </c>
      <c r="B2713" s="4">
        <v>44957</v>
      </c>
      <c r="C2713" s="3" t="s">
        <v>1175</v>
      </c>
      <c r="D2713" s="3" t="s">
        <v>1191</v>
      </c>
      <c r="E2713" s="3" t="s">
        <v>1192</v>
      </c>
      <c r="F2713" s="3">
        <v>-2301788.75</v>
      </c>
      <c r="G2713" s="3">
        <v>-3692688.92</v>
      </c>
    </row>
    <row r="2714" spans="1:7" x14ac:dyDescent="0.2">
      <c r="A2714" s="3" t="s">
        <v>1072</v>
      </c>
      <c r="B2714" s="4">
        <v>44957</v>
      </c>
      <c r="C2714" s="3" t="s">
        <v>1175</v>
      </c>
      <c r="D2714" s="3" t="s">
        <v>1488</v>
      </c>
      <c r="E2714" s="3" t="s">
        <v>1489</v>
      </c>
      <c r="F2714" s="3">
        <v>0</v>
      </c>
      <c r="G2714" s="3">
        <v>1186.1300000000001</v>
      </c>
    </row>
    <row r="2715" spans="1:7" x14ac:dyDescent="0.2">
      <c r="A2715" s="3" t="s">
        <v>1072</v>
      </c>
      <c r="B2715" s="4">
        <v>44957</v>
      </c>
      <c r="C2715" s="3" t="s">
        <v>1175</v>
      </c>
      <c r="D2715" s="3" t="s">
        <v>1439</v>
      </c>
      <c r="E2715" s="3" t="s">
        <v>1440</v>
      </c>
      <c r="F2715" s="3">
        <v>0</v>
      </c>
      <c r="G2715" s="3">
        <v>20758.55</v>
      </c>
    </row>
    <row r="2716" spans="1:7" x14ac:dyDescent="0.2">
      <c r="A2716" s="3" t="s">
        <v>1072</v>
      </c>
      <c r="B2716" s="4">
        <v>44957</v>
      </c>
      <c r="C2716" s="3" t="s">
        <v>1175</v>
      </c>
      <c r="D2716" s="3" t="s">
        <v>1441</v>
      </c>
      <c r="E2716" s="3" t="s">
        <v>1442</v>
      </c>
      <c r="F2716" s="3">
        <v>-42845.89</v>
      </c>
      <c r="G2716" s="3">
        <v>-73275.89</v>
      </c>
    </row>
    <row r="2717" spans="1:7" x14ac:dyDescent="0.2">
      <c r="A2717" s="3" t="s">
        <v>1072</v>
      </c>
      <c r="B2717" s="4">
        <v>44957</v>
      </c>
      <c r="C2717" s="3" t="s">
        <v>1175</v>
      </c>
      <c r="D2717" s="3" t="s">
        <v>1464</v>
      </c>
      <c r="E2717" s="3" t="s">
        <v>1465</v>
      </c>
      <c r="F2717" s="3">
        <v>-6809.25</v>
      </c>
      <c r="G2717" s="3">
        <v>-24967.25</v>
      </c>
    </row>
    <row r="2718" spans="1:7" x14ac:dyDescent="0.2">
      <c r="A2718" s="3" t="s">
        <v>1072</v>
      </c>
      <c r="B2718" s="4">
        <v>44957</v>
      </c>
      <c r="C2718" s="3" t="s">
        <v>1175</v>
      </c>
      <c r="D2718" s="3" t="s">
        <v>1193</v>
      </c>
      <c r="E2718" s="3" t="s">
        <v>1443</v>
      </c>
      <c r="F2718" s="3">
        <v>-99288.69</v>
      </c>
      <c r="G2718" s="3">
        <v>-290856.08</v>
      </c>
    </row>
    <row r="2719" spans="1:7" x14ac:dyDescent="0.2">
      <c r="A2719" s="3" t="s">
        <v>1069</v>
      </c>
      <c r="B2719" s="4">
        <v>44957</v>
      </c>
      <c r="C2719" s="3" t="s">
        <v>1175</v>
      </c>
      <c r="D2719" s="3" t="s">
        <v>1193</v>
      </c>
      <c r="E2719" s="3" t="s">
        <v>1194</v>
      </c>
      <c r="F2719" s="3">
        <v>33334.910000000003</v>
      </c>
      <c r="G2719" s="3">
        <v>-1817228.33</v>
      </c>
    </row>
    <row r="2720" spans="1:7" x14ac:dyDescent="0.2">
      <c r="A2720" s="3" t="s">
        <v>1074</v>
      </c>
      <c r="B2720" s="4">
        <v>44957</v>
      </c>
      <c r="C2720" s="3" t="s">
        <v>1175</v>
      </c>
      <c r="D2720" s="3" t="s">
        <v>1193</v>
      </c>
      <c r="E2720" s="3" t="s">
        <v>1194</v>
      </c>
      <c r="F2720" s="3">
        <v>339498.93</v>
      </c>
      <c r="G2720" s="3">
        <v>756363.65</v>
      </c>
    </row>
    <row r="2721" spans="1:7" x14ac:dyDescent="0.2">
      <c r="A2721" s="3" t="s">
        <v>1069</v>
      </c>
      <c r="B2721" s="4">
        <v>44957</v>
      </c>
      <c r="C2721" s="3" t="s">
        <v>1175</v>
      </c>
      <c r="D2721" s="3" t="s">
        <v>1580</v>
      </c>
      <c r="E2721" s="3" t="s">
        <v>1581</v>
      </c>
      <c r="F2721" s="3">
        <v>0</v>
      </c>
      <c r="G2721" s="3">
        <v>74995</v>
      </c>
    </row>
    <row r="2722" spans="1:7" x14ac:dyDescent="0.2">
      <c r="A2722" s="3" t="s">
        <v>1069</v>
      </c>
      <c r="B2722" s="4">
        <v>44957</v>
      </c>
      <c r="C2722" s="3" t="s">
        <v>1175</v>
      </c>
      <c r="D2722" s="3" t="s">
        <v>1582</v>
      </c>
      <c r="E2722" s="3" t="s">
        <v>1583</v>
      </c>
      <c r="F2722" s="3">
        <v>-74995</v>
      </c>
      <c r="G2722" s="3">
        <v>0</v>
      </c>
    </row>
    <row r="2723" spans="1:7" x14ac:dyDescent="0.2">
      <c r="A2723" s="3" t="s">
        <v>1069</v>
      </c>
      <c r="B2723" s="4">
        <v>44957</v>
      </c>
      <c r="C2723" s="3" t="s">
        <v>1175</v>
      </c>
      <c r="D2723" s="3" t="s">
        <v>1584</v>
      </c>
      <c r="E2723" s="3" t="s">
        <v>1585</v>
      </c>
      <c r="F2723" s="3">
        <v>-77495</v>
      </c>
      <c r="G2723" s="3">
        <v>0</v>
      </c>
    </row>
    <row r="2724" spans="1:7" x14ac:dyDescent="0.2">
      <c r="A2724" s="3" t="s">
        <v>1069</v>
      </c>
      <c r="B2724" s="4">
        <v>44957</v>
      </c>
      <c r="C2724" s="3" t="s">
        <v>1175</v>
      </c>
      <c r="D2724" s="3" t="s">
        <v>1586</v>
      </c>
      <c r="E2724" s="3" t="s">
        <v>1587</v>
      </c>
      <c r="F2724" s="3">
        <v>0</v>
      </c>
      <c r="G2724" s="3">
        <v>76995</v>
      </c>
    </row>
    <row r="2725" spans="1:7" x14ac:dyDescent="0.2">
      <c r="A2725" s="3" t="s">
        <v>1069</v>
      </c>
      <c r="B2725" s="4">
        <v>44957</v>
      </c>
      <c r="C2725" s="3" t="s">
        <v>1175</v>
      </c>
      <c r="D2725" s="3" t="s">
        <v>1588</v>
      </c>
      <c r="E2725" s="3" t="s">
        <v>1589</v>
      </c>
      <c r="F2725" s="3">
        <v>0</v>
      </c>
      <c r="G2725" s="3">
        <v>77495</v>
      </c>
    </row>
    <row r="2726" spans="1:7" x14ac:dyDescent="0.2">
      <c r="A2726" s="3" t="s">
        <v>1069</v>
      </c>
      <c r="B2726" s="4">
        <v>44957</v>
      </c>
      <c r="C2726" s="3" t="s">
        <v>1175</v>
      </c>
      <c r="D2726" s="3" t="s">
        <v>1590</v>
      </c>
      <c r="E2726" s="3" t="s">
        <v>1591</v>
      </c>
      <c r="F2726" s="3">
        <v>-62495</v>
      </c>
      <c r="G2726" s="3">
        <v>0</v>
      </c>
    </row>
    <row r="2727" spans="1:7" x14ac:dyDescent="0.2">
      <c r="A2727" s="3" t="s">
        <v>1069</v>
      </c>
      <c r="B2727" s="4">
        <v>44957</v>
      </c>
      <c r="C2727" s="3" t="s">
        <v>1175</v>
      </c>
      <c r="D2727" s="3" t="s">
        <v>1592</v>
      </c>
      <c r="E2727" s="3" t="s">
        <v>1593</v>
      </c>
      <c r="F2727" s="3">
        <v>-64995</v>
      </c>
      <c r="G2727" s="3">
        <v>0</v>
      </c>
    </row>
    <row r="2728" spans="1:7" x14ac:dyDescent="0.2">
      <c r="A2728" s="3" t="s">
        <v>1069</v>
      </c>
      <c r="B2728" s="4">
        <v>44957</v>
      </c>
      <c r="C2728" s="3" t="s">
        <v>1175</v>
      </c>
      <c r="D2728" s="3" t="s">
        <v>1594</v>
      </c>
      <c r="E2728" s="3" t="s">
        <v>1595</v>
      </c>
      <c r="F2728" s="3">
        <v>-67495</v>
      </c>
      <c r="G2728" s="3">
        <v>0</v>
      </c>
    </row>
    <row r="2729" spans="1:7" x14ac:dyDescent="0.2">
      <c r="A2729" s="3" t="s">
        <v>1069</v>
      </c>
      <c r="B2729" s="4">
        <v>44957</v>
      </c>
      <c r="C2729" s="3" t="s">
        <v>1175</v>
      </c>
      <c r="D2729" s="3" t="s">
        <v>1612</v>
      </c>
      <c r="E2729" s="3" t="s">
        <v>1613</v>
      </c>
      <c r="F2729" s="3">
        <v>-67495</v>
      </c>
      <c r="G2729" s="3">
        <v>0</v>
      </c>
    </row>
    <row r="2730" spans="1:7" x14ac:dyDescent="0.2">
      <c r="A2730" s="3" t="s">
        <v>1069</v>
      </c>
      <c r="B2730" s="4">
        <v>44957</v>
      </c>
      <c r="C2730" s="3" t="s">
        <v>1175</v>
      </c>
      <c r="D2730" s="3" t="s">
        <v>1614</v>
      </c>
      <c r="E2730" s="3" t="s">
        <v>1615</v>
      </c>
      <c r="F2730" s="3">
        <v>0</v>
      </c>
      <c r="G2730" s="3">
        <v>69495</v>
      </c>
    </row>
    <row r="2731" spans="1:7" x14ac:dyDescent="0.2">
      <c r="A2731" s="3" t="s">
        <v>1069</v>
      </c>
      <c r="B2731" s="4">
        <v>44957</v>
      </c>
      <c r="C2731" s="3" t="s">
        <v>1175</v>
      </c>
      <c r="D2731" s="3" t="s">
        <v>1616</v>
      </c>
      <c r="E2731" s="3" t="s">
        <v>1617</v>
      </c>
      <c r="F2731" s="3">
        <v>0</v>
      </c>
      <c r="G2731" s="3">
        <v>77995</v>
      </c>
    </row>
    <row r="2732" spans="1:7" x14ac:dyDescent="0.2">
      <c r="A2732" s="3" t="s">
        <v>1069</v>
      </c>
      <c r="B2732" s="4">
        <v>44957</v>
      </c>
      <c r="C2732" s="3" t="s">
        <v>1175</v>
      </c>
      <c r="D2732" s="3" t="s">
        <v>1596</v>
      </c>
      <c r="E2732" s="3" t="s">
        <v>1597</v>
      </c>
      <c r="F2732" s="3">
        <v>-76745</v>
      </c>
      <c r="G2732" s="3">
        <v>0</v>
      </c>
    </row>
    <row r="2733" spans="1:7" x14ac:dyDescent="0.2">
      <c r="A2733" s="3" t="s">
        <v>1069</v>
      </c>
      <c r="B2733" s="4">
        <v>44957</v>
      </c>
      <c r="C2733" s="3" t="s">
        <v>1175</v>
      </c>
      <c r="D2733" s="3" t="s">
        <v>1632</v>
      </c>
      <c r="E2733" s="3" t="s">
        <v>1633</v>
      </c>
      <c r="F2733" s="3">
        <v>20814.5</v>
      </c>
      <c r="G2733" s="3">
        <v>20814.5</v>
      </c>
    </row>
    <row r="2734" spans="1:7" x14ac:dyDescent="0.2">
      <c r="A2734" s="3" t="s">
        <v>1069</v>
      </c>
      <c r="B2734" s="4">
        <v>44957</v>
      </c>
      <c r="C2734" s="3" t="s">
        <v>1175</v>
      </c>
      <c r="D2734" s="3" t="s">
        <v>1634</v>
      </c>
      <c r="E2734" s="3" t="s">
        <v>1635</v>
      </c>
      <c r="F2734" s="3">
        <v>19408.29</v>
      </c>
      <c r="G2734" s="3">
        <v>19408.29</v>
      </c>
    </row>
    <row r="2735" spans="1:7" x14ac:dyDescent="0.2">
      <c r="A2735" s="3" t="s">
        <v>1069</v>
      </c>
      <c r="B2735" s="4">
        <v>44957</v>
      </c>
      <c r="C2735" s="3" t="s">
        <v>1175</v>
      </c>
      <c r="D2735" s="3" t="s">
        <v>1636</v>
      </c>
      <c r="E2735" s="3" t="s">
        <v>1637</v>
      </c>
      <c r="F2735" s="3">
        <v>40222.79</v>
      </c>
      <c r="G2735" s="3">
        <v>40222.79</v>
      </c>
    </row>
    <row r="2736" spans="1:7" x14ac:dyDescent="0.2">
      <c r="A2736" s="3" t="s">
        <v>1072</v>
      </c>
      <c r="B2736" s="4">
        <v>44957</v>
      </c>
      <c r="C2736" s="3" t="s">
        <v>1175</v>
      </c>
      <c r="D2736" s="3" t="s">
        <v>1444</v>
      </c>
      <c r="E2736" s="3" t="s">
        <v>1445</v>
      </c>
      <c r="F2736" s="3">
        <v>0</v>
      </c>
      <c r="G2736" s="3">
        <v>1869.8</v>
      </c>
    </row>
    <row r="2737" spans="1:7" x14ac:dyDescent="0.2">
      <c r="A2737" s="3" t="s">
        <v>1072</v>
      </c>
      <c r="B2737" s="4">
        <v>44957</v>
      </c>
      <c r="C2737" s="3" t="s">
        <v>1175</v>
      </c>
      <c r="D2737" s="3" t="s">
        <v>1446</v>
      </c>
      <c r="E2737" s="3" t="s">
        <v>1447</v>
      </c>
      <c r="F2737" s="3">
        <v>0</v>
      </c>
      <c r="G2737" s="3">
        <v>-254.99</v>
      </c>
    </row>
    <row r="2738" spans="1:7" x14ac:dyDescent="0.2">
      <c r="A2738" s="3" t="s">
        <v>1069</v>
      </c>
      <c r="B2738" s="4">
        <v>44985</v>
      </c>
      <c r="C2738" s="3" t="s">
        <v>1210</v>
      </c>
      <c r="D2738" s="3" t="s">
        <v>1552</v>
      </c>
      <c r="E2738" s="3" t="s">
        <v>1553</v>
      </c>
      <c r="F2738" s="3">
        <v>-2765043.48</v>
      </c>
      <c r="G2738" s="3">
        <v>-36420086.969999999</v>
      </c>
    </row>
    <row r="2739" spans="1:7" x14ac:dyDescent="0.2">
      <c r="A2739" s="3" t="s">
        <v>1069</v>
      </c>
      <c r="B2739" s="4">
        <v>44985</v>
      </c>
      <c r="C2739" s="3" t="s">
        <v>1210</v>
      </c>
      <c r="D2739" s="3" t="s">
        <v>1554</v>
      </c>
      <c r="E2739" s="3" t="s">
        <v>1555</v>
      </c>
      <c r="F2739" s="3">
        <v>0</v>
      </c>
      <c r="G2739" s="3">
        <v>-112833.33</v>
      </c>
    </row>
    <row r="2740" spans="1:7" x14ac:dyDescent="0.2">
      <c r="A2740" s="3" t="s">
        <v>1069</v>
      </c>
      <c r="B2740" s="4">
        <v>44985</v>
      </c>
      <c r="C2740" s="3" t="s">
        <v>1210</v>
      </c>
      <c r="D2740" s="3" t="s">
        <v>1618</v>
      </c>
      <c r="E2740" s="3" t="s">
        <v>1619</v>
      </c>
      <c r="F2740" s="3">
        <v>35916.78</v>
      </c>
      <c r="G2740" s="3">
        <v>0</v>
      </c>
    </row>
    <row r="2741" spans="1:7" x14ac:dyDescent="0.2">
      <c r="A2741" s="3" t="s">
        <v>1072</v>
      </c>
      <c r="B2741" s="4">
        <v>44985</v>
      </c>
      <c r="C2741" s="3" t="s">
        <v>1210</v>
      </c>
      <c r="D2741" s="3" t="s">
        <v>1448</v>
      </c>
      <c r="E2741" s="3" t="s">
        <v>1449</v>
      </c>
      <c r="F2741" s="3">
        <v>-4043702.84</v>
      </c>
      <c r="G2741" s="3">
        <v>-51856469.729999997</v>
      </c>
    </row>
    <row r="2742" spans="1:7" x14ac:dyDescent="0.2">
      <c r="A2742" s="3" t="s">
        <v>1072</v>
      </c>
      <c r="B2742" s="4">
        <v>44985</v>
      </c>
      <c r="C2742" s="3" t="s">
        <v>1210</v>
      </c>
      <c r="D2742" s="3" t="s">
        <v>1267</v>
      </c>
      <c r="E2742" s="3" t="s">
        <v>1268</v>
      </c>
      <c r="F2742" s="3">
        <v>0</v>
      </c>
      <c r="G2742" s="3">
        <v>-12046638.060000001</v>
      </c>
    </row>
    <row r="2743" spans="1:7" x14ac:dyDescent="0.2">
      <c r="A2743" s="3" t="s">
        <v>1072</v>
      </c>
      <c r="B2743" s="4">
        <v>44985</v>
      </c>
      <c r="C2743" s="3" t="s">
        <v>1210</v>
      </c>
      <c r="D2743" s="3" t="s">
        <v>1507</v>
      </c>
      <c r="E2743" s="3" t="s">
        <v>1508</v>
      </c>
      <c r="F2743" s="3">
        <v>0</v>
      </c>
      <c r="G2743" s="3">
        <v>-1782369.8</v>
      </c>
    </row>
    <row r="2744" spans="1:7" x14ac:dyDescent="0.2">
      <c r="A2744" s="3" t="s">
        <v>1072</v>
      </c>
      <c r="B2744" s="4">
        <v>44985</v>
      </c>
      <c r="C2744" s="3" t="s">
        <v>1210</v>
      </c>
      <c r="D2744" s="3" t="s">
        <v>1525</v>
      </c>
      <c r="E2744" s="3" t="s">
        <v>1526</v>
      </c>
      <c r="F2744" s="3">
        <v>0</v>
      </c>
      <c r="G2744" s="3">
        <v>1616.91</v>
      </c>
    </row>
    <row r="2745" spans="1:7" x14ac:dyDescent="0.2">
      <c r="A2745" s="3" t="s">
        <v>1072</v>
      </c>
      <c r="B2745" s="4">
        <v>44985</v>
      </c>
      <c r="C2745" s="3" t="s">
        <v>1210</v>
      </c>
      <c r="D2745" s="3" t="s">
        <v>1271</v>
      </c>
      <c r="E2745" s="3" t="s">
        <v>1272</v>
      </c>
      <c r="F2745" s="3">
        <v>0</v>
      </c>
      <c r="G2745" s="3">
        <v>-2839.7</v>
      </c>
    </row>
    <row r="2746" spans="1:7" x14ac:dyDescent="0.2">
      <c r="A2746" s="3" t="s">
        <v>1072</v>
      </c>
      <c r="B2746" s="4">
        <v>44985</v>
      </c>
      <c r="C2746" s="3" t="s">
        <v>1210</v>
      </c>
      <c r="D2746" s="3" t="s">
        <v>1273</v>
      </c>
      <c r="E2746" s="3" t="s">
        <v>1274</v>
      </c>
      <c r="F2746" s="3">
        <v>0</v>
      </c>
      <c r="G2746" s="3">
        <v>-31418.46</v>
      </c>
    </row>
    <row r="2747" spans="1:7" x14ac:dyDescent="0.2">
      <c r="A2747" s="3" t="s">
        <v>1074</v>
      </c>
      <c r="B2747" s="4">
        <v>44985</v>
      </c>
      <c r="C2747" s="3" t="s">
        <v>1168</v>
      </c>
      <c r="D2747" s="3" t="s">
        <v>1538</v>
      </c>
      <c r="E2747" s="3" t="s">
        <v>1539</v>
      </c>
      <c r="F2747" s="3">
        <v>0</v>
      </c>
      <c r="G2747" s="3">
        <v>678.59</v>
      </c>
    </row>
    <row r="2748" spans="1:7" x14ac:dyDescent="0.2">
      <c r="A2748" s="3" t="s">
        <v>1069</v>
      </c>
      <c r="B2748" s="4">
        <v>44985</v>
      </c>
      <c r="C2748" s="3" t="s">
        <v>1168</v>
      </c>
      <c r="D2748" s="3" t="s">
        <v>1514</v>
      </c>
      <c r="E2748" s="3" t="s">
        <v>1515</v>
      </c>
      <c r="F2748" s="3">
        <v>0</v>
      </c>
      <c r="G2748" s="3">
        <v>86956.52</v>
      </c>
    </row>
    <row r="2749" spans="1:7" x14ac:dyDescent="0.2">
      <c r="A2749" s="3" t="s">
        <v>1069</v>
      </c>
      <c r="B2749" s="4">
        <v>44985</v>
      </c>
      <c r="C2749" s="3" t="s">
        <v>1168</v>
      </c>
      <c r="D2749" s="3" t="s">
        <v>1531</v>
      </c>
      <c r="E2749" s="3" t="s">
        <v>1532</v>
      </c>
      <c r="F2749" s="3">
        <v>143541.28</v>
      </c>
      <c r="G2749" s="3">
        <v>924384.58</v>
      </c>
    </row>
    <row r="2750" spans="1:7" x14ac:dyDescent="0.2">
      <c r="A2750" s="3" t="s">
        <v>1069</v>
      </c>
      <c r="B2750" s="4">
        <v>44985</v>
      </c>
      <c r="C2750" s="3" t="s">
        <v>1168</v>
      </c>
      <c r="D2750" s="3" t="s">
        <v>1638</v>
      </c>
      <c r="E2750" s="3" t="s">
        <v>1639</v>
      </c>
      <c r="F2750" s="3">
        <v>15988</v>
      </c>
      <c r="G2750" s="3">
        <v>15988</v>
      </c>
    </row>
    <row r="2751" spans="1:7" x14ac:dyDescent="0.2">
      <c r="A2751" s="3" t="s">
        <v>1069</v>
      </c>
      <c r="B2751" s="4">
        <v>44985</v>
      </c>
      <c r="C2751" s="3" t="s">
        <v>1168</v>
      </c>
      <c r="D2751" s="3" t="s">
        <v>1540</v>
      </c>
      <c r="E2751" s="3" t="s">
        <v>1541</v>
      </c>
      <c r="F2751" s="3">
        <v>0</v>
      </c>
      <c r="G2751" s="3">
        <v>9738.91</v>
      </c>
    </row>
    <row r="2752" spans="1:7" x14ac:dyDescent="0.2">
      <c r="A2752" s="3" t="s">
        <v>1069</v>
      </c>
      <c r="B2752" s="4">
        <v>44985</v>
      </c>
      <c r="C2752" s="3" t="s">
        <v>1168</v>
      </c>
      <c r="D2752" s="3" t="s">
        <v>1556</v>
      </c>
      <c r="E2752" s="3" t="s">
        <v>1557</v>
      </c>
      <c r="F2752" s="3">
        <v>63374.28</v>
      </c>
      <c r="G2752" s="3">
        <v>280478.40000000002</v>
      </c>
    </row>
    <row r="2753" spans="1:7" x14ac:dyDescent="0.2">
      <c r="A2753" s="3" t="s">
        <v>1069</v>
      </c>
      <c r="B2753" s="4">
        <v>44985</v>
      </c>
      <c r="C2753" s="3" t="s">
        <v>1168</v>
      </c>
      <c r="D2753" s="3" t="s">
        <v>1558</v>
      </c>
      <c r="E2753" s="3" t="s">
        <v>1559</v>
      </c>
      <c r="F2753" s="3">
        <v>466056.51</v>
      </c>
      <c r="G2753" s="3">
        <v>1822091.28</v>
      </c>
    </row>
    <row r="2754" spans="1:7" x14ac:dyDescent="0.2">
      <c r="A2754" s="3" t="s">
        <v>1069</v>
      </c>
      <c r="B2754" s="4">
        <v>44985</v>
      </c>
      <c r="C2754" s="3" t="s">
        <v>1168</v>
      </c>
      <c r="D2754" s="3" t="s">
        <v>1640</v>
      </c>
      <c r="E2754" s="3" t="s">
        <v>1641</v>
      </c>
      <c r="F2754" s="3">
        <v>28465.91</v>
      </c>
      <c r="G2754" s="3">
        <v>28465.91</v>
      </c>
    </row>
    <row r="2755" spans="1:7" x14ac:dyDescent="0.2">
      <c r="A2755" s="3" t="s">
        <v>1072</v>
      </c>
      <c r="B2755" s="4">
        <v>44985</v>
      </c>
      <c r="C2755" s="3" t="s">
        <v>1168</v>
      </c>
      <c r="D2755" s="3" t="s">
        <v>1642</v>
      </c>
      <c r="E2755" s="3" t="s">
        <v>1643</v>
      </c>
      <c r="F2755" s="3">
        <v>3500</v>
      </c>
      <c r="G2755" s="3">
        <v>3500</v>
      </c>
    </row>
    <row r="2756" spans="1:7" x14ac:dyDescent="0.2">
      <c r="A2756" s="3" t="s">
        <v>1072</v>
      </c>
      <c r="B2756" s="4">
        <v>44985</v>
      </c>
      <c r="C2756" s="3" t="s">
        <v>1168</v>
      </c>
      <c r="D2756" s="3" t="s">
        <v>1598</v>
      </c>
      <c r="E2756" s="3" t="s">
        <v>1599</v>
      </c>
      <c r="F2756" s="3">
        <v>0</v>
      </c>
      <c r="G2756" s="3">
        <v>6160.34</v>
      </c>
    </row>
    <row r="2757" spans="1:7" x14ac:dyDescent="0.2">
      <c r="A2757" s="3" t="s">
        <v>1072</v>
      </c>
      <c r="B2757" s="4">
        <v>44985</v>
      </c>
      <c r="C2757" s="3" t="s">
        <v>1168</v>
      </c>
      <c r="D2757" s="3" t="s">
        <v>1600</v>
      </c>
      <c r="E2757" s="3" t="s">
        <v>1601</v>
      </c>
      <c r="F2757" s="3">
        <v>0</v>
      </c>
      <c r="G2757" s="3">
        <v>250</v>
      </c>
    </row>
    <row r="2758" spans="1:7" x14ac:dyDescent="0.2">
      <c r="A2758" s="3" t="s">
        <v>1072</v>
      </c>
      <c r="B2758" s="4">
        <v>44985</v>
      </c>
      <c r="C2758" s="3" t="s">
        <v>1168</v>
      </c>
      <c r="D2758" s="3" t="s">
        <v>1602</v>
      </c>
      <c r="E2758" s="3" t="s">
        <v>1603</v>
      </c>
      <c r="F2758" s="3">
        <v>0</v>
      </c>
      <c r="G2758" s="3">
        <v>1876.17</v>
      </c>
    </row>
    <row r="2759" spans="1:7" x14ac:dyDescent="0.2">
      <c r="A2759" s="3" t="s">
        <v>1072</v>
      </c>
      <c r="B2759" s="4">
        <v>44985</v>
      </c>
      <c r="C2759" s="3" t="s">
        <v>1168</v>
      </c>
      <c r="D2759" s="3" t="s">
        <v>1604</v>
      </c>
      <c r="E2759" s="3" t="s">
        <v>1605</v>
      </c>
      <c r="F2759" s="3">
        <v>0</v>
      </c>
      <c r="G2759" s="3">
        <v>4440.6099999999997</v>
      </c>
    </row>
    <row r="2760" spans="1:7" x14ac:dyDescent="0.2">
      <c r="A2760" s="3" t="s">
        <v>1072</v>
      </c>
      <c r="B2760" s="4">
        <v>44985</v>
      </c>
      <c r="C2760" s="3" t="s">
        <v>1168</v>
      </c>
      <c r="D2760" s="3" t="s">
        <v>1644</v>
      </c>
      <c r="E2760" s="3" t="s">
        <v>1645</v>
      </c>
      <c r="F2760" s="3">
        <v>18418</v>
      </c>
      <c r="G2760" s="3">
        <v>18418</v>
      </c>
    </row>
    <row r="2761" spans="1:7" x14ac:dyDescent="0.2">
      <c r="A2761" s="3" t="s">
        <v>1072</v>
      </c>
      <c r="B2761" s="4">
        <v>44985</v>
      </c>
      <c r="C2761" s="3" t="s">
        <v>1168</v>
      </c>
      <c r="D2761" s="3" t="s">
        <v>1606</v>
      </c>
      <c r="E2761" s="3" t="s">
        <v>1607</v>
      </c>
      <c r="F2761" s="3">
        <v>0</v>
      </c>
      <c r="G2761" s="3">
        <v>31736.5</v>
      </c>
    </row>
    <row r="2762" spans="1:7" x14ac:dyDescent="0.2">
      <c r="A2762" s="3" t="s">
        <v>1072</v>
      </c>
      <c r="B2762" s="4">
        <v>44985</v>
      </c>
      <c r="C2762" s="3" t="s">
        <v>1168</v>
      </c>
      <c r="D2762" s="3" t="s">
        <v>1545</v>
      </c>
      <c r="E2762" s="3" t="s">
        <v>1546</v>
      </c>
      <c r="F2762" s="3">
        <v>0</v>
      </c>
      <c r="G2762" s="3">
        <v>-762078.59</v>
      </c>
    </row>
    <row r="2763" spans="1:7" x14ac:dyDescent="0.2">
      <c r="A2763" s="3" t="s">
        <v>1072</v>
      </c>
      <c r="B2763" s="4">
        <v>44985</v>
      </c>
      <c r="C2763" s="3" t="s">
        <v>1168</v>
      </c>
      <c r="D2763" s="3" t="s">
        <v>1466</v>
      </c>
      <c r="E2763" s="3" t="s">
        <v>1467</v>
      </c>
      <c r="F2763" s="3">
        <v>0</v>
      </c>
      <c r="G2763" s="3">
        <v>957.28</v>
      </c>
    </row>
    <row r="2764" spans="1:7" x14ac:dyDescent="0.2">
      <c r="A2764" s="3" t="s">
        <v>1072</v>
      </c>
      <c r="B2764" s="4">
        <v>44985</v>
      </c>
      <c r="C2764" s="3" t="s">
        <v>1168</v>
      </c>
      <c r="D2764" s="3" t="s">
        <v>1281</v>
      </c>
      <c r="E2764" s="3" t="s">
        <v>1282</v>
      </c>
      <c r="F2764" s="3">
        <v>566791.84</v>
      </c>
      <c r="G2764" s="3">
        <v>17315669.25</v>
      </c>
    </row>
    <row r="2765" spans="1:7" x14ac:dyDescent="0.2">
      <c r="A2765" s="3" t="s">
        <v>1072</v>
      </c>
      <c r="B2765" s="4">
        <v>44985</v>
      </c>
      <c r="C2765" s="3" t="s">
        <v>1168</v>
      </c>
      <c r="D2765" s="3" t="s">
        <v>1283</v>
      </c>
      <c r="E2765" s="3" t="s">
        <v>1284</v>
      </c>
      <c r="F2765" s="3">
        <v>0</v>
      </c>
      <c r="G2765" s="3">
        <v>994244.35</v>
      </c>
    </row>
    <row r="2766" spans="1:7" x14ac:dyDescent="0.2">
      <c r="A2766" s="3" t="s">
        <v>1072</v>
      </c>
      <c r="B2766" s="4">
        <v>44985</v>
      </c>
      <c r="C2766" s="3" t="s">
        <v>1168</v>
      </c>
      <c r="D2766" s="3" t="s">
        <v>1285</v>
      </c>
      <c r="E2766" s="3" t="s">
        <v>1286</v>
      </c>
      <c r="F2766" s="3">
        <v>2719.44</v>
      </c>
      <c r="G2766" s="3">
        <v>45609.01</v>
      </c>
    </row>
    <row r="2767" spans="1:7" x14ac:dyDescent="0.2">
      <c r="A2767" s="3" t="s">
        <v>1072</v>
      </c>
      <c r="B2767" s="4">
        <v>44985</v>
      </c>
      <c r="C2767" s="3" t="s">
        <v>1168</v>
      </c>
      <c r="D2767" s="3" t="s">
        <v>1287</v>
      </c>
      <c r="E2767" s="3" t="s">
        <v>1288</v>
      </c>
      <c r="F2767" s="3">
        <v>0</v>
      </c>
      <c r="G2767" s="3">
        <v>269.64999999999998</v>
      </c>
    </row>
    <row r="2768" spans="1:7" x14ac:dyDescent="0.2">
      <c r="A2768" s="3" t="s">
        <v>1072</v>
      </c>
      <c r="B2768" s="4">
        <v>44985</v>
      </c>
      <c r="C2768" s="3" t="s">
        <v>1168</v>
      </c>
      <c r="D2768" s="3" t="s">
        <v>1289</v>
      </c>
      <c r="E2768" s="3" t="s">
        <v>1290</v>
      </c>
      <c r="F2768" s="3">
        <v>0</v>
      </c>
      <c r="G2768" s="3">
        <v>11000</v>
      </c>
    </row>
    <row r="2769" spans="1:7" x14ac:dyDescent="0.2">
      <c r="A2769" s="3" t="s">
        <v>1072</v>
      </c>
      <c r="B2769" s="4">
        <v>44985</v>
      </c>
      <c r="C2769" s="3" t="s">
        <v>1168</v>
      </c>
      <c r="D2769" s="3" t="s">
        <v>1291</v>
      </c>
      <c r="E2769" s="3" t="s">
        <v>1292</v>
      </c>
      <c r="F2769" s="3">
        <v>0</v>
      </c>
      <c r="G2769" s="3">
        <v>19600</v>
      </c>
    </row>
    <row r="2770" spans="1:7" x14ac:dyDescent="0.2">
      <c r="A2770" s="3" t="s">
        <v>1072</v>
      </c>
      <c r="B2770" s="4">
        <v>44985</v>
      </c>
      <c r="C2770" s="3" t="s">
        <v>1168</v>
      </c>
      <c r="D2770" s="3" t="s">
        <v>1299</v>
      </c>
      <c r="E2770" s="3" t="s">
        <v>1300</v>
      </c>
      <c r="F2770" s="3">
        <v>0</v>
      </c>
      <c r="G2770" s="3">
        <v>2473.65</v>
      </c>
    </row>
    <row r="2771" spans="1:7" x14ac:dyDescent="0.2">
      <c r="A2771" s="3" t="s">
        <v>1072</v>
      </c>
      <c r="B2771" s="4">
        <v>44985</v>
      </c>
      <c r="C2771" s="3" t="s">
        <v>1168</v>
      </c>
      <c r="D2771" s="3" t="s">
        <v>1301</v>
      </c>
      <c r="E2771" s="3" t="s">
        <v>1302</v>
      </c>
      <c r="F2771" s="3">
        <v>0</v>
      </c>
      <c r="G2771" s="3">
        <v>937.39</v>
      </c>
    </row>
    <row r="2772" spans="1:7" x14ac:dyDescent="0.2">
      <c r="A2772" s="3" t="s">
        <v>1072</v>
      </c>
      <c r="B2772" s="4">
        <v>44985</v>
      </c>
      <c r="C2772" s="3" t="s">
        <v>1168</v>
      </c>
      <c r="D2772" s="3" t="s">
        <v>1305</v>
      </c>
      <c r="E2772" s="3" t="s">
        <v>1306</v>
      </c>
      <c r="F2772" s="3">
        <v>0</v>
      </c>
      <c r="G2772" s="3">
        <v>4661.74</v>
      </c>
    </row>
    <row r="2773" spans="1:7" x14ac:dyDescent="0.2">
      <c r="A2773" s="3" t="s">
        <v>1072</v>
      </c>
      <c r="B2773" s="4">
        <v>44985</v>
      </c>
      <c r="C2773" s="3" t="s">
        <v>1168</v>
      </c>
      <c r="D2773" s="3" t="s">
        <v>1315</v>
      </c>
      <c r="E2773" s="3" t="s">
        <v>1316</v>
      </c>
      <c r="F2773" s="3">
        <v>486.96</v>
      </c>
      <c r="G2773" s="3">
        <v>3439.66</v>
      </c>
    </row>
    <row r="2774" spans="1:7" x14ac:dyDescent="0.2">
      <c r="A2774" s="3" t="s">
        <v>1072</v>
      </c>
      <c r="B2774" s="4">
        <v>44985</v>
      </c>
      <c r="C2774" s="3" t="s">
        <v>1168</v>
      </c>
      <c r="D2774" s="3" t="s">
        <v>1450</v>
      </c>
      <c r="E2774" s="3" t="s">
        <v>1451</v>
      </c>
      <c r="F2774" s="3">
        <v>1119628.56</v>
      </c>
      <c r="G2774" s="3">
        <v>31638299.07</v>
      </c>
    </row>
    <row r="2775" spans="1:7" x14ac:dyDescent="0.2">
      <c r="A2775" s="3" t="s">
        <v>1072</v>
      </c>
      <c r="B2775" s="4">
        <v>44985</v>
      </c>
      <c r="C2775" s="3" t="s">
        <v>1168</v>
      </c>
      <c r="D2775" s="3" t="s">
        <v>1452</v>
      </c>
      <c r="E2775" s="3" t="s">
        <v>1453</v>
      </c>
      <c r="F2775" s="3">
        <v>142419.51</v>
      </c>
      <c r="G2775" s="3">
        <v>2918802.41</v>
      </c>
    </row>
    <row r="2776" spans="1:7" x14ac:dyDescent="0.2">
      <c r="A2776" s="3" t="s">
        <v>1072</v>
      </c>
      <c r="B2776" s="4">
        <v>44985</v>
      </c>
      <c r="C2776" s="3" t="s">
        <v>1168</v>
      </c>
      <c r="D2776" s="3" t="s">
        <v>1454</v>
      </c>
      <c r="E2776" s="3" t="s">
        <v>1455</v>
      </c>
      <c r="F2776" s="3">
        <v>0</v>
      </c>
      <c r="G2776" s="3">
        <v>22286.3</v>
      </c>
    </row>
    <row r="2777" spans="1:7" x14ac:dyDescent="0.2">
      <c r="A2777" s="3" t="s">
        <v>1072</v>
      </c>
      <c r="B2777" s="4">
        <v>44985</v>
      </c>
      <c r="C2777" s="3" t="s">
        <v>1168</v>
      </c>
      <c r="D2777" s="3" t="s">
        <v>1468</v>
      </c>
      <c r="E2777" s="3" t="s">
        <v>1469</v>
      </c>
      <c r="F2777" s="3">
        <v>1163.48</v>
      </c>
      <c r="G2777" s="3">
        <v>7880.91</v>
      </c>
    </row>
    <row r="2778" spans="1:7" x14ac:dyDescent="0.2">
      <c r="A2778" s="3" t="s">
        <v>1072</v>
      </c>
      <c r="B2778" s="4">
        <v>44985</v>
      </c>
      <c r="C2778" s="3" t="s">
        <v>1168</v>
      </c>
      <c r="D2778" s="3" t="s">
        <v>1502</v>
      </c>
      <c r="E2778" s="3" t="s">
        <v>1503</v>
      </c>
      <c r="F2778" s="3">
        <v>0</v>
      </c>
      <c r="G2778" s="3">
        <v>20565.22</v>
      </c>
    </row>
    <row r="2779" spans="1:7" x14ac:dyDescent="0.2">
      <c r="A2779" s="3" t="s">
        <v>1072</v>
      </c>
      <c r="B2779" s="4">
        <v>44985</v>
      </c>
      <c r="C2779" s="3" t="s">
        <v>1168</v>
      </c>
      <c r="D2779" s="3" t="s">
        <v>1620</v>
      </c>
      <c r="E2779" s="3" t="s">
        <v>1621</v>
      </c>
      <c r="F2779" s="3">
        <v>2895.63</v>
      </c>
      <c r="G2779" s="3">
        <v>4300.41</v>
      </c>
    </row>
    <row r="2780" spans="1:7" x14ac:dyDescent="0.2">
      <c r="A2780" s="3" t="s">
        <v>1072</v>
      </c>
      <c r="B2780" s="4">
        <v>44985</v>
      </c>
      <c r="C2780" s="3" t="s">
        <v>1168</v>
      </c>
      <c r="D2780" s="3" t="s">
        <v>1542</v>
      </c>
      <c r="E2780" s="3" t="s">
        <v>1543</v>
      </c>
      <c r="F2780" s="3">
        <v>1706068.25</v>
      </c>
      <c r="G2780" s="3">
        <v>6565647.2199999997</v>
      </c>
    </row>
    <row r="2781" spans="1:7" x14ac:dyDescent="0.2">
      <c r="A2781" s="3" t="s">
        <v>1072</v>
      </c>
      <c r="B2781" s="4">
        <v>44985</v>
      </c>
      <c r="C2781" s="3" t="s">
        <v>1168</v>
      </c>
      <c r="D2781" s="3" t="s">
        <v>1527</v>
      </c>
      <c r="E2781" s="3" t="s">
        <v>1528</v>
      </c>
      <c r="F2781" s="3">
        <v>66505.36</v>
      </c>
      <c r="G2781" s="3">
        <v>303151.87</v>
      </c>
    </row>
    <row r="2782" spans="1:7" x14ac:dyDescent="0.2">
      <c r="A2782" s="3" t="s">
        <v>1072</v>
      </c>
      <c r="B2782" s="4">
        <v>44985</v>
      </c>
      <c r="C2782" s="3" t="s">
        <v>1168</v>
      </c>
      <c r="D2782" s="3" t="s">
        <v>1560</v>
      </c>
      <c r="E2782" s="3" t="s">
        <v>1561</v>
      </c>
      <c r="F2782" s="3">
        <v>0</v>
      </c>
      <c r="G2782" s="3">
        <v>32261.99</v>
      </c>
    </row>
    <row r="2783" spans="1:7" x14ac:dyDescent="0.2">
      <c r="A2783" s="3" t="s">
        <v>1072</v>
      </c>
      <c r="B2783" s="4">
        <v>44985</v>
      </c>
      <c r="C2783" s="3" t="s">
        <v>1168</v>
      </c>
      <c r="D2783" s="3" t="s">
        <v>1562</v>
      </c>
      <c r="E2783" s="3" t="s">
        <v>1563</v>
      </c>
      <c r="F2783" s="3">
        <v>0</v>
      </c>
      <c r="G2783" s="3">
        <v>11169.12</v>
      </c>
    </row>
    <row r="2784" spans="1:7" x14ac:dyDescent="0.2">
      <c r="A2784" s="3" t="s">
        <v>1069</v>
      </c>
      <c r="B2784" s="4">
        <v>44985</v>
      </c>
      <c r="C2784" s="3" t="s">
        <v>1168</v>
      </c>
      <c r="D2784" s="3" t="s">
        <v>1646</v>
      </c>
      <c r="E2784" s="3" t="s">
        <v>1647</v>
      </c>
      <c r="F2784" s="3">
        <v>24427668.440000001</v>
      </c>
      <c r="G2784" s="3">
        <v>24427668.440000001</v>
      </c>
    </row>
    <row r="2785" spans="1:7" x14ac:dyDescent="0.2">
      <c r="A2785" s="3" t="s">
        <v>1072</v>
      </c>
      <c r="B2785" s="4">
        <v>44985</v>
      </c>
      <c r="C2785" s="3" t="s">
        <v>1210</v>
      </c>
      <c r="D2785" s="3" t="s">
        <v>1509</v>
      </c>
      <c r="E2785" s="3" t="s">
        <v>1510</v>
      </c>
      <c r="F2785" s="3">
        <v>-666.26</v>
      </c>
      <c r="G2785" s="3">
        <v>-3216.44</v>
      </c>
    </row>
    <row r="2786" spans="1:7" x14ac:dyDescent="0.2">
      <c r="A2786" s="3" t="s">
        <v>1072</v>
      </c>
      <c r="B2786" s="4">
        <v>44985</v>
      </c>
      <c r="C2786" s="3" t="s">
        <v>1210</v>
      </c>
      <c r="D2786" s="3" t="s">
        <v>1323</v>
      </c>
      <c r="E2786" s="3" t="s">
        <v>1324</v>
      </c>
      <c r="F2786" s="3">
        <v>0</v>
      </c>
      <c r="G2786" s="3">
        <v>-27.68</v>
      </c>
    </row>
    <row r="2787" spans="1:7" x14ac:dyDescent="0.2">
      <c r="A2787" s="3" t="s">
        <v>1069</v>
      </c>
      <c r="B2787" s="4">
        <v>44985</v>
      </c>
      <c r="C2787" s="3" t="s">
        <v>1210</v>
      </c>
      <c r="D2787" s="3" t="s">
        <v>1249</v>
      </c>
      <c r="E2787" s="3" t="s">
        <v>1250</v>
      </c>
      <c r="F2787" s="3">
        <v>-116845.7</v>
      </c>
      <c r="G2787" s="3">
        <v>-579372.32999999996</v>
      </c>
    </row>
    <row r="2788" spans="1:7" x14ac:dyDescent="0.2">
      <c r="A2788" s="3" t="s">
        <v>1069</v>
      </c>
      <c r="B2788" s="4">
        <v>44985</v>
      </c>
      <c r="C2788" s="3" t="s">
        <v>1168</v>
      </c>
      <c r="D2788" s="3" t="s">
        <v>1226</v>
      </c>
      <c r="E2788" s="3" t="s">
        <v>1126</v>
      </c>
      <c r="F2788" s="3">
        <v>0</v>
      </c>
      <c r="G2788" s="3">
        <v>150</v>
      </c>
    </row>
    <row r="2789" spans="1:7" x14ac:dyDescent="0.2">
      <c r="A2789" s="3" t="s">
        <v>1072</v>
      </c>
      <c r="B2789" s="4">
        <v>44985</v>
      </c>
      <c r="C2789" s="3" t="s">
        <v>1168</v>
      </c>
      <c r="D2789" s="3" t="s">
        <v>1326</v>
      </c>
      <c r="E2789" s="3" t="s">
        <v>1088</v>
      </c>
      <c r="F2789" s="3">
        <v>0</v>
      </c>
      <c r="G2789" s="3">
        <v>10600</v>
      </c>
    </row>
    <row r="2790" spans="1:7" x14ac:dyDescent="0.2">
      <c r="A2790" s="3" t="s">
        <v>1072</v>
      </c>
      <c r="B2790" s="4">
        <v>44985</v>
      </c>
      <c r="C2790" s="3" t="s">
        <v>1168</v>
      </c>
      <c r="D2790" s="3" t="s">
        <v>1337</v>
      </c>
      <c r="E2790" s="3" t="s">
        <v>1338</v>
      </c>
      <c r="F2790" s="3">
        <v>0</v>
      </c>
      <c r="G2790" s="3">
        <v>14139.13</v>
      </c>
    </row>
    <row r="2791" spans="1:7" x14ac:dyDescent="0.2">
      <c r="A2791" s="3" t="s">
        <v>1072</v>
      </c>
      <c r="B2791" s="4">
        <v>44985</v>
      </c>
      <c r="C2791" s="3" t="s">
        <v>1168</v>
      </c>
      <c r="D2791" s="3" t="s">
        <v>1169</v>
      </c>
      <c r="E2791" s="3" t="s">
        <v>1079</v>
      </c>
      <c r="F2791" s="3">
        <v>0</v>
      </c>
      <c r="G2791" s="3">
        <v>24268.79</v>
      </c>
    </row>
    <row r="2792" spans="1:7" x14ac:dyDescent="0.2">
      <c r="A2792" s="3" t="s">
        <v>1069</v>
      </c>
      <c r="B2792" s="4">
        <v>44985</v>
      </c>
      <c r="C2792" s="3" t="s">
        <v>1168</v>
      </c>
      <c r="D2792" s="3" t="s">
        <v>1169</v>
      </c>
      <c r="E2792" s="3" t="s">
        <v>1079</v>
      </c>
      <c r="F2792" s="3">
        <v>7082.26</v>
      </c>
      <c r="G2792" s="3">
        <v>114416.12</v>
      </c>
    </row>
    <row r="2793" spans="1:7" x14ac:dyDescent="0.2">
      <c r="A2793" s="3" t="s">
        <v>1074</v>
      </c>
      <c r="B2793" s="4">
        <v>44985</v>
      </c>
      <c r="C2793" s="3" t="s">
        <v>1168</v>
      </c>
      <c r="D2793" s="3" t="s">
        <v>1169</v>
      </c>
      <c r="E2793" s="3" t="s">
        <v>1079</v>
      </c>
      <c r="F2793" s="3">
        <v>6775</v>
      </c>
      <c r="G2793" s="3">
        <v>22025</v>
      </c>
    </row>
    <row r="2794" spans="1:7" x14ac:dyDescent="0.2">
      <c r="A2794" s="3" t="s">
        <v>1069</v>
      </c>
      <c r="B2794" s="4">
        <v>44985</v>
      </c>
      <c r="C2794" s="3" t="s">
        <v>1168</v>
      </c>
      <c r="D2794" s="3" t="s">
        <v>1261</v>
      </c>
      <c r="E2794" s="3" t="s">
        <v>1145</v>
      </c>
      <c r="F2794" s="3">
        <v>11556</v>
      </c>
      <c r="G2794" s="3">
        <v>138672</v>
      </c>
    </row>
    <row r="2795" spans="1:7" x14ac:dyDescent="0.2">
      <c r="A2795" s="3" t="s">
        <v>1072</v>
      </c>
      <c r="B2795" s="4">
        <v>44985</v>
      </c>
      <c r="C2795" s="3" t="s">
        <v>1168</v>
      </c>
      <c r="D2795" s="3" t="s">
        <v>1648</v>
      </c>
      <c r="E2795" s="3" t="s">
        <v>1084</v>
      </c>
      <c r="F2795" s="3">
        <v>7275</v>
      </c>
      <c r="G2795" s="3">
        <v>7275</v>
      </c>
    </row>
    <row r="2796" spans="1:7" x14ac:dyDescent="0.2">
      <c r="A2796" s="3" t="s">
        <v>1074</v>
      </c>
      <c r="B2796" s="4">
        <v>44985</v>
      </c>
      <c r="C2796" s="3" t="s">
        <v>1168</v>
      </c>
      <c r="D2796" s="3" t="s">
        <v>1622</v>
      </c>
      <c r="E2796" s="3" t="s">
        <v>1623</v>
      </c>
      <c r="F2796" s="3">
        <v>0</v>
      </c>
      <c r="G2796" s="3">
        <v>13500</v>
      </c>
    </row>
    <row r="2797" spans="1:7" x14ac:dyDescent="0.2">
      <c r="A2797" s="3" t="s">
        <v>1074</v>
      </c>
      <c r="B2797" s="4">
        <v>44985</v>
      </c>
      <c r="C2797" s="3" t="s">
        <v>1168</v>
      </c>
      <c r="D2797" s="3" t="s">
        <v>1624</v>
      </c>
      <c r="E2797" s="3" t="s">
        <v>1160</v>
      </c>
      <c r="F2797" s="3">
        <v>0</v>
      </c>
      <c r="G2797" s="3">
        <v>8263.91</v>
      </c>
    </row>
    <row r="2798" spans="1:7" x14ac:dyDescent="0.2">
      <c r="A2798" s="3" t="s">
        <v>1074</v>
      </c>
      <c r="B2798" s="4">
        <v>44985</v>
      </c>
      <c r="C2798" s="3" t="s">
        <v>1168</v>
      </c>
      <c r="D2798" s="3" t="s">
        <v>1649</v>
      </c>
      <c r="E2798" s="3" t="s">
        <v>1117</v>
      </c>
      <c r="F2798" s="3">
        <v>11726</v>
      </c>
      <c r="G2798" s="3">
        <v>11726</v>
      </c>
    </row>
    <row r="2799" spans="1:7" x14ac:dyDescent="0.2">
      <c r="A2799" s="3" t="s">
        <v>1072</v>
      </c>
      <c r="B2799" s="4">
        <v>44985</v>
      </c>
      <c r="C2799" s="3" t="s">
        <v>1168</v>
      </c>
      <c r="D2799" s="3" t="s">
        <v>1339</v>
      </c>
      <c r="E2799" s="3" t="s">
        <v>1087</v>
      </c>
      <c r="F2799" s="3">
        <v>0</v>
      </c>
      <c r="G2799" s="3">
        <v>137.5</v>
      </c>
    </row>
    <row r="2800" spans="1:7" x14ac:dyDescent="0.2">
      <c r="A2800" s="3" t="s">
        <v>1072</v>
      </c>
      <c r="B2800" s="4">
        <v>44985</v>
      </c>
      <c r="C2800" s="3" t="s">
        <v>1168</v>
      </c>
      <c r="D2800" s="3" t="s">
        <v>1195</v>
      </c>
      <c r="E2800" s="3" t="s">
        <v>1085</v>
      </c>
      <c r="F2800" s="3">
        <v>1433.91</v>
      </c>
      <c r="G2800" s="3">
        <v>30880.41</v>
      </c>
    </row>
    <row r="2801" spans="1:7" x14ac:dyDescent="0.2">
      <c r="A2801" s="3" t="s">
        <v>1069</v>
      </c>
      <c r="B2801" s="4">
        <v>44985</v>
      </c>
      <c r="C2801" s="3" t="s">
        <v>1168</v>
      </c>
      <c r="D2801" s="3" t="s">
        <v>1195</v>
      </c>
      <c r="E2801" s="3" t="s">
        <v>1085</v>
      </c>
      <c r="F2801" s="3">
        <v>920.53</v>
      </c>
      <c r="G2801" s="3">
        <v>7598.74</v>
      </c>
    </row>
    <row r="2802" spans="1:7" x14ac:dyDescent="0.2">
      <c r="A2802" s="3" t="s">
        <v>1072</v>
      </c>
      <c r="B2802" s="4">
        <v>44985</v>
      </c>
      <c r="C2802" s="3" t="s">
        <v>1168</v>
      </c>
      <c r="D2802" s="3" t="s">
        <v>1340</v>
      </c>
      <c r="E2802" s="3" t="s">
        <v>1141</v>
      </c>
      <c r="F2802" s="3">
        <v>0</v>
      </c>
      <c r="G2802" s="3">
        <v>2353.79</v>
      </c>
    </row>
    <row r="2803" spans="1:7" x14ac:dyDescent="0.2">
      <c r="A2803" s="3" t="s">
        <v>1072</v>
      </c>
      <c r="B2803" s="4">
        <v>44985</v>
      </c>
      <c r="C2803" s="3" t="s">
        <v>1168</v>
      </c>
      <c r="D2803" s="3" t="s">
        <v>1341</v>
      </c>
      <c r="E2803" s="3" t="s">
        <v>1135</v>
      </c>
      <c r="F2803" s="3">
        <v>0</v>
      </c>
      <c r="G2803" s="3">
        <v>7949.43</v>
      </c>
    </row>
    <row r="2804" spans="1:7" x14ac:dyDescent="0.2">
      <c r="A2804" s="3" t="s">
        <v>1072</v>
      </c>
      <c r="B2804" s="4">
        <v>44985</v>
      </c>
      <c r="C2804" s="3" t="s">
        <v>1168</v>
      </c>
      <c r="D2804" s="3" t="s">
        <v>1342</v>
      </c>
      <c r="E2804" s="3" t="s">
        <v>1080</v>
      </c>
      <c r="F2804" s="3">
        <v>0</v>
      </c>
      <c r="G2804" s="3">
        <v>5948.56</v>
      </c>
    </row>
    <row r="2805" spans="1:7" x14ac:dyDescent="0.2">
      <c r="A2805" s="3" t="s">
        <v>1072</v>
      </c>
      <c r="B2805" s="4">
        <v>44985</v>
      </c>
      <c r="C2805" s="3" t="s">
        <v>1168</v>
      </c>
      <c r="D2805" s="3" t="s">
        <v>1504</v>
      </c>
      <c r="E2805" s="3" t="s">
        <v>1142</v>
      </c>
      <c r="F2805" s="3">
        <v>6620</v>
      </c>
      <c r="G2805" s="3">
        <v>48329</v>
      </c>
    </row>
    <row r="2806" spans="1:7" x14ac:dyDescent="0.2">
      <c r="A2806" s="3" t="s">
        <v>1069</v>
      </c>
      <c r="B2806" s="4">
        <v>44985</v>
      </c>
      <c r="C2806" s="3" t="s">
        <v>1168</v>
      </c>
      <c r="D2806" s="3" t="s">
        <v>1251</v>
      </c>
      <c r="E2806" s="3" t="s">
        <v>1095</v>
      </c>
      <c r="F2806" s="3">
        <v>103742</v>
      </c>
      <c r="G2806" s="3">
        <v>1040907.54</v>
      </c>
    </row>
    <row r="2807" spans="1:7" x14ac:dyDescent="0.2">
      <c r="A2807" s="3" t="s">
        <v>1072</v>
      </c>
      <c r="B2807" s="4">
        <v>44985</v>
      </c>
      <c r="C2807" s="3" t="s">
        <v>1168</v>
      </c>
      <c r="D2807" s="3" t="s">
        <v>1251</v>
      </c>
      <c r="E2807" s="3" t="s">
        <v>1345</v>
      </c>
      <c r="F2807" s="3">
        <v>0</v>
      </c>
      <c r="G2807" s="3">
        <v>318572.45</v>
      </c>
    </row>
    <row r="2808" spans="1:7" x14ac:dyDescent="0.2">
      <c r="A2808" s="3" t="s">
        <v>1072</v>
      </c>
      <c r="B2808" s="4">
        <v>44985</v>
      </c>
      <c r="C2808" s="3" t="s">
        <v>1168</v>
      </c>
      <c r="D2808" s="3" t="s">
        <v>1348</v>
      </c>
      <c r="E2808" s="3" t="s">
        <v>1095</v>
      </c>
      <c r="F2808" s="3">
        <v>131623</v>
      </c>
      <c r="G2808" s="3">
        <v>1539997.79</v>
      </c>
    </row>
    <row r="2809" spans="1:7" x14ac:dyDescent="0.2">
      <c r="A2809" s="3" t="s">
        <v>1069</v>
      </c>
      <c r="B2809" s="4">
        <v>44985</v>
      </c>
      <c r="C2809" s="3" t="s">
        <v>1168</v>
      </c>
      <c r="D2809" s="3" t="s">
        <v>1252</v>
      </c>
      <c r="E2809" s="3" t="s">
        <v>1120</v>
      </c>
      <c r="F2809" s="3">
        <v>16000</v>
      </c>
      <c r="G2809" s="3">
        <v>76000</v>
      </c>
    </row>
    <row r="2810" spans="1:7" x14ac:dyDescent="0.2">
      <c r="A2810" s="3" t="s">
        <v>1072</v>
      </c>
      <c r="B2810" s="4">
        <v>44985</v>
      </c>
      <c r="C2810" s="3" t="s">
        <v>1168</v>
      </c>
      <c r="D2810" s="3" t="s">
        <v>1349</v>
      </c>
      <c r="E2810" s="3" t="s">
        <v>1089</v>
      </c>
      <c r="F2810" s="3">
        <v>160.87</v>
      </c>
      <c r="G2810" s="3">
        <v>1539.13</v>
      </c>
    </row>
    <row r="2811" spans="1:7" x14ac:dyDescent="0.2">
      <c r="A2811" s="3" t="s">
        <v>1072</v>
      </c>
      <c r="B2811" s="4">
        <v>44985</v>
      </c>
      <c r="C2811" s="3" t="s">
        <v>1168</v>
      </c>
      <c r="D2811" s="3" t="s">
        <v>1350</v>
      </c>
      <c r="E2811" s="3" t="s">
        <v>1115</v>
      </c>
      <c r="F2811" s="3">
        <v>2165.83</v>
      </c>
      <c r="G2811" s="3">
        <v>23781.9</v>
      </c>
    </row>
    <row r="2812" spans="1:7" x14ac:dyDescent="0.2">
      <c r="A2812" s="3" t="s">
        <v>1072</v>
      </c>
      <c r="B2812" s="4">
        <v>44985</v>
      </c>
      <c r="C2812" s="3" t="s">
        <v>1168</v>
      </c>
      <c r="D2812" s="3" t="s">
        <v>1351</v>
      </c>
      <c r="E2812" s="3" t="s">
        <v>1096</v>
      </c>
      <c r="F2812" s="3">
        <v>193.33</v>
      </c>
      <c r="G2812" s="3">
        <v>2320</v>
      </c>
    </row>
    <row r="2813" spans="1:7" x14ac:dyDescent="0.2">
      <c r="A2813" s="3" t="s">
        <v>1072</v>
      </c>
      <c r="B2813" s="4">
        <v>44985</v>
      </c>
      <c r="C2813" s="3" t="s">
        <v>1168</v>
      </c>
      <c r="D2813" s="3" t="s">
        <v>1472</v>
      </c>
      <c r="E2813" s="3" t="s">
        <v>1473</v>
      </c>
      <c r="F2813" s="3">
        <v>0</v>
      </c>
      <c r="G2813" s="3">
        <v>39610.1</v>
      </c>
    </row>
    <row r="2814" spans="1:7" x14ac:dyDescent="0.2">
      <c r="A2814" s="3" t="s">
        <v>1072</v>
      </c>
      <c r="B2814" s="4">
        <v>44985</v>
      </c>
      <c r="C2814" s="3" t="s">
        <v>1168</v>
      </c>
      <c r="D2814" s="3" t="s">
        <v>1474</v>
      </c>
      <c r="E2814" s="3" t="s">
        <v>1114</v>
      </c>
      <c r="F2814" s="3">
        <v>547.66</v>
      </c>
      <c r="G2814" s="3">
        <v>5487.86</v>
      </c>
    </row>
    <row r="2815" spans="1:7" x14ac:dyDescent="0.2">
      <c r="A2815" s="3" t="s">
        <v>1069</v>
      </c>
      <c r="B2815" s="4">
        <v>44985</v>
      </c>
      <c r="C2815" s="3" t="s">
        <v>1168</v>
      </c>
      <c r="D2815" s="3" t="s">
        <v>1229</v>
      </c>
      <c r="E2815" s="3" t="s">
        <v>1136</v>
      </c>
      <c r="F2815" s="3">
        <v>0</v>
      </c>
      <c r="G2815" s="3">
        <v>31830.7</v>
      </c>
    </row>
    <row r="2816" spans="1:7" x14ac:dyDescent="0.2">
      <c r="A2816" s="3" t="s">
        <v>1072</v>
      </c>
      <c r="B2816" s="4">
        <v>44985</v>
      </c>
      <c r="C2816" s="3" t="s">
        <v>1168</v>
      </c>
      <c r="D2816" s="3" t="s">
        <v>1229</v>
      </c>
      <c r="E2816" s="3" t="s">
        <v>1106</v>
      </c>
      <c r="F2816" s="3">
        <v>7769.04</v>
      </c>
      <c r="G2816" s="3">
        <v>62866.2</v>
      </c>
    </row>
    <row r="2817" spans="1:7" x14ac:dyDescent="0.2">
      <c r="A2817" s="3" t="s">
        <v>1069</v>
      </c>
      <c r="B2817" s="4">
        <v>44985</v>
      </c>
      <c r="C2817" s="3" t="s">
        <v>1168</v>
      </c>
      <c r="D2817" s="3" t="s">
        <v>1230</v>
      </c>
      <c r="E2817" s="3" t="s">
        <v>1109</v>
      </c>
      <c r="F2817" s="3">
        <v>0</v>
      </c>
      <c r="G2817" s="3">
        <v>77630.740000000005</v>
      </c>
    </row>
    <row r="2818" spans="1:7" x14ac:dyDescent="0.2">
      <c r="A2818" s="3" t="s">
        <v>1069</v>
      </c>
      <c r="B2818" s="4">
        <v>44985</v>
      </c>
      <c r="C2818" s="3" t="s">
        <v>1168</v>
      </c>
      <c r="D2818" s="3" t="s">
        <v>1564</v>
      </c>
      <c r="E2818" s="3" t="s">
        <v>1101</v>
      </c>
      <c r="F2818" s="3">
        <v>0</v>
      </c>
      <c r="G2818" s="3">
        <v>10690.2</v>
      </c>
    </row>
    <row r="2819" spans="1:7" x14ac:dyDescent="0.2">
      <c r="A2819" s="3" t="s">
        <v>1072</v>
      </c>
      <c r="B2819" s="4">
        <v>44985</v>
      </c>
      <c r="C2819" s="3" t="s">
        <v>1168</v>
      </c>
      <c r="D2819" s="3" t="s">
        <v>1196</v>
      </c>
      <c r="E2819" s="3" t="s">
        <v>1131</v>
      </c>
      <c r="F2819" s="3">
        <v>0</v>
      </c>
      <c r="G2819" s="3">
        <v>7651.52</v>
      </c>
    </row>
    <row r="2820" spans="1:7" x14ac:dyDescent="0.2">
      <c r="A2820" s="3" t="s">
        <v>1072</v>
      </c>
      <c r="B2820" s="4">
        <v>44985</v>
      </c>
      <c r="C2820" s="3" t="s">
        <v>1168</v>
      </c>
      <c r="D2820" s="3" t="s">
        <v>1544</v>
      </c>
      <c r="E2820" s="3" t="s">
        <v>1159</v>
      </c>
      <c r="F2820" s="3">
        <v>0</v>
      </c>
      <c r="G2820" s="3">
        <v>819.63</v>
      </c>
    </row>
    <row r="2821" spans="1:7" x14ac:dyDescent="0.2">
      <c r="A2821" s="3" t="s">
        <v>1069</v>
      </c>
      <c r="B2821" s="4">
        <v>44985</v>
      </c>
      <c r="C2821" s="3" t="s">
        <v>1168</v>
      </c>
      <c r="D2821" s="3" t="s">
        <v>1544</v>
      </c>
      <c r="E2821" s="3" t="s">
        <v>1159</v>
      </c>
      <c r="F2821" s="3">
        <v>9346.68</v>
      </c>
      <c r="G2821" s="3">
        <v>26429.33</v>
      </c>
    </row>
    <row r="2822" spans="1:7" x14ac:dyDescent="0.2">
      <c r="A2822" s="3" t="s">
        <v>1072</v>
      </c>
      <c r="B2822" s="4">
        <v>44985</v>
      </c>
      <c r="C2822" s="3" t="s">
        <v>1168</v>
      </c>
      <c r="D2822" s="3" t="s">
        <v>1354</v>
      </c>
      <c r="E2822" s="3" t="s">
        <v>1078</v>
      </c>
      <c r="F2822" s="3">
        <v>1458.74</v>
      </c>
      <c r="G2822" s="3">
        <v>15085.07</v>
      </c>
    </row>
    <row r="2823" spans="1:7" x14ac:dyDescent="0.2">
      <c r="A2823" s="3" t="s">
        <v>1072</v>
      </c>
      <c r="B2823" s="4">
        <v>44985</v>
      </c>
      <c r="C2823" s="3" t="s">
        <v>1168</v>
      </c>
      <c r="D2823" s="3" t="s">
        <v>1355</v>
      </c>
      <c r="E2823" s="3" t="s">
        <v>1356</v>
      </c>
      <c r="F2823" s="3">
        <v>0</v>
      </c>
      <c r="G2823" s="3">
        <v>1425.42</v>
      </c>
    </row>
    <row r="2824" spans="1:7" x14ac:dyDescent="0.2">
      <c r="A2824" s="3" t="s">
        <v>1069</v>
      </c>
      <c r="B2824" s="4">
        <v>44985</v>
      </c>
      <c r="C2824" s="3" t="s">
        <v>1168</v>
      </c>
      <c r="D2824" s="3" t="s">
        <v>1456</v>
      </c>
      <c r="E2824" s="3" t="s">
        <v>1457</v>
      </c>
      <c r="F2824" s="3">
        <v>0</v>
      </c>
      <c r="G2824" s="3">
        <v>588.44000000000005</v>
      </c>
    </row>
    <row r="2825" spans="1:7" x14ac:dyDescent="0.2">
      <c r="A2825" s="3" t="s">
        <v>1072</v>
      </c>
      <c r="B2825" s="4">
        <v>44985</v>
      </c>
      <c r="C2825" s="3" t="s">
        <v>1168</v>
      </c>
      <c r="D2825" s="3" t="s">
        <v>1625</v>
      </c>
      <c r="E2825" s="3" t="s">
        <v>1626</v>
      </c>
      <c r="F2825" s="3">
        <v>0</v>
      </c>
      <c r="G2825" s="3">
        <v>165.33</v>
      </c>
    </row>
    <row r="2826" spans="1:7" x14ac:dyDescent="0.2">
      <c r="A2826" s="3" t="s">
        <v>1069</v>
      </c>
      <c r="B2826" s="4">
        <v>44985</v>
      </c>
      <c r="C2826" s="3" t="s">
        <v>1168</v>
      </c>
      <c r="D2826" s="3" t="s">
        <v>1565</v>
      </c>
      <c r="E2826" s="3" t="s">
        <v>1566</v>
      </c>
      <c r="F2826" s="3">
        <v>27652.39</v>
      </c>
      <c r="G2826" s="3">
        <v>506456.8</v>
      </c>
    </row>
    <row r="2827" spans="1:7" x14ac:dyDescent="0.2">
      <c r="A2827" s="3" t="s">
        <v>1069</v>
      </c>
      <c r="B2827" s="4">
        <v>44985</v>
      </c>
      <c r="C2827" s="3" t="s">
        <v>1168</v>
      </c>
      <c r="D2827" s="3" t="s">
        <v>1567</v>
      </c>
      <c r="E2827" s="3" t="s">
        <v>1568</v>
      </c>
      <c r="F2827" s="3">
        <v>178.08</v>
      </c>
      <c r="G2827" s="3">
        <v>50842.47</v>
      </c>
    </row>
    <row r="2828" spans="1:7" x14ac:dyDescent="0.2">
      <c r="A2828" s="3" t="s">
        <v>1069</v>
      </c>
      <c r="B2828" s="4">
        <v>44985</v>
      </c>
      <c r="C2828" s="3" t="s">
        <v>1168</v>
      </c>
      <c r="D2828" s="3" t="s">
        <v>1569</v>
      </c>
      <c r="E2828" s="3" t="s">
        <v>1570</v>
      </c>
      <c r="F2828" s="3">
        <v>0</v>
      </c>
      <c r="G2828" s="3">
        <v>14865.42</v>
      </c>
    </row>
    <row r="2829" spans="1:7" x14ac:dyDescent="0.2">
      <c r="A2829" s="3" t="s">
        <v>1069</v>
      </c>
      <c r="B2829" s="4">
        <v>44985</v>
      </c>
      <c r="C2829" s="3" t="s">
        <v>1168</v>
      </c>
      <c r="D2829" s="3" t="s">
        <v>1608</v>
      </c>
      <c r="E2829" s="3" t="s">
        <v>1609</v>
      </c>
      <c r="F2829" s="3">
        <v>0</v>
      </c>
      <c r="G2829" s="3">
        <v>2742.46</v>
      </c>
    </row>
    <row r="2830" spans="1:7" x14ac:dyDescent="0.2">
      <c r="A2830" s="3" t="s">
        <v>1069</v>
      </c>
      <c r="B2830" s="4">
        <v>44985</v>
      </c>
      <c r="C2830" s="3" t="s">
        <v>1168</v>
      </c>
      <c r="D2830" s="3" t="s">
        <v>1627</v>
      </c>
      <c r="E2830" s="3" t="s">
        <v>1628</v>
      </c>
      <c r="F2830" s="3">
        <v>0</v>
      </c>
      <c r="G2830" s="3">
        <v>48.99</v>
      </c>
    </row>
    <row r="2831" spans="1:7" x14ac:dyDescent="0.2">
      <c r="A2831" s="3" t="s">
        <v>1069</v>
      </c>
      <c r="B2831" s="4">
        <v>44985</v>
      </c>
      <c r="C2831" s="3" t="s">
        <v>1168</v>
      </c>
      <c r="D2831" s="3" t="s">
        <v>1650</v>
      </c>
      <c r="E2831" s="3" t="s">
        <v>1651</v>
      </c>
      <c r="F2831" s="3">
        <v>512.87</v>
      </c>
      <c r="G2831" s="3">
        <v>512.87</v>
      </c>
    </row>
    <row r="2832" spans="1:7" x14ac:dyDescent="0.2">
      <c r="A2832" s="3" t="s">
        <v>1069</v>
      </c>
      <c r="B2832" s="4">
        <v>44985</v>
      </c>
      <c r="C2832" s="3" t="s">
        <v>1168</v>
      </c>
      <c r="D2832" s="3" t="s">
        <v>1571</v>
      </c>
      <c r="E2832" s="3" t="s">
        <v>1572</v>
      </c>
      <c r="F2832" s="3">
        <v>0</v>
      </c>
      <c r="G2832" s="3">
        <v>142876.75</v>
      </c>
    </row>
    <row r="2833" spans="1:7" x14ac:dyDescent="0.2">
      <c r="A2833" s="3" t="s">
        <v>1069</v>
      </c>
      <c r="B2833" s="4">
        <v>44985</v>
      </c>
      <c r="C2833" s="3" t="s">
        <v>1168</v>
      </c>
      <c r="D2833" s="3" t="s">
        <v>1573</v>
      </c>
      <c r="E2833" s="3" t="s">
        <v>1574</v>
      </c>
      <c r="F2833" s="3">
        <v>51945.21</v>
      </c>
      <c r="G2833" s="3">
        <v>1087561.6100000001</v>
      </c>
    </row>
    <row r="2834" spans="1:7" x14ac:dyDescent="0.2">
      <c r="A2834" s="3" t="s">
        <v>1069</v>
      </c>
      <c r="B2834" s="4">
        <v>44985</v>
      </c>
      <c r="C2834" s="3" t="s">
        <v>1168</v>
      </c>
      <c r="D2834" s="3" t="s">
        <v>1629</v>
      </c>
      <c r="E2834" s="3" t="s">
        <v>1630</v>
      </c>
      <c r="F2834" s="3">
        <v>0</v>
      </c>
      <c r="G2834" s="3">
        <v>138082.19</v>
      </c>
    </row>
    <row r="2835" spans="1:7" x14ac:dyDescent="0.2">
      <c r="A2835" s="3" t="s">
        <v>1069</v>
      </c>
      <c r="B2835" s="4">
        <v>44985</v>
      </c>
      <c r="C2835" s="3" t="s">
        <v>1168</v>
      </c>
      <c r="D2835" s="3" t="s">
        <v>1575</v>
      </c>
      <c r="E2835" s="3" t="s">
        <v>1576</v>
      </c>
      <c r="F2835" s="3">
        <v>454945.07</v>
      </c>
      <c r="G2835" s="3">
        <v>4856672.01</v>
      </c>
    </row>
    <row r="2836" spans="1:7" x14ac:dyDescent="0.2">
      <c r="A2836" s="3" t="s">
        <v>1072</v>
      </c>
      <c r="B2836" s="4">
        <v>44985</v>
      </c>
      <c r="C2836" s="3" t="s">
        <v>1168</v>
      </c>
      <c r="D2836" s="3" t="s">
        <v>1475</v>
      </c>
      <c r="E2836" s="3" t="s">
        <v>1476</v>
      </c>
      <c r="F2836" s="3">
        <v>-1376.11</v>
      </c>
      <c r="G2836" s="3">
        <v>-1376.11</v>
      </c>
    </row>
    <row r="2837" spans="1:7" x14ac:dyDescent="0.2">
      <c r="A2837" s="3" t="s">
        <v>1072</v>
      </c>
      <c r="B2837" s="4">
        <v>44985</v>
      </c>
      <c r="C2837" s="3" t="s">
        <v>1168</v>
      </c>
      <c r="D2837" s="3" t="s">
        <v>1547</v>
      </c>
      <c r="E2837" s="3" t="s">
        <v>1548</v>
      </c>
      <c r="F2837" s="3">
        <v>0</v>
      </c>
      <c r="G2837" s="3">
        <v>1209.8699999999999</v>
      </c>
    </row>
    <row r="2838" spans="1:7" x14ac:dyDescent="0.2">
      <c r="A2838" s="3" t="s">
        <v>1069</v>
      </c>
      <c r="B2838" s="4">
        <v>44985</v>
      </c>
      <c r="C2838" s="3" t="s">
        <v>1168</v>
      </c>
      <c r="D2838" s="3" t="s">
        <v>1549</v>
      </c>
      <c r="E2838" s="3" t="s">
        <v>1154</v>
      </c>
      <c r="F2838" s="3">
        <v>0</v>
      </c>
      <c r="G2838" s="3">
        <v>400000</v>
      </c>
    </row>
    <row r="2839" spans="1:7" x14ac:dyDescent="0.2">
      <c r="A2839" s="3" t="s">
        <v>1069</v>
      </c>
      <c r="B2839" s="4">
        <v>44985</v>
      </c>
      <c r="C2839" s="3" t="s">
        <v>1168</v>
      </c>
      <c r="D2839" s="3" t="s">
        <v>1253</v>
      </c>
      <c r="E2839" s="3" t="s">
        <v>1103</v>
      </c>
      <c r="F2839" s="3">
        <v>-291144.11</v>
      </c>
      <c r="G2839" s="3">
        <v>-44150.59</v>
      </c>
    </row>
    <row r="2840" spans="1:7" x14ac:dyDescent="0.2">
      <c r="A2840" s="3" t="s">
        <v>1072</v>
      </c>
      <c r="B2840" s="4">
        <v>44985</v>
      </c>
      <c r="C2840" s="3" t="s">
        <v>1168</v>
      </c>
      <c r="D2840" s="3" t="s">
        <v>1357</v>
      </c>
      <c r="E2840" s="3" t="s">
        <v>1157</v>
      </c>
      <c r="F2840" s="3">
        <v>2297.75</v>
      </c>
      <c r="G2840" s="3">
        <v>3830.55</v>
      </c>
    </row>
    <row r="2841" spans="1:7" x14ac:dyDescent="0.2">
      <c r="A2841" s="3" t="s">
        <v>1072</v>
      </c>
      <c r="B2841" s="4">
        <v>44985</v>
      </c>
      <c r="C2841" s="3" t="s">
        <v>1168</v>
      </c>
      <c r="D2841" s="3" t="s">
        <v>1358</v>
      </c>
      <c r="E2841" s="3" t="s">
        <v>1122</v>
      </c>
      <c r="F2841" s="3">
        <v>0</v>
      </c>
      <c r="G2841" s="3">
        <v>11070.86</v>
      </c>
    </row>
    <row r="2842" spans="1:7" x14ac:dyDescent="0.2">
      <c r="A2842" s="3" t="s">
        <v>1072</v>
      </c>
      <c r="B2842" s="4">
        <v>44985</v>
      </c>
      <c r="C2842" s="3" t="s">
        <v>1168</v>
      </c>
      <c r="D2842" s="3" t="s">
        <v>1359</v>
      </c>
      <c r="E2842" s="3" t="s">
        <v>1086</v>
      </c>
      <c r="F2842" s="3">
        <v>0</v>
      </c>
      <c r="G2842" s="3">
        <v>1200</v>
      </c>
    </row>
    <row r="2843" spans="1:7" x14ac:dyDescent="0.2">
      <c r="A2843" s="3" t="s">
        <v>1072</v>
      </c>
      <c r="B2843" s="4">
        <v>44985</v>
      </c>
      <c r="C2843" s="3" t="s">
        <v>1168</v>
      </c>
      <c r="D2843" s="3" t="s">
        <v>1201</v>
      </c>
      <c r="E2843" s="3" t="s">
        <v>1112</v>
      </c>
      <c r="F2843" s="3">
        <v>801.71</v>
      </c>
      <c r="G2843" s="3">
        <v>13979.16</v>
      </c>
    </row>
    <row r="2844" spans="1:7" x14ac:dyDescent="0.2">
      <c r="A2844" s="3" t="s">
        <v>1074</v>
      </c>
      <c r="B2844" s="4">
        <v>44985</v>
      </c>
      <c r="C2844" s="3" t="s">
        <v>1168</v>
      </c>
      <c r="D2844" s="3" t="s">
        <v>1201</v>
      </c>
      <c r="E2844" s="3" t="s">
        <v>1112</v>
      </c>
      <c r="F2844" s="3">
        <v>0</v>
      </c>
      <c r="G2844" s="3">
        <v>3404.62</v>
      </c>
    </row>
    <row r="2845" spans="1:7" x14ac:dyDescent="0.2">
      <c r="A2845" s="3" t="s">
        <v>1072</v>
      </c>
      <c r="B2845" s="4">
        <v>44985</v>
      </c>
      <c r="C2845" s="3" t="s">
        <v>1168</v>
      </c>
      <c r="D2845" s="3" t="s">
        <v>1360</v>
      </c>
      <c r="E2845" s="3" t="s">
        <v>1098</v>
      </c>
      <c r="F2845" s="3">
        <v>700.1</v>
      </c>
      <c r="G2845" s="3">
        <v>7599.09</v>
      </c>
    </row>
    <row r="2846" spans="1:7" x14ac:dyDescent="0.2">
      <c r="A2846" s="3" t="s">
        <v>1072</v>
      </c>
      <c r="B2846" s="4">
        <v>44985</v>
      </c>
      <c r="C2846" s="3" t="s">
        <v>1168</v>
      </c>
      <c r="D2846" s="3" t="s">
        <v>1361</v>
      </c>
      <c r="E2846" s="3" t="s">
        <v>1121</v>
      </c>
      <c r="F2846" s="3">
        <v>8387.9500000000007</v>
      </c>
      <c r="G2846" s="3">
        <v>320879.62</v>
      </c>
    </row>
    <row r="2847" spans="1:7" x14ac:dyDescent="0.2">
      <c r="A2847" s="3" t="s">
        <v>1072</v>
      </c>
      <c r="B2847" s="4">
        <v>44985</v>
      </c>
      <c r="C2847" s="3" t="s">
        <v>1168</v>
      </c>
      <c r="D2847" s="3" t="s">
        <v>1231</v>
      </c>
      <c r="E2847" s="3" t="s">
        <v>1083</v>
      </c>
      <c r="F2847" s="3">
        <v>843.6</v>
      </c>
      <c r="G2847" s="3">
        <v>10123.200000000001</v>
      </c>
    </row>
    <row r="2848" spans="1:7" x14ac:dyDescent="0.2">
      <c r="A2848" s="3" t="s">
        <v>1069</v>
      </c>
      <c r="B2848" s="4">
        <v>44985</v>
      </c>
      <c r="C2848" s="3" t="s">
        <v>1168</v>
      </c>
      <c r="D2848" s="3" t="s">
        <v>1231</v>
      </c>
      <c r="E2848" s="3" t="s">
        <v>1070</v>
      </c>
      <c r="F2848" s="3">
        <v>0</v>
      </c>
      <c r="G2848" s="3">
        <v>35882.800000000003</v>
      </c>
    </row>
    <row r="2849" spans="1:7" x14ac:dyDescent="0.2">
      <c r="A2849" s="3" t="s">
        <v>1072</v>
      </c>
      <c r="B2849" s="4">
        <v>44985</v>
      </c>
      <c r="C2849" s="3" t="s">
        <v>1168</v>
      </c>
      <c r="D2849" s="3" t="s">
        <v>1254</v>
      </c>
      <c r="E2849" s="3" t="s">
        <v>1075</v>
      </c>
      <c r="F2849" s="3">
        <v>8960.83</v>
      </c>
      <c r="G2849" s="3">
        <v>33383.839999999997</v>
      </c>
    </row>
    <row r="2850" spans="1:7" x14ac:dyDescent="0.2">
      <c r="A2850" s="3" t="s">
        <v>1069</v>
      </c>
      <c r="B2850" s="4">
        <v>44985</v>
      </c>
      <c r="C2850" s="3" t="s">
        <v>1168</v>
      </c>
      <c r="D2850" s="3" t="s">
        <v>1254</v>
      </c>
      <c r="E2850" s="3" t="s">
        <v>1075</v>
      </c>
      <c r="F2850" s="3">
        <v>0</v>
      </c>
      <c r="G2850" s="3">
        <v>22719.99</v>
      </c>
    </row>
    <row r="2851" spans="1:7" x14ac:dyDescent="0.2">
      <c r="A2851" s="3" t="s">
        <v>1072</v>
      </c>
      <c r="B2851" s="4">
        <v>44985</v>
      </c>
      <c r="C2851" s="3" t="s">
        <v>1168</v>
      </c>
      <c r="D2851" s="3" t="s">
        <v>1362</v>
      </c>
      <c r="E2851" s="3" t="s">
        <v>1123</v>
      </c>
      <c r="F2851" s="3">
        <v>301293.39</v>
      </c>
      <c r="G2851" s="3">
        <v>2682374.7999999998</v>
      </c>
    </row>
    <row r="2852" spans="1:7" x14ac:dyDescent="0.2">
      <c r="A2852" s="3" t="s">
        <v>1072</v>
      </c>
      <c r="B2852" s="4">
        <v>44985</v>
      </c>
      <c r="C2852" s="3" t="s">
        <v>1168</v>
      </c>
      <c r="D2852" s="3" t="s">
        <v>1365</v>
      </c>
      <c r="E2852" s="3" t="s">
        <v>1090</v>
      </c>
      <c r="F2852" s="3">
        <v>0</v>
      </c>
      <c r="G2852" s="3">
        <v>3746.27</v>
      </c>
    </row>
    <row r="2853" spans="1:7" x14ac:dyDescent="0.2">
      <c r="A2853" s="3" t="s">
        <v>1072</v>
      </c>
      <c r="B2853" s="4">
        <v>44985</v>
      </c>
      <c r="C2853" s="3" t="s">
        <v>1168</v>
      </c>
      <c r="D2853" s="3" t="s">
        <v>1511</v>
      </c>
      <c r="E2853" s="3" t="s">
        <v>1104</v>
      </c>
      <c r="F2853" s="3">
        <v>177.33</v>
      </c>
      <c r="G2853" s="3">
        <v>1872.75</v>
      </c>
    </row>
    <row r="2854" spans="1:7" x14ac:dyDescent="0.2">
      <c r="A2854" s="3" t="s">
        <v>1072</v>
      </c>
      <c r="B2854" s="4">
        <v>44985</v>
      </c>
      <c r="C2854" s="3" t="s">
        <v>1168</v>
      </c>
      <c r="D2854" s="3" t="s">
        <v>1366</v>
      </c>
      <c r="E2854" s="3" t="s">
        <v>1144</v>
      </c>
      <c r="F2854" s="3">
        <v>3377.45</v>
      </c>
      <c r="G2854" s="3">
        <v>13955.28</v>
      </c>
    </row>
    <row r="2855" spans="1:7" x14ac:dyDescent="0.2">
      <c r="A2855" s="3" t="s">
        <v>1069</v>
      </c>
      <c r="B2855" s="4">
        <v>44985</v>
      </c>
      <c r="C2855" s="3" t="s">
        <v>1168</v>
      </c>
      <c r="D2855" s="3" t="s">
        <v>1213</v>
      </c>
      <c r="E2855" s="3" t="s">
        <v>1150</v>
      </c>
      <c r="F2855" s="3">
        <v>328.38</v>
      </c>
      <c r="G2855" s="3">
        <v>5577.79</v>
      </c>
    </row>
    <row r="2856" spans="1:7" x14ac:dyDescent="0.2">
      <c r="A2856" s="3" t="s">
        <v>1072</v>
      </c>
      <c r="B2856" s="4">
        <v>44985</v>
      </c>
      <c r="C2856" s="3" t="s">
        <v>1168</v>
      </c>
      <c r="D2856" s="3" t="s">
        <v>1367</v>
      </c>
      <c r="E2856" s="3" t="s">
        <v>1147</v>
      </c>
      <c r="F2856" s="3">
        <v>0</v>
      </c>
      <c r="G2856" s="3">
        <v>6800</v>
      </c>
    </row>
    <row r="2857" spans="1:7" x14ac:dyDescent="0.2">
      <c r="A2857" s="3" t="s">
        <v>1069</v>
      </c>
      <c r="B2857" s="4">
        <v>44985</v>
      </c>
      <c r="C2857" s="3" t="s">
        <v>1168</v>
      </c>
      <c r="D2857" s="3" t="s">
        <v>1368</v>
      </c>
      <c r="E2857" s="3" t="s">
        <v>1652</v>
      </c>
      <c r="F2857" s="3">
        <v>100.26</v>
      </c>
      <c r="G2857" s="3">
        <v>100.26</v>
      </c>
    </row>
    <row r="2858" spans="1:7" x14ac:dyDescent="0.2">
      <c r="A2858" s="3" t="s">
        <v>1072</v>
      </c>
      <c r="B2858" s="4">
        <v>44985</v>
      </c>
      <c r="C2858" s="3" t="s">
        <v>1168</v>
      </c>
      <c r="D2858" s="3" t="s">
        <v>1368</v>
      </c>
      <c r="E2858" s="3" t="s">
        <v>1124</v>
      </c>
      <c r="F2858" s="3">
        <v>0</v>
      </c>
      <c r="G2858" s="3">
        <v>4899.1400000000003</v>
      </c>
    </row>
    <row r="2859" spans="1:7" x14ac:dyDescent="0.2">
      <c r="A2859" s="3" t="s">
        <v>1072</v>
      </c>
      <c r="B2859" s="4">
        <v>44985</v>
      </c>
      <c r="C2859" s="3" t="s">
        <v>1168</v>
      </c>
      <c r="D2859" s="3" t="s">
        <v>1369</v>
      </c>
      <c r="E2859" s="3" t="s">
        <v>1099</v>
      </c>
      <c r="F2859" s="3">
        <v>0</v>
      </c>
      <c r="G2859" s="3">
        <v>526.32000000000005</v>
      </c>
    </row>
    <row r="2860" spans="1:7" x14ac:dyDescent="0.2">
      <c r="A2860" s="3" t="s">
        <v>1072</v>
      </c>
      <c r="B2860" s="4">
        <v>44985</v>
      </c>
      <c r="C2860" s="3" t="s">
        <v>1168</v>
      </c>
      <c r="D2860" s="3" t="s">
        <v>1370</v>
      </c>
      <c r="E2860" s="3" t="s">
        <v>1129</v>
      </c>
      <c r="F2860" s="3">
        <v>747</v>
      </c>
      <c r="G2860" s="3">
        <v>7574</v>
      </c>
    </row>
    <row r="2861" spans="1:7" x14ac:dyDescent="0.2">
      <c r="A2861" s="3" t="s">
        <v>1072</v>
      </c>
      <c r="B2861" s="4">
        <v>44985</v>
      </c>
      <c r="C2861" s="3" t="s">
        <v>1168</v>
      </c>
      <c r="D2861" s="3" t="s">
        <v>1372</v>
      </c>
      <c r="E2861" s="3" t="s">
        <v>1158</v>
      </c>
      <c r="F2861" s="3">
        <v>600</v>
      </c>
      <c r="G2861" s="3">
        <v>7200</v>
      </c>
    </row>
    <row r="2862" spans="1:7" x14ac:dyDescent="0.2">
      <c r="A2862" s="3" t="s">
        <v>1072</v>
      </c>
      <c r="B2862" s="4">
        <v>44985</v>
      </c>
      <c r="C2862" s="3" t="s">
        <v>1168</v>
      </c>
      <c r="D2862" s="3" t="s">
        <v>1373</v>
      </c>
      <c r="E2862" s="3" t="s">
        <v>1092</v>
      </c>
      <c r="F2862" s="3">
        <v>605</v>
      </c>
      <c r="G2862" s="3">
        <v>5512.76</v>
      </c>
    </row>
    <row r="2863" spans="1:7" x14ac:dyDescent="0.2">
      <c r="A2863" s="3" t="s">
        <v>1072</v>
      </c>
      <c r="B2863" s="4">
        <v>44985</v>
      </c>
      <c r="C2863" s="3" t="s">
        <v>1168</v>
      </c>
      <c r="D2863" s="3" t="s">
        <v>1490</v>
      </c>
      <c r="E2863" s="3" t="s">
        <v>1491</v>
      </c>
      <c r="F2863" s="3">
        <v>0</v>
      </c>
      <c r="G2863" s="3">
        <v>13765</v>
      </c>
    </row>
    <row r="2864" spans="1:7" x14ac:dyDescent="0.2">
      <c r="A2864" s="3" t="s">
        <v>1069</v>
      </c>
      <c r="B2864" s="4">
        <v>44985</v>
      </c>
      <c r="C2864" s="3" t="s">
        <v>1168</v>
      </c>
      <c r="D2864" s="3" t="s">
        <v>1232</v>
      </c>
      <c r="E2864" s="3" t="s">
        <v>1105</v>
      </c>
      <c r="F2864" s="3">
        <v>600</v>
      </c>
      <c r="G2864" s="3">
        <v>7200</v>
      </c>
    </row>
    <row r="2865" spans="1:7" x14ac:dyDescent="0.2">
      <c r="A2865" s="3" t="s">
        <v>1074</v>
      </c>
      <c r="B2865" s="4">
        <v>44985</v>
      </c>
      <c r="C2865" s="3" t="s">
        <v>1168</v>
      </c>
      <c r="D2865" s="3" t="s">
        <v>1232</v>
      </c>
      <c r="E2865" s="3" t="s">
        <v>1105</v>
      </c>
      <c r="F2865" s="3">
        <v>600</v>
      </c>
      <c r="G2865" s="3">
        <v>10800</v>
      </c>
    </row>
    <row r="2866" spans="1:7" x14ac:dyDescent="0.2">
      <c r="A2866" s="3" t="s">
        <v>1069</v>
      </c>
      <c r="B2866" s="4">
        <v>44985</v>
      </c>
      <c r="C2866" s="3" t="s">
        <v>1168</v>
      </c>
      <c r="D2866" s="3" t="s">
        <v>1262</v>
      </c>
      <c r="E2866" s="3" t="s">
        <v>1127</v>
      </c>
      <c r="F2866" s="3">
        <v>0</v>
      </c>
      <c r="G2866" s="3">
        <v>788.43</v>
      </c>
    </row>
    <row r="2867" spans="1:7" x14ac:dyDescent="0.2">
      <c r="A2867" s="3" t="s">
        <v>1072</v>
      </c>
      <c r="B2867" s="4">
        <v>44985</v>
      </c>
      <c r="C2867" s="3" t="s">
        <v>1168</v>
      </c>
      <c r="D2867" s="3" t="s">
        <v>1374</v>
      </c>
      <c r="E2867" s="3" t="s">
        <v>1108</v>
      </c>
      <c r="F2867" s="3">
        <v>0</v>
      </c>
      <c r="G2867" s="3">
        <v>2500</v>
      </c>
    </row>
    <row r="2868" spans="1:7" x14ac:dyDescent="0.2">
      <c r="A2868" s="3" t="s">
        <v>1072</v>
      </c>
      <c r="B2868" s="4">
        <v>44985</v>
      </c>
      <c r="C2868" s="3" t="s">
        <v>1168</v>
      </c>
      <c r="D2868" s="3" t="s">
        <v>1376</v>
      </c>
      <c r="E2868" s="3" t="s">
        <v>1377</v>
      </c>
      <c r="F2868" s="3">
        <v>0</v>
      </c>
      <c r="G2868" s="3">
        <v>13.04</v>
      </c>
    </row>
    <row r="2869" spans="1:7" x14ac:dyDescent="0.2">
      <c r="A2869" s="3" t="s">
        <v>1072</v>
      </c>
      <c r="B2869" s="4">
        <v>44985</v>
      </c>
      <c r="C2869" s="3" t="s">
        <v>1168</v>
      </c>
      <c r="D2869" s="3" t="s">
        <v>1378</v>
      </c>
      <c r="E2869" s="3" t="s">
        <v>1143</v>
      </c>
      <c r="F2869" s="3">
        <v>57301.13</v>
      </c>
      <c r="G2869" s="3">
        <v>442349.97</v>
      </c>
    </row>
    <row r="2870" spans="1:7" x14ac:dyDescent="0.2">
      <c r="A2870" s="3" t="s">
        <v>1072</v>
      </c>
      <c r="B2870" s="4">
        <v>44985</v>
      </c>
      <c r="C2870" s="3" t="s">
        <v>1168</v>
      </c>
      <c r="D2870" s="3" t="s">
        <v>1379</v>
      </c>
      <c r="E2870" s="3" t="s">
        <v>1107</v>
      </c>
      <c r="F2870" s="3">
        <v>3367.25</v>
      </c>
      <c r="G2870" s="3">
        <v>29745.7</v>
      </c>
    </row>
    <row r="2871" spans="1:7" x14ac:dyDescent="0.2">
      <c r="A2871" s="3" t="s">
        <v>1072</v>
      </c>
      <c r="B2871" s="4">
        <v>44985</v>
      </c>
      <c r="C2871" s="3" t="s">
        <v>1168</v>
      </c>
      <c r="D2871" s="3" t="s">
        <v>1380</v>
      </c>
      <c r="E2871" s="3" t="s">
        <v>1125</v>
      </c>
      <c r="F2871" s="3">
        <v>1689.21</v>
      </c>
      <c r="G2871" s="3">
        <v>20100.580000000002</v>
      </c>
    </row>
    <row r="2872" spans="1:7" x14ac:dyDescent="0.2">
      <c r="A2872" s="3" t="s">
        <v>1072</v>
      </c>
      <c r="B2872" s="4">
        <v>44985</v>
      </c>
      <c r="C2872" s="3" t="s">
        <v>1168</v>
      </c>
      <c r="D2872" s="3" t="s">
        <v>1381</v>
      </c>
      <c r="E2872" s="3" t="s">
        <v>1130</v>
      </c>
      <c r="F2872" s="3">
        <v>1689.21</v>
      </c>
      <c r="G2872" s="3">
        <v>20100.580000000002</v>
      </c>
    </row>
    <row r="2873" spans="1:7" x14ac:dyDescent="0.2">
      <c r="A2873" s="3" t="s">
        <v>1072</v>
      </c>
      <c r="B2873" s="4">
        <v>44985</v>
      </c>
      <c r="C2873" s="3" t="s">
        <v>1168</v>
      </c>
      <c r="D2873" s="3" t="s">
        <v>1458</v>
      </c>
      <c r="E2873" s="3" t="s">
        <v>1113</v>
      </c>
      <c r="F2873" s="3">
        <v>5034</v>
      </c>
      <c r="G2873" s="3">
        <v>81099.64</v>
      </c>
    </row>
    <row r="2874" spans="1:7" x14ac:dyDescent="0.2">
      <c r="A2874" s="3" t="s">
        <v>1072</v>
      </c>
      <c r="B2874" s="4">
        <v>44985</v>
      </c>
      <c r="C2874" s="3" t="s">
        <v>1168</v>
      </c>
      <c r="D2874" s="3" t="s">
        <v>1459</v>
      </c>
      <c r="E2874" s="3" t="s">
        <v>1139</v>
      </c>
      <c r="F2874" s="3">
        <v>1775.25</v>
      </c>
      <c r="G2874" s="3">
        <v>27399.55</v>
      </c>
    </row>
    <row r="2875" spans="1:7" x14ac:dyDescent="0.2">
      <c r="A2875" s="3" t="s">
        <v>1069</v>
      </c>
      <c r="B2875" s="4">
        <v>44985</v>
      </c>
      <c r="C2875" s="3" t="s">
        <v>1172</v>
      </c>
      <c r="D2875" s="3" t="s">
        <v>1173</v>
      </c>
      <c r="E2875" s="3" t="s">
        <v>1174</v>
      </c>
      <c r="F2875" s="3">
        <v>0</v>
      </c>
      <c r="G2875" s="3">
        <v>-100</v>
      </c>
    </row>
    <row r="2876" spans="1:7" x14ac:dyDescent="0.2">
      <c r="A2876" s="3" t="s">
        <v>1072</v>
      </c>
      <c r="B2876" s="4">
        <v>44985</v>
      </c>
      <c r="C2876" s="3" t="s">
        <v>1172</v>
      </c>
      <c r="D2876" s="3" t="s">
        <v>1382</v>
      </c>
      <c r="E2876" s="3" t="s">
        <v>1383</v>
      </c>
      <c r="F2876" s="3">
        <v>0</v>
      </c>
      <c r="G2876" s="3">
        <v>-120</v>
      </c>
    </row>
    <row r="2877" spans="1:7" x14ac:dyDescent="0.2">
      <c r="A2877" s="3" t="s">
        <v>1072</v>
      </c>
      <c r="B2877" s="4">
        <v>44985</v>
      </c>
      <c r="C2877" s="3" t="s">
        <v>1172</v>
      </c>
      <c r="D2877" s="3" t="s">
        <v>1384</v>
      </c>
      <c r="E2877" s="3" t="s">
        <v>1385</v>
      </c>
      <c r="F2877" s="3">
        <v>5771.33</v>
      </c>
      <c r="G2877" s="3">
        <v>253118.38</v>
      </c>
    </row>
    <row r="2878" spans="1:7" x14ac:dyDescent="0.2">
      <c r="A2878" s="3" t="s">
        <v>1069</v>
      </c>
      <c r="B2878" s="4">
        <v>44985</v>
      </c>
      <c r="C2878" s="3" t="s">
        <v>1172</v>
      </c>
      <c r="D2878" s="3" t="s">
        <v>1384</v>
      </c>
      <c r="E2878" s="3" t="s">
        <v>1385</v>
      </c>
      <c r="F2878" s="3">
        <v>0</v>
      </c>
      <c r="G2878" s="3">
        <v>-17080353.050000001</v>
      </c>
    </row>
    <row r="2879" spans="1:7" x14ac:dyDescent="0.2">
      <c r="A2879" s="3" t="s">
        <v>1069</v>
      </c>
      <c r="B2879" s="4">
        <v>44985</v>
      </c>
      <c r="C2879" s="3" t="s">
        <v>1180</v>
      </c>
      <c r="D2879" s="3" t="s">
        <v>1241</v>
      </c>
      <c r="E2879" s="3" t="s">
        <v>1242</v>
      </c>
      <c r="F2879" s="3">
        <v>0</v>
      </c>
      <c r="G2879" s="3">
        <v>17562360.850000001</v>
      </c>
    </row>
    <row r="2880" spans="1:7" x14ac:dyDescent="0.2">
      <c r="A2880" s="3" t="s">
        <v>1072</v>
      </c>
      <c r="B2880" s="4">
        <v>44985</v>
      </c>
      <c r="C2880" s="3" t="s">
        <v>1180</v>
      </c>
      <c r="D2880" s="3" t="s">
        <v>1483</v>
      </c>
      <c r="E2880" s="3" t="s">
        <v>1177</v>
      </c>
      <c r="F2880" s="3">
        <v>-7166187.4000000004</v>
      </c>
      <c r="G2880" s="3">
        <v>0</v>
      </c>
    </row>
    <row r="2881" spans="1:7" x14ac:dyDescent="0.2">
      <c r="A2881" s="3" t="s">
        <v>1072</v>
      </c>
      <c r="B2881" s="4">
        <v>44985</v>
      </c>
      <c r="C2881" s="3" t="s">
        <v>1180</v>
      </c>
      <c r="D2881" s="3" t="s">
        <v>1388</v>
      </c>
      <c r="E2881" s="3" t="s">
        <v>1389</v>
      </c>
      <c r="F2881" s="3">
        <v>-4342.5</v>
      </c>
      <c r="G2881" s="3">
        <v>-4342.5</v>
      </c>
    </row>
    <row r="2882" spans="1:7" x14ac:dyDescent="0.2">
      <c r="A2882" s="3" t="s">
        <v>1072</v>
      </c>
      <c r="B2882" s="4">
        <v>44985</v>
      </c>
      <c r="C2882" s="3" t="s">
        <v>1180</v>
      </c>
      <c r="D2882" s="3" t="s">
        <v>1390</v>
      </c>
      <c r="E2882" s="3" t="s">
        <v>1391</v>
      </c>
      <c r="F2882" s="3">
        <v>-90000</v>
      </c>
      <c r="G2882" s="3">
        <v>-361000</v>
      </c>
    </row>
    <row r="2883" spans="1:7" x14ac:dyDescent="0.2">
      <c r="A2883" s="3" t="s">
        <v>1072</v>
      </c>
      <c r="B2883" s="4">
        <v>44985</v>
      </c>
      <c r="C2883" s="3" t="s">
        <v>1180</v>
      </c>
      <c r="D2883" s="3" t="s">
        <v>1392</v>
      </c>
      <c r="E2883" s="3" t="s">
        <v>1393</v>
      </c>
      <c r="F2883" s="3">
        <v>4342.5</v>
      </c>
      <c r="G2883" s="3">
        <v>4342.5</v>
      </c>
    </row>
    <row r="2884" spans="1:7" x14ac:dyDescent="0.2">
      <c r="A2884" s="3" t="s">
        <v>1072</v>
      </c>
      <c r="B2884" s="4">
        <v>44985</v>
      </c>
      <c r="C2884" s="3" t="s">
        <v>1180</v>
      </c>
      <c r="D2884" s="3" t="s">
        <v>1394</v>
      </c>
      <c r="E2884" s="3" t="s">
        <v>1256</v>
      </c>
      <c r="F2884" s="3">
        <v>-1200</v>
      </c>
      <c r="G2884" s="3">
        <v>0</v>
      </c>
    </row>
    <row r="2885" spans="1:7" x14ac:dyDescent="0.2">
      <c r="A2885" s="3" t="s">
        <v>1072</v>
      </c>
      <c r="B2885" s="4">
        <v>44985</v>
      </c>
      <c r="C2885" s="3" t="s">
        <v>1180</v>
      </c>
      <c r="D2885" s="3" t="s">
        <v>1395</v>
      </c>
      <c r="E2885" s="3" t="s">
        <v>1396</v>
      </c>
      <c r="F2885" s="3">
        <v>-1599110.09</v>
      </c>
      <c r="G2885" s="3">
        <v>-9825248.5899999999</v>
      </c>
    </row>
    <row r="2886" spans="1:7" x14ac:dyDescent="0.2">
      <c r="A2886" s="3" t="s">
        <v>1072</v>
      </c>
      <c r="B2886" s="4">
        <v>44985</v>
      </c>
      <c r="C2886" s="3" t="s">
        <v>1180</v>
      </c>
      <c r="D2886" s="3" t="s">
        <v>1397</v>
      </c>
      <c r="E2886" s="3" t="s">
        <v>1398</v>
      </c>
      <c r="F2886" s="3">
        <v>-1200</v>
      </c>
      <c r="G2886" s="3">
        <v>0</v>
      </c>
    </row>
    <row r="2887" spans="1:7" x14ac:dyDescent="0.2">
      <c r="A2887" s="3" t="s">
        <v>1072</v>
      </c>
      <c r="B2887" s="4">
        <v>44985</v>
      </c>
      <c r="C2887" s="3" t="s">
        <v>1180</v>
      </c>
      <c r="D2887" s="3" t="s">
        <v>1512</v>
      </c>
      <c r="E2887" s="3" t="s">
        <v>1513</v>
      </c>
      <c r="F2887" s="3">
        <v>7271187.4000000004</v>
      </c>
      <c r="G2887" s="3">
        <v>13330187.4</v>
      </c>
    </row>
    <row r="2888" spans="1:7" x14ac:dyDescent="0.2">
      <c r="A2888" s="3" t="s">
        <v>1072</v>
      </c>
      <c r="B2888" s="4">
        <v>44985</v>
      </c>
      <c r="C2888" s="3" t="s">
        <v>1180</v>
      </c>
      <c r="D2888" s="3" t="s">
        <v>1399</v>
      </c>
      <c r="E2888" s="3" t="s">
        <v>1400</v>
      </c>
      <c r="F2888" s="3">
        <v>0</v>
      </c>
      <c r="G2888" s="3">
        <v>-120000</v>
      </c>
    </row>
    <row r="2889" spans="1:7" x14ac:dyDescent="0.2">
      <c r="A2889" s="3" t="s">
        <v>1074</v>
      </c>
      <c r="B2889" s="4">
        <v>44985</v>
      </c>
      <c r="C2889" s="3" t="s">
        <v>1175</v>
      </c>
      <c r="D2889" s="3" t="s">
        <v>1492</v>
      </c>
      <c r="E2889" s="3" t="s">
        <v>1493</v>
      </c>
      <c r="F2889" s="3">
        <v>-7959387.8099999996</v>
      </c>
      <c r="G2889" s="3">
        <v>-10564871.5</v>
      </c>
    </row>
    <row r="2890" spans="1:7" x14ac:dyDescent="0.2">
      <c r="A2890" s="3" t="s">
        <v>1069</v>
      </c>
      <c r="B2890" s="4">
        <v>44985</v>
      </c>
      <c r="C2890" s="3" t="s">
        <v>1175</v>
      </c>
      <c r="D2890" s="3" t="s">
        <v>1178</v>
      </c>
      <c r="E2890" s="3" t="s">
        <v>1179</v>
      </c>
      <c r="F2890" s="3">
        <v>1599110.09</v>
      </c>
      <c r="G2890" s="3">
        <v>9825248.5899999999</v>
      </c>
    </row>
    <row r="2891" spans="1:7" x14ac:dyDescent="0.2">
      <c r="A2891" s="3" t="s">
        <v>1069</v>
      </c>
      <c r="B2891" s="4">
        <v>44985</v>
      </c>
      <c r="C2891" s="3" t="s">
        <v>1175</v>
      </c>
      <c r="D2891" s="3" t="s">
        <v>1233</v>
      </c>
      <c r="E2891" s="3" t="s">
        <v>1234</v>
      </c>
      <c r="F2891" s="3">
        <v>171000</v>
      </c>
      <c r="G2891" s="3">
        <v>548000</v>
      </c>
    </row>
    <row r="2892" spans="1:7" x14ac:dyDescent="0.2">
      <c r="A2892" s="3" t="s">
        <v>1069</v>
      </c>
      <c r="B2892" s="4">
        <v>44985</v>
      </c>
      <c r="C2892" s="3" t="s">
        <v>1175</v>
      </c>
      <c r="D2892" s="3" t="s">
        <v>1494</v>
      </c>
      <c r="E2892" s="3" t="s">
        <v>1495</v>
      </c>
      <c r="F2892" s="3">
        <v>2042327.64</v>
      </c>
      <c r="G2892" s="3">
        <v>10564871.5</v>
      </c>
    </row>
    <row r="2893" spans="1:7" x14ac:dyDescent="0.2">
      <c r="A2893" s="3" t="s">
        <v>1072</v>
      </c>
      <c r="B2893" s="4">
        <v>44985</v>
      </c>
      <c r="C2893" s="3" t="s">
        <v>1175</v>
      </c>
      <c r="D2893" s="3" t="s">
        <v>1405</v>
      </c>
      <c r="E2893" s="3" t="s">
        <v>1406</v>
      </c>
      <c r="F2893" s="3">
        <v>-57370.28</v>
      </c>
      <c r="G2893" s="3">
        <v>0</v>
      </c>
    </row>
    <row r="2894" spans="1:7" x14ac:dyDescent="0.2">
      <c r="A2894" s="3" t="s">
        <v>1072</v>
      </c>
      <c r="B2894" s="4">
        <v>44985</v>
      </c>
      <c r="C2894" s="3" t="s">
        <v>1175</v>
      </c>
      <c r="D2894" s="3" t="s">
        <v>1407</v>
      </c>
      <c r="E2894" s="3" t="s">
        <v>1408</v>
      </c>
      <c r="F2894" s="3">
        <v>58920.1</v>
      </c>
      <c r="G2894" s="3">
        <v>0</v>
      </c>
    </row>
    <row r="2895" spans="1:7" x14ac:dyDescent="0.2">
      <c r="A2895" s="3" t="s">
        <v>1072</v>
      </c>
      <c r="B2895" s="4">
        <v>44985</v>
      </c>
      <c r="C2895" s="3" t="s">
        <v>1180</v>
      </c>
      <c r="D2895" s="3" t="s">
        <v>1409</v>
      </c>
      <c r="E2895" s="3" t="s">
        <v>1410</v>
      </c>
      <c r="F2895" s="3">
        <v>0</v>
      </c>
      <c r="G2895" s="3">
        <v>216064.1</v>
      </c>
    </row>
    <row r="2896" spans="1:7" x14ac:dyDescent="0.2">
      <c r="A2896" s="3" t="s">
        <v>1072</v>
      </c>
      <c r="B2896" s="4">
        <v>44985</v>
      </c>
      <c r="C2896" s="3" t="s">
        <v>1180</v>
      </c>
      <c r="D2896" s="3" t="s">
        <v>1411</v>
      </c>
      <c r="E2896" s="3" t="s">
        <v>1412</v>
      </c>
      <c r="F2896" s="3">
        <v>0</v>
      </c>
      <c r="G2896" s="3">
        <v>-216063.1</v>
      </c>
    </row>
    <row r="2897" spans="1:7" x14ac:dyDescent="0.2">
      <c r="A2897" s="3" t="s">
        <v>1072</v>
      </c>
      <c r="B2897" s="4">
        <v>44985</v>
      </c>
      <c r="C2897" s="3" t="s">
        <v>1180</v>
      </c>
      <c r="D2897" s="3" t="s">
        <v>1413</v>
      </c>
      <c r="E2897" s="3" t="s">
        <v>1414</v>
      </c>
      <c r="F2897" s="3">
        <v>0</v>
      </c>
      <c r="G2897" s="3">
        <v>92100.13</v>
      </c>
    </row>
    <row r="2898" spans="1:7" x14ac:dyDescent="0.2">
      <c r="A2898" s="3" t="s">
        <v>1072</v>
      </c>
      <c r="B2898" s="4">
        <v>44985</v>
      </c>
      <c r="C2898" s="3" t="s">
        <v>1180</v>
      </c>
      <c r="D2898" s="3" t="s">
        <v>1415</v>
      </c>
      <c r="E2898" s="3" t="s">
        <v>1416</v>
      </c>
      <c r="F2898" s="3">
        <v>-2165.83</v>
      </c>
      <c r="G2898" s="3">
        <v>-42922.99</v>
      </c>
    </row>
    <row r="2899" spans="1:7" x14ac:dyDescent="0.2">
      <c r="A2899" s="3" t="s">
        <v>1072</v>
      </c>
      <c r="B2899" s="4">
        <v>44985</v>
      </c>
      <c r="C2899" s="3" t="s">
        <v>1180</v>
      </c>
      <c r="D2899" s="3" t="s">
        <v>1462</v>
      </c>
      <c r="E2899" s="3" t="s">
        <v>1463</v>
      </c>
      <c r="F2899" s="3">
        <v>0</v>
      </c>
      <c r="G2899" s="3">
        <v>37955.300000000003</v>
      </c>
    </row>
    <row r="2900" spans="1:7" x14ac:dyDescent="0.2">
      <c r="A2900" s="3" t="s">
        <v>1072</v>
      </c>
      <c r="B2900" s="4">
        <v>44985</v>
      </c>
      <c r="C2900" s="3" t="s">
        <v>1180</v>
      </c>
      <c r="D2900" s="3" t="s">
        <v>1484</v>
      </c>
      <c r="E2900" s="3" t="s">
        <v>1485</v>
      </c>
      <c r="F2900" s="3">
        <v>-547.66</v>
      </c>
      <c r="G2900" s="3">
        <v>-5894.55</v>
      </c>
    </row>
    <row r="2901" spans="1:7" x14ac:dyDescent="0.2">
      <c r="A2901" s="3" t="s">
        <v>1072</v>
      </c>
      <c r="B2901" s="4">
        <v>44985</v>
      </c>
      <c r="C2901" s="3" t="s">
        <v>1180</v>
      </c>
      <c r="D2901" s="3" t="s">
        <v>1417</v>
      </c>
      <c r="E2901" s="3" t="s">
        <v>1418</v>
      </c>
      <c r="F2901" s="3">
        <v>0</v>
      </c>
      <c r="G2901" s="3">
        <v>11600</v>
      </c>
    </row>
    <row r="2902" spans="1:7" x14ac:dyDescent="0.2">
      <c r="A2902" s="3" t="s">
        <v>1072</v>
      </c>
      <c r="B2902" s="4">
        <v>44985</v>
      </c>
      <c r="C2902" s="3" t="s">
        <v>1180</v>
      </c>
      <c r="D2902" s="3" t="s">
        <v>1419</v>
      </c>
      <c r="E2902" s="3" t="s">
        <v>1420</v>
      </c>
      <c r="F2902" s="3">
        <v>-193.33</v>
      </c>
      <c r="G2902" s="3">
        <v>-3125.56</v>
      </c>
    </row>
    <row r="2903" spans="1:7" x14ac:dyDescent="0.2">
      <c r="A2903" s="3" t="s">
        <v>1069</v>
      </c>
      <c r="B2903" s="4">
        <v>44985</v>
      </c>
      <c r="C2903" s="3" t="s">
        <v>1180</v>
      </c>
      <c r="D2903" s="3" t="s">
        <v>1421</v>
      </c>
      <c r="E2903" s="3" t="s">
        <v>1422</v>
      </c>
      <c r="F2903" s="3">
        <v>0</v>
      </c>
      <c r="G2903" s="3">
        <v>874505.75</v>
      </c>
    </row>
    <row r="2904" spans="1:7" x14ac:dyDescent="0.2">
      <c r="A2904" s="3" t="s">
        <v>1074</v>
      </c>
      <c r="B2904" s="4">
        <v>44985</v>
      </c>
      <c r="C2904" s="3" t="s">
        <v>1180</v>
      </c>
      <c r="D2904" s="3" t="s">
        <v>1421</v>
      </c>
      <c r="E2904" s="3" t="s">
        <v>1533</v>
      </c>
      <c r="F2904" s="3">
        <v>0</v>
      </c>
      <c r="G2904" s="3">
        <v>439254.75</v>
      </c>
    </row>
    <row r="2905" spans="1:7" x14ac:dyDescent="0.2">
      <c r="A2905" s="3" t="s">
        <v>1069</v>
      </c>
      <c r="B2905" s="4">
        <v>44985</v>
      </c>
      <c r="C2905" s="3" t="s">
        <v>1180</v>
      </c>
      <c r="D2905" s="3" t="s">
        <v>1214</v>
      </c>
      <c r="E2905" s="3" t="s">
        <v>1215</v>
      </c>
      <c r="F2905" s="3">
        <v>0</v>
      </c>
      <c r="G2905" s="3">
        <v>26200000</v>
      </c>
    </row>
    <row r="2906" spans="1:7" x14ac:dyDescent="0.2">
      <c r="A2906" s="3" t="s">
        <v>1069</v>
      </c>
      <c r="B2906" s="4">
        <v>44985</v>
      </c>
      <c r="C2906" s="3" t="s">
        <v>1180</v>
      </c>
      <c r="D2906" s="3" t="s">
        <v>1216</v>
      </c>
      <c r="E2906" s="3" t="s">
        <v>1217</v>
      </c>
      <c r="F2906" s="3">
        <v>0</v>
      </c>
      <c r="G2906" s="3">
        <v>68427</v>
      </c>
    </row>
    <row r="2907" spans="1:7" x14ac:dyDescent="0.2">
      <c r="A2907" s="3" t="s">
        <v>1069</v>
      </c>
      <c r="B2907" s="4">
        <v>44985</v>
      </c>
      <c r="C2907" s="3" t="s">
        <v>1180</v>
      </c>
      <c r="D2907" s="3" t="s">
        <v>1218</v>
      </c>
      <c r="E2907" s="3" t="s">
        <v>1219</v>
      </c>
      <c r="F2907" s="3">
        <v>0</v>
      </c>
      <c r="G2907" s="3">
        <v>103812</v>
      </c>
    </row>
    <row r="2908" spans="1:7" x14ac:dyDescent="0.2">
      <c r="A2908" s="3" t="s">
        <v>1069</v>
      </c>
      <c r="B2908" s="4">
        <v>44985</v>
      </c>
      <c r="C2908" s="3" t="s">
        <v>1180</v>
      </c>
      <c r="D2908" s="3" t="s">
        <v>1197</v>
      </c>
      <c r="E2908" s="3" t="s">
        <v>1198</v>
      </c>
      <c r="F2908" s="3">
        <v>-533351</v>
      </c>
      <c r="G2908" s="3">
        <v>314087</v>
      </c>
    </row>
    <row r="2909" spans="1:7" x14ac:dyDescent="0.2">
      <c r="A2909" s="3" t="s">
        <v>1074</v>
      </c>
      <c r="B2909" s="4">
        <v>44985</v>
      </c>
      <c r="C2909" s="3" t="s">
        <v>1180</v>
      </c>
      <c r="D2909" s="3" t="s">
        <v>1197</v>
      </c>
      <c r="E2909" s="3" t="s">
        <v>1550</v>
      </c>
      <c r="F2909" s="3">
        <v>-374521</v>
      </c>
      <c r="G2909" s="3">
        <v>24400</v>
      </c>
    </row>
    <row r="2910" spans="1:7" x14ac:dyDescent="0.2">
      <c r="A2910" s="3" t="s">
        <v>1069</v>
      </c>
      <c r="B2910" s="4">
        <v>44985</v>
      </c>
      <c r="C2910" s="3" t="s">
        <v>1180</v>
      </c>
      <c r="D2910" s="3" t="s">
        <v>1496</v>
      </c>
      <c r="E2910" s="3" t="s">
        <v>1497</v>
      </c>
      <c r="F2910" s="3">
        <v>0</v>
      </c>
      <c r="G2910" s="3">
        <v>136500</v>
      </c>
    </row>
    <row r="2911" spans="1:7" x14ac:dyDescent="0.2">
      <c r="A2911" s="3" t="s">
        <v>1069</v>
      </c>
      <c r="B2911" s="4">
        <v>44985</v>
      </c>
      <c r="C2911" s="3" t="s">
        <v>1180</v>
      </c>
      <c r="D2911" s="3" t="s">
        <v>1181</v>
      </c>
      <c r="E2911" s="3" t="s">
        <v>1182</v>
      </c>
      <c r="F2911" s="3">
        <v>0</v>
      </c>
      <c r="G2911" s="3">
        <v>8557641.8000000007</v>
      </c>
    </row>
    <row r="2912" spans="1:7" x14ac:dyDescent="0.2">
      <c r="A2912" s="3" t="s">
        <v>1069</v>
      </c>
      <c r="B2912" s="4">
        <v>44985</v>
      </c>
      <c r="C2912" s="3" t="s">
        <v>1180</v>
      </c>
      <c r="D2912" s="3" t="s">
        <v>1263</v>
      </c>
      <c r="E2912" s="3" t="s">
        <v>1264</v>
      </c>
      <c r="F2912" s="3">
        <v>0</v>
      </c>
      <c r="G2912" s="3">
        <v>13807.78</v>
      </c>
    </row>
    <row r="2913" spans="1:7" x14ac:dyDescent="0.2">
      <c r="A2913" s="3" t="s">
        <v>1069</v>
      </c>
      <c r="B2913" s="4">
        <v>44985</v>
      </c>
      <c r="C2913" s="3" t="s">
        <v>1180</v>
      </c>
      <c r="D2913" s="3" t="s">
        <v>1202</v>
      </c>
      <c r="E2913" s="3" t="s">
        <v>1203</v>
      </c>
      <c r="F2913" s="3">
        <v>41437</v>
      </c>
      <c r="G2913" s="3">
        <v>193560.09</v>
      </c>
    </row>
    <row r="2914" spans="1:7" x14ac:dyDescent="0.2">
      <c r="A2914" s="3" t="s">
        <v>1074</v>
      </c>
      <c r="B2914" s="4">
        <v>44985</v>
      </c>
      <c r="C2914" s="3" t="s">
        <v>1180</v>
      </c>
      <c r="D2914" s="3" t="s">
        <v>1202</v>
      </c>
      <c r="E2914" s="3" t="s">
        <v>1577</v>
      </c>
      <c r="F2914" s="3">
        <v>3700</v>
      </c>
      <c r="G2914" s="3">
        <v>19185</v>
      </c>
    </row>
    <row r="2915" spans="1:7" x14ac:dyDescent="0.2">
      <c r="A2915" s="3" t="s">
        <v>1069</v>
      </c>
      <c r="B2915" s="4">
        <v>44985</v>
      </c>
      <c r="C2915" s="3" t="s">
        <v>1180</v>
      </c>
      <c r="D2915" s="3" t="s">
        <v>1204</v>
      </c>
      <c r="E2915" s="3" t="s">
        <v>1205</v>
      </c>
      <c r="F2915" s="3">
        <v>0</v>
      </c>
      <c r="G2915" s="3">
        <v>7500</v>
      </c>
    </row>
    <row r="2916" spans="1:7" x14ac:dyDescent="0.2">
      <c r="A2916" s="3" t="s">
        <v>1069</v>
      </c>
      <c r="B2916" s="4">
        <v>44985</v>
      </c>
      <c r="C2916" s="3" t="s">
        <v>1180</v>
      </c>
      <c r="D2916" s="3" t="s">
        <v>1199</v>
      </c>
      <c r="E2916" s="3" t="s">
        <v>1200</v>
      </c>
      <c r="F2916" s="3">
        <v>0</v>
      </c>
      <c r="G2916" s="3">
        <v>67400</v>
      </c>
    </row>
    <row r="2917" spans="1:7" x14ac:dyDescent="0.2">
      <c r="A2917" s="3" t="s">
        <v>1069</v>
      </c>
      <c r="B2917" s="4">
        <v>44985</v>
      </c>
      <c r="C2917" s="3" t="s">
        <v>1180</v>
      </c>
      <c r="D2917" s="3" t="s">
        <v>1486</v>
      </c>
      <c r="E2917" s="3" t="s">
        <v>1487</v>
      </c>
      <c r="F2917" s="3">
        <v>0</v>
      </c>
      <c r="G2917" s="3">
        <v>20600</v>
      </c>
    </row>
    <row r="2918" spans="1:7" x14ac:dyDescent="0.2">
      <c r="A2918" s="3" t="s">
        <v>1069</v>
      </c>
      <c r="B2918" s="4">
        <v>44985</v>
      </c>
      <c r="C2918" s="3" t="s">
        <v>1180</v>
      </c>
      <c r="D2918" s="3" t="s">
        <v>1220</v>
      </c>
      <c r="E2918" s="3" t="s">
        <v>1221</v>
      </c>
      <c r="F2918" s="3">
        <v>0</v>
      </c>
      <c r="G2918" s="3">
        <v>15175</v>
      </c>
    </row>
    <row r="2919" spans="1:7" x14ac:dyDescent="0.2">
      <c r="A2919" s="3" t="s">
        <v>1069</v>
      </c>
      <c r="B2919" s="4">
        <v>44985</v>
      </c>
      <c r="C2919" s="3" t="s">
        <v>1180</v>
      </c>
      <c r="D2919" s="3" t="s">
        <v>1498</v>
      </c>
      <c r="E2919" s="3" t="s">
        <v>1499</v>
      </c>
      <c r="F2919" s="3">
        <v>0</v>
      </c>
      <c r="G2919" s="3">
        <v>570856.07999999996</v>
      </c>
    </row>
    <row r="2920" spans="1:7" x14ac:dyDescent="0.2">
      <c r="A2920" s="3" t="s">
        <v>1069</v>
      </c>
      <c r="B2920" s="4">
        <v>44985</v>
      </c>
      <c r="C2920" s="3" t="s">
        <v>1180</v>
      </c>
      <c r="D2920" s="3" t="s">
        <v>1183</v>
      </c>
      <c r="E2920" s="3" t="s">
        <v>1184</v>
      </c>
      <c r="F2920" s="3">
        <v>-440601.59</v>
      </c>
      <c r="G2920" s="3">
        <v>47748851.509999998</v>
      </c>
    </row>
    <row r="2921" spans="1:7" x14ac:dyDescent="0.2">
      <c r="A2921" s="3" t="s">
        <v>1074</v>
      </c>
      <c r="B2921" s="4">
        <v>44985</v>
      </c>
      <c r="C2921" s="3" t="s">
        <v>1180</v>
      </c>
      <c r="D2921" s="3" t="s">
        <v>1183</v>
      </c>
      <c r="E2921" s="3" t="s">
        <v>1631</v>
      </c>
      <c r="F2921" s="3">
        <v>4443649.8</v>
      </c>
      <c r="G2921" s="3">
        <v>6423649.7999999998</v>
      </c>
    </row>
    <row r="2922" spans="1:7" x14ac:dyDescent="0.2">
      <c r="A2922" s="3" t="s">
        <v>1069</v>
      </c>
      <c r="B2922" s="4">
        <v>44985</v>
      </c>
      <c r="C2922" s="3" t="s">
        <v>1180</v>
      </c>
      <c r="D2922" s="3" t="s">
        <v>1222</v>
      </c>
      <c r="E2922" s="3" t="s">
        <v>1223</v>
      </c>
      <c r="F2922" s="3">
        <v>173913.04</v>
      </c>
      <c r="G2922" s="3">
        <v>3850818.04</v>
      </c>
    </row>
    <row r="2923" spans="1:7" x14ac:dyDescent="0.2">
      <c r="A2923" s="3" t="s">
        <v>1069</v>
      </c>
      <c r="B2923" s="4">
        <v>44985</v>
      </c>
      <c r="C2923" s="3" t="s">
        <v>1180</v>
      </c>
      <c r="D2923" s="3" t="s">
        <v>1235</v>
      </c>
      <c r="E2923" s="3" t="s">
        <v>1236</v>
      </c>
      <c r="F2923" s="3">
        <v>0</v>
      </c>
      <c r="G2923" s="3">
        <v>782608.07</v>
      </c>
    </row>
    <row r="2924" spans="1:7" x14ac:dyDescent="0.2">
      <c r="A2924" s="3" t="s">
        <v>1069</v>
      </c>
      <c r="B2924" s="4">
        <v>44985</v>
      </c>
      <c r="C2924" s="3" t="s">
        <v>1180</v>
      </c>
      <c r="D2924" s="3" t="s">
        <v>1206</v>
      </c>
      <c r="E2924" s="3" t="s">
        <v>1207</v>
      </c>
      <c r="F2924" s="3">
        <v>0</v>
      </c>
      <c r="G2924" s="3">
        <v>166550</v>
      </c>
    </row>
    <row r="2925" spans="1:7" x14ac:dyDescent="0.2">
      <c r="A2925" s="3" t="s">
        <v>1069</v>
      </c>
      <c r="B2925" s="4">
        <v>44985</v>
      </c>
      <c r="C2925" s="3" t="s">
        <v>1180</v>
      </c>
      <c r="D2925" s="3" t="s">
        <v>1208</v>
      </c>
      <c r="E2925" s="3" t="s">
        <v>1209</v>
      </c>
      <c r="F2925" s="3">
        <v>0</v>
      </c>
      <c r="G2925" s="3">
        <v>45000</v>
      </c>
    </row>
    <row r="2926" spans="1:7" x14ac:dyDescent="0.2">
      <c r="A2926" s="3" t="s">
        <v>1069</v>
      </c>
      <c r="B2926" s="4">
        <v>44985</v>
      </c>
      <c r="C2926" s="3" t="s">
        <v>1180</v>
      </c>
      <c r="D2926" s="3" t="s">
        <v>1259</v>
      </c>
      <c r="E2926" s="3" t="s">
        <v>1260</v>
      </c>
      <c r="F2926" s="3">
        <v>0</v>
      </c>
      <c r="G2926" s="3">
        <v>125000</v>
      </c>
    </row>
    <row r="2927" spans="1:7" x14ac:dyDescent="0.2">
      <c r="A2927" s="3" t="s">
        <v>1074</v>
      </c>
      <c r="B2927" s="4">
        <v>44985</v>
      </c>
      <c r="C2927" s="3" t="s">
        <v>1180</v>
      </c>
      <c r="D2927" s="3" t="s">
        <v>1578</v>
      </c>
      <c r="E2927" s="3" t="s">
        <v>1579</v>
      </c>
      <c r="F2927" s="3">
        <v>0</v>
      </c>
      <c r="G2927" s="3">
        <v>66190.11</v>
      </c>
    </row>
    <row r="2928" spans="1:7" x14ac:dyDescent="0.2">
      <c r="A2928" s="3" t="s">
        <v>1069</v>
      </c>
      <c r="B2928" s="4">
        <v>44985</v>
      </c>
      <c r="C2928" s="3" t="s">
        <v>1180</v>
      </c>
      <c r="D2928" s="3" t="s">
        <v>1265</v>
      </c>
      <c r="E2928" s="3" t="s">
        <v>1266</v>
      </c>
      <c r="F2928" s="3">
        <v>0</v>
      </c>
      <c r="G2928" s="3">
        <v>1021325.63</v>
      </c>
    </row>
    <row r="2929" spans="1:7" x14ac:dyDescent="0.2">
      <c r="A2929" s="3" t="s">
        <v>1074</v>
      </c>
      <c r="B2929" s="4">
        <v>44985</v>
      </c>
      <c r="C2929" s="3" t="s">
        <v>1180</v>
      </c>
      <c r="D2929" s="3" t="s">
        <v>1265</v>
      </c>
      <c r="E2929" s="3" t="s">
        <v>1518</v>
      </c>
      <c r="F2929" s="3">
        <v>35034</v>
      </c>
      <c r="G2929" s="3">
        <v>1313735.8400000001</v>
      </c>
    </row>
    <row r="2930" spans="1:7" x14ac:dyDescent="0.2">
      <c r="A2930" s="3" t="s">
        <v>1069</v>
      </c>
      <c r="B2930" s="4">
        <v>44985</v>
      </c>
      <c r="C2930" s="3" t="s">
        <v>1180</v>
      </c>
      <c r="D2930" s="3" t="s">
        <v>1423</v>
      </c>
      <c r="E2930" s="3" t="s">
        <v>1424</v>
      </c>
      <c r="F2930" s="3">
        <v>0</v>
      </c>
      <c r="G2930" s="3">
        <v>622274.51</v>
      </c>
    </row>
    <row r="2931" spans="1:7" x14ac:dyDescent="0.2">
      <c r="A2931" s="3" t="s">
        <v>1074</v>
      </c>
      <c r="B2931" s="4">
        <v>44985</v>
      </c>
      <c r="C2931" s="3" t="s">
        <v>1180</v>
      </c>
      <c r="D2931" s="3" t="s">
        <v>1519</v>
      </c>
      <c r="E2931" s="3" t="s">
        <v>1551</v>
      </c>
      <c r="F2931" s="3">
        <v>11500</v>
      </c>
      <c r="G2931" s="3">
        <v>30280</v>
      </c>
    </row>
    <row r="2932" spans="1:7" x14ac:dyDescent="0.2">
      <c r="A2932" s="3" t="s">
        <v>1069</v>
      </c>
      <c r="B2932" s="4">
        <v>44985</v>
      </c>
      <c r="C2932" s="3" t="s">
        <v>1180</v>
      </c>
      <c r="D2932" s="3" t="s">
        <v>1519</v>
      </c>
      <c r="E2932" s="3" t="s">
        <v>1520</v>
      </c>
      <c r="F2932" s="3">
        <v>0</v>
      </c>
      <c r="G2932" s="3">
        <v>985049.68</v>
      </c>
    </row>
    <row r="2933" spans="1:7" x14ac:dyDescent="0.2">
      <c r="A2933" s="3" t="s">
        <v>1074</v>
      </c>
      <c r="B2933" s="4">
        <v>44985</v>
      </c>
      <c r="C2933" s="3" t="s">
        <v>1180</v>
      </c>
      <c r="D2933" s="3" t="s">
        <v>1521</v>
      </c>
      <c r="E2933" s="3" t="s">
        <v>1522</v>
      </c>
      <c r="F2933" s="3">
        <v>1400</v>
      </c>
      <c r="G2933" s="3">
        <v>14600</v>
      </c>
    </row>
    <row r="2934" spans="1:7" x14ac:dyDescent="0.2">
      <c r="A2934" s="3" t="s">
        <v>1074</v>
      </c>
      <c r="B2934" s="4">
        <v>44985</v>
      </c>
      <c r="C2934" s="3" t="s">
        <v>1180</v>
      </c>
      <c r="D2934" s="3" t="s">
        <v>1534</v>
      </c>
      <c r="E2934" s="3" t="s">
        <v>1535</v>
      </c>
      <c r="F2934" s="3">
        <v>217391.3</v>
      </c>
      <c r="G2934" s="3">
        <v>684782.6</v>
      </c>
    </row>
    <row r="2935" spans="1:7" x14ac:dyDescent="0.2">
      <c r="A2935" s="3" t="s">
        <v>1074</v>
      </c>
      <c r="B2935" s="4">
        <v>44985</v>
      </c>
      <c r="C2935" s="3" t="s">
        <v>1180</v>
      </c>
      <c r="D2935" s="3" t="s">
        <v>1610</v>
      </c>
      <c r="E2935" s="3" t="s">
        <v>1611</v>
      </c>
      <c r="F2935" s="3">
        <v>57803.5</v>
      </c>
      <c r="G2935" s="3">
        <v>870391.34</v>
      </c>
    </row>
    <row r="2936" spans="1:7" x14ac:dyDescent="0.2">
      <c r="A2936" s="3" t="s">
        <v>1074</v>
      </c>
      <c r="B2936" s="4">
        <v>44985</v>
      </c>
      <c r="C2936" s="3" t="s">
        <v>1180</v>
      </c>
      <c r="D2936" s="3" t="s">
        <v>1653</v>
      </c>
      <c r="E2936" s="3" t="s">
        <v>1654</v>
      </c>
      <c r="F2936" s="3">
        <v>40654.629999999997</v>
      </c>
      <c r="G2936" s="3">
        <v>40654.629999999997</v>
      </c>
    </row>
    <row r="2937" spans="1:7" x14ac:dyDescent="0.2">
      <c r="A2937" s="3" t="s">
        <v>1069</v>
      </c>
      <c r="B2937" s="4">
        <v>44985</v>
      </c>
      <c r="C2937" s="3" t="s">
        <v>1180</v>
      </c>
      <c r="D2937" s="3" t="s">
        <v>1529</v>
      </c>
      <c r="E2937" s="3" t="s">
        <v>1530</v>
      </c>
      <c r="F2937" s="3">
        <v>-3023829.42</v>
      </c>
      <c r="G2937" s="3">
        <v>0</v>
      </c>
    </row>
    <row r="2938" spans="1:7" x14ac:dyDescent="0.2">
      <c r="A2938" s="3" t="s">
        <v>1069</v>
      </c>
      <c r="B2938" s="4">
        <v>44985</v>
      </c>
      <c r="C2938" s="3" t="s">
        <v>1180</v>
      </c>
      <c r="D2938" s="3" t="s">
        <v>1536</v>
      </c>
      <c r="E2938" s="3" t="s">
        <v>1537</v>
      </c>
      <c r="F2938" s="3">
        <v>0</v>
      </c>
      <c r="G2938" s="3">
        <v>1250000</v>
      </c>
    </row>
    <row r="2939" spans="1:7" x14ac:dyDescent="0.2">
      <c r="A2939" s="3" t="s">
        <v>1069</v>
      </c>
      <c r="B2939" s="4">
        <v>44985</v>
      </c>
      <c r="C2939" s="3" t="s">
        <v>1180</v>
      </c>
      <c r="D2939" s="3" t="s">
        <v>1655</v>
      </c>
      <c r="E2939" s="3" t="s">
        <v>1656</v>
      </c>
      <c r="F2939" s="3">
        <v>-24427668.440000001</v>
      </c>
      <c r="G2939" s="3">
        <v>-24427668.440000001</v>
      </c>
    </row>
    <row r="2940" spans="1:7" x14ac:dyDescent="0.2">
      <c r="A2940" s="3" t="s">
        <v>1072</v>
      </c>
      <c r="B2940" s="4">
        <v>44985</v>
      </c>
      <c r="C2940" s="3" t="s">
        <v>1180</v>
      </c>
      <c r="D2940" s="3" t="s">
        <v>1425</v>
      </c>
      <c r="E2940" s="3" t="s">
        <v>1426</v>
      </c>
      <c r="F2940" s="3">
        <v>21212.05</v>
      </c>
      <c r="G2940" s="3">
        <v>29600</v>
      </c>
    </row>
    <row r="2941" spans="1:7" x14ac:dyDescent="0.2">
      <c r="A2941" s="3" t="s">
        <v>1072</v>
      </c>
      <c r="B2941" s="4">
        <v>44985</v>
      </c>
      <c r="C2941" s="3" t="s">
        <v>1180</v>
      </c>
      <c r="D2941" s="3" t="s">
        <v>1427</v>
      </c>
      <c r="E2941" s="3" t="s">
        <v>1428</v>
      </c>
      <c r="F2941" s="3">
        <v>1651099.99</v>
      </c>
      <c r="G2941" s="3">
        <v>-326799.40999999997</v>
      </c>
    </row>
    <row r="2942" spans="1:7" x14ac:dyDescent="0.2">
      <c r="A2942" s="3" t="s">
        <v>1069</v>
      </c>
      <c r="B2942" s="4">
        <v>44985</v>
      </c>
      <c r="C2942" s="3" t="s">
        <v>1180</v>
      </c>
      <c r="D2942" s="3" t="s">
        <v>1427</v>
      </c>
      <c r="E2942" s="3" t="s">
        <v>1428</v>
      </c>
      <c r="F2942" s="3">
        <v>674804.86</v>
      </c>
      <c r="G2942" s="3">
        <v>893038.44</v>
      </c>
    </row>
    <row r="2943" spans="1:7" x14ac:dyDescent="0.2">
      <c r="A2943" s="3" t="s">
        <v>1072</v>
      </c>
      <c r="B2943" s="4">
        <v>44985</v>
      </c>
      <c r="C2943" s="3" t="s">
        <v>1180</v>
      </c>
      <c r="D2943" s="3" t="s">
        <v>1429</v>
      </c>
      <c r="E2943" s="3" t="s">
        <v>1430</v>
      </c>
      <c r="F2943" s="3">
        <v>-2719.44</v>
      </c>
      <c r="G2943" s="3">
        <v>2719.43</v>
      </c>
    </row>
    <row r="2944" spans="1:7" x14ac:dyDescent="0.2">
      <c r="A2944" s="3" t="s">
        <v>1069</v>
      </c>
      <c r="B2944" s="4">
        <v>44985</v>
      </c>
      <c r="C2944" s="3" t="s">
        <v>1180</v>
      </c>
      <c r="D2944" s="3" t="s">
        <v>1187</v>
      </c>
      <c r="E2944" s="3" t="s">
        <v>1188</v>
      </c>
      <c r="F2944" s="3">
        <v>718089.19</v>
      </c>
      <c r="G2944" s="3">
        <v>1331141.21</v>
      </c>
    </row>
    <row r="2945" spans="1:7" x14ac:dyDescent="0.2">
      <c r="A2945" s="3" t="s">
        <v>1072</v>
      </c>
      <c r="B2945" s="4">
        <v>44985</v>
      </c>
      <c r="C2945" s="3" t="s">
        <v>1180</v>
      </c>
      <c r="D2945" s="3" t="s">
        <v>1187</v>
      </c>
      <c r="E2945" s="3" t="s">
        <v>1433</v>
      </c>
      <c r="F2945" s="3">
        <v>-32991.360000000001</v>
      </c>
      <c r="G2945" s="3">
        <v>40840.129999999997</v>
      </c>
    </row>
    <row r="2946" spans="1:7" x14ac:dyDescent="0.2">
      <c r="A2946" s="3" t="s">
        <v>1072</v>
      </c>
      <c r="B2946" s="4">
        <v>44985</v>
      </c>
      <c r="C2946" s="3" t="s">
        <v>1180</v>
      </c>
      <c r="D2946" s="3" t="s">
        <v>1435</v>
      </c>
      <c r="E2946" s="3" t="s">
        <v>1436</v>
      </c>
      <c r="F2946" s="3">
        <v>0</v>
      </c>
      <c r="G2946" s="3">
        <v>537.32000000000005</v>
      </c>
    </row>
    <row r="2947" spans="1:7" x14ac:dyDescent="0.2">
      <c r="A2947" s="3" t="s">
        <v>1069</v>
      </c>
      <c r="B2947" s="4">
        <v>44985</v>
      </c>
      <c r="C2947" s="3" t="s">
        <v>1180</v>
      </c>
      <c r="D2947" s="3" t="s">
        <v>1243</v>
      </c>
      <c r="E2947" s="3" t="s">
        <v>1244</v>
      </c>
      <c r="F2947" s="3">
        <v>4.4800000000000004</v>
      </c>
      <c r="G2947" s="3">
        <v>827.72</v>
      </c>
    </row>
    <row r="2948" spans="1:7" x14ac:dyDescent="0.2">
      <c r="A2948" s="3" t="s">
        <v>1069</v>
      </c>
      <c r="B2948" s="4">
        <v>44985</v>
      </c>
      <c r="C2948" s="3" t="s">
        <v>1180</v>
      </c>
      <c r="D2948" s="3" t="s">
        <v>1245</v>
      </c>
      <c r="E2948" s="3" t="s">
        <v>1246</v>
      </c>
      <c r="F2948" s="3">
        <v>4020001.65</v>
      </c>
      <c r="G2948" s="3">
        <v>26616286.5</v>
      </c>
    </row>
    <row r="2949" spans="1:7" x14ac:dyDescent="0.2">
      <c r="A2949" s="3" t="s">
        <v>1072</v>
      </c>
      <c r="B2949" s="4">
        <v>44985</v>
      </c>
      <c r="C2949" s="3" t="s">
        <v>1175</v>
      </c>
      <c r="D2949" s="3" t="s">
        <v>1437</v>
      </c>
      <c r="E2949" s="3" t="s">
        <v>1438</v>
      </c>
      <c r="F2949" s="3">
        <v>-123.42</v>
      </c>
      <c r="G2949" s="3">
        <v>0</v>
      </c>
    </row>
    <row r="2950" spans="1:7" x14ac:dyDescent="0.2">
      <c r="A2950" s="3" t="s">
        <v>1069</v>
      </c>
      <c r="B2950" s="4">
        <v>44985</v>
      </c>
      <c r="C2950" s="3" t="s">
        <v>1175</v>
      </c>
      <c r="D2950" s="3" t="s">
        <v>1437</v>
      </c>
      <c r="E2950" s="3" t="s">
        <v>1438</v>
      </c>
      <c r="F2950" s="3">
        <v>0</v>
      </c>
      <c r="G2950" s="3">
        <v>0.03</v>
      </c>
    </row>
    <row r="2951" spans="1:7" x14ac:dyDescent="0.2">
      <c r="A2951" s="3" t="s">
        <v>1072</v>
      </c>
      <c r="B2951" s="4">
        <v>44985</v>
      </c>
      <c r="C2951" s="3" t="s">
        <v>1175</v>
      </c>
      <c r="D2951" s="3" t="s">
        <v>1191</v>
      </c>
      <c r="E2951" s="3" t="s">
        <v>1192</v>
      </c>
      <c r="F2951" s="3">
        <v>-305043.03999999998</v>
      </c>
      <c r="G2951" s="3">
        <v>-2305727.92</v>
      </c>
    </row>
    <row r="2952" spans="1:7" x14ac:dyDescent="0.2">
      <c r="A2952" s="3" t="s">
        <v>1069</v>
      </c>
      <c r="B2952" s="4">
        <v>44985</v>
      </c>
      <c r="C2952" s="3" t="s">
        <v>1175</v>
      </c>
      <c r="D2952" s="3" t="s">
        <v>1191</v>
      </c>
      <c r="E2952" s="3" t="s">
        <v>1192</v>
      </c>
      <c r="F2952" s="3">
        <v>-2399432.41</v>
      </c>
      <c r="G2952" s="3">
        <v>-116143676.28</v>
      </c>
    </row>
    <row r="2953" spans="1:7" x14ac:dyDescent="0.2">
      <c r="A2953" s="3" t="s">
        <v>1074</v>
      </c>
      <c r="B2953" s="4">
        <v>44985</v>
      </c>
      <c r="C2953" s="3" t="s">
        <v>1175</v>
      </c>
      <c r="D2953" s="3" t="s">
        <v>1191</v>
      </c>
      <c r="E2953" s="3" t="s">
        <v>1192</v>
      </c>
      <c r="F2953" s="3">
        <v>2842292.75</v>
      </c>
      <c r="G2953" s="3">
        <v>-850396.17</v>
      </c>
    </row>
    <row r="2954" spans="1:7" x14ac:dyDescent="0.2">
      <c r="A2954" s="3" t="s">
        <v>1072</v>
      </c>
      <c r="B2954" s="4">
        <v>44985</v>
      </c>
      <c r="C2954" s="3" t="s">
        <v>1175</v>
      </c>
      <c r="D2954" s="3" t="s">
        <v>1488</v>
      </c>
      <c r="E2954" s="3" t="s">
        <v>1489</v>
      </c>
      <c r="F2954" s="3">
        <v>-1186.1300000000001</v>
      </c>
      <c r="G2954" s="3">
        <v>0</v>
      </c>
    </row>
    <row r="2955" spans="1:7" x14ac:dyDescent="0.2">
      <c r="A2955" s="3" t="s">
        <v>1072</v>
      </c>
      <c r="B2955" s="4">
        <v>44985</v>
      </c>
      <c r="C2955" s="3" t="s">
        <v>1175</v>
      </c>
      <c r="D2955" s="3" t="s">
        <v>1439</v>
      </c>
      <c r="E2955" s="3" t="s">
        <v>1440</v>
      </c>
      <c r="F2955" s="3">
        <v>-20758.55</v>
      </c>
      <c r="G2955" s="3">
        <v>0</v>
      </c>
    </row>
    <row r="2956" spans="1:7" x14ac:dyDescent="0.2">
      <c r="A2956" s="3" t="s">
        <v>1072</v>
      </c>
      <c r="B2956" s="4">
        <v>44985</v>
      </c>
      <c r="C2956" s="3" t="s">
        <v>1175</v>
      </c>
      <c r="D2956" s="3" t="s">
        <v>1441</v>
      </c>
      <c r="E2956" s="3" t="s">
        <v>1442</v>
      </c>
      <c r="F2956" s="3">
        <v>7616.94</v>
      </c>
      <c r="G2956" s="3">
        <v>-65658.95</v>
      </c>
    </row>
    <row r="2957" spans="1:7" x14ac:dyDescent="0.2">
      <c r="A2957" s="3" t="s">
        <v>1072</v>
      </c>
      <c r="B2957" s="4">
        <v>44985</v>
      </c>
      <c r="C2957" s="3" t="s">
        <v>1175</v>
      </c>
      <c r="D2957" s="3" t="s">
        <v>1464</v>
      </c>
      <c r="E2957" s="3" t="s">
        <v>1465</v>
      </c>
      <c r="F2957" s="3">
        <v>-6809.25</v>
      </c>
      <c r="G2957" s="3">
        <v>-31776.5</v>
      </c>
    </row>
    <row r="2958" spans="1:7" x14ac:dyDescent="0.2">
      <c r="A2958" s="3" t="s">
        <v>1072</v>
      </c>
      <c r="B2958" s="4">
        <v>44985</v>
      </c>
      <c r="C2958" s="3" t="s">
        <v>1175</v>
      </c>
      <c r="D2958" s="3" t="s">
        <v>1193</v>
      </c>
      <c r="E2958" s="3" t="s">
        <v>1443</v>
      </c>
      <c r="F2958" s="3">
        <v>101890.6</v>
      </c>
      <c r="G2958" s="3">
        <v>-188965.48</v>
      </c>
    </row>
    <row r="2959" spans="1:7" x14ac:dyDescent="0.2">
      <c r="A2959" s="3" t="s">
        <v>1069</v>
      </c>
      <c r="B2959" s="4">
        <v>44985</v>
      </c>
      <c r="C2959" s="3" t="s">
        <v>1175</v>
      </c>
      <c r="D2959" s="3" t="s">
        <v>1193</v>
      </c>
      <c r="E2959" s="3" t="s">
        <v>1194</v>
      </c>
      <c r="F2959" s="3">
        <v>-910312.08</v>
      </c>
      <c r="G2959" s="3">
        <v>-2727540.41</v>
      </c>
    </row>
    <row r="2960" spans="1:7" x14ac:dyDescent="0.2">
      <c r="A2960" s="3" t="s">
        <v>1074</v>
      </c>
      <c r="B2960" s="4">
        <v>44985</v>
      </c>
      <c r="C2960" s="3" t="s">
        <v>1175</v>
      </c>
      <c r="D2960" s="3" t="s">
        <v>1193</v>
      </c>
      <c r="E2960" s="3" t="s">
        <v>1194</v>
      </c>
      <c r="F2960" s="3">
        <v>661381.82999999996</v>
      </c>
      <c r="G2960" s="3">
        <v>1417745.48</v>
      </c>
    </row>
    <row r="2961" spans="1:7" x14ac:dyDescent="0.2">
      <c r="A2961" s="3" t="s">
        <v>1069</v>
      </c>
      <c r="B2961" s="4">
        <v>44985</v>
      </c>
      <c r="C2961" s="3" t="s">
        <v>1175</v>
      </c>
      <c r="D2961" s="3" t="s">
        <v>1657</v>
      </c>
      <c r="E2961" s="3" t="s">
        <v>1658</v>
      </c>
      <c r="F2961" s="3">
        <v>59039.93</v>
      </c>
      <c r="G2961" s="3">
        <v>59039.93</v>
      </c>
    </row>
    <row r="2962" spans="1:7" x14ac:dyDescent="0.2">
      <c r="A2962" s="3" t="s">
        <v>1069</v>
      </c>
      <c r="B2962" s="4">
        <v>44985</v>
      </c>
      <c r="C2962" s="3" t="s">
        <v>1175</v>
      </c>
      <c r="D2962" s="3" t="s">
        <v>1580</v>
      </c>
      <c r="E2962" s="3" t="s">
        <v>1581</v>
      </c>
      <c r="F2962" s="3">
        <v>-74995</v>
      </c>
      <c r="G2962" s="3">
        <v>0</v>
      </c>
    </row>
    <row r="2963" spans="1:7" x14ac:dyDescent="0.2">
      <c r="A2963" s="3" t="s">
        <v>1069</v>
      </c>
      <c r="B2963" s="4">
        <v>44985</v>
      </c>
      <c r="C2963" s="3" t="s">
        <v>1175</v>
      </c>
      <c r="D2963" s="3" t="s">
        <v>1586</v>
      </c>
      <c r="E2963" s="3" t="s">
        <v>1587</v>
      </c>
      <c r="F2963" s="3">
        <v>-76995</v>
      </c>
      <c r="G2963" s="3">
        <v>0</v>
      </c>
    </row>
    <row r="2964" spans="1:7" x14ac:dyDescent="0.2">
      <c r="A2964" s="3" t="s">
        <v>1069</v>
      </c>
      <c r="B2964" s="4">
        <v>44985</v>
      </c>
      <c r="C2964" s="3" t="s">
        <v>1175</v>
      </c>
      <c r="D2964" s="3" t="s">
        <v>1588</v>
      </c>
      <c r="E2964" s="3" t="s">
        <v>1589</v>
      </c>
      <c r="F2964" s="3">
        <v>-77495</v>
      </c>
      <c r="G2964" s="3">
        <v>0</v>
      </c>
    </row>
    <row r="2965" spans="1:7" x14ac:dyDescent="0.2">
      <c r="A2965" s="3" t="s">
        <v>1069</v>
      </c>
      <c r="B2965" s="4">
        <v>44985</v>
      </c>
      <c r="C2965" s="3" t="s">
        <v>1175</v>
      </c>
      <c r="D2965" s="3" t="s">
        <v>1614</v>
      </c>
      <c r="E2965" s="3" t="s">
        <v>1615</v>
      </c>
      <c r="F2965" s="3">
        <v>-69495</v>
      </c>
      <c r="G2965" s="3">
        <v>0</v>
      </c>
    </row>
    <row r="2966" spans="1:7" x14ac:dyDescent="0.2">
      <c r="A2966" s="3" t="s">
        <v>1069</v>
      </c>
      <c r="B2966" s="4">
        <v>44985</v>
      </c>
      <c r="C2966" s="3" t="s">
        <v>1175</v>
      </c>
      <c r="D2966" s="3" t="s">
        <v>1616</v>
      </c>
      <c r="E2966" s="3" t="s">
        <v>1617</v>
      </c>
      <c r="F2966" s="3">
        <v>-77995</v>
      </c>
      <c r="G2966" s="3">
        <v>0</v>
      </c>
    </row>
    <row r="2967" spans="1:7" x14ac:dyDescent="0.2">
      <c r="A2967" s="3" t="s">
        <v>1069</v>
      </c>
      <c r="B2967" s="4">
        <v>44985</v>
      </c>
      <c r="C2967" s="3" t="s">
        <v>1175</v>
      </c>
      <c r="D2967" s="3" t="s">
        <v>1632</v>
      </c>
      <c r="E2967" s="3" t="s">
        <v>1633</v>
      </c>
      <c r="F2967" s="3">
        <v>-20814.5</v>
      </c>
      <c r="G2967" s="3">
        <v>0</v>
      </c>
    </row>
    <row r="2968" spans="1:7" x14ac:dyDescent="0.2">
      <c r="A2968" s="3" t="s">
        <v>1069</v>
      </c>
      <c r="B2968" s="4">
        <v>44985</v>
      </c>
      <c r="C2968" s="3" t="s">
        <v>1175</v>
      </c>
      <c r="D2968" s="3" t="s">
        <v>1634</v>
      </c>
      <c r="E2968" s="3" t="s">
        <v>1635</v>
      </c>
      <c r="F2968" s="3">
        <v>-19408.29</v>
      </c>
      <c r="G2968" s="3">
        <v>0</v>
      </c>
    </row>
    <row r="2969" spans="1:7" x14ac:dyDescent="0.2">
      <c r="A2969" s="3" t="s">
        <v>1069</v>
      </c>
      <c r="B2969" s="4">
        <v>44985</v>
      </c>
      <c r="C2969" s="3" t="s">
        <v>1175</v>
      </c>
      <c r="D2969" s="3" t="s">
        <v>1636</v>
      </c>
      <c r="E2969" s="3" t="s">
        <v>1637</v>
      </c>
      <c r="F2969" s="3">
        <v>-40222.79</v>
      </c>
      <c r="G2969" s="3">
        <v>0</v>
      </c>
    </row>
    <row r="2970" spans="1:7" x14ac:dyDescent="0.2">
      <c r="A2970" s="3" t="s">
        <v>1072</v>
      </c>
      <c r="B2970" s="4">
        <v>44985</v>
      </c>
      <c r="C2970" s="3" t="s">
        <v>1175</v>
      </c>
      <c r="D2970" s="3" t="s">
        <v>1444</v>
      </c>
      <c r="E2970" s="3" t="s">
        <v>1445</v>
      </c>
      <c r="F2970" s="3">
        <v>26160.01</v>
      </c>
      <c r="G2970" s="3">
        <v>28029.81</v>
      </c>
    </row>
    <row r="2971" spans="1:7" x14ac:dyDescent="0.2">
      <c r="A2971" s="3" t="s">
        <v>1072</v>
      </c>
      <c r="B2971" s="4">
        <v>44985</v>
      </c>
      <c r="C2971" s="3" t="s">
        <v>1175</v>
      </c>
      <c r="D2971" s="3" t="s">
        <v>1446</v>
      </c>
      <c r="E2971" s="3" t="s">
        <v>1447</v>
      </c>
      <c r="F2971" s="3">
        <v>0</v>
      </c>
      <c r="G2971" s="3">
        <v>-254.99</v>
      </c>
    </row>
    <row r="2972" spans="1:7" x14ac:dyDescent="0.2">
      <c r="A2972" s="3" t="s">
        <v>1069</v>
      </c>
      <c r="B2972" s="4">
        <v>45016</v>
      </c>
      <c r="C2972" s="3" t="s">
        <v>1210</v>
      </c>
      <c r="D2972" s="3" t="s">
        <v>1552</v>
      </c>
      <c r="E2972" s="3" t="s">
        <v>1553</v>
      </c>
      <c r="F2972" s="3">
        <v>-9197652.1799999997</v>
      </c>
      <c r="G2972" s="3">
        <v>-9197652.1799999997</v>
      </c>
    </row>
    <row r="2973" spans="1:7" x14ac:dyDescent="0.2">
      <c r="A2973" s="3" t="s">
        <v>1069</v>
      </c>
      <c r="B2973" s="4">
        <v>45016</v>
      </c>
      <c r="C2973" s="3" t="s">
        <v>1210</v>
      </c>
      <c r="D2973" s="3" t="s">
        <v>1554</v>
      </c>
      <c r="E2973" s="3" t="s">
        <v>1555</v>
      </c>
      <c r="F2973" s="3">
        <v>-10864.06</v>
      </c>
      <c r="G2973" s="3">
        <v>-10864.06</v>
      </c>
    </row>
    <row r="2974" spans="1:7" x14ac:dyDescent="0.2">
      <c r="A2974" s="3" t="s">
        <v>1072</v>
      </c>
      <c r="B2974" s="4">
        <v>45016</v>
      </c>
      <c r="C2974" s="3" t="s">
        <v>1210</v>
      </c>
      <c r="D2974" s="3" t="s">
        <v>1448</v>
      </c>
      <c r="E2974" s="3" t="s">
        <v>1449</v>
      </c>
      <c r="F2974" s="3">
        <v>-4252624.12</v>
      </c>
      <c r="G2974" s="3">
        <v>-4252624.12</v>
      </c>
    </row>
    <row r="2975" spans="1:7" x14ac:dyDescent="0.2">
      <c r="A2975" s="3" t="s">
        <v>1069</v>
      </c>
      <c r="B2975" s="4">
        <v>45016</v>
      </c>
      <c r="C2975" s="3" t="s">
        <v>1168</v>
      </c>
      <c r="D2975" s="3" t="s">
        <v>1531</v>
      </c>
      <c r="E2975" s="3" t="s">
        <v>1532</v>
      </c>
      <c r="F2975" s="3">
        <v>193858.36</v>
      </c>
      <c r="G2975" s="3">
        <v>193858.36</v>
      </c>
    </row>
    <row r="2976" spans="1:7" x14ac:dyDescent="0.2">
      <c r="A2976" s="3" t="s">
        <v>1069</v>
      </c>
      <c r="B2976" s="4">
        <v>45016</v>
      </c>
      <c r="C2976" s="3" t="s">
        <v>1168</v>
      </c>
      <c r="D2976" s="3" t="s">
        <v>1558</v>
      </c>
      <c r="E2976" s="3" t="s">
        <v>1559</v>
      </c>
      <c r="F2976" s="3">
        <v>465404.34</v>
      </c>
      <c r="G2976" s="3">
        <v>465404.34</v>
      </c>
    </row>
    <row r="2977" spans="1:7" x14ac:dyDescent="0.2">
      <c r="A2977" s="3" t="s">
        <v>1069</v>
      </c>
      <c r="B2977" s="4">
        <v>45016</v>
      </c>
      <c r="C2977" s="3" t="s">
        <v>1168</v>
      </c>
      <c r="D2977" s="3" t="s">
        <v>1659</v>
      </c>
      <c r="E2977" s="3" t="s">
        <v>1660</v>
      </c>
      <c r="F2977" s="3">
        <v>750</v>
      </c>
      <c r="G2977" s="3">
        <v>750</v>
      </c>
    </row>
    <row r="2978" spans="1:7" x14ac:dyDescent="0.2">
      <c r="A2978" s="3" t="s">
        <v>1072</v>
      </c>
      <c r="B2978" s="4">
        <v>45016</v>
      </c>
      <c r="C2978" s="3" t="s">
        <v>1168</v>
      </c>
      <c r="D2978" s="3" t="s">
        <v>1661</v>
      </c>
      <c r="E2978" s="3" t="s">
        <v>1662</v>
      </c>
      <c r="F2978" s="3">
        <v>200</v>
      </c>
      <c r="G2978" s="3">
        <v>200</v>
      </c>
    </row>
    <row r="2979" spans="1:7" x14ac:dyDescent="0.2">
      <c r="A2979" s="3" t="s">
        <v>1072</v>
      </c>
      <c r="B2979" s="4">
        <v>45016</v>
      </c>
      <c r="C2979" s="3" t="s">
        <v>1168</v>
      </c>
      <c r="D2979" s="3" t="s">
        <v>1281</v>
      </c>
      <c r="E2979" s="3" t="s">
        <v>1282</v>
      </c>
      <c r="F2979" s="3">
        <v>191661.47</v>
      </c>
      <c r="G2979" s="3">
        <v>191661.47</v>
      </c>
    </row>
    <row r="2980" spans="1:7" x14ac:dyDescent="0.2">
      <c r="A2980" s="3" t="s">
        <v>1072</v>
      </c>
      <c r="B2980" s="4">
        <v>45016</v>
      </c>
      <c r="C2980" s="3" t="s">
        <v>1168</v>
      </c>
      <c r="D2980" s="3" t="s">
        <v>1283</v>
      </c>
      <c r="E2980" s="3" t="s">
        <v>1284</v>
      </c>
      <c r="F2980" s="3">
        <v>24545.15</v>
      </c>
      <c r="G2980" s="3">
        <v>24545.15</v>
      </c>
    </row>
    <row r="2981" spans="1:7" x14ac:dyDescent="0.2">
      <c r="A2981" s="3" t="s">
        <v>1072</v>
      </c>
      <c r="B2981" s="4">
        <v>45016</v>
      </c>
      <c r="C2981" s="3" t="s">
        <v>1168</v>
      </c>
      <c r="D2981" s="3" t="s">
        <v>1285</v>
      </c>
      <c r="E2981" s="3" t="s">
        <v>1286</v>
      </c>
      <c r="F2981" s="3">
        <v>2719.43</v>
      </c>
      <c r="G2981" s="3">
        <v>2719.43</v>
      </c>
    </row>
    <row r="2982" spans="1:7" x14ac:dyDescent="0.2">
      <c r="A2982" s="3" t="s">
        <v>1072</v>
      </c>
      <c r="B2982" s="4">
        <v>45016</v>
      </c>
      <c r="C2982" s="3" t="s">
        <v>1168</v>
      </c>
      <c r="D2982" s="3" t="s">
        <v>1301</v>
      </c>
      <c r="E2982" s="3" t="s">
        <v>1302</v>
      </c>
      <c r="F2982" s="3">
        <v>760.87</v>
      </c>
      <c r="G2982" s="3">
        <v>760.87</v>
      </c>
    </row>
    <row r="2983" spans="1:7" x14ac:dyDescent="0.2">
      <c r="A2983" s="3" t="s">
        <v>1072</v>
      </c>
      <c r="B2983" s="4">
        <v>45016</v>
      </c>
      <c r="C2983" s="3" t="s">
        <v>1168</v>
      </c>
      <c r="D2983" s="3" t="s">
        <v>1450</v>
      </c>
      <c r="E2983" s="3" t="s">
        <v>1451</v>
      </c>
      <c r="F2983" s="3">
        <v>776649.41</v>
      </c>
      <c r="G2983" s="3">
        <v>776649.41</v>
      </c>
    </row>
    <row r="2984" spans="1:7" x14ac:dyDescent="0.2">
      <c r="A2984" s="3" t="s">
        <v>1072</v>
      </c>
      <c r="B2984" s="4">
        <v>45016</v>
      </c>
      <c r="C2984" s="3" t="s">
        <v>1168</v>
      </c>
      <c r="D2984" s="3" t="s">
        <v>1452</v>
      </c>
      <c r="E2984" s="3" t="s">
        <v>1453</v>
      </c>
      <c r="F2984" s="3">
        <v>59157.63</v>
      </c>
      <c r="G2984" s="3">
        <v>59157.63</v>
      </c>
    </row>
    <row r="2985" spans="1:7" x14ac:dyDescent="0.2">
      <c r="A2985" s="3" t="s">
        <v>1072</v>
      </c>
      <c r="B2985" s="4">
        <v>45016</v>
      </c>
      <c r="C2985" s="3" t="s">
        <v>1168</v>
      </c>
      <c r="D2985" s="3" t="s">
        <v>1468</v>
      </c>
      <c r="E2985" s="3" t="s">
        <v>1469</v>
      </c>
      <c r="F2985" s="3">
        <v>1189.57</v>
      </c>
      <c r="G2985" s="3">
        <v>1189.57</v>
      </c>
    </row>
    <row r="2986" spans="1:7" x14ac:dyDescent="0.2">
      <c r="A2986" s="3" t="s">
        <v>1072</v>
      </c>
      <c r="B2986" s="4">
        <v>45016</v>
      </c>
      <c r="C2986" s="3" t="s">
        <v>1168</v>
      </c>
      <c r="D2986" s="3" t="s">
        <v>1542</v>
      </c>
      <c r="E2986" s="3" t="s">
        <v>1543</v>
      </c>
      <c r="F2986" s="3">
        <v>2483055.52</v>
      </c>
      <c r="G2986" s="3">
        <v>2483055.52</v>
      </c>
    </row>
    <row r="2987" spans="1:7" x14ac:dyDescent="0.2">
      <c r="A2987" s="3" t="s">
        <v>1072</v>
      </c>
      <c r="B2987" s="4">
        <v>45016</v>
      </c>
      <c r="C2987" s="3" t="s">
        <v>1168</v>
      </c>
      <c r="D2987" s="3" t="s">
        <v>1527</v>
      </c>
      <c r="E2987" s="3" t="s">
        <v>1528</v>
      </c>
      <c r="F2987" s="3">
        <v>263223.18</v>
      </c>
      <c r="G2987" s="3">
        <v>263223.18</v>
      </c>
    </row>
    <row r="2988" spans="1:7" x14ac:dyDescent="0.2">
      <c r="A2988" s="3" t="s">
        <v>1072</v>
      </c>
      <c r="B2988" s="4">
        <v>45016</v>
      </c>
      <c r="C2988" s="3" t="s">
        <v>1168</v>
      </c>
      <c r="D2988" s="3" t="s">
        <v>1560</v>
      </c>
      <c r="E2988" s="3" t="s">
        <v>1561</v>
      </c>
      <c r="F2988" s="3">
        <v>17292.48</v>
      </c>
      <c r="G2988" s="3">
        <v>17292.48</v>
      </c>
    </row>
    <row r="2989" spans="1:7" x14ac:dyDescent="0.2">
      <c r="A2989" s="3" t="s">
        <v>1072</v>
      </c>
      <c r="B2989" s="4">
        <v>45016</v>
      </c>
      <c r="C2989" s="3" t="s">
        <v>1210</v>
      </c>
      <c r="D2989" s="3" t="s">
        <v>1509</v>
      </c>
      <c r="E2989" s="3" t="s">
        <v>1510</v>
      </c>
      <c r="F2989" s="3">
        <v>-144.69999999999999</v>
      </c>
      <c r="G2989" s="3">
        <v>-144.69999999999999</v>
      </c>
    </row>
    <row r="2990" spans="1:7" x14ac:dyDescent="0.2">
      <c r="A2990" s="3" t="s">
        <v>1072</v>
      </c>
      <c r="B2990" s="4">
        <v>45016</v>
      </c>
      <c r="C2990" s="3" t="s">
        <v>1210</v>
      </c>
      <c r="D2990" s="3" t="s">
        <v>1323</v>
      </c>
      <c r="E2990" s="3" t="s">
        <v>1324</v>
      </c>
      <c r="F2990" s="3">
        <v>-6.81</v>
      </c>
      <c r="G2990" s="3">
        <v>-6.81</v>
      </c>
    </row>
    <row r="2991" spans="1:7" x14ac:dyDescent="0.2">
      <c r="A2991" s="3" t="s">
        <v>1069</v>
      </c>
      <c r="B2991" s="4">
        <v>45016</v>
      </c>
      <c r="C2991" s="3" t="s">
        <v>1210</v>
      </c>
      <c r="D2991" s="3" t="s">
        <v>1249</v>
      </c>
      <c r="E2991" s="3" t="s">
        <v>1250</v>
      </c>
      <c r="F2991" s="3">
        <v>-224306.87</v>
      </c>
      <c r="G2991" s="3">
        <v>-224306.87</v>
      </c>
    </row>
    <row r="2992" spans="1:7" x14ac:dyDescent="0.2">
      <c r="A2992" s="3" t="s">
        <v>1069</v>
      </c>
      <c r="B2992" s="4">
        <v>45016</v>
      </c>
      <c r="C2992" s="3" t="s">
        <v>1168</v>
      </c>
      <c r="D2992" s="3" t="s">
        <v>1169</v>
      </c>
      <c r="E2992" s="3" t="s">
        <v>1079</v>
      </c>
      <c r="F2992" s="3">
        <v>22554.76</v>
      </c>
      <c r="G2992" s="3">
        <v>22554.76</v>
      </c>
    </row>
    <row r="2993" spans="1:7" x14ac:dyDescent="0.2">
      <c r="A2993" s="3" t="s">
        <v>1074</v>
      </c>
      <c r="B2993" s="4">
        <v>45016</v>
      </c>
      <c r="C2993" s="3" t="s">
        <v>1168</v>
      </c>
      <c r="D2993" s="3" t="s">
        <v>1169</v>
      </c>
      <c r="E2993" s="3" t="s">
        <v>1079</v>
      </c>
      <c r="F2993" s="3">
        <v>24975</v>
      </c>
      <c r="G2993" s="3">
        <v>24975</v>
      </c>
    </row>
    <row r="2994" spans="1:7" x14ac:dyDescent="0.2">
      <c r="A2994" s="3" t="s">
        <v>1072</v>
      </c>
      <c r="B2994" s="4">
        <v>45016</v>
      </c>
      <c r="C2994" s="3" t="s">
        <v>1168</v>
      </c>
      <c r="D2994" s="3" t="s">
        <v>1648</v>
      </c>
      <c r="E2994" s="3" t="s">
        <v>1084</v>
      </c>
      <c r="F2994" s="3">
        <v>295</v>
      </c>
      <c r="G2994" s="3">
        <v>295</v>
      </c>
    </row>
    <row r="2995" spans="1:7" x14ac:dyDescent="0.2">
      <c r="A2995" s="3" t="s">
        <v>1072</v>
      </c>
      <c r="B2995" s="4">
        <v>45016</v>
      </c>
      <c r="C2995" s="3" t="s">
        <v>1168</v>
      </c>
      <c r="D2995" s="3" t="s">
        <v>1339</v>
      </c>
      <c r="E2995" s="3" t="s">
        <v>1087</v>
      </c>
      <c r="F2995" s="3">
        <v>712</v>
      </c>
      <c r="G2995" s="3">
        <v>712</v>
      </c>
    </row>
    <row r="2996" spans="1:7" x14ac:dyDescent="0.2">
      <c r="A2996" s="3" t="s">
        <v>1072</v>
      </c>
      <c r="B2996" s="4">
        <v>45016</v>
      </c>
      <c r="C2996" s="3" t="s">
        <v>1168</v>
      </c>
      <c r="D2996" s="3" t="s">
        <v>1195</v>
      </c>
      <c r="E2996" s="3" t="s">
        <v>1085</v>
      </c>
      <c r="F2996" s="3">
        <v>1931.46</v>
      </c>
      <c r="G2996" s="3">
        <v>1931.46</v>
      </c>
    </row>
    <row r="2997" spans="1:7" x14ac:dyDescent="0.2">
      <c r="A2997" s="3" t="s">
        <v>1069</v>
      </c>
      <c r="B2997" s="4">
        <v>45016</v>
      </c>
      <c r="C2997" s="3" t="s">
        <v>1168</v>
      </c>
      <c r="D2997" s="3" t="s">
        <v>1195</v>
      </c>
      <c r="E2997" s="3" t="s">
        <v>1085</v>
      </c>
      <c r="F2997" s="3">
        <v>582.98</v>
      </c>
      <c r="G2997" s="3">
        <v>582.98</v>
      </c>
    </row>
    <row r="2998" spans="1:7" x14ac:dyDescent="0.2">
      <c r="A2998" s="3" t="s">
        <v>1072</v>
      </c>
      <c r="B2998" s="4">
        <v>45016</v>
      </c>
      <c r="C2998" s="3" t="s">
        <v>1168</v>
      </c>
      <c r="D2998" s="3" t="s">
        <v>1340</v>
      </c>
      <c r="E2998" s="3" t="s">
        <v>1141</v>
      </c>
      <c r="F2998" s="3">
        <v>355.4</v>
      </c>
      <c r="G2998" s="3">
        <v>355.4</v>
      </c>
    </row>
    <row r="2999" spans="1:7" x14ac:dyDescent="0.2">
      <c r="A2999" s="3" t="s">
        <v>1072</v>
      </c>
      <c r="B2999" s="4">
        <v>45016</v>
      </c>
      <c r="C2999" s="3" t="s">
        <v>1168</v>
      </c>
      <c r="D2999" s="3" t="s">
        <v>1342</v>
      </c>
      <c r="E2999" s="3" t="s">
        <v>1080</v>
      </c>
      <c r="F2999" s="3">
        <v>1604.52</v>
      </c>
      <c r="G2999" s="3">
        <v>1604.52</v>
      </c>
    </row>
    <row r="3000" spans="1:7" x14ac:dyDescent="0.2">
      <c r="A3000" s="3" t="s">
        <v>1072</v>
      </c>
      <c r="B3000" s="4">
        <v>45016</v>
      </c>
      <c r="C3000" s="3" t="s">
        <v>1168</v>
      </c>
      <c r="D3000" s="3" t="s">
        <v>1504</v>
      </c>
      <c r="E3000" s="3" t="s">
        <v>1142</v>
      </c>
      <c r="F3000" s="3">
        <v>5177</v>
      </c>
      <c r="G3000" s="3">
        <v>5177</v>
      </c>
    </row>
    <row r="3001" spans="1:7" x14ac:dyDescent="0.2">
      <c r="A3001" s="3" t="s">
        <v>1069</v>
      </c>
      <c r="B3001" s="4">
        <v>45016</v>
      </c>
      <c r="C3001" s="3" t="s">
        <v>1168</v>
      </c>
      <c r="D3001" s="3" t="s">
        <v>1251</v>
      </c>
      <c r="E3001" s="3" t="s">
        <v>1095</v>
      </c>
      <c r="F3001" s="3">
        <v>109218.57</v>
      </c>
      <c r="G3001" s="3">
        <v>109218.57</v>
      </c>
    </row>
    <row r="3002" spans="1:7" x14ac:dyDescent="0.2">
      <c r="A3002" s="3" t="s">
        <v>1072</v>
      </c>
      <c r="B3002" s="4">
        <v>45016</v>
      </c>
      <c r="C3002" s="3" t="s">
        <v>1168</v>
      </c>
      <c r="D3002" s="3" t="s">
        <v>1348</v>
      </c>
      <c r="E3002" s="3" t="s">
        <v>1095</v>
      </c>
      <c r="F3002" s="3">
        <v>144016.70000000001</v>
      </c>
      <c r="G3002" s="3">
        <v>144016.70000000001</v>
      </c>
    </row>
    <row r="3003" spans="1:7" x14ac:dyDescent="0.2">
      <c r="A3003" s="3" t="s">
        <v>1072</v>
      </c>
      <c r="B3003" s="4">
        <v>45016</v>
      </c>
      <c r="C3003" s="3" t="s">
        <v>1168</v>
      </c>
      <c r="D3003" s="3" t="s">
        <v>1350</v>
      </c>
      <c r="E3003" s="3" t="s">
        <v>1115</v>
      </c>
      <c r="F3003" s="3">
        <v>3323.91</v>
      </c>
      <c r="G3003" s="3">
        <v>3323.91</v>
      </c>
    </row>
    <row r="3004" spans="1:7" x14ac:dyDescent="0.2">
      <c r="A3004" s="3" t="s">
        <v>1072</v>
      </c>
      <c r="B3004" s="4">
        <v>45016</v>
      </c>
      <c r="C3004" s="3" t="s">
        <v>1168</v>
      </c>
      <c r="D3004" s="3" t="s">
        <v>1351</v>
      </c>
      <c r="E3004" s="3" t="s">
        <v>1096</v>
      </c>
      <c r="F3004" s="3">
        <v>193.33</v>
      </c>
      <c r="G3004" s="3">
        <v>193.33</v>
      </c>
    </row>
    <row r="3005" spans="1:7" x14ac:dyDescent="0.2">
      <c r="A3005" s="3" t="s">
        <v>1072</v>
      </c>
      <c r="B3005" s="4">
        <v>45016</v>
      </c>
      <c r="C3005" s="3" t="s">
        <v>1168</v>
      </c>
      <c r="D3005" s="3" t="s">
        <v>1474</v>
      </c>
      <c r="E3005" s="3" t="s">
        <v>1114</v>
      </c>
      <c r="F3005" s="3">
        <v>547.67999999999995</v>
      </c>
      <c r="G3005" s="3">
        <v>547.67999999999995</v>
      </c>
    </row>
    <row r="3006" spans="1:7" x14ac:dyDescent="0.2">
      <c r="A3006" s="3" t="s">
        <v>1069</v>
      </c>
      <c r="B3006" s="4">
        <v>45016</v>
      </c>
      <c r="C3006" s="3" t="s">
        <v>1168</v>
      </c>
      <c r="D3006" s="3" t="s">
        <v>1229</v>
      </c>
      <c r="E3006" s="3" t="s">
        <v>1136</v>
      </c>
      <c r="F3006" s="3">
        <v>11216.13</v>
      </c>
      <c r="G3006" s="3">
        <v>11216.13</v>
      </c>
    </row>
    <row r="3007" spans="1:7" x14ac:dyDescent="0.2">
      <c r="A3007" s="3" t="s">
        <v>1072</v>
      </c>
      <c r="B3007" s="4">
        <v>45016</v>
      </c>
      <c r="C3007" s="3" t="s">
        <v>1168</v>
      </c>
      <c r="D3007" s="3" t="s">
        <v>1229</v>
      </c>
      <c r="E3007" s="3" t="s">
        <v>1106</v>
      </c>
      <c r="F3007" s="3">
        <v>7428.07</v>
      </c>
      <c r="G3007" s="3">
        <v>7428.07</v>
      </c>
    </row>
    <row r="3008" spans="1:7" x14ac:dyDescent="0.2">
      <c r="A3008" s="3" t="s">
        <v>1069</v>
      </c>
      <c r="B3008" s="4">
        <v>45016</v>
      </c>
      <c r="C3008" s="3" t="s">
        <v>1168</v>
      </c>
      <c r="D3008" s="3" t="s">
        <v>1230</v>
      </c>
      <c r="E3008" s="3" t="s">
        <v>1109</v>
      </c>
      <c r="F3008" s="3">
        <v>39349.03</v>
      </c>
      <c r="G3008" s="3">
        <v>39349.03</v>
      </c>
    </row>
    <row r="3009" spans="1:7" x14ac:dyDescent="0.2">
      <c r="A3009" s="3" t="s">
        <v>1069</v>
      </c>
      <c r="B3009" s="4">
        <v>45016</v>
      </c>
      <c r="C3009" s="3" t="s">
        <v>1168</v>
      </c>
      <c r="D3009" s="3" t="s">
        <v>1564</v>
      </c>
      <c r="E3009" s="3" t="s">
        <v>1101</v>
      </c>
      <c r="F3009" s="3">
        <v>10690.2</v>
      </c>
      <c r="G3009" s="3">
        <v>10690.2</v>
      </c>
    </row>
    <row r="3010" spans="1:7" x14ac:dyDescent="0.2">
      <c r="A3010" s="3" t="s">
        <v>1069</v>
      </c>
      <c r="B3010" s="4">
        <v>45016</v>
      </c>
      <c r="C3010" s="3" t="s">
        <v>1168</v>
      </c>
      <c r="D3010" s="3" t="s">
        <v>1663</v>
      </c>
      <c r="E3010" s="3" t="s">
        <v>1082</v>
      </c>
      <c r="F3010" s="3">
        <v>199.99</v>
      </c>
      <c r="G3010" s="3">
        <v>199.99</v>
      </c>
    </row>
    <row r="3011" spans="1:7" x14ac:dyDescent="0.2">
      <c r="A3011" s="3" t="s">
        <v>1072</v>
      </c>
      <c r="B3011" s="4">
        <v>45016</v>
      </c>
      <c r="C3011" s="3" t="s">
        <v>1168</v>
      </c>
      <c r="D3011" s="3" t="s">
        <v>1354</v>
      </c>
      <c r="E3011" s="3" t="s">
        <v>1078</v>
      </c>
      <c r="F3011" s="3">
        <v>1458.74</v>
      </c>
      <c r="G3011" s="3">
        <v>1458.74</v>
      </c>
    </row>
    <row r="3012" spans="1:7" x14ac:dyDescent="0.2">
      <c r="A3012" s="3" t="s">
        <v>1069</v>
      </c>
      <c r="B3012" s="4">
        <v>45016</v>
      </c>
      <c r="C3012" s="3" t="s">
        <v>1168</v>
      </c>
      <c r="D3012" s="3" t="s">
        <v>1456</v>
      </c>
      <c r="E3012" s="3" t="s">
        <v>1457</v>
      </c>
      <c r="F3012" s="3">
        <v>181.67</v>
      </c>
      <c r="G3012" s="3">
        <v>181.67</v>
      </c>
    </row>
    <row r="3013" spans="1:7" x14ac:dyDescent="0.2">
      <c r="A3013" s="3" t="s">
        <v>1069</v>
      </c>
      <c r="B3013" s="4">
        <v>45016</v>
      </c>
      <c r="C3013" s="3" t="s">
        <v>1168</v>
      </c>
      <c r="D3013" s="3" t="s">
        <v>1565</v>
      </c>
      <c r="E3013" s="3" t="s">
        <v>1566</v>
      </c>
      <c r="F3013" s="3">
        <v>63203.46</v>
      </c>
      <c r="G3013" s="3">
        <v>63203.46</v>
      </c>
    </row>
    <row r="3014" spans="1:7" x14ac:dyDescent="0.2">
      <c r="A3014" s="3" t="s">
        <v>1069</v>
      </c>
      <c r="B3014" s="4">
        <v>45016</v>
      </c>
      <c r="C3014" s="3" t="s">
        <v>1168</v>
      </c>
      <c r="D3014" s="3" t="s">
        <v>1567</v>
      </c>
      <c r="E3014" s="3" t="s">
        <v>1568</v>
      </c>
      <c r="F3014" s="3">
        <v>3561.64</v>
      </c>
      <c r="G3014" s="3">
        <v>3561.64</v>
      </c>
    </row>
    <row r="3015" spans="1:7" x14ac:dyDescent="0.2">
      <c r="A3015" s="3" t="s">
        <v>1069</v>
      </c>
      <c r="B3015" s="4">
        <v>45016</v>
      </c>
      <c r="C3015" s="3" t="s">
        <v>1168</v>
      </c>
      <c r="D3015" s="3" t="s">
        <v>1571</v>
      </c>
      <c r="E3015" s="3" t="s">
        <v>1572</v>
      </c>
      <c r="F3015" s="3">
        <v>40376.71</v>
      </c>
      <c r="G3015" s="3">
        <v>40376.71</v>
      </c>
    </row>
    <row r="3016" spans="1:7" x14ac:dyDescent="0.2">
      <c r="A3016" s="3" t="s">
        <v>1069</v>
      </c>
      <c r="B3016" s="4">
        <v>45016</v>
      </c>
      <c r="C3016" s="3" t="s">
        <v>1168</v>
      </c>
      <c r="D3016" s="3" t="s">
        <v>1573</v>
      </c>
      <c r="E3016" s="3" t="s">
        <v>1574</v>
      </c>
      <c r="F3016" s="3">
        <v>133335.60999999999</v>
      </c>
      <c r="G3016" s="3">
        <v>133335.60999999999</v>
      </c>
    </row>
    <row r="3017" spans="1:7" x14ac:dyDescent="0.2">
      <c r="A3017" s="3" t="s">
        <v>1069</v>
      </c>
      <c r="B3017" s="4">
        <v>45016</v>
      </c>
      <c r="C3017" s="3" t="s">
        <v>1168</v>
      </c>
      <c r="D3017" s="3" t="s">
        <v>1575</v>
      </c>
      <c r="E3017" s="3" t="s">
        <v>1576</v>
      </c>
      <c r="F3017" s="3">
        <v>1115603.3</v>
      </c>
      <c r="G3017" s="3">
        <v>1115603.3</v>
      </c>
    </row>
    <row r="3018" spans="1:7" x14ac:dyDescent="0.2">
      <c r="A3018" s="3" t="s">
        <v>1069</v>
      </c>
      <c r="B3018" s="4">
        <v>45016</v>
      </c>
      <c r="C3018" s="3" t="s">
        <v>1168</v>
      </c>
      <c r="D3018" s="3" t="s">
        <v>1253</v>
      </c>
      <c r="E3018" s="3" t="s">
        <v>1103</v>
      </c>
      <c r="F3018" s="3">
        <v>5169.95</v>
      </c>
      <c r="G3018" s="3">
        <v>5169.95</v>
      </c>
    </row>
    <row r="3019" spans="1:7" x14ac:dyDescent="0.2">
      <c r="A3019" s="3" t="s">
        <v>1072</v>
      </c>
      <c r="B3019" s="4">
        <v>45016</v>
      </c>
      <c r="C3019" s="3" t="s">
        <v>1168</v>
      </c>
      <c r="D3019" s="3" t="s">
        <v>1357</v>
      </c>
      <c r="E3019" s="3" t="s">
        <v>1157</v>
      </c>
      <c r="F3019" s="3">
        <v>5589.51</v>
      </c>
      <c r="G3019" s="3">
        <v>5589.51</v>
      </c>
    </row>
    <row r="3020" spans="1:7" x14ac:dyDescent="0.2">
      <c r="A3020" s="3" t="s">
        <v>1072</v>
      </c>
      <c r="B3020" s="4">
        <v>45016</v>
      </c>
      <c r="C3020" s="3" t="s">
        <v>1168</v>
      </c>
      <c r="D3020" s="3" t="s">
        <v>1201</v>
      </c>
      <c r="E3020" s="3" t="s">
        <v>1112</v>
      </c>
      <c r="F3020" s="3">
        <v>2299.13</v>
      </c>
      <c r="G3020" s="3">
        <v>2299.13</v>
      </c>
    </row>
    <row r="3021" spans="1:7" x14ac:dyDescent="0.2">
      <c r="A3021" s="3" t="s">
        <v>1072</v>
      </c>
      <c r="B3021" s="4">
        <v>45016</v>
      </c>
      <c r="C3021" s="3" t="s">
        <v>1168</v>
      </c>
      <c r="D3021" s="3" t="s">
        <v>1360</v>
      </c>
      <c r="E3021" s="3" t="s">
        <v>1098</v>
      </c>
      <c r="F3021" s="3">
        <v>1375.3</v>
      </c>
      <c r="G3021" s="3">
        <v>1375.3</v>
      </c>
    </row>
    <row r="3022" spans="1:7" x14ac:dyDescent="0.2">
      <c r="A3022" s="3" t="s">
        <v>1072</v>
      </c>
      <c r="B3022" s="4">
        <v>45016</v>
      </c>
      <c r="C3022" s="3" t="s">
        <v>1168</v>
      </c>
      <c r="D3022" s="3" t="s">
        <v>1361</v>
      </c>
      <c r="E3022" s="3" t="s">
        <v>1121</v>
      </c>
      <c r="F3022" s="3">
        <v>29600</v>
      </c>
      <c r="G3022" s="3">
        <v>29600</v>
      </c>
    </row>
    <row r="3023" spans="1:7" x14ac:dyDescent="0.2">
      <c r="A3023" s="3" t="s">
        <v>1072</v>
      </c>
      <c r="B3023" s="4">
        <v>45016</v>
      </c>
      <c r="C3023" s="3" t="s">
        <v>1168</v>
      </c>
      <c r="D3023" s="3" t="s">
        <v>1231</v>
      </c>
      <c r="E3023" s="3" t="s">
        <v>1083</v>
      </c>
      <c r="F3023" s="3">
        <v>843.6</v>
      </c>
      <c r="G3023" s="3">
        <v>843.6</v>
      </c>
    </row>
    <row r="3024" spans="1:7" x14ac:dyDescent="0.2">
      <c r="A3024" s="3" t="s">
        <v>1069</v>
      </c>
      <c r="B3024" s="4">
        <v>45016</v>
      </c>
      <c r="C3024" s="3" t="s">
        <v>1168</v>
      </c>
      <c r="D3024" s="3" t="s">
        <v>1231</v>
      </c>
      <c r="E3024" s="3" t="s">
        <v>1070</v>
      </c>
      <c r="F3024" s="3">
        <v>30819.25</v>
      </c>
      <c r="G3024" s="3">
        <v>30819.25</v>
      </c>
    </row>
    <row r="3025" spans="1:7" x14ac:dyDescent="0.2">
      <c r="A3025" s="3" t="s">
        <v>1072</v>
      </c>
      <c r="B3025" s="4">
        <v>45016</v>
      </c>
      <c r="C3025" s="3" t="s">
        <v>1168</v>
      </c>
      <c r="D3025" s="3" t="s">
        <v>1254</v>
      </c>
      <c r="E3025" s="3" t="s">
        <v>1075</v>
      </c>
      <c r="F3025" s="3">
        <v>6352.8</v>
      </c>
      <c r="G3025" s="3">
        <v>6352.8</v>
      </c>
    </row>
    <row r="3026" spans="1:7" x14ac:dyDescent="0.2">
      <c r="A3026" s="3" t="s">
        <v>1072</v>
      </c>
      <c r="B3026" s="4">
        <v>45016</v>
      </c>
      <c r="C3026" s="3" t="s">
        <v>1168</v>
      </c>
      <c r="D3026" s="3" t="s">
        <v>1362</v>
      </c>
      <c r="E3026" s="3" t="s">
        <v>1123</v>
      </c>
      <c r="F3026" s="3">
        <v>311179.65999999997</v>
      </c>
      <c r="G3026" s="3">
        <v>311179.65999999997</v>
      </c>
    </row>
    <row r="3027" spans="1:7" x14ac:dyDescent="0.2">
      <c r="A3027" s="3" t="s">
        <v>1072</v>
      </c>
      <c r="B3027" s="4">
        <v>45016</v>
      </c>
      <c r="C3027" s="3" t="s">
        <v>1168</v>
      </c>
      <c r="D3027" s="3" t="s">
        <v>1511</v>
      </c>
      <c r="E3027" s="3" t="s">
        <v>1104</v>
      </c>
      <c r="F3027" s="3">
        <v>177.33</v>
      </c>
      <c r="G3027" s="3">
        <v>177.33</v>
      </c>
    </row>
    <row r="3028" spans="1:7" x14ac:dyDescent="0.2">
      <c r="A3028" s="3" t="s">
        <v>1072</v>
      </c>
      <c r="B3028" s="4">
        <v>45016</v>
      </c>
      <c r="C3028" s="3" t="s">
        <v>1168</v>
      </c>
      <c r="D3028" s="3" t="s">
        <v>1366</v>
      </c>
      <c r="E3028" s="3" t="s">
        <v>1144</v>
      </c>
      <c r="F3028" s="3">
        <v>833.91</v>
      </c>
      <c r="G3028" s="3">
        <v>833.91</v>
      </c>
    </row>
    <row r="3029" spans="1:7" x14ac:dyDescent="0.2">
      <c r="A3029" s="3" t="s">
        <v>1069</v>
      </c>
      <c r="B3029" s="4">
        <v>45016</v>
      </c>
      <c r="C3029" s="3" t="s">
        <v>1168</v>
      </c>
      <c r="D3029" s="3" t="s">
        <v>1213</v>
      </c>
      <c r="E3029" s="3" t="s">
        <v>1150</v>
      </c>
      <c r="F3029" s="3">
        <v>328.38</v>
      </c>
      <c r="G3029" s="3">
        <v>328.38</v>
      </c>
    </row>
    <row r="3030" spans="1:7" x14ac:dyDescent="0.2">
      <c r="A3030" s="3" t="s">
        <v>1072</v>
      </c>
      <c r="B3030" s="4">
        <v>45016</v>
      </c>
      <c r="C3030" s="3" t="s">
        <v>1168</v>
      </c>
      <c r="D3030" s="3" t="s">
        <v>1370</v>
      </c>
      <c r="E3030" s="3" t="s">
        <v>1129</v>
      </c>
      <c r="F3030" s="3">
        <v>747</v>
      </c>
      <c r="G3030" s="3">
        <v>747</v>
      </c>
    </row>
    <row r="3031" spans="1:7" x14ac:dyDescent="0.2">
      <c r="A3031" s="3" t="s">
        <v>1072</v>
      </c>
      <c r="B3031" s="4">
        <v>45016</v>
      </c>
      <c r="C3031" s="3" t="s">
        <v>1168</v>
      </c>
      <c r="D3031" s="3" t="s">
        <v>1371</v>
      </c>
      <c r="E3031" s="3" t="s">
        <v>1093</v>
      </c>
      <c r="F3031" s="3">
        <v>10825.49</v>
      </c>
      <c r="G3031" s="3">
        <v>10825.49</v>
      </c>
    </row>
    <row r="3032" spans="1:7" x14ac:dyDescent="0.2">
      <c r="A3032" s="3" t="s">
        <v>1072</v>
      </c>
      <c r="B3032" s="4">
        <v>45016</v>
      </c>
      <c r="C3032" s="3" t="s">
        <v>1168</v>
      </c>
      <c r="D3032" s="3" t="s">
        <v>1372</v>
      </c>
      <c r="E3032" s="3" t="s">
        <v>1158</v>
      </c>
      <c r="F3032" s="3">
        <v>600</v>
      </c>
      <c r="G3032" s="3">
        <v>600</v>
      </c>
    </row>
    <row r="3033" spans="1:7" x14ac:dyDescent="0.2">
      <c r="A3033" s="3" t="s">
        <v>1072</v>
      </c>
      <c r="B3033" s="4">
        <v>45016</v>
      </c>
      <c r="C3033" s="3" t="s">
        <v>1168</v>
      </c>
      <c r="D3033" s="3" t="s">
        <v>1373</v>
      </c>
      <c r="E3033" s="3" t="s">
        <v>1092</v>
      </c>
      <c r="F3033" s="3">
        <v>605</v>
      </c>
      <c r="G3033" s="3">
        <v>605</v>
      </c>
    </row>
    <row r="3034" spans="1:7" x14ac:dyDescent="0.2">
      <c r="A3034" s="3" t="s">
        <v>1069</v>
      </c>
      <c r="B3034" s="4">
        <v>45016</v>
      </c>
      <c r="C3034" s="3" t="s">
        <v>1168</v>
      </c>
      <c r="D3034" s="3" t="s">
        <v>1232</v>
      </c>
      <c r="E3034" s="3" t="s">
        <v>1105</v>
      </c>
      <c r="F3034" s="3">
        <v>600</v>
      </c>
      <c r="G3034" s="3">
        <v>600</v>
      </c>
    </row>
    <row r="3035" spans="1:7" x14ac:dyDescent="0.2">
      <c r="A3035" s="3" t="s">
        <v>1074</v>
      </c>
      <c r="B3035" s="4">
        <v>45016</v>
      </c>
      <c r="C3035" s="3" t="s">
        <v>1168</v>
      </c>
      <c r="D3035" s="3" t="s">
        <v>1232</v>
      </c>
      <c r="E3035" s="3" t="s">
        <v>1105</v>
      </c>
      <c r="F3035" s="3">
        <v>600</v>
      </c>
      <c r="G3035" s="3">
        <v>600</v>
      </c>
    </row>
    <row r="3036" spans="1:7" x14ac:dyDescent="0.2">
      <c r="A3036" s="3" t="s">
        <v>1072</v>
      </c>
      <c r="B3036" s="4">
        <v>45016</v>
      </c>
      <c r="C3036" s="3" t="s">
        <v>1168</v>
      </c>
      <c r="D3036" s="3" t="s">
        <v>1378</v>
      </c>
      <c r="E3036" s="3" t="s">
        <v>1143</v>
      </c>
      <c r="F3036" s="3">
        <v>75818.38</v>
      </c>
      <c r="G3036" s="3">
        <v>75818.38</v>
      </c>
    </row>
    <row r="3037" spans="1:7" x14ac:dyDescent="0.2">
      <c r="A3037" s="3" t="s">
        <v>1072</v>
      </c>
      <c r="B3037" s="4">
        <v>45016</v>
      </c>
      <c r="C3037" s="3" t="s">
        <v>1168</v>
      </c>
      <c r="D3037" s="3" t="s">
        <v>1379</v>
      </c>
      <c r="E3037" s="3" t="s">
        <v>1107</v>
      </c>
      <c r="F3037" s="3">
        <v>3744.13</v>
      </c>
      <c r="G3037" s="3">
        <v>3744.13</v>
      </c>
    </row>
    <row r="3038" spans="1:7" x14ac:dyDescent="0.2">
      <c r="A3038" s="3" t="s">
        <v>1072</v>
      </c>
      <c r="B3038" s="4">
        <v>45016</v>
      </c>
      <c r="C3038" s="3" t="s">
        <v>1168</v>
      </c>
      <c r="D3038" s="3" t="s">
        <v>1380</v>
      </c>
      <c r="E3038" s="3" t="s">
        <v>1125</v>
      </c>
      <c r="F3038" s="3">
        <v>1920.62</v>
      </c>
      <c r="G3038" s="3">
        <v>1920.62</v>
      </c>
    </row>
    <row r="3039" spans="1:7" x14ac:dyDescent="0.2">
      <c r="A3039" s="3" t="s">
        <v>1072</v>
      </c>
      <c r="B3039" s="4">
        <v>45016</v>
      </c>
      <c r="C3039" s="3" t="s">
        <v>1168</v>
      </c>
      <c r="D3039" s="3" t="s">
        <v>1381</v>
      </c>
      <c r="E3039" s="3" t="s">
        <v>1130</v>
      </c>
      <c r="F3039" s="3">
        <v>1920.62</v>
      </c>
      <c r="G3039" s="3">
        <v>1920.62</v>
      </c>
    </row>
    <row r="3040" spans="1:7" x14ac:dyDescent="0.2">
      <c r="A3040" s="3" t="s">
        <v>1072</v>
      </c>
      <c r="B3040" s="4">
        <v>45016</v>
      </c>
      <c r="C3040" s="3" t="s">
        <v>1168</v>
      </c>
      <c r="D3040" s="3" t="s">
        <v>1458</v>
      </c>
      <c r="E3040" s="3" t="s">
        <v>1113</v>
      </c>
      <c r="F3040" s="3">
        <v>5034</v>
      </c>
      <c r="G3040" s="3">
        <v>5034</v>
      </c>
    </row>
    <row r="3041" spans="1:7" x14ac:dyDescent="0.2">
      <c r="A3041" s="3" t="s">
        <v>1072</v>
      </c>
      <c r="B3041" s="4">
        <v>45016</v>
      </c>
      <c r="C3041" s="3" t="s">
        <v>1168</v>
      </c>
      <c r="D3041" s="3" t="s">
        <v>1459</v>
      </c>
      <c r="E3041" s="3" t="s">
        <v>1139</v>
      </c>
      <c r="F3041" s="3">
        <v>1775.25</v>
      </c>
      <c r="G3041" s="3">
        <v>1775.25</v>
      </c>
    </row>
    <row r="3042" spans="1:7" x14ac:dyDescent="0.2">
      <c r="A3042" s="3" t="s">
        <v>1069</v>
      </c>
      <c r="B3042" s="4">
        <v>45016</v>
      </c>
      <c r="C3042" s="3" t="s">
        <v>1172</v>
      </c>
      <c r="D3042" s="3" t="s">
        <v>1173</v>
      </c>
      <c r="E3042" s="3" t="s">
        <v>1174</v>
      </c>
      <c r="F3042" s="3">
        <v>0</v>
      </c>
      <c r="G3042" s="3">
        <v>-100</v>
      </c>
    </row>
    <row r="3043" spans="1:7" x14ac:dyDescent="0.2">
      <c r="A3043" s="3" t="s">
        <v>1072</v>
      </c>
      <c r="B3043" s="4">
        <v>45016</v>
      </c>
      <c r="C3043" s="3" t="s">
        <v>1172</v>
      </c>
      <c r="D3043" s="3" t="s">
        <v>1382</v>
      </c>
      <c r="E3043" s="3" t="s">
        <v>1383</v>
      </c>
      <c r="F3043" s="3">
        <v>0</v>
      </c>
      <c r="G3043" s="3">
        <v>-120</v>
      </c>
    </row>
    <row r="3044" spans="1:7" x14ac:dyDescent="0.2">
      <c r="A3044" s="3" t="s">
        <v>1072</v>
      </c>
      <c r="B3044" s="4">
        <v>45016</v>
      </c>
      <c r="C3044" s="3" t="s">
        <v>1172</v>
      </c>
      <c r="D3044" s="3" t="s">
        <v>1384</v>
      </c>
      <c r="E3044" s="3" t="s">
        <v>1385</v>
      </c>
      <c r="F3044" s="3">
        <v>0</v>
      </c>
      <c r="G3044" s="3">
        <v>-296075.58</v>
      </c>
    </row>
    <row r="3045" spans="1:7" x14ac:dyDescent="0.2">
      <c r="A3045" s="3" t="s">
        <v>1069</v>
      </c>
      <c r="B3045" s="4">
        <v>45016</v>
      </c>
      <c r="C3045" s="3" t="s">
        <v>1172</v>
      </c>
      <c r="D3045" s="3" t="s">
        <v>1384</v>
      </c>
      <c r="E3045" s="3" t="s">
        <v>1385</v>
      </c>
      <c r="F3045" s="3">
        <v>0</v>
      </c>
      <c r="G3045" s="3">
        <v>-17843179.579999998</v>
      </c>
    </row>
    <row r="3046" spans="1:7" x14ac:dyDescent="0.2">
      <c r="A3046" s="3" t="s">
        <v>1074</v>
      </c>
      <c r="B3046" s="4">
        <v>45016</v>
      </c>
      <c r="C3046" s="3" t="s">
        <v>1172</v>
      </c>
      <c r="D3046" s="3" t="s">
        <v>1384</v>
      </c>
      <c r="E3046" s="3" t="s">
        <v>1385</v>
      </c>
      <c r="F3046" s="3">
        <v>0</v>
      </c>
      <c r="G3046" s="3">
        <v>70398.12</v>
      </c>
    </row>
    <row r="3047" spans="1:7" x14ac:dyDescent="0.2">
      <c r="A3047" s="3" t="s">
        <v>1069</v>
      </c>
      <c r="B3047" s="4">
        <v>45016</v>
      </c>
      <c r="C3047" s="3" t="s">
        <v>1180</v>
      </c>
      <c r="D3047" s="3" t="s">
        <v>1241</v>
      </c>
      <c r="E3047" s="3" t="s">
        <v>1242</v>
      </c>
      <c r="F3047" s="3">
        <v>0</v>
      </c>
      <c r="G3047" s="3">
        <v>17562360.850000001</v>
      </c>
    </row>
    <row r="3048" spans="1:7" x14ac:dyDescent="0.2">
      <c r="A3048" s="3" t="s">
        <v>1072</v>
      </c>
      <c r="B3048" s="4">
        <v>45016</v>
      </c>
      <c r="C3048" s="3" t="s">
        <v>1180</v>
      </c>
      <c r="D3048" s="3" t="s">
        <v>1483</v>
      </c>
      <c r="E3048" s="3" t="s">
        <v>1177</v>
      </c>
      <c r="F3048" s="3">
        <v>185000</v>
      </c>
      <c r="G3048" s="3">
        <v>185000</v>
      </c>
    </row>
    <row r="3049" spans="1:7" x14ac:dyDescent="0.2">
      <c r="A3049" s="3" t="s">
        <v>1072</v>
      </c>
      <c r="B3049" s="4">
        <v>45016</v>
      </c>
      <c r="C3049" s="3" t="s">
        <v>1180</v>
      </c>
      <c r="D3049" s="3" t="s">
        <v>1388</v>
      </c>
      <c r="E3049" s="3" t="s">
        <v>1389</v>
      </c>
      <c r="F3049" s="3">
        <v>0</v>
      </c>
      <c r="G3049" s="3">
        <v>-4342.5</v>
      </c>
    </row>
    <row r="3050" spans="1:7" x14ac:dyDescent="0.2">
      <c r="A3050" s="3" t="s">
        <v>1072</v>
      </c>
      <c r="B3050" s="4">
        <v>45016</v>
      </c>
      <c r="C3050" s="3" t="s">
        <v>1180</v>
      </c>
      <c r="D3050" s="3" t="s">
        <v>1390</v>
      </c>
      <c r="E3050" s="3" t="s">
        <v>1391</v>
      </c>
      <c r="F3050" s="3">
        <v>0</v>
      </c>
      <c r="G3050" s="3">
        <v>-361000</v>
      </c>
    </row>
    <row r="3051" spans="1:7" x14ac:dyDescent="0.2">
      <c r="A3051" s="3" t="s">
        <v>1072</v>
      </c>
      <c r="B3051" s="4">
        <v>45016</v>
      </c>
      <c r="C3051" s="3" t="s">
        <v>1180</v>
      </c>
      <c r="D3051" s="3" t="s">
        <v>1392</v>
      </c>
      <c r="E3051" s="3" t="s">
        <v>1393</v>
      </c>
      <c r="F3051" s="3">
        <v>0</v>
      </c>
      <c r="G3051" s="3">
        <v>4342.5</v>
      </c>
    </row>
    <row r="3052" spans="1:7" x14ac:dyDescent="0.2">
      <c r="A3052" s="3" t="s">
        <v>1072</v>
      </c>
      <c r="B3052" s="4">
        <v>45016</v>
      </c>
      <c r="C3052" s="3" t="s">
        <v>1180</v>
      </c>
      <c r="D3052" s="3" t="s">
        <v>1394</v>
      </c>
      <c r="E3052" s="3" t="s">
        <v>1256</v>
      </c>
      <c r="F3052" s="3">
        <v>600</v>
      </c>
      <c r="G3052" s="3">
        <v>600</v>
      </c>
    </row>
    <row r="3053" spans="1:7" x14ac:dyDescent="0.2">
      <c r="A3053" s="3" t="s">
        <v>1072</v>
      </c>
      <c r="B3053" s="4">
        <v>45016</v>
      </c>
      <c r="C3053" s="3" t="s">
        <v>1180</v>
      </c>
      <c r="D3053" s="3" t="s">
        <v>1395</v>
      </c>
      <c r="E3053" s="3" t="s">
        <v>1396</v>
      </c>
      <c r="F3053" s="3">
        <v>-551691.82999999996</v>
      </c>
      <c r="G3053" s="3">
        <v>-10376940.42</v>
      </c>
    </row>
    <row r="3054" spans="1:7" x14ac:dyDescent="0.2">
      <c r="A3054" s="3" t="s">
        <v>1072</v>
      </c>
      <c r="B3054" s="4">
        <v>45016</v>
      </c>
      <c r="C3054" s="3" t="s">
        <v>1180</v>
      </c>
      <c r="D3054" s="3" t="s">
        <v>1397</v>
      </c>
      <c r="E3054" s="3" t="s">
        <v>1398</v>
      </c>
      <c r="F3054" s="3">
        <v>600</v>
      </c>
      <c r="G3054" s="3">
        <v>600</v>
      </c>
    </row>
    <row r="3055" spans="1:7" x14ac:dyDescent="0.2">
      <c r="A3055" s="3" t="s">
        <v>1072</v>
      </c>
      <c r="B3055" s="4">
        <v>45016</v>
      </c>
      <c r="C3055" s="3" t="s">
        <v>1180</v>
      </c>
      <c r="D3055" s="3" t="s">
        <v>1512</v>
      </c>
      <c r="E3055" s="3" t="s">
        <v>1513</v>
      </c>
      <c r="F3055" s="3">
        <v>1505000</v>
      </c>
      <c r="G3055" s="3">
        <v>14835187.4</v>
      </c>
    </row>
    <row r="3056" spans="1:7" x14ac:dyDescent="0.2">
      <c r="A3056" s="3" t="s">
        <v>1072</v>
      </c>
      <c r="B3056" s="4">
        <v>45016</v>
      </c>
      <c r="C3056" s="3" t="s">
        <v>1180</v>
      </c>
      <c r="D3056" s="3" t="s">
        <v>1399</v>
      </c>
      <c r="E3056" s="3" t="s">
        <v>1400</v>
      </c>
      <c r="F3056" s="3">
        <v>0</v>
      </c>
      <c r="G3056" s="3">
        <v>-120000</v>
      </c>
    </row>
    <row r="3057" spans="1:7" x14ac:dyDescent="0.2">
      <c r="A3057" s="3" t="s">
        <v>1074</v>
      </c>
      <c r="B3057" s="4">
        <v>45016</v>
      </c>
      <c r="C3057" s="3" t="s">
        <v>1175</v>
      </c>
      <c r="D3057" s="3" t="s">
        <v>1492</v>
      </c>
      <c r="E3057" s="3" t="s">
        <v>1493</v>
      </c>
      <c r="F3057" s="3">
        <v>-8792977.0700000003</v>
      </c>
      <c r="G3057" s="3">
        <v>-19357848.57</v>
      </c>
    </row>
    <row r="3058" spans="1:7" x14ac:dyDescent="0.2">
      <c r="A3058" s="3" t="s">
        <v>1069</v>
      </c>
      <c r="B3058" s="4">
        <v>45016</v>
      </c>
      <c r="C3058" s="3" t="s">
        <v>1175</v>
      </c>
      <c r="D3058" s="3" t="s">
        <v>1178</v>
      </c>
      <c r="E3058" s="3" t="s">
        <v>1179</v>
      </c>
      <c r="F3058" s="3">
        <v>551691.82999999996</v>
      </c>
      <c r="G3058" s="3">
        <v>10376940.42</v>
      </c>
    </row>
    <row r="3059" spans="1:7" x14ac:dyDescent="0.2">
      <c r="A3059" s="3" t="s">
        <v>1069</v>
      </c>
      <c r="B3059" s="4">
        <v>45016</v>
      </c>
      <c r="C3059" s="3" t="s">
        <v>1175</v>
      </c>
      <c r="D3059" s="3" t="s">
        <v>1233</v>
      </c>
      <c r="E3059" s="3" t="s">
        <v>1234</v>
      </c>
      <c r="F3059" s="3">
        <v>2155000</v>
      </c>
      <c r="G3059" s="3">
        <v>2703000</v>
      </c>
    </row>
    <row r="3060" spans="1:7" x14ac:dyDescent="0.2">
      <c r="A3060" s="3" t="s">
        <v>1069</v>
      </c>
      <c r="B3060" s="4">
        <v>45016</v>
      </c>
      <c r="C3060" s="3" t="s">
        <v>1175</v>
      </c>
      <c r="D3060" s="3" t="s">
        <v>1494</v>
      </c>
      <c r="E3060" s="3" t="s">
        <v>1495</v>
      </c>
      <c r="F3060" s="3">
        <v>8792977.0700000003</v>
      </c>
      <c r="G3060" s="3">
        <v>19357848.57</v>
      </c>
    </row>
    <row r="3061" spans="1:7" x14ac:dyDescent="0.2">
      <c r="A3061" s="3" t="s">
        <v>1069</v>
      </c>
      <c r="B3061" s="4">
        <v>45016</v>
      </c>
      <c r="C3061" s="3" t="s">
        <v>1175</v>
      </c>
      <c r="D3061" s="3" t="s">
        <v>1516</v>
      </c>
      <c r="E3061" s="3" t="s">
        <v>1400</v>
      </c>
      <c r="F3061" s="3">
        <v>41000</v>
      </c>
      <c r="G3061" s="3">
        <v>41000</v>
      </c>
    </row>
    <row r="3062" spans="1:7" x14ac:dyDescent="0.2">
      <c r="A3062" s="3" t="s">
        <v>1072</v>
      </c>
      <c r="B3062" s="4">
        <v>45016</v>
      </c>
      <c r="C3062" s="3" t="s">
        <v>1180</v>
      </c>
      <c r="D3062" s="3" t="s">
        <v>1409</v>
      </c>
      <c r="E3062" s="3" t="s">
        <v>1410</v>
      </c>
      <c r="F3062" s="3">
        <v>0</v>
      </c>
      <c r="G3062" s="3">
        <v>216064.1</v>
      </c>
    </row>
    <row r="3063" spans="1:7" x14ac:dyDescent="0.2">
      <c r="A3063" s="3" t="s">
        <v>1072</v>
      </c>
      <c r="B3063" s="4">
        <v>45016</v>
      </c>
      <c r="C3063" s="3" t="s">
        <v>1180</v>
      </c>
      <c r="D3063" s="3" t="s">
        <v>1411</v>
      </c>
      <c r="E3063" s="3" t="s">
        <v>1412</v>
      </c>
      <c r="F3063" s="3">
        <v>0</v>
      </c>
      <c r="G3063" s="3">
        <v>-216063.1</v>
      </c>
    </row>
    <row r="3064" spans="1:7" x14ac:dyDescent="0.2">
      <c r="A3064" s="3" t="s">
        <v>1072</v>
      </c>
      <c r="B3064" s="4">
        <v>45016</v>
      </c>
      <c r="C3064" s="3" t="s">
        <v>1180</v>
      </c>
      <c r="D3064" s="3" t="s">
        <v>1413</v>
      </c>
      <c r="E3064" s="3" t="s">
        <v>1414</v>
      </c>
      <c r="F3064" s="3">
        <v>41690.22</v>
      </c>
      <c r="G3064" s="3">
        <v>133790.35</v>
      </c>
    </row>
    <row r="3065" spans="1:7" x14ac:dyDescent="0.2">
      <c r="A3065" s="3" t="s">
        <v>1072</v>
      </c>
      <c r="B3065" s="4">
        <v>45016</v>
      </c>
      <c r="C3065" s="3" t="s">
        <v>1180</v>
      </c>
      <c r="D3065" s="3" t="s">
        <v>1415</v>
      </c>
      <c r="E3065" s="3" t="s">
        <v>1416</v>
      </c>
      <c r="F3065" s="3">
        <v>-3323.91</v>
      </c>
      <c r="G3065" s="3">
        <v>-46246.9</v>
      </c>
    </row>
    <row r="3066" spans="1:7" x14ac:dyDescent="0.2">
      <c r="A3066" s="3" t="s">
        <v>1072</v>
      </c>
      <c r="B3066" s="4">
        <v>45016</v>
      </c>
      <c r="C3066" s="3" t="s">
        <v>1180</v>
      </c>
      <c r="D3066" s="3" t="s">
        <v>1462</v>
      </c>
      <c r="E3066" s="3" t="s">
        <v>1463</v>
      </c>
      <c r="F3066" s="3">
        <v>0</v>
      </c>
      <c r="G3066" s="3">
        <v>37955.300000000003</v>
      </c>
    </row>
    <row r="3067" spans="1:7" x14ac:dyDescent="0.2">
      <c r="A3067" s="3" t="s">
        <v>1072</v>
      </c>
      <c r="B3067" s="4">
        <v>45016</v>
      </c>
      <c r="C3067" s="3" t="s">
        <v>1180</v>
      </c>
      <c r="D3067" s="3" t="s">
        <v>1484</v>
      </c>
      <c r="E3067" s="3" t="s">
        <v>1485</v>
      </c>
      <c r="F3067" s="3">
        <v>-547.67999999999995</v>
      </c>
      <c r="G3067" s="3">
        <v>-6442.23</v>
      </c>
    </row>
    <row r="3068" spans="1:7" x14ac:dyDescent="0.2">
      <c r="A3068" s="3" t="s">
        <v>1072</v>
      </c>
      <c r="B3068" s="4">
        <v>45016</v>
      </c>
      <c r="C3068" s="3" t="s">
        <v>1180</v>
      </c>
      <c r="D3068" s="3" t="s">
        <v>1417</v>
      </c>
      <c r="E3068" s="3" t="s">
        <v>1418</v>
      </c>
      <c r="F3068" s="3">
        <v>0</v>
      </c>
      <c r="G3068" s="3">
        <v>11600</v>
      </c>
    </row>
    <row r="3069" spans="1:7" x14ac:dyDescent="0.2">
      <c r="A3069" s="3" t="s">
        <v>1072</v>
      </c>
      <c r="B3069" s="4">
        <v>45016</v>
      </c>
      <c r="C3069" s="3" t="s">
        <v>1180</v>
      </c>
      <c r="D3069" s="3" t="s">
        <v>1419</v>
      </c>
      <c r="E3069" s="3" t="s">
        <v>1420</v>
      </c>
      <c r="F3069" s="3">
        <v>-193.33</v>
      </c>
      <c r="G3069" s="3">
        <v>-3318.89</v>
      </c>
    </row>
    <row r="3070" spans="1:7" x14ac:dyDescent="0.2">
      <c r="A3070" s="3" t="s">
        <v>1069</v>
      </c>
      <c r="B3070" s="4">
        <v>45016</v>
      </c>
      <c r="C3070" s="3" t="s">
        <v>1180</v>
      </c>
      <c r="D3070" s="3" t="s">
        <v>1421</v>
      </c>
      <c r="E3070" s="3" t="s">
        <v>1422</v>
      </c>
      <c r="F3070" s="3">
        <v>0</v>
      </c>
      <c r="G3070" s="3">
        <v>874505.75</v>
      </c>
    </row>
    <row r="3071" spans="1:7" x14ac:dyDescent="0.2">
      <c r="A3071" s="3" t="s">
        <v>1074</v>
      </c>
      <c r="B3071" s="4">
        <v>45016</v>
      </c>
      <c r="C3071" s="3" t="s">
        <v>1180</v>
      </c>
      <c r="D3071" s="3" t="s">
        <v>1421</v>
      </c>
      <c r="E3071" s="3" t="s">
        <v>1533</v>
      </c>
      <c r="F3071" s="3">
        <v>0</v>
      </c>
      <c r="G3071" s="3">
        <v>439254.75</v>
      </c>
    </row>
    <row r="3072" spans="1:7" x14ac:dyDescent="0.2">
      <c r="A3072" s="3" t="s">
        <v>1069</v>
      </c>
      <c r="B3072" s="4">
        <v>45016</v>
      </c>
      <c r="C3072" s="3" t="s">
        <v>1180</v>
      </c>
      <c r="D3072" s="3" t="s">
        <v>1214</v>
      </c>
      <c r="E3072" s="3" t="s">
        <v>1215</v>
      </c>
      <c r="F3072" s="3">
        <v>0</v>
      </c>
      <c r="G3072" s="3">
        <v>26200000</v>
      </c>
    </row>
    <row r="3073" spans="1:7" x14ac:dyDescent="0.2">
      <c r="A3073" s="3" t="s">
        <v>1069</v>
      </c>
      <c r="B3073" s="4">
        <v>45016</v>
      </c>
      <c r="C3073" s="3" t="s">
        <v>1180</v>
      </c>
      <c r="D3073" s="3" t="s">
        <v>1216</v>
      </c>
      <c r="E3073" s="3" t="s">
        <v>1217</v>
      </c>
      <c r="F3073" s="3">
        <v>0</v>
      </c>
      <c r="G3073" s="3">
        <v>68427</v>
      </c>
    </row>
    <row r="3074" spans="1:7" x14ac:dyDescent="0.2">
      <c r="A3074" s="3" t="s">
        <v>1069</v>
      </c>
      <c r="B3074" s="4">
        <v>45016</v>
      </c>
      <c r="C3074" s="3" t="s">
        <v>1180</v>
      </c>
      <c r="D3074" s="3" t="s">
        <v>1218</v>
      </c>
      <c r="E3074" s="3" t="s">
        <v>1219</v>
      </c>
      <c r="F3074" s="3">
        <v>0</v>
      </c>
      <c r="G3074" s="3">
        <v>103812</v>
      </c>
    </row>
    <row r="3075" spans="1:7" x14ac:dyDescent="0.2">
      <c r="A3075" s="3" t="s">
        <v>1069</v>
      </c>
      <c r="B3075" s="4">
        <v>45016</v>
      </c>
      <c r="C3075" s="3" t="s">
        <v>1180</v>
      </c>
      <c r="D3075" s="3" t="s">
        <v>1197</v>
      </c>
      <c r="E3075" s="3" t="s">
        <v>1198</v>
      </c>
      <c r="F3075" s="3">
        <v>0</v>
      </c>
      <c r="G3075" s="3">
        <v>314087</v>
      </c>
    </row>
    <row r="3076" spans="1:7" x14ac:dyDescent="0.2">
      <c r="A3076" s="3" t="s">
        <v>1074</v>
      </c>
      <c r="B3076" s="4">
        <v>45016</v>
      </c>
      <c r="C3076" s="3" t="s">
        <v>1180</v>
      </c>
      <c r="D3076" s="3" t="s">
        <v>1197</v>
      </c>
      <c r="E3076" s="3" t="s">
        <v>1550</v>
      </c>
      <c r="F3076" s="3">
        <v>0</v>
      </c>
      <c r="G3076" s="3">
        <v>24400</v>
      </c>
    </row>
    <row r="3077" spans="1:7" x14ac:dyDescent="0.2">
      <c r="A3077" s="3" t="s">
        <v>1069</v>
      </c>
      <c r="B3077" s="4">
        <v>45016</v>
      </c>
      <c r="C3077" s="3" t="s">
        <v>1180</v>
      </c>
      <c r="D3077" s="3" t="s">
        <v>1496</v>
      </c>
      <c r="E3077" s="3" t="s">
        <v>1497</v>
      </c>
      <c r="F3077" s="3">
        <v>1500</v>
      </c>
      <c r="G3077" s="3">
        <v>138000</v>
      </c>
    </row>
    <row r="3078" spans="1:7" x14ac:dyDescent="0.2">
      <c r="A3078" s="3" t="s">
        <v>1069</v>
      </c>
      <c r="B3078" s="4">
        <v>45016</v>
      </c>
      <c r="C3078" s="3" t="s">
        <v>1180</v>
      </c>
      <c r="D3078" s="3" t="s">
        <v>1181</v>
      </c>
      <c r="E3078" s="3" t="s">
        <v>1182</v>
      </c>
      <c r="F3078" s="3">
        <v>0</v>
      </c>
      <c r="G3078" s="3">
        <v>8557641.8000000007</v>
      </c>
    </row>
    <row r="3079" spans="1:7" x14ac:dyDescent="0.2">
      <c r="A3079" s="3" t="s">
        <v>1069</v>
      </c>
      <c r="B3079" s="4">
        <v>45016</v>
      </c>
      <c r="C3079" s="3" t="s">
        <v>1180</v>
      </c>
      <c r="D3079" s="3" t="s">
        <v>1263</v>
      </c>
      <c r="E3079" s="3" t="s">
        <v>1264</v>
      </c>
      <c r="F3079" s="3">
        <v>0</v>
      </c>
      <c r="G3079" s="3">
        <v>13807.78</v>
      </c>
    </row>
    <row r="3080" spans="1:7" x14ac:dyDescent="0.2">
      <c r="A3080" s="3" t="s">
        <v>1069</v>
      </c>
      <c r="B3080" s="4">
        <v>45016</v>
      </c>
      <c r="C3080" s="3" t="s">
        <v>1180</v>
      </c>
      <c r="D3080" s="3" t="s">
        <v>1202</v>
      </c>
      <c r="E3080" s="3" t="s">
        <v>1203</v>
      </c>
      <c r="F3080" s="3">
        <v>0</v>
      </c>
      <c r="G3080" s="3">
        <v>193560.09</v>
      </c>
    </row>
    <row r="3081" spans="1:7" x14ac:dyDescent="0.2">
      <c r="A3081" s="3" t="s">
        <v>1074</v>
      </c>
      <c r="B3081" s="4">
        <v>45016</v>
      </c>
      <c r="C3081" s="3" t="s">
        <v>1180</v>
      </c>
      <c r="D3081" s="3" t="s">
        <v>1202</v>
      </c>
      <c r="E3081" s="3" t="s">
        <v>1577</v>
      </c>
      <c r="F3081" s="3">
        <v>0</v>
      </c>
      <c r="G3081" s="3">
        <v>19185</v>
      </c>
    </row>
    <row r="3082" spans="1:7" x14ac:dyDescent="0.2">
      <c r="A3082" s="3" t="s">
        <v>1069</v>
      </c>
      <c r="B3082" s="4">
        <v>45016</v>
      </c>
      <c r="C3082" s="3" t="s">
        <v>1180</v>
      </c>
      <c r="D3082" s="3" t="s">
        <v>1204</v>
      </c>
      <c r="E3082" s="3" t="s">
        <v>1205</v>
      </c>
      <c r="F3082" s="3">
        <v>0</v>
      </c>
      <c r="G3082" s="3">
        <v>7500</v>
      </c>
    </row>
    <row r="3083" spans="1:7" x14ac:dyDescent="0.2">
      <c r="A3083" s="3" t="s">
        <v>1069</v>
      </c>
      <c r="B3083" s="4">
        <v>45016</v>
      </c>
      <c r="C3083" s="3" t="s">
        <v>1180</v>
      </c>
      <c r="D3083" s="3" t="s">
        <v>1199</v>
      </c>
      <c r="E3083" s="3" t="s">
        <v>1200</v>
      </c>
      <c r="F3083" s="3">
        <v>0</v>
      </c>
      <c r="G3083" s="3">
        <v>67400</v>
      </c>
    </row>
    <row r="3084" spans="1:7" x14ac:dyDescent="0.2">
      <c r="A3084" s="3" t="s">
        <v>1069</v>
      </c>
      <c r="B3084" s="4">
        <v>45016</v>
      </c>
      <c r="C3084" s="3" t="s">
        <v>1180</v>
      </c>
      <c r="D3084" s="3" t="s">
        <v>1486</v>
      </c>
      <c r="E3084" s="3" t="s">
        <v>1487</v>
      </c>
      <c r="F3084" s="3">
        <v>0</v>
      </c>
      <c r="G3084" s="3">
        <v>20600</v>
      </c>
    </row>
    <row r="3085" spans="1:7" x14ac:dyDescent="0.2">
      <c r="A3085" s="3" t="s">
        <v>1069</v>
      </c>
      <c r="B3085" s="4">
        <v>45016</v>
      </c>
      <c r="C3085" s="3" t="s">
        <v>1180</v>
      </c>
      <c r="D3085" s="3" t="s">
        <v>1220</v>
      </c>
      <c r="E3085" s="3" t="s">
        <v>1221</v>
      </c>
      <c r="F3085" s="3">
        <v>0</v>
      </c>
      <c r="G3085" s="3">
        <v>15175</v>
      </c>
    </row>
    <row r="3086" spans="1:7" x14ac:dyDescent="0.2">
      <c r="A3086" s="3" t="s">
        <v>1069</v>
      </c>
      <c r="B3086" s="4">
        <v>45016</v>
      </c>
      <c r="C3086" s="3" t="s">
        <v>1180</v>
      </c>
      <c r="D3086" s="3" t="s">
        <v>1498</v>
      </c>
      <c r="E3086" s="3" t="s">
        <v>1499</v>
      </c>
      <c r="F3086" s="3">
        <v>0</v>
      </c>
      <c r="G3086" s="3">
        <v>570856.07999999996</v>
      </c>
    </row>
    <row r="3087" spans="1:7" x14ac:dyDescent="0.2">
      <c r="A3087" s="3" t="s">
        <v>1069</v>
      </c>
      <c r="B3087" s="4">
        <v>45016</v>
      </c>
      <c r="C3087" s="3" t="s">
        <v>1180</v>
      </c>
      <c r="D3087" s="3" t="s">
        <v>1183</v>
      </c>
      <c r="E3087" s="3" t="s">
        <v>1184</v>
      </c>
      <c r="F3087" s="3">
        <v>0</v>
      </c>
      <c r="G3087" s="3">
        <v>47748851.509999998</v>
      </c>
    </row>
    <row r="3088" spans="1:7" x14ac:dyDescent="0.2">
      <c r="A3088" s="3" t="s">
        <v>1074</v>
      </c>
      <c r="B3088" s="4">
        <v>45016</v>
      </c>
      <c r="C3088" s="3" t="s">
        <v>1180</v>
      </c>
      <c r="D3088" s="3" t="s">
        <v>1183</v>
      </c>
      <c r="E3088" s="3" t="s">
        <v>1631</v>
      </c>
      <c r="F3088" s="3">
        <v>764108.12</v>
      </c>
      <c r="G3088" s="3">
        <v>7187757.9199999999</v>
      </c>
    </row>
    <row r="3089" spans="1:7" x14ac:dyDescent="0.2">
      <c r="A3089" s="3" t="s">
        <v>1069</v>
      </c>
      <c r="B3089" s="4">
        <v>45016</v>
      </c>
      <c r="C3089" s="3" t="s">
        <v>1180</v>
      </c>
      <c r="D3089" s="3" t="s">
        <v>1222</v>
      </c>
      <c r="E3089" s="3" t="s">
        <v>1223</v>
      </c>
      <c r="F3089" s="3">
        <v>0</v>
      </c>
      <c r="G3089" s="3">
        <v>3850818.04</v>
      </c>
    </row>
    <row r="3090" spans="1:7" x14ac:dyDescent="0.2">
      <c r="A3090" s="3" t="s">
        <v>1074</v>
      </c>
      <c r="B3090" s="4">
        <v>45016</v>
      </c>
      <c r="C3090" s="3" t="s">
        <v>1180</v>
      </c>
      <c r="D3090" s="3" t="s">
        <v>1222</v>
      </c>
      <c r="E3090" s="3" t="s">
        <v>1664</v>
      </c>
      <c r="F3090" s="3">
        <v>1826086.96</v>
      </c>
      <c r="G3090" s="3">
        <v>1826086.96</v>
      </c>
    </row>
    <row r="3091" spans="1:7" x14ac:dyDescent="0.2">
      <c r="A3091" s="3" t="s">
        <v>1069</v>
      </c>
      <c r="B3091" s="4">
        <v>45016</v>
      </c>
      <c r="C3091" s="3" t="s">
        <v>1180</v>
      </c>
      <c r="D3091" s="3" t="s">
        <v>1235</v>
      </c>
      <c r="E3091" s="3" t="s">
        <v>1236</v>
      </c>
      <c r="F3091" s="3">
        <v>0</v>
      </c>
      <c r="G3091" s="3">
        <v>782608.07</v>
      </c>
    </row>
    <row r="3092" spans="1:7" x14ac:dyDescent="0.2">
      <c r="A3092" s="3" t="s">
        <v>1069</v>
      </c>
      <c r="B3092" s="4">
        <v>45016</v>
      </c>
      <c r="C3092" s="3" t="s">
        <v>1180</v>
      </c>
      <c r="D3092" s="3" t="s">
        <v>1206</v>
      </c>
      <c r="E3092" s="3" t="s">
        <v>1207</v>
      </c>
      <c r="F3092" s="3">
        <v>0</v>
      </c>
      <c r="G3092" s="3">
        <v>166550</v>
      </c>
    </row>
    <row r="3093" spans="1:7" x14ac:dyDescent="0.2">
      <c r="A3093" s="3" t="s">
        <v>1069</v>
      </c>
      <c r="B3093" s="4">
        <v>45016</v>
      </c>
      <c r="C3093" s="3" t="s">
        <v>1180</v>
      </c>
      <c r="D3093" s="3" t="s">
        <v>1208</v>
      </c>
      <c r="E3093" s="3" t="s">
        <v>1209</v>
      </c>
      <c r="F3093" s="3">
        <v>0</v>
      </c>
      <c r="G3093" s="3">
        <v>45000</v>
      </c>
    </row>
    <row r="3094" spans="1:7" x14ac:dyDescent="0.2">
      <c r="A3094" s="3" t="s">
        <v>1069</v>
      </c>
      <c r="B3094" s="4">
        <v>45016</v>
      </c>
      <c r="C3094" s="3" t="s">
        <v>1180</v>
      </c>
      <c r="D3094" s="3" t="s">
        <v>1259</v>
      </c>
      <c r="E3094" s="3" t="s">
        <v>1260</v>
      </c>
      <c r="F3094" s="3">
        <v>6000</v>
      </c>
      <c r="G3094" s="3">
        <v>131000</v>
      </c>
    </row>
    <row r="3095" spans="1:7" x14ac:dyDescent="0.2">
      <c r="A3095" s="3" t="s">
        <v>1074</v>
      </c>
      <c r="B3095" s="4">
        <v>45016</v>
      </c>
      <c r="C3095" s="3" t="s">
        <v>1180</v>
      </c>
      <c r="D3095" s="3" t="s">
        <v>1578</v>
      </c>
      <c r="E3095" s="3" t="s">
        <v>1579</v>
      </c>
      <c r="F3095" s="3">
        <v>0</v>
      </c>
      <c r="G3095" s="3">
        <v>66190.11</v>
      </c>
    </row>
    <row r="3096" spans="1:7" x14ac:dyDescent="0.2">
      <c r="A3096" s="3" t="s">
        <v>1069</v>
      </c>
      <c r="B3096" s="4">
        <v>45016</v>
      </c>
      <c r="C3096" s="3" t="s">
        <v>1180</v>
      </c>
      <c r="D3096" s="3" t="s">
        <v>1265</v>
      </c>
      <c r="E3096" s="3" t="s">
        <v>1266</v>
      </c>
      <c r="F3096" s="3">
        <v>0</v>
      </c>
      <c r="G3096" s="3">
        <v>1021325.63</v>
      </c>
    </row>
    <row r="3097" spans="1:7" x14ac:dyDescent="0.2">
      <c r="A3097" s="3" t="s">
        <v>1074</v>
      </c>
      <c r="B3097" s="4">
        <v>45016</v>
      </c>
      <c r="C3097" s="3" t="s">
        <v>1180</v>
      </c>
      <c r="D3097" s="3" t="s">
        <v>1265</v>
      </c>
      <c r="E3097" s="3" t="s">
        <v>1518</v>
      </c>
      <c r="F3097" s="3">
        <v>0</v>
      </c>
      <c r="G3097" s="3">
        <v>1313735.8400000001</v>
      </c>
    </row>
    <row r="3098" spans="1:7" x14ac:dyDescent="0.2">
      <c r="A3098" s="3" t="s">
        <v>1069</v>
      </c>
      <c r="B3098" s="4">
        <v>45016</v>
      </c>
      <c r="C3098" s="3" t="s">
        <v>1180</v>
      </c>
      <c r="D3098" s="3" t="s">
        <v>1423</v>
      </c>
      <c r="E3098" s="3" t="s">
        <v>1424</v>
      </c>
      <c r="F3098" s="3">
        <v>0</v>
      </c>
      <c r="G3098" s="3">
        <v>622274.51</v>
      </c>
    </row>
    <row r="3099" spans="1:7" x14ac:dyDescent="0.2">
      <c r="A3099" s="3" t="s">
        <v>1074</v>
      </c>
      <c r="B3099" s="4">
        <v>45016</v>
      </c>
      <c r="C3099" s="3" t="s">
        <v>1180</v>
      </c>
      <c r="D3099" s="3" t="s">
        <v>1519</v>
      </c>
      <c r="E3099" s="3" t="s">
        <v>1551</v>
      </c>
      <c r="F3099" s="3">
        <v>14500</v>
      </c>
      <c r="G3099" s="3">
        <v>44780</v>
      </c>
    </row>
    <row r="3100" spans="1:7" x14ac:dyDescent="0.2">
      <c r="A3100" s="3" t="s">
        <v>1069</v>
      </c>
      <c r="B3100" s="4">
        <v>45016</v>
      </c>
      <c r="C3100" s="3" t="s">
        <v>1180</v>
      </c>
      <c r="D3100" s="3" t="s">
        <v>1519</v>
      </c>
      <c r="E3100" s="3" t="s">
        <v>1520</v>
      </c>
      <c r="F3100" s="3">
        <v>0</v>
      </c>
      <c r="G3100" s="3">
        <v>985049.68</v>
      </c>
    </row>
    <row r="3101" spans="1:7" x14ac:dyDescent="0.2">
      <c r="A3101" s="3" t="s">
        <v>1074</v>
      </c>
      <c r="B3101" s="4">
        <v>45016</v>
      </c>
      <c r="C3101" s="3" t="s">
        <v>1180</v>
      </c>
      <c r="D3101" s="3" t="s">
        <v>1521</v>
      </c>
      <c r="E3101" s="3" t="s">
        <v>1522</v>
      </c>
      <c r="F3101" s="3">
        <v>1400</v>
      </c>
      <c r="G3101" s="3">
        <v>16000</v>
      </c>
    </row>
    <row r="3102" spans="1:7" x14ac:dyDescent="0.2">
      <c r="A3102" s="3" t="s">
        <v>1074</v>
      </c>
      <c r="B3102" s="4">
        <v>45016</v>
      </c>
      <c r="C3102" s="3" t="s">
        <v>1180</v>
      </c>
      <c r="D3102" s="3" t="s">
        <v>1534</v>
      </c>
      <c r="E3102" s="3" t="s">
        <v>1535</v>
      </c>
      <c r="F3102" s="3">
        <v>0</v>
      </c>
      <c r="G3102" s="3">
        <v>684782.6</v>
      </c>
    </row>
    <row r="3103" spans="1:7" x14ac:dyDescent="0.2">
      <c r="A3103" s="3" t="s">
        <v>1074</v>
      </c>
      <c r="B3103" s="4">
        <v>45016</v>
      </c>
      <c r="C3103" s="3" t="s">
        <v>1180</v>
      </c>
      <c r="D3103" s="3" t="s">
        <v>1610</v>
      </c>
      <c r="E3103" s="3" t="s">
        <v>1611</v>
      </c>
      <c r="F3103" s="3">
        <v>0</v>
      </c>
      <c r="G3103" s="3">
        <v>870391.34</v>
      </c>
    </row>
    <row r="3104" spans="1:7" x14ac:dyDescent="0.2">
      <c r="A3104" s="3" t="s">
        <v>1074</v>
      </c>
      <c r="B3104" s="4">
        <v>45016</v>
      </c>
      <c r="C3104" s="3" t="s">
        <v>1180</v>
      </c>
      <c r="D3104" s="3" t="s">
        <v>1653</v>
      </c>
      <c r="E3104" s="3" t="s">
        <v>1654</v>
      </c>
      <c r="F3104" s="3">
        <v>7088516</v>
      </c>
      <c r="G3104" s="3">
        <v>7129170.6299999999</v>
      </c>
    </row>
    <row r="3105" spans="1:7" x14ac:dyDescent="0.2">
      <c r="A3105" s="3" t="s">
        <v>1069</v>
      </c>
      <c r="B3105" s="4">
        <v>45016</v>
      </c>
      <c r="C3105" s="3" t="s">
        <v>1180</v>
      </c>
      <c r="D3105" s="3" t="s">
        <v>1536</v>
      </c>
      <c r="E3105" s="3" t="s">
        <v>1537</v>
      </c>
      <c r="F3105" s="3">
        <v>252445.03</v>
      </c>
      <c r="G3105" s="3">
        <v>1502445.03</v>
      </c>
    </row>
    <row r="3106" spans="1:7" x14ac:dyDescent="0.2">
      <c r="A3106" s="3" t="s">
        <v>1069</v>
      </c>
      <c r="B3106" s="4">
        <v>45016</v>
      </c>
      <c r="C3106" s="3" t="s">
        <v>1180</v>
      </c>
      <c r="D3106" s="3" t="s">
        <v>1665</v>
      </c>
      <c r="E3106" s="3" t="s">
        <v>1666</v>
      </c>
      <c r="F3106" s="3">
        <v>1068455</v>
      </c>
      <c r="G3106" s="3">
        <v>1068455</v>
      </c>
    </row>
    <row r="3107" spans="1:7" x14ac:dyDescent="0.2">
      <c r="A3107" s="3" t="s">
        <v>1069</v>
      </c>
      <c r="B3107" s="4">
        <v>45016</v>
      </c>
      <c r="C3107" s="3" t="s">
        <v>1180</v>
      </c>
      <c r="D3107" s="3" t="s">
        <v>1655</v>
      </c>
      <c r="E3107" s="3" t="s">
        <v>1656</v>
      </c>
      <c r="F3107" s="3">
        <v>0</v>
      </c>
      <c r="G3107" s="3">
        <v>-24427668.440000001</v>
      </c>
    </row>
    <row r="3108" spans="1:7" x14ac:dyDescent="0.2">
      <c r="A3108" s="3" t="s">
        <v>1072</v>
      </c>
      <c r="B3108" s="4">
        <v>45016</v>
      </c>
      <c r="C3108" s="3" t="s">
        <v>1180</v>
      </c>
      <c r="D3108" s="3" t="s">
        <v>1425</v>
      </c>
      <c r="E3108" s="3" t="s">
        <v>1426</v>
      </c>
      <c r="F3108" s="3">
        <v>0</v>
      </c>
      <c r="G3108" s="3">
        <v>29600</v>
      </c>
    </row>
    <row r="3109" spans="1:7" x14ac:dyDescent="0.2">
      <c r="A3109" s="3" t="s">
        <v>1072</v>
      </c>
      <c r="B3109" s="4">
        <v>45016</v>
      </c>
      <c r="C3109" s="3" t="s">
        <v>1180</v>
      </c>
      <c r="D3109" s="3" t="s">
        <v>1427</v>
      </c>
      <c r="E3109" s="3" t="s">
        <v>1428</v>
      </c>
      <c r="F3109" s="3">
        <v>-2352790.4300000002</v>
      </c>
      <c r="G3109" s="3">
        <v>-2679589.84</v>
      </c>
    </row>
    <row r="3110" spans="1:7" x14ac:dyDescent="0.2">
      <c r="A3110" s="3" t="s">
        <v>1069</v>
      </c>
      <c r="B3110" s="4">
        <v>45016</v>
      </c>
      <c r="C3110" s="3" t="s">
        <v>1180</v>
      </c>
      <c r="D3110" s="3" t="s">
        <v>1427</v>
      </c>
      <c r="E3110" s="3" t="s">
        <v>1428</v>
      </c>
      <c r="F3110" s="3">
        <v>-430076.47</v>
      </c>
      <c r="G3110" s="3">
        <v>462961.97</v>
      </c>
    </row>
    <row r="3111" spans="1:7" x14ac:dyDescent="0.2">
      <c r="A3111" s="3" t="s">
        <v>1072</v>
      </c>
      <c r="B3111" s="4">
        <v>45016</v>
      </c>
      <c r="C3111" s="3" t="s">
        <v>1180</v>
      </c>
      <c r="D3111" s="3" t="s">
        <v>1429</v>
      </c>
      <c r="E3111" s="3" t="s">
        <v>1430</v>
      </c>
      <c r="F3111" s="3">
        <v>-2719.43</v>
      </c>
      <c r="G3111" s="3">
        <v>0</v>
      </c>
    </row>
    <row r="3112" spans="1:7" x14ac:dyDescent="0.2">
      <c r="A3112" s="3" t="s">
        <v>1072</v>
      </c>
      <c r="B3112" s="4">
        <v>45016</v>
      </c>
      <c r="C3112" s="3" t="s">
        <v>1180</v>
      </c>
      <c r="D3112" s="3" t="s">
        <v>1431</v>
      </c>
      <c r="E3112" s="3" t="s">
        <v>1432</v>
      </c>
      <c r="F3112" s="3">
        <v>69</v>
      </c>
      <c r="G3112" s="3">
        <v>69</v>
      </c>
    </row>
    <row r="3113" spans="1:7" x14ac:dyDescent="0.2">
      <c r="A3113" s="3" t="s">
        <v>1069</v>
      </c>
      <c r="B3113" s="4">
        <v>45016</v>
      </c>
      <c r="C3113" s="3" t="s">
        <v>1180</v>
      </c>
      <c r="D3113" s="3" t="s">
        <v>1187</v>
      </c>
      <c r="E3113" s="3" t="s">
        <v>1188</v>
      </c>
      <c r="F3113" s="3">
        <v>2572526.6800000002</v>
      </c>
      <c r="G3113" s="3">
        <v>3903667.89</v>
      </c>
    </row>
    <row r="3114" spans="1:7" x14ac:dyDescent="0.2">
      <c r="A3114" s="3" t="s">
        <v>1072</v>
      </c>
      <c r="B3114" s="4">
        <v>45016</v>
      </c>
      <c r="C3114" s="3" t="s">
        <v>1180</v>
      </c>
      <c r="D3114" s="3" t="s">
        <v>1187</v>
      </c>
      <c r="E3114" s="3" t="s">
        <v>1433</v>
      </c>
      <c r="F3114" s="3">
        <v>1182837.93</v>
      </c>
      <c r="G3114" s="3">
        <v>1223678.06</v>
      </c>
    </row>
    <row r="3115" spans="1:7" x14ac:dyDescent="0.2">
      <c r="A3115" s="3" t="s">
        <v>1072</v>
      </c>
      <c r="B3115" s="4">
        <v>45016</v>
      </c>
      <c r="C3115" s="3" t="s">
        <v>1180</v>
      </c>
      <c r="D3115" s="3" t="s">
        <v>1435</v>
      </c>
      <c r="E3115" s="3" t="s">
        <v>1436</v>
      </c>
      <c r="F3115" s="3">
        <v>6.81</v>
      </c>
      <c r="G3115" s="3">
        <v>544.13</v>
      </c>
    </row>
    <row r="3116" spans="1:7" x14ac:dyDescent="0.2">
      <c r="A3116" s="3" t="s">
        <v>1069</v>
      </c>
      <c r="B3116" s="4">
        <v>45016</v>
      </c>
      <c r="C3116" s="3" t="s">
        <v>1180</v>
      </c>
      <c r="D3116" s="3" t="s">
        <v>1243</v>
      </c>
      <c r="E3116" s="3" t="s">
        <v>1244</v>
      </c>
      <c r="F3116" s="3">
        <v>5.19</v>
      </c>
      <c r="G3116" s="3">
        <v>832.91</v>
      </c>
    </row>
    <row r="3117" spans="1:7" x14ac:dyDescent="0.2">
      <c r="A3117" s="3" t="s">
        <v>1069</v>
      </c>
      <c r="B3117" s="4">
        <v>45016</v>
      </c>
      <c r="C3117" s="3" t="s">
        <v>1180</v>
      </c>
      <c r="D3117" s="3" t="s">
        <v>1245</v>
      </c>
      <c r="E3117" s="3" t="s">
        <v>1246</v>
      </c>
      <c r="F3117" s="3">
        <v>-6675260.9400000004</v>
      </c>
      <c r="G3117" s="3">
        <v>19941025.559999999</v>
      </c>
    </row>
    <row r="3118" spans="1:7" x14ac:dyDescent="0.2">
      <c r="A3118" s="3" t="s">
        <v>1072</v>
      </c>
      <c r="B3118" s="4">
        <v>45016</v>
      </c>
      <c r="C3118" s="3" t="s">
        <v>1175</v>
      </c>
      <c r="D3118" s="3" t="s">
        <v>1437</v>
      </c>
      <c r="E3118" s="3" t="s">
        <v>1438</v>
      </c>
      <c r="F3118" s="3">
        <v>-0.39</v>
      </c>
      <c r="G3118" s="3">
        <v>-0.39</v>
      </c>
    </row>
    <row r="3119" spans="1:7" x14ac:dyDescent="0.2">
      <c r="A3119" s="3" t="s">
        <v>1069</v>
      </c>
      <c r="B3119" s="4">
        <v>45016</v>
      </c>
      <c r="C3119" s="3" t="s">
        <v>1175</v>
      </c>
      <c r="D3119" s="3" t="s">
        <v>1437</v>
      </c>
      <c r="E3119" s="3" t="s">
        <v>1438</v>
      </c>
      <c r="F3119" s="3">
        <v>0</v>
      </c>
      <c r="G3119" s="3">
        <v>0.03</v>
      </c>
    </row>
    <row r="3120" spans="1:7" x14ac:dyDescent="0.2">
      <c r="A3120" s="3" t="s">
        <v>1072</v>
      </c>
      <c r="B3120" s="4">
        <v>45016</v>
      </c>
      <c r="C3120" s="3" t="s">
        <v>1175</v>
      </c>
      <c r="D3120" s="3" t="s">
        <v>1191</v>
      </c>
      <c r="E3120" s="3" t="s">
        <v>1192</v>
      </c>
      <c r="F3120" s="3">
        <v>-92016.37</v>
      </c>
      <c r="G3120" s="3">
        <v>-2397744.29</v>
      </c>
    </row>
    <row r="3121" spans="1:7" x14ac:dyDescent="0.2">
      <c r="A3121" s="3" t="s">
        <v>1069</v>
      </c>
      <c r="B3121" s="4">
        <v>45016</v>
      </c>
      <c r="C3121" s="3" t="s">
        <v>1175</v>
      </c>
      <c r="D3121" s="3" t="s">
        <v>1191</v>
      </c>
      <c r="E3121" s="3" t="s">
        <v>1192</v>
      </c>
      <c r="F3121" s="3">
        <v>-2546667.52</v>
      </c>
      <c r="G3121" s="3">
        <v>-118690343.8</v>
      </c>
    </row>
    <row r="3122" spans="1:7" x14ac:dyDescent="0.2">
      <c r="A3122" s="3" t="s">
        <v>1074</v>
      </c>
      <c r="B3122" s="4">
        <v>45016</v>
      </c>
      <c r="C3122" s="3" t="s">
        <v>1175</v>
      </c>
      <c r="D3122" s="3" t="s">
        <v>1191</v>
      </c>
      <c r="E3122" s="3" t="s">
        <v>1192</v>
      </c>
      <c r="F3122" s="3">
        <v>-2379015.67</v>
      </c>
      <c r="G3122" s="3">
        <v>-3229411.84</v>
      </c>
    </row>
    <row r="3123" spans="1:7" x14ac:dyDescent="0.2">
      <c r="A3123" s="3" t="s">
        <v>1072</v>
      </c>
      <c r="B3123" s="4">
        <v>45016</v>
      </c>
      <c r="C3123" s="3" t="s">
        <v>1175</v>
      </c>
      <c r="D3123" s="3" t="s">
        <v>1441</v>
      </c>
      <c r="E3123" s="3" t="s">
        <v>1442</v>
      </c>
      <c r="F3123" s="3">
        <v>-17744.8</v>
      </c>
      <c r="G3123" s="3">
        <v>-83403.75</v>
      </c>
    </row>
    <row r="3124" spans="1:7" x14ac:dyDescent="0.2">
      <c r="A3124" s="3" t="s">
        <v>1072</v>
      </c>
      <c r="B3124" s="4">
        <v>45016</v>
      </c>
      <c r="C3124" s="3" t="s">
        <v>1175</v>
      </c>
      <c r="D3124" s="3" t="s">
        <v>1464</v>
      </c>
      <c r="E3124" s="3" t="s">
        <v>1465</v>
      </c>
      <c r="F3124" s="3">
        <v>-6809.25</v>
      </c>
      <c r="G3124" s="3">
        <v>-38585.75</v>
      </c>
    </row>
    <row r="3125" spans="1:7" x14ac:dyDescent="0.2">
      <c r="A3125" s="3" t="s">
        <v>1072</v>
      </c>
      <c r="B3125" s="4">
        <v>45016</v>
      </c>
      <c r="C3125" s="3" t="s">
        <v>1175</v>
      </c>
      <c r="D3125" s="3" t="s">
        <v>1193</v>
      </c>
      <c r="E3125" s="3" t="s">
        <v>1443</v>
      </c>
      <c r="F3125" s="3">
        <v>-83931.16</v>
      </c>
      <c r="G3125" s="3">
        <v>-272896.64000000001</v>
      </c>
    </row>
    <row r="3126" spans="1:7" x14ac:dyDescent="0.2">
      <c r="A3126" s="3" t="s">
        <v>1069</v>
      </c>
      <c r="B3126" s="4">
        <v>45016</v>
      </c>
      <c r="C3126" s="3" t="s">
        <v>1175</v>
      </c>
      <c r="D3126" s="3" t="s">
        <v>1193</v>
      </c>
      <c r="E3126" s="3" t="s">
        <v>1194</v>
      </c>
      <c r="F3126" s="3">
        <v>186598.85</v>
      </c>
      <c r="G3126" s="3">
        <v>-2540941.56</v>
      </c>
    </row>
    <row r="3127" spans="1:7" x14ac:dyDescent="0.2">
      <c r="A3127" s="3" t="s">
        <v>1074</v>
      </c>
      <c r="B3127" s="4">
        <v>45016</v>
      </c>
      <c r="C3127" s="3" t="s">
        <v>1175</v>
      </c>
      <c r="D3127" s="3" t="s">
        <v>1193</v>
      </c>
      <c r="E3127" s="3" t="s">
        <v>1194</v>
      </c>
      <c r="F3127" s="3">
        <v>1451806.66</v>
      </c>
      <c r="G3127" s="3">
        <v>2869552.14</v>
      </c>
    </row>
    <row r="3128" spans="1:7" x14ac:dyDescent="0.2">
      <c r="A3128" s="3" t="s">
        <v>1069</v>
      </c>
      <c r="B3128" s="4">
        <v>45016</v>
      </c>
      <c r="C3128" s="3" t="s">
        <v>1175</v>
      </c>
      <c r="D3128" s="3" t="s">
        <v>1657</v>
      </c>
      <c r="E3128" s="3" t="s">
        <v>1658</v>
      </c>
      <c r="F3128" s="3">
        <v>0</v>
      </c>
      <c r="G3128" s="3">
        <v>59039.93</v>
      </c>
    </row>
    <row r="3129" spans="1:7" x14ac:dyDescent="0.2">
      <c r="A3129" s="3" t="s">
        <v>1069</v>
      </c>
      <c r="B3129" s="4">
        <v>45016</v>
      </c>
      <c r="C3129" s="3" t="s">
        <v>1175</v>
      </c>
      <c r="D3129" s="3" t="s">
        <v>1667</v>
      </c>
      <c r="E3129" s="3" t="s">
        <v>1668</v>
      </c>
      <c r="F3129" s="3">
        <v>1209624.06</v>
      </c>
      <c r="G3129" s="3">
        <v>1209624.06</v>
      </c>
    </row>
    <row r="3130" spans="1:7" x14ac:dyDescent="0.2">
      <c r="A3130" s="3" t="s">
        <v>1072</v>
      </c>
      <c r="B3130" s="4">
        <v>45016</v>
      </c>
      <c r="C3130" s="3" t="s">
        <v>1175</v>
      </c>
      <c r="D3130" s="3" t="s">
        <v>1444</v>
      </c>
      <c r="E3130" s="3" t="s">
        <v>1445</v>
      </c>
      <c r="F3130" s="3">
        <v>0</v>
      </c>
      <c r="G3130" s="3">
        <v>28029.81</v>
      </c>
    </row>
    <row r="3131" spans="1:7" x14ac:dyDescent="0.2">
      <c r="A3131" s="3" t="s">
        <v>1072</v>
      </c>
      <c r="B3131" s="4">
        <v>45016</v>
      </c>
      <c r="C3131" s="3" t="s">
        <v>1175</v>
      </c>
      <c r="D3131" s="3" t="s">
        <v>1446</v>
      </c>
      <c r="E3131" s="3" t="s">
        <v>1447</v>
      </c>
      <c r="F3131" s="3">
        <v>0</v>
      </c>
      <c r="G3131" s="3">
        <v>-254.99</v>
      </c>
    </row>
    <row r="3132" spans="1:7" x14ac:dyDescent="0.2">
      <c r="A3132" s="3" t="s">
        <v>1069</v>
      </c>
      <c r="B3132" s="4">
        <v>45046</v>
      </c>
      <c r="C3132" s="3" t="s">
        <v>1210</v>
      </c>
      <c r="D3132" s="3" t="s">
        <v>1552</v>
      </c>
      <c r="E3132" s="3" t="s">
        <v>1553</v>
      </c>
      <c r="F3132" s="3">
        <v>-10308000</v>
      </c>
      <c r="G3132" s="3">
        <v>-19505652.18</v>
      </c>
    </row>
    <row r="3133" spans="1:7" x14ac:dyDescent="0.2">
      <c r="A3133" s="3" t="s">
        <v>1069</v>
      </c>
      <c r="B3133" s="4">
        <v>45046</v>
      </c>
      <c r="C3133" s="3" t="s">
        <v>1210</v>
      </c>
      <c r="D3133" s="3" t="s">
        <v>1554</v>
      </c>
      <c r="E3133" s="3" t="s">
        <v>1555</v>
      </c>
      <c r="F3133" s="3">
        <v>-18450</v>
      </c>
      <c r="G3133" s="3">
        <v>-29314.06</v>
      </c>
    </row>
    <row r="3134" spans="1:7" x14ac:dyDescent="0.2">
      <c r="A3134" s="3" t="s">
        <v>1072</v>
      </c>
      <c r="B3134" s="4">
        <v>45046</v>
      </c>
      <c r="C3134" s="3" t="s">
        <v>1210</v>
      </c>
      <c r="D3134" s="3" t="s">
        <v>1448</v>
      </c>
      <c r="E3134" s="3" t="s">
        <v>1449</v>
      </c>
      <c r="F3134" s="3">
        <v>-3945193.47</v>
      </c>
      <c r="G3134" s="3">
        <v>-8197817.5899999999</v>
      </c>
    </row>
    <row r="3135" spans="1:7" x14ac:dyDescent="0.2">
      <c r="A3135" s="3" t="s">
        <v>1069</v>
      </c>
      <c r="B3135" s="4">
        <v>45046</v>
      </c>
      <c r="C3135" s="3" t="s">
        <v>1168</v>
      </c>
      <c r="D3135" s="3" t="s">
        <v>1531</v>
      </c>
      <c r="E3135" s="3" t="s">
        <v>1532</v>
      </c>
      <c r="F3135" s="3">
        <v>230143.86</v>
      </c>
      <c r="G3135" s="3">
        <v>424002.22</v>
      </c>
    </row>
    <row r="3136" spans="1:7" x14ac:dyDescent="0.2">
      <c r="A3136" s="3" t="s">
        <v>1069</v>
      </c>
      <c r="B3136" s="4">
        <v>45046</v>
      </c>
      <c r="C3136" s="3" t="s">
        <v>1168</v>
      </c>
      <c r="D3136" s="3" t="s">
        <v>1540</v>
      </c>
      <c r="E3136" s="3" t="s">
        <v>1541</v>
      </c>
      <c r="F3136" s="3">
        <v>11528.93</v>
      </c>
      <c r="G3136" s="3">
        <v>11528.93</v>
      </c>
    </row>
    <row r="3137" spans="1:7" x14ac:dyDescent="0.2">
      <c r="A3137" s="3" t="s">
        <v>1069</v>
      </c>
      <c r="B3137" s="4">
        <v>45046</v>
      </c>
      <c r="C3137" s="3" t="s">
        <v>1168</v>
      </c>
      <c r="D3137" s="3" t="s">
        <v>1558</v>
      </c>
      <c r="E3137" s="3" t="s">
        <v>1559</v>
      </c>
      <c r="F3137" s="3">
        <v>448882.61</v>
      </c>
      <c r="G3137" s="3">
        <v>914286.95</v>
      </c>
    </row>
    <row r="3138" spans="1:7" x14ac:dyDescent="0.2">
      <c r="A3138" s="3" t="s">
        <v>1069</v>
      </c>
      <c r="B3138" s="4">
        <v>45046</v>
      </c>
      <c r="C3138" s="3" t="s">
        <v>1168</v>
      </c>
      <c r="D3138" s="3" t="s">
        <v>1659</v>
      </c>
      <c r="E3138" s="3" t="s">
        <v>1660</v>
      </c>
      <c r="F3138" s="3">
        <v>-500</v>
      </c>
      <c r="G3138" s="3">
        <v>250</v>
      </c>
    </row>
    <row r="3139" spans="1:7" x14ac:dyDescent="0.2">
      <c r="A3139" s="3" t="s">
        <v>1072</v>
      </c>
      <c r="B3139" s="4">
        <v>45046</v>
      </c>
      <c r="C3139" s="3" t="s">
        <v>1168</v>
      </c>
      <c r="D3139" s="3" t="s">
        <v>1661</v>
      </c>
      <c r="E3139" s="3" t="s">
        <v>1662</v>
      </c>
      <c r="F3139" s="3">
        <v>0</v>
      </c>
      <c r="G3139" s="3">
        <v>200</v>
      </c>
    </row>
    <row r="3140" spans="1:7" x14ac:dyDescent="0.2">
      <c r="A3140" s="3" t="s">
        <v>1072</v>
      </c>
      <c r="B3140" s="4">
        <v>45046</v>
      </c>
      <c r="C3140" s="3" t="s">
        <v>1168</v>
      </c>
      <c r="D3140" s="3" t="s">
        <v>1669</v>
      </c>
      <c r="E3140" s="3" t="s">
        <v>1670</v>
      </c>
      <c r="F3140" s="3">
        <v>486.95</v>
      </c>
      <c r="G3140" s="3">
        <v>486.95</v>
      </c>
    </row>
    <row r="3141" spans="1:7" x14ac:dyDescent="0.2">
      <c r="A3141" s="3" t="s">
        <v>1072</v>
      </c>
      <c r="B3141" s="4">
        <v>45046</v>
      </c>
      <c r="C3141" s="3" t="s">
        <v>1168</v>
      </c>
      <c r="D3141" s="3" t="s">
        <v>1281</v>
      </c>
      <c r="E3141" s="3" t="s">
        <v>1282</v>
      </c>
      <c r="F3141" s="3">
        <v>1344.32</v>
      </c>
      <c r="G3141" s="3">
        <v>193005.79</v>
      </c>
    </row>
    <row r="3142" spans="1:7" x14ac:dyDescent="0.2">
      <c r="A3142" s="3" t="s">
        <v>1072</v>
      </c>
      <c r="B3142" s="4">
        <v>45046</v>
      </c>
      <c r="C3142" s="3" t="s">
        <v>1168</v>
      </c>
      <c r="D3142" s="3" t="s">
        <v>1283</v>
      </c>
      <c r="E3142" s="3" t="s">
        <v>1284</v>
      </c>
      <c r="F3142" s="3">
        <v>1250.3900000000001</v>
      </c>
      <c r="G3142" s="3">
        <v>25795.54</v>
      </c>
    </row>
    <row r="3143" spans="1:7" x14ac:dyDescent="0.2">
      <c r="A3143" s="3" t="s">
        <v>1072</v>
      </c>
      <c r="B3143" s="4">
        <v>45046</v>
      </c>
      <c r="C3143" s="3" t="s">
        <v>1168</v>
      </c>
      <c r="D3143" s="3" t="s">
        <v>1285</v>
      </c>
      <c r="E3143" s="3" t="s">
        <v>1286</v>
      </c>
      <c r="F3143" s="3">
        <v>0</v>
      </c>
      <c r="G3143" s="3">
        <v>2719.43</v>
      </c>
    </row>
    <row r="3144" spans="1:7" x14ac:dyDescent="0.2">
      <c r="A3144" s="3" t="s">
        <v>1072</v>
      </c>
      <c r="B3144" s="4">
        <v>45046</v>
      </c>
      <c r="C3144" s="3" t="s">
        <v>1168</v>
      </c>
      <c r="D3144" s="3" t="s">
        <v>1301</v>
      </c>
      <c r="E3144" s="3" t="s">
        <v>1302</v>
      </c>
      <c r="F3144" s="3">
        <v>0</v>
      </c>
      <c r="G3144" s="3">
        <v>760.87</v>
      </c>
    </row>
    <row r="3145" spans="1:7" x14ac:dyDescent="0.2">
      <c r="A3145" s="3" t="s">
        <v>1072</v>
      </c>
      <c r="B3145" s="4">
        <v>45046</v>
      </c>
      <c r="C3145" s="3" t="s">
        <v>1168</v>
      </c>
      <c r="D3145" s="3" t="s">
        <v>1450</v>
      </c>
      <c r="E3145" s="3" t="s">
        <v>1451</v>
      </c>
      <c r="F3145" s="3">
        <v>84649.57</v>
      </c>
      <c r="G3145" s="3">
        <v>861298.98</v>
      </c>
    </row>
    <row r="3146" spans="1:7" x14ac:dyDescent="0.2">
      <c r="A3146" s="3" t="s">
        <v>1072</v>
      </c>
      <c r="B3146" s="4">
        <v>45046</v>
      </c>
      <c r="C3146" s="3" t="s">
        <v>1168</v>
      </c>
      <c r="D3146" s="3" t="s">
        <v>1452</v>
      </c>
      <c r="E3146" s="3" t="s">
        <v>1453</v>
      </c>
      <c r="F3146" s="3">
        <v>53004.4</v>
      </c>
      <c r="G3146" s="3">
        <v>112162.03</v>
      </c>
    </row>
    <row r="3147" spans="1:7" x14ac:dyDescent="0.2">
      <c r="A3147" s="3" t="s">
        <v>1072</v>
      </c>
      <c r="B3147" s="4">
        <v>45046</v>
      </c>
      <c r="C3147" s="3" t="s">
        <v>1168</v>
      </c>
      <c r="D3147" s="3" t="s">
        <v>1454</v>
      </c>
      <c r="E3147" s="3" t="s">
        <v>1455</v>
      </c>
      <c r="F3147" s="3">
        <v>694.78</v>
      </c>
      <c r="G3147" s="3">
        <v>694.78</v>
      </c>
    </row>
    <row r="3148" spans="1:7" x14ac:dyDescent="0.2">
      <c r="A3148" s="3" t="s">
        <v>1072</v>
      </c>
      <c r="B3148" s="4">
        <v>45046</v>
      </c>
      <c r="C3148" s="3" t="s">
        <v>1168</v>
      </c>
      <c r="D3148" s="3" t="s">
        <v>1468</v>
      </c>
      <c r="E3148" s="3" t="s">
        <v>1469</v>
      </c>
      <c r="F3148" s="3">
        <v>1189.57</v>
      </c>
      <c r="G3148" s="3">
        <v>2379.14</v>
      </c>
    </row>
    <row r="3149" spans="1:7" x14ac:dyDescent="0.2">
      <c r="A3149" s="3" t="s">
        <v>1072</v>
      </c>
      <c r="B3149" s="4">
        <v>45046</v>
      </c>
      <c r="C3149" s="3" t="s">
        <v>1168</v>
      </c>
      <c r="D3149" s="3" t="s">
        <v>1620</v>
      </c>
      <c r="E3149" s="3" t="s">
        <v>1621</v>
      </c>
      <c r="F3149" s="3">
        <v>78.260000000000005</v>
      </c>
      <c r="G3149" s="3">
        <v>78.260000000000005</v>
      </c>
    </row>
    <row r="3150" spans="1:7" x14ac:dyDescent="0.2">
      <c r="A3150" s="3" t="s">
        <v>1072</v>
      </c>
      <c r="B3150" s="4">
        <v>45046</v>
      </c>
      <c r="C3150" s="3" t="s">
        <v>1168</v>
      </c>
      <c r="D3150" s="3" t="s">
        <v>1542</v>
      </c>
      <c r="E3150" s="3" t="s">
        <v>1543</v>
      </c>
      <c r="F3150" s="3">
        <v>3193925.31</v>
      </c>
      <c r="G3150" s="3">
        <v>5676980.8300000001</v>
      </c>
    </row>
    <row r="3151" spans="1:7" x14ac:dyDescent="0.2">
      <c r="A3151" s="3" t="s">
        <v>1072</v>
      </c>
      <c r="B3151" s="4">
        <v>45046</v>
      </c>
      <c r="C3151" s="3" t="s">
        <v>1168</v>
      </c>
      <c r="D3151" s="3" t="s">
        <v>1527</v>
      </c>
      <c r="E3151" s="3" t="s">
        <v>1528</v>
      </c>
      <c r="F3151" s="3">
        <v>111322.42</v>
      </c>
      <c r="G3151" s="3">
        <v>374545.6</v>
      </c>
    </row>
    <row r="3152" spans="1:7" x14ac:dyDescent="0.2">
      <c r="A3152" s="3" t="s">
        <v>1072</v>
      </c>
      <c r="B3152" s="4">
        <v>45046</v>
      </c>
      <c r="C3152" s="3" t="s">
        <v>1168</v>
      </c>
      <c r="D3152" s="3" t="s">
        <v>1560</v>
      </c>
      <c r="E3152" s="3" t="s">
        <v>1561</v>
      </c>
      <c r="F3152" s="3">
        <v>0</v>
      </c>
      <c r="G3152" s="3">
        <v>17292.48</v>
      </c>
    </row>
    <row r="3153" spans="1:7" x14ac:dyDescent="0.2">
      <c r="A3153" s="3" t="s">
        <v>1072</v>
      </c>
      <c r="B3153" s="4">
        <v>45046</v>
      </c>
      <c r="C3153" s="3" t="s">
        <v>1210</v>
      </c>
      <c r="D3153" s="3" t="s">
        <v>1509</v>
      </c>
      <c r="E3153" s="3" t="s">
        <v>1510</v>
      </c>
      <c r="F3153" s="3">
        <v>-175.49</v>
      </c>
      <c r="G3153" s="3">
        <v>-320.19</v>
      </c>
    </row>
    <row r="3154" spans="1:7" x14ac:dyDescent="0.2">
      <c r="A3154" s="3" t="s">
        <v>1072</v>
      </c>
      <c r="B3154" s="4">
        <v>45046</v>
      </c>
      <c r="C3154" s="3" t="s">
        <v>1210</v>
      </c>
      <c r="D3154" s="3" t="s">
        <v>1323</v>
      </c>
      <c r="E3154" s="3" t="s">
        <v>1324</v>
      </c>
      <c r="F3154" s="3">
        <v>-3.58</v>
      </c>
      <c r="G3154" s="3">
        <v>-10.39</v>
      </c>
    </row>
    <row r="3155" spans="1:7" x14ac:dyDescent="0.2">
      <c r="A3155" s="3" t="s">
        <v>1069</v>
      </c>
      <c r="B3155" s="4">
        <v>45046</v>
      </c>
      <c r="C3155" s="3" t="s">
        <v>1210</v>
      </c>
      <c r="D3155" s="3" t="s">
        <v>1249</v>
      </c>
      <c r="E3155" s="3" t="s">
        <v>1250</v>
      </c>
      <c r="F3155" s="3">
        <v>-106209.22</v>
      </c>
      <c r="G3155" s="3">
        <v>-330516.09000000003</v>
      </c>
    </row>
    <row r="3156" spans="1:7" x14ac:dyDescent="0.2">
      <c r="A3156" s="3" t="s">
        <v>1069</v>
      </c>
      <c r="B3156" s="4">
        <v>45046</v>
      </c>
      <c r="C3156" s="3" t="s">
        <v>1168</v>
      </c>
      <c r="D3156" s="3" t="s">
        <v>1169</v>
      </c>
      <c r="E3156" s="3" t="s">
        <v>1079</v>
      </c>
      <c r="F3156" s="3">
        <v>23300</v>
      </c>
      <c r="G3156" s="3">
        <v>45854.76</v>
      </c>
    </row>
    <row r="3157" spans="1:7" x14ac:dyDescent="0.2">
      <c r="A3157" s="3" t="s">
        <v>1074</v>
      </c>
      <c r="B3157" s="4">
        <v>45046</v>
      </c>
      <c r="C3157" s="3" t="s">
        <v>1168</v>
      </c>
      <c r="D3157" s="3" t="s">
        <v>1169</v>
      </c>
      <c r="E3157" s="3" t="s">
        <v>1079</v>
      </c>
      <c r="F3157" s="3">
        <v>1565.22</v>
      </c>
      <c r="G3157" s="3">
        <v>26540.22</v>
      </c>
    </row>
    <row r="3158" spans="1:7" x14ac:dyDescent="0.2">
      <c r="A3158" s="3" t="s">
        <v>1069</v>
      </c>
      <c r="B3158" s="4">
        <v>45046</v>
      </c>
      <c r="C3158" s="3" t="s">
        <v>1168</v>
      </c>
      <c r="D3158" s="3" t="s">
        <v>1261</v>
      </c>
      <c r="E3158" s="3" t="s">
        <v>1145</v>
      </c>
      <c r="F3158" s="3">
        <v>24960</v>
      </c>
      <c r="G3158" s="3">
        <v>24960</v>
      </c>
    </row>
    <row r="3159" spans="1:7" x14ac:dyDescent="0.2">
      <c r="A3159" s="3" t="s">
        <v>1072</v>
      </c>
      <c r="B3159" s="4">
        <v>45046</v>
      </c>
      <c r="C3159" s="3" t="s">
        <v>1168</v>
      </c>
      <c r="D3159" s="3" t="s">
        <v>1648</v>
      </c>
      <c r="E3159" s="3" t="s">
        <v>1084</v>
      </c>
      <c r="F3159" s="3">
        <v>0</v>
      </c>
      <c r="G3159" s="3">
        <v>295</v>
      </c>
    </row>
    <row r="3160" spans="1:7" x14ac:dyDescent="0.2">
      <c r="A3160" s="3" t="s">
        <v>1072</v>
      </c>
      <c r="B3160" s="4">
        <v>45046</v>
      </c>
      <c r="C3160" s="3" t="s">
        <v>1168</v>
      </c>
      <c r="D3160" s="3" t="s">
        <v>1339</v>
      </c>
      <c r="E3160" s="3" t="s">
        <v>1087</v>
      </c>
      <c r="F3160" s="3">
        <v>0</v>
      </c>
      <c r="G3160" s="3">
        <v>712</v>
      </c>
    </row>
    <row r="3161" spans="1:7" x14ac:dyDescent="0.2">
      <c r="A3161" s="3" t="s">
        <v>1072</v>
      </c>
      <c r="B3161" s="4">
        <v>45046</v>
      </c>
      <c r="C3161" s="3" t="s">
        <v>1168</v>
      </c>
      <c r="D3161" s="3" t="s">
        <v>1195</v>
      </c>
      <c r="E3161" s="3" t="s">
        <v>1085</v>
      </c>
      <c r="F3161" s="3">
        <v>1777.27</v>
      </c>
      <c r="G3161" s="3">
        <v>3708.73</v>
      </c>
    </row>
    <row r="3162" spans="1:7" x14ac:dyDescent="0.2">
      <c r="A3162" s="3" t="s">
        <v>1069</v>
      </c>
      <c r="B3162" s="4">
        <v>45046</v>
      </c>
      <c r="C3162" s="3" t="s">
        <v>1168</v>
      </c>
      <c r="D3162" s="3" t="s">
        <v>1195</v>
      </c>
      <c r="E3162" s="3" t="s">
        <v>1085</v>
      </c>
      <c r="F3162" s="3">
        <v>374.2</v>
      </c>
      <c r="G3162" s="3">
        <v>957.18</v>
      </c>
    </row>
    <row r="3163" spans="1:7" x14ac:dyDescent="0.2">
      <c r="A3163" s="3" t="s">
        <v>1072</v>
      </c>
      <c r="B3163" s="4">
        <v>45046</v>
      </c>
      <c r="C3163" s="3" t="s">
        <v>1168</v>
      </c>
      <c r="D3163" s="3" t="s">
        <v>1340</v>
      </c>
      <c r="E3163" s="3" t="s">
        <v>1141</v>
      </c>
      <c r="F3163" s="3">
        <v>0</v>
      </c>
      <c r="G3163" s="3">
        <v>355.4</v>
      </c>
    </row>
    <row r="3164" spans="1:7" x14ac:dyDescent="0.2">
      <c r="A3164" s="3" t="s">
        <v>1072</v>
      </c>
      <c r="B3164" s="4">
        <v>45046</v>
      </c>
      <c r="C3164" s="3" t="s">
        <v>1168</v>
      </c>
      <c r="D3164" s="3" t="s">
        <v>1342</v>
      </c>
      <c r="E3164" s="3" t="s">
        <v>1080</v>
      </c>
      <c r="F3164" s="3">
        <v>0</v>
      </c>
      <c r="G3164" s="3">
        <v>1604.52</v>
      </c>
    </row>
    <row r="3165" spans="1:7" x14ac:dyDescent="0.2">
      <c r="A3165" s="3" t="s">
        <v>1072</v>
      </c>
      <c r="B3165" s="4">
        <v>45046</v>
      </c>
      <c r="C3165" s="3" t="s">
        <v>1168</v>
      </c>
      <c r="D3165" s="3" t="s">
        <v>1504</v>
      </c>
      <c r="E3165" s="3" t="s">
        <v>1142</v>
      </c>
      <c r="F3165" s="3">
        <v>2532</v>
      </c>
      <c r="G3165" s="3">
        <v>7709</v>
      </c>
    </row>
    <row r="3166" spans="1:7" x14ac:dyDescent="0.2">
      <c r="A3166" s="3" t="s">
        <v>1069</v>
      </c>
      <c r="B3166" s="4">
        <v>45046</v>
      </c>
      <c r="C3166" s="3" t="s">
        <v>1168</v>
      </c>
      <c r="D3166" s="3" t="s">
        <v>1251</v>
      </c>
      <c r="E3166" s="3" t="s">
        <v>1095</v>
      </c>
      <c r="F3166" s="3">
        <v>98308</v>
      </c>
      <c r="G3166" s="3">
        <v>207526.57</v>
      </c>
    </row>
    <row r="3167" spans="1:7" x14ac:dyDescent="0.2">
      <c r="A3167" s="3" t="s">
        <v>1072</v>
      </c>
      <c r="B3167" s="4">
        <v>45046</v>
      </c>
      <c r="C3167" s="3" t="s">
        <v>1168</v>
      </c>
      <c r="D3167" s="3" t="s">
        <v>1348</v>
      </c>
      <c r="E3167" s="3" t="s">
        <v>1095</v>
      </c>
      <c r="F3167" s="3">
        <v>110452</v>
      </c>
      <c r="G3167" s="3">
        <v>254468.7</v>
      </c>
    </row>
    <row r="3168" spans="1:7" x14ac:dyDescent="0.2">
      <c r="A3168" s="3" t="s">
        <v>1069</v>
      </c>
      <c r="B3168" s="4">
        <v>45046</v>
      </c>
      <c r="C3168" s="3" t="s">
        <v>1168</v>
      </c>
      <c r="D3168" s="3" t="s">
        <v>1252</v>
      </c>
      <c r="E3168" s="3" t="s">
        <v>1120</v>
      </c>
      <c r="F3168" s="3">
        <v>4000</v>
      </c>
      <c r="G3168" s="3">
        <v>4000</v>
      </c>
    </row>
    <row r="3169" spans="1:7" x14ac:dyDescent="0.2">
      <c r="A3169" s="3" t="s">
        <v>1072</v>
      </c>
      <c r="B3169" s="4">
        <v>45046</v>
      </c>
      <c r="C3169" s="3" t="s">
        <v>1168</v>
      </c>
      <c r="D3169" s="3" t="s">
        <v>1350</v>
      </c>
      <c r="E3169" s="3" t="s">
        <v>1115</v>
      </c>
      <c r="F3169" s="3">
        <v>3323.88</v>
      </c>
      <c r="G3169" s="3">
        <v>6647.79</v>
      </c>
    </row>
    <row r="3170" spans="1:7" x14ac:dyDescent="0.2">
      <c r="A3170" s="3" t="s">
        <v>1072</v>
      </c>
      <c r="B3170" s="4">
        <v>45046</v>
      </c>
      <c r="C3170" s="3" t="s">
        <v>1168</v>
      </c>
      <c r="D3170" s="3" t="s">
        <v>1351</v>
      </c>
      <c r="E3170" s="3" t="s">
        <v>1096</v>
      </c>
      <c r="F3170" s="3">
        <v>193.34</v>
      </c>
      <c r="G3170" s="3">
        <v>386.67</v>
      </c>
    </row>
    <row r="3171" spans="1:7" x14ac:dyDescent="0.2">
      <c r="A3171" s="3" t="s">
        <v>1072</v>
      </c>
      <c r="B3171" s="4">
        <v>45046</v>
      </c>
      <c r="C3171" s="3" t="s">
        <v>1168</v>
      </c>
      <c r="D3171" s="3" t="s">
        <v>1474</v>
      </c>
      <c r="E3171" s="3" t="s">
        <v>1114</v>
      </c>
      <c r="F3171" s="3">
        <v>547.66999999999996</v>
      </c>
      <c r="G3171" s="3">
        <v>1095.3499999999999</v>
      </c>
    </row>
    <row r="3172" spans="1:7" x14ac:dyDescent="0.2">
      <c r="A3172" s="3" t="s">
        <v>1069</v>
      </c>
      <c r="B3172" s="4">
        <v>45046</v>
      </c>
      <c r="C3172" s="3" t="s">
        <v>1168</v>
      </c>
      <c r="D3172" s="3" t="s">
        <v>1229</v>
      </c>
      <c r="E3172" s="3" t="s">
        <v>1136</v>
      </c>
      <c r="F3172" s="3">
        <v>-2477.5100000000002</v>
      </c>
      <c r="G3172" s="3">
        <v>8738.6200000000008</v>
      </c>
    </row>
    <row r="3173" spans="1:7" x14ac:dyDescent="0.2">
      <c r="A3173" s="3" t="s">
        <v>1072</v>
      </c>
      <c r="B3173" s="4">
        <v>45046</v>
      </c>
      <c r="C3173" s="3" t="s">
        <v>1168</v>
      </c>
      <c r="D3173" s="3" t="s">
        <v>1229</v>
      </c>
      <c r="E3173" s="3" t="s">
        <v>1106</v>
      </c>
      <c r="F3173" s="3">
        <v>6676.08</v>
      </c>
      <c r="G3173" s="3">
        <v>14104.15</v>
      </c>
    </row>
    <row r="3174" spans="1:7" x14ac:dyDescent="0.2">
      <c r="A3174" s="3" t="s">
        <v>1069</v>
      </c>
      <c r="B3174" s="4">
        <v>45046</v>
      </c>
      <c r="C3174" s="3" t="s">
        <v>1168</v>
      </c>
      <c r="D3174" s="3" t="s">
        <v>1230</v>
      </c>
      <c r="E3174" s="3" t="s">
        <v>1109</v>
      </c>
      <c r="F3174" s="3">
        <v>-4301.84</v>
      </c>
      <c r="G3174" s="3">
        <v>35047.19</v>
      </c>
    </row>
    <row r="3175" spans="1:7" x14ac:dyDescent="0.2">
      <c r="A3175" s="3" t="s">
        <v>1069</v>
      </c>
      <c r="B3175" s="4">
        <v>45046</v>
      </c>
      <c r="C3175" s="3" t="s">
        <v>1168</v>
      </c>
      <c r="D3175" s="3" t="s">
        <v>1564</v>
      </c>
      <c r="E3175" s="3" t="s">
        <v>1101</v>
      </c>
      <c r="F3175" s="3">
        <v>0</v>
      </c>
      <c r="G3175" s="3">
        <v>10690.2</v>
      </c>
    </row>
    <row r="3176" spans="1:7" x14ac:dyDescent="0.2">
      <c r="A3176" s="3" t="s">
        <v>1069</v>
      </c>
      <c r="B3176" s="4">
        <v>45046</v>
      </c>
      <c r="C3176" s="3" t="s">
        <v>1168</v>
      </c>
      <c r="D3176" s="3" t="s">
        <v>1663</v>
      </c>
      <c r="E3176" s="3" t="s">
        <v>1082</v>
      </c>
      <c r="F3176" s="3">
        <v>0</v>
      </c>
      <c r="G3176" s="3">
        <v>199.99</v>
      </c>
    </row>
    <row r="3177" spans="1:7" x14ac:dyDescent="0.2">
      <c r="A3177" s="3" t="s">
        <v>1069</v>
      </c>
      <c r="B3177" s="4">
        <v>45046</v>
      </c>
      <c r="C3177" s="3" t="s">
        <v>1168</v>
      </c>
      <c r="D3177" s="3" t="s">
        <v>1544</v>
      </c>
      <c r="E3177" s="3" t="s">
        <v>1159</v>
      </c>
      <c r="F3177" s="3">
        <v>7350.33</v>
      </c>
      <c r="G3177" s="3">
        <v>7350.33</v>
      </c>
    </row>
    <row r="3178" spans="1:7" x14ac:dyDescent="0.2">
      <c r="A3178" s="3" t="s">
        <v>1072</v>
      </c>
      <c r="B3178" s="4">
        <v>45046</v>
      </c>
      <c r="C3178" s="3" t="s">
        <v>1168</v>
      </c>
      <c r="D3178" s="3" t="s">
        <v>1354</v>
      </c>
      <c r="E3178" s="3" t="s">
        <v>1078</v>
      </c>
      <c r="F3178" s="3">
        <v>4275.67</v>
      </c>
      <c r="G3178" s="3">
        <v>5734.41</v>
      </c>
    </row>
    <row r="3179" spans="1:7" x14ac:dyDescent="0.2">
      <c r="A3179" s="3" t="s">
        <v>1069</v>
      </c>
      <c r="B3179" s="4">
        <v>45046</v>
      </c>
      <c r="C3179" s="3" t="s">
        <v>1168</v>
      </c>
      <c r="D3179" s="3" t="s">
        <v>1456</v>
      </c>
      <c r="E3179" s="3" t="s">
        <v>1457</v>
      </c>
      <c r="F3179" s="3">
        <v>-715.47</v>
      </c>
      <c r="G3179" s="3">
        <v>-533.79999999999995</v>
      </c>
    </row>
    <row r="3180" spans="1:7" x14ac:dyDescent="0.2">
      <c r="A3180" s="3" t="s">
        <v>1069</v>
      </c>
      <c r="B3180" s="4">
        <v>45046</v>
      </c>
      <c r="C3180" s="3" t="s">
        <v>1168</v>
      </c>
      <c r="D3180" s="3" t="s">
        <v>1565</v>
      </c>
      <c r="E3180" s="3" t="s">
        <v>1566</v>
      </c>
      <c r="F3180" s="3">
        <v>62219.17</v>
      </c>
      <c r="G3180" s="3">
        <v>125422.63</v>
      </c>
    </row>
    <row r="3181" spans="1:7" x14ac:dyDescent="0.2">
      <c r="A3181" s="3" t="s">
        <v>1069</v>
      </c>
      <c r="B3181" s="4">
        <v>45046</v>
      </c>
      <c r="C3181" s="3" t="s">
        <v>1168</v>
      </c>
      <c r="D3181" s="3" t="s">
        <v>1567</v>
      </c>
      <c r="E3181" s="3" t="s">
        <v>1568</v>
      </c>
      <c r="F3181" s="3">
        <v>37361.65</v>
      </c>
      <c r="G3181" s="3">
        <v>40923.29</v>
      </c>
    </row>
    <row r="3182" spans="1:7" x14ac:dyDescent="0.2">
      <c r="A3182" s="3" t="s">
        <v>1069</v>
      </c>
      <c r="B3182" s="4">
        <v>45046</v>
      </c>
      <c r="C3182" s="3" t="s">
        <v>1168</v>
      </c>
      <c r="D3182" s="3" t="s">
        <v>1569</v>
      </c>
      <c r="E3182" s="3" t="s">
        <v>1570</v>
      </c>
      <c r="F3182" s="3">
        <v>22913.02</v>
      </c>
      <c r="G3182" s="3">
        <v>22913.02</v>
      </c>
    </row>
    <row r="3183" spans="1:7" x14ac:dyDescent="0.2">
      <c r="A3183" s="3" t="s">
        <v>1069</v>
      </c>
      <c r="B3183" s="4">
        <v>45046</v>
      </c>
      <c r="C3183" s="3" t="s">
        <v>1168</v>
      </c>
      <c r="D3183" s="3" t="s">
        <v>1608</v>
      </c>
      <c r="E3183" s="3" t="s">
        <v>1609</v>
      </c>
      <c r="F3183" s="3">
        <v>11027.39</v>
      </c>
      <c r="G3183" s="3">
        <v>11027.39</v>
      </c>
    </row>
    <row r="3184" spans="1:7" x14ac:dyDescent="0.2">
      <c r="A3184" s="3" t="s">
        <v>1069</v>
      </c>
      <c r="B3184" s="4">
        <v>45046</v>
      </c>
      <c r="C3184" s="3" t="s">
        <v>1168</v>
      </c>
      <c r="D3184" s="3" t="s">
        <v>1571</v>
      </c>
      <c r="E3184" s="3" t="s">
        <v>1572</v>
      </c>
      <c r="F3184" s="3">
        <v>0</v>
      </c>
      <c r="G3184" s="3">
        <v>40376.71</v>
      </c>
    </row>
    <row r="3185" spans="1:7" x14ac:dyDescent="0.2">
      <c r="A3185" s="3" t="s">
        <v>1069</v>
      </c>
      <c r="B3185" s="4">
        <v>45046</v>
      </c>
      <c r="C3185" s="3" t="s">
        <v>1168</v>
      </c>
      <c r="D3185" s="3" t="s">
        <v>1573</v>
      </c>
      <c r="E3185" s="3" t="s">
        <v>1574</v>
      </c>
      <c r="F3185" s="3">
        <v>55479.45</v>
      </c>
      <c r="G3185" s="3">
        <v>188815.06</v>
      </c>
    </row>
    <row r="3186" spans="1:7" x14ac:dyDescent="0.2">
      <c r="A3186" s="3" t="s">
        <v>1069</v>
      </c>
      <c r="B3186" s="4">
        <v>45046</v>
      </c>
      <c r="C3186" s="3" t="s">
        <v>1168</v>
      </c>
      <c r="D3186" s="3" t="s">
        <v>1629</v>
      </c>
      <c r="E3186" s="3" t="s">
        <v>1630</v>
      </c>
      <c r="F3186" s="3">
        <v>14451.92</v>
      </c>
      <c r="G3186" s="3">
        <v>14451.92</v>
      </c>
    </row>
    <row r="3187" spans="1:7" x14ac:dyDescent="0.2">
      <c r="A3187" s="3" t="s">
        <v>1069</v>
      </c>
      <c r="B3187" s="4">
        <v>45046</v>
      </c>
      <c r="C3187" s="3" t="s">
        <v>1168</v>
      </c>
      <c r="D3187" s="3" t="s">
        <v>1575</v>
      </c>
      <c r="E3187" s="3" t="s">
        <v>1576</v>
      </c>
      <c r="F3187" s="3">
        <v>1454819.17</v>
      </c>
      <c r="G3187" s="3">
        <v>2570422.4700000002</v>
      </c>
    </row>
    <row r="3188" spans="1:7" x14ac:dyDescent="0.2">
      <c r="A3188" s="3" t="s">
        <v>1072</v>
      </c>
      <c r="B3188" s="4">
        <v>45046</v>
      </c>
      <c r="C3188" s="3" t="s">
        <v>1168</v>
      </c>
      <c r="D3188" s="3" t="s">
        <v>1671</v>
      </c>
      <c r="E3188" s="3" t="s">
        <v>1119</v>
      </c>
      <c r="F3188" s="3">
        <v>5202.88</v>
      </c>
      <c r="G3188" s="3">
        <v>5202.88</v>
      </c>
    </row>
    <row r="3189" spans="1:7" x14ac:dyDescent="0.2">
      <c r="A3189" s="3" t="s">
        <v>1069</v>
      </c>
      <c r="B3189" s="4">
        <v>45046</v>
      </c>
      <c r="C3189" s="3" t="s">
        <v>1168</v>
      </c>
      <c r="D3189" s="3" t="s">
        <v>1253</v>
      </c>
      <c r="E3189" s="3" t="s">
        <v>1103</v>
      </c>
      <c r="F3189" s="3">
        <v>8404.2000000000007</v>
      </c>
      <c r="G3189" s="3">
        <v>13574.15</v>
      </c>
    </row>
    <row r="3190" spans="1:7" x14ac:dyDescent="0.2">
      <c r="A3190" s="3" t="s">
        <v>1072</v>
      </c>
      <c r="B3190" s="4">
        <v>45046</v>
      </c>
      <c r="C3190" s="3" t="s">
        <v>1168</v>
      </c>
      <c r="D3190" s="3" t="s">
        <v>1672</v>
      </c>
      <c r="E3190" s="3" t="s">
        <v>1097</v>
      </c>
      <c r="F3190" s="3">
        <v>362</v>
      </c>
      <c r="G3190" s="3">
        <v>362</v>
      </c>
    </row>
    <row r="3191" spans="1:7" x14ac:dyDescent="0.2">
      <c r="A3191" s="3" t="s">
        <v>1072</v>
      </c>
      <c r="B3191" s="4">
        <v>45046</v>
      </c>
      <c r="C3191" s="3" t="s">
        <v>1168</v>
      </c>
      <c r="D3191" s="3" t="s">
        <v>1357</v>
      </c>
      <c r="E3191" s="3" t="s">
        <v>1157</v>
      </c>
      <c r="F3191" s="3">
        <v>7124.28</v>
      </c>
      <c r="G3191" s="3">
        <v>12713.79</v>
      </c>
    </row>
    <row r="3192" spans="1:7" x14ac:dyDescent="0.2">
      <c r="A3192" s="3" t="s">
        <v>1072</v>
      </c>
      <c r="B3192" s="4">
        <v>45046</v>
      </c>
      <c r="C3192" s="3" t="s">
        <v>1168</v>
      </c>
      <c r="D3192" s="3" t="s">
        <v>1201</v>
      </c>
      <c r="E3192" s="3" t="s">
        <v>1112</v>
      </c>
      <c r="F3192" s="3">
        <v>1173.9100000000001</v>
      </c>
      <c r="G3192" s="3">
        <v>3473.04</v>
      </c>
    </row>
    <row r="3193" spans="1:7" x14ac:dyDescent="0.2">
      <c r="A3193" s="3" t="s">
        <v>1072</v>
      </c>
      <c r="B3193" s="4">
        <v>45046</v>
      </c>
      <c r="C3193" s="3" t="s">
        <v>1168</v>
      </c>
      <c r="D3193" s="3" t="s">
        <v>1360</v>
      </c>
      <c r="E3193" s="3" t="s">
        <v>1098</v>
      </c>
      <c r="F3193" s="3">
        <v>1777.93</v>
      </c>
      <c r="G3193" s="3">
        <v>3153.23</v>
      </c>
    </row>
    <row r="3194" spans="1:7" x14ac:dyDescent="0.2">
      <c r="A3194" s="3" t="s">
        <v>1072</v>
      </c>
      <c r="B3194" s="4">
        <v>45046</v>
      </c>
      <c r="C3194" s="3" t="s">
        <v>1168</v>
      </c>
      <c r="D3194" s="3" t="s">
        <v>1361</v>
      </c>
      <c r="E3194" s="3" t="s">
        <v>1121</v>
      </c>
      <c r="F3194" s="3">
        <v>29600</v>
      </c>
      <c r="G3194" s="3">
        <v>59200</v>
      </c>
    </row>
    <row r="3195" spans="1:7" x14ac:dyDescent="0.2">
      <c r="A3195" s="3" t="s">
        <v>1072</v>
      </c>
      <c r="B3195" s="4">
        <v>45046</v>
      </c>
      <c r="C3195" s="3" t="s">
        <v>1168</v>
      </c>
      <c r="D3195" s="3" t="s">
        <v>1231</v>
      </c>
      <c r="E3195" s="3" t="s">
        <v>1083</v>
      </c>
      <c r="F3195" s="3">
        <v>843.6</v>
      </c>
      <c r="G3195" s="3">
        <v>1687.2</v>
      </c>
    </row>
    <row r="3196" spans="1:7" x14ac:dyDescent="0.2">
      <c r="A3196" s="3" t="s">
        <v>1069</v>
      </c>
      <c r="B3196" s="4">
        <v>45046</v>
      </c>
      <c r="C3196" s="3" t="s">
        <v>1168</v>
      </c>
      <c r="D3196" s="3" t="s">
        <v>1231</v>
      </c>
      <c r="E3196" s="3" t="s">
        <v>1070</v>
      </c>
      <c r="F3196" s="3">
        <v>-42216.76</v>
      </c>
      <c r="G3196" s="3">
        <v>-11397.51</v>
      </c>
    </row>
    <row r="3197" spans="1:7" x14ac:dyDescent="0.2">
      <c r="A3197" s="3" t="s">
        <v>1072</v>
      </c>
      <c r="B3197" s="4">
        <v>45046</v>
      </c>
      <c r="C3197" s="3" t="s">
        <v>1168</v>
      </c>
      <c r="D3197" s="3" t="s">
        <v>1254</v>
      </c>
      <c r="E3197" s="3" t="s">
        <v>1075</v>
      </c>
      <c r="F3197" s="3">
        <v>750</v>
      </c>
      <c r="G3197" s="3">
        <v>7102.8</v>
      </c>
    </row>
    <row r="3198" spans="1:7" x14ac:dyDescent="0.2">
      <c r="A3198" s="3" t="s">
        <v>1072</v>
      </c>
      <c r="B3198" s="4">
        <v>45046</v>
      </c>
      <c r="C3198" s="3" t="s">
        <v>1168</v>
      </c>
      <c r="D3198" s="3" t="s">
        <v>1362</v>
      </c>
      <c r="E3198" s="3" t="s">
        <v>1123</v>
      </c>
      <c r="F3198" s="3">
        <v>327361.08</v>
      </c>
      <c r="G3198" s="3">
        <v>638540.74</v>
      </c>
    </row>
    <row r="3199" spans="1:7" x14ac:dyDescent="0.2">
      <c r="A3199" s="3" t="s">
        <v>1072</v>
      </c>
      <c r="B3199" s="4">
        <v>45046</v>
      </c>
      <c r="C3199" s="3" t="s">
        <v>1168</v>
      </c>
      <c r="D3199" s="3" t="s">
        <v>1511</v>
      </c>
      <c r="E3199" s="3" t="s">
        <v>1104</v>
      </c>
      <c r="F3199" s="3">
        <v>177.33</v>
      </c>
      <c r="G3199" s="3">
        <v>354.66</v>
      </c>
    </row>
    <row r="3200" spans="1:7" x14ac:dyDescent="0.2">
      <c r="A3200" s="3" t="s">
        <v>1072</v>
      </c>
      <c r="B3200" s="4">
        <v>45046</v>
      </c>
      <c r="C3200" s="3" t="s">
        <v>1168</v>
      </c>
      <c r="D3200" s="3" t="s">
        <v>1366</v>
      </c>
      <c r="E3200" s="3" t="s">
        <v>1144</v>
      </c>
      <c r="F3200" s="3">
        <v>1600</v>
      </c>
      <c r="G3200" s="3">
        <v>2433.91</v>
      </c>
    </row>
    <row r="3201" spans="1:7" x14ac:dyDescent="0.2">
      <c r="A3201" s="3" t="s">
        <v>1069</v>
      </c>
      <c r="B3201" s="4">
        <v>45046</v>
      </c>
      <c r="C3201" s="3" t="s">
        <v>1168</v>
      </c>
      <c r="D3201" s="3" t="s">
        <v>1213</v>
      </c>
      <c r="E3201" s="3" t="s">
        <v>1150</v>
      </c>
      <c r="F3201" s="3">
        <v>328.38</v>
      </c>
      <c r="G3201" s="3">
        <v>656.76</v>
      </c>
    </row>
    <row r="3202" spans="1:7" x14ac:dyDescent="0.2">
      <c r="A3202" s="3" t="s">
        <v>1072</v>
      </c>
      <c r="B3202" s="4">
        <v>45046</v>
      </c>
      <c r="C3202" s="3" t="s">
        <v>1168</v>
      </c>
      <c r="D3202" s="3" t="s">
        <v>1368</v>
      </c>
      <c r="E3202" s="3" t="s">
        <v>1124</v>
      </c>
      <c r="F3202" s="3">
        <v>244.98</v>
      </c>
      <c r="G3202" s="3">
        <v>244.98</v>
      </c>
    </row>
    <row r="3203" spans="1:7" x14ac:dyDescent="0.2">
      <c r="A3203" s="3" t="s">
        <v>1072</v>
      </c>
      <c r="B3203" s="4">
        <v>45046</v>
      </c>
      <c r="C3203" s="3" t="s">
        <v>1168</v>
      </c>
      <c r="D3203" s="3" t="s">
        <v>1370</v>
      </c>
      <c r="E3203" s="3" t="s">
        <v>1129</v>
      </c>
      <c r="F3203" s="3">
        <v>747</v>
      </c>
      <c r="G3203" s="3">
        <v>1494</v>
      </c>
    </row>
    <row r="3204" spans="1:7" x14ac:dyDescent="0.2">
      <c r="A3204" s="3" t="s">
        <v>1072</v>
      </c>
      <c r="B3204" s="4">
        <v>45046</v>
      </c>
      <c r="C3204" s="3" t="s">
        <v>1168</v>
      </c>
      <c r="D3204" s="3" t="s">
        <v>1371</v>
      </c>
      <c r="E3204" s="3" t="s">
        <v>1093</v>
      </c>
      <c r="F3204" s="3">
        <v>0</v>
      </c>
      <c r="G3204" s="3">
        <v>10825.49</v>
      </c>
    </row>
    <row r="3205" spans="1:7" x14ac:dyDescent="0.2">
      <c r="A3205" s="3" t="s">
        <v>1072</v>
      </c>
      <c r="B3205" s="4">
        <v>45046</v>
      </c>
      <c r="C3205" s="3" t="s">
        <v>1168</v>
      </c>
      <c r="D3205" s="3" t="s">
        <v>1372</v>
      </c>
      <c r="E3205" s="3" t="s">
        <v>1158</v>
      </c>
      <c r="F3205" s="3">
        <v>600</v>
      </c>
      <c r="G3205" s="3">
        <v>1200</v>
      </c>
    </row>
    <row r="3206" spans="1:7" x14ac:dyDescent="0.2">
      <c r="A3206" s="3" t="s">
        <v>1072</v>
      </c>
      <c r="B3206" s="4">
        <v>45046</v>
      </c>
      <c r="C3206" s="3" t="s">
        <v>1168</v>
      </c>
      <c r="D3206" s="3" t="s">
        <v>1373</v>
      </c>
      <c r="E3206" s="3" t="s">
        <v>1092</v>
      </c>
      <c r="F3206" s="3">
        <v>803.5</v>
      </c>
      <c r="G3206" s="3">
        <v>1408.5</v>
      </c>
    </row>
    <row r="3207" spans="1:7" x14ac:dyDescent="0.2">
      <c r="A3207" s="3" t="s">
        <v>1069</v>
      </c>
      <c r="B3207" s="4">
        <v>45046</v>
      </c>
      <c r="C3207" s="3" t="s">
        <v>1168</v>
      </c>
      <c r="D3207" s="3" t="s">
        <v>1232</v>
      </c>
      <c r="E3207" s="3" t="s">
        <v>1105</v>
      </c>
      <c r="F3207" s="3">
        <v>600</v>
      </c>
      <c r="G3207" s="3">
        <v>1200</v>
      </c>
    </row>
    <row r="3208" spans="1:7" x14ac:dyDescent="0.2">
      <c r="A3208" s="3" t="s">
        <v>1074</v>
      </c>
      <c r="B3208" s="4">
        <v>45046</v>
      </c>
      <c r="C3208" s="3" t="s">
        <v>1168</v>
      </c>
      <c r="D3208" s="3" t="s">
        <v>1232</v>
      </c>
      <c r="E3208" s="3" t="s">
        <v>1105</v>
      </c>
      <c r="F3208" s="3">
        <v>600</v>
      </c>
      <c r="G3208" s="3">
        <v>1200</v>
      </c>
    </row>
    <row r="3209" spans="1:7" x14ac:dyDescent="0.2">
      <c r="A3209" s="3" t="s">
        <v>1072</v>
      </c>
      <c r="B3209" s="4">
        <v>45046</v>
      </c>
      <c r="C3209" s="3" t="s">
        <v>1168</v>
      </c>
      <c r="D3209" s="3" t="s">
        <v>1378</v>
      </c>
      <c r="E3209" s="3" t="s">
        <v>1143</v>
      </c>
      <c r="F3209" s="3">
        <v>76990.11</v>
      </c>
      <c r="G3209" s="3">
        <v>152808.49</v>
      </c>
    </row>
    <row r="3210" spans="1:7" x14ac:dyDescent="0.2">
      <c r="A3210" s="3" t="s">
        <v>1072</v>
      </c>
      <c r="B3210" s="4">
        <v>45046</v>
      </c>
      <c r="C3210" s="3" t="s">
        <v>1168</v>
      </c>
      <c r="D3210" s="3" t="s">
        <v>1379</v>
      </c>
      <c r="E3210" s="3" t="s">
        <v>1107</v>
      </c>
      <c r="F3210" s="3">
        <v>3918.5</v>
      </c>
      <c r="G3210" s="3">
        <v>7662.63</v>
      </c>
    </row>
    <row r="3211" spans="1:7" x14ac:dyDescent="0.2">
      <c r="A3211" s="3" t="s">
        <v>1072</v>
      </c>
      <c r="B3211" s="4">
        <v>45046</v>
      </c>
      <c r="C3211" s="3" t="s">
        <v>1168</v>
      </c>
      <c r="D3211" s="3" t="s">
        <v>1380</v>
      </c>
      <c r="E3211" s="3" t="s">
        <v>1125</v>
      </c>
      <c r="F3211" s="3">
        <v>2003.44</v>
      </c>
      <c r="G3211" s="3">
        <v>3924.06</v>
      </c>
    </row>
    <row r="3212" spans="1:7" x14ac:dyDescent="0.2">
      <c r="A3212" s="3" t="s">
        <v>1072</v>
      </c>
      <c r="B3212" s="4">
        <v>45046</v>
      </c>
      <c r="C3212" s="3" t="s">
        <v>1168</v>
      </c>
      <c r="D3212" s="3" t="s">
        <v>1381</v>
      </c>
      <c r="E3212" s="3" t="s">
        <v>1130</v>
      </c>
      <c r="F3212" s="3">
        <v>2003.44</v>
      </c>
      <c r="G3212" s="3">
        <v>3924.06</v>
      </c>
    </row>
    <row r="3213" spans="1:7" x14ac:dyDescent="0.2">
      <c r="A3213" s="3" t="s">
        <v>1072</v>
      </c>
      <c r="B3213" s="4">
        <v>45046</v>
      </c>
      <c r="C3213" s="3" t="s">
        <v>1168</v>
      </c>
      <c r="D3213" s="3" t="s">
        <v>1458</v>
      </c>
      <c r="E3213" s="3" t="s">
        <v>1113</v>
      </c>
      <c r="F3213" s="3">
        <v>7034</v>
      </c>
      <c r="G3213" s="3">
        <v>12068</v>
      </c>
    </row>
    <row r="3214" spans="1:7" x14ac:dyDescent="0.2">
      <c r="A3214" s="3" t="s">
        <v>1072</v>
      </c>
      <c r="B3214" s="4">
        <v>45046</v>
      </c>
      <c r="C3214" s="3" t="s">
        <v>1168</v>
      </c>
      <c r="D3214" s="3" t="s">
        <v>1459</v>
      </c>
      <c r="E3214" s="3" t="s">
        <v>1139</v>
      </c>
      <c r="F3214" s="3">
        <v>1775.25</v>
      </c>
      <c r="G3214" s="3">
        <v>3550.5</v>
      </c>
    </row>
    <row r="3215" spans="1:7" x14ac:dyDescent="0.2">
      <c r="A3215" s="3" t="s">
        <v>1069</v>
      </c>
      <c r="B3215" s="4">
        <v>45046</v>
      </c>
      <c r="C3215" s="3" t="s">
        <v>1172</v>
      </c>
      <c r="D3215" s="3" t="s">
        <v>1173</v>
      </c>
      <c r="E3215" s="3" t="s">
        <v>1174</v>
      </c>
      <c r="F3215" s="3">
        <v>0</v>
      </c>
      <c r="G3215" s="3">
        <v>-100</v>
      </c>
    </row>
    <row r="3216" spans="1:7" x14ac:dyDescent="0.2">
      <c r="A3216" s="3" t="s">
        <v>1072</v>
      </c>
      <c r="B3216" s="4">
        <v>45046</v>
      </c>
      <c r="C3216" s="3" t="s">
        <v>1172</v>
      </c>
      <c r="D3216" s="3" t="s">
        <v>1382</v>
      </c>
      <c r="E3216" s="3" t="s">
        <v>1383</v>
      </c>
      <c r="F3216" s="3">
        <v>0</v>
      </c>
      <c r="G3216" s="3">
        <v>-120</v>
      </c>
    </row>
    <row r="3217" spans="1:7" x14ac:dyDescent="0.2">
      <c r="A3217" s="3" t="s">
        <v>1072</v>
      </c>
      <c r="B3217" s="4">
        <v>45046</v>
      </c>
      <c r="C3217" s="3" t="s">
        <v>1172</v>
      </c>
      <c r="D3217" s="3" t="s">
        <v>1384</v>
      </c>
      <c r="E3217" s="3" t="s">
        <v>1385</v>
      </c>
      <c r="F3217" s="3">
        <v>0</v>
      </c>
      <c r="G3217" s="3">
        <v>-296075.58</v>
      </c>
    </row>
    <row r="3218" spans="1:7" x14ac:dyDescent="0.2">
      <c r="A3218" s="3" t="s">
        <v>1069</v>
      </c>
      <c r="B3218" s="4">
        <v>45046</v>
      </c>
      <c r="C3218" s="3" t="s">
        <v>1172</v>
      </c>
      <c r="D3218" s="3" t="s">
        <v>1384</v>
      </c>
      <c r="E3218" s="3" t="s">
        <v>1385</v>
      </c>
      <c r="F3218" s="3">
        <v>0</v>
      </c>
      <c r="G3218" s="3">
        <v>-17843179.579999998</v>
      </c>
    </row>
    <row r="3219" spans="1:7" x14ac:dyDescent="0.2">
      <c r="A3219" s="3" t="s">
        <v>1074</v>
      </c>
      <c r="B3219" s="4">
        <v>45046</v>
      </c>
      <c r="C3219" s="3" t="s">
        <v>1172</v>
      </c>
      <c r="D3219" s="3" t="s">
        <v>1384</v>
      </c>
      <c r="E3219" s="3" t="s">
        <v>1385</v>
      </c>
      <c r="F3219" s="3">
        <v>0</v>
      </c>
      <c r="G3219" s="3">
        <v>70398.12</v>
      </c>
    </row>
    <row r="3220" spans="1:7" x14ac:dyDescent="0.2">
      <c r="A3220" s="3" t="s">
        <v>1069</v>
      </c>
      <c r="B3220" s="4">
        <v>45046</v>
      </c>
      <c r="C3220" s="3" t="s">
        <v>1180</v>
      </c>
      <c r="D3220" s="3" t="s">
        <v>1241</v>
      </c>
      <c r="E3220" s="3" t="s">
        <v>1242</v>
      </c>
      <c r="F3220" s="3">
        <v>0</v>
      </c>
      <c r="G3220" s="3">
        <v>17562360.850000001</v>
      </c>
    </row>
    <row r="3221" spans="1:7" x14ac:dyDescent="0.2">
      <c r="A3221" s="3" t="s">
        <v>1072</v>
      </c>
      <c r="B3221" s="4">
        <v>45046</v>
      </c>
      <c r="C3221" s="3" t="s">
        <v>1180</v>
      </c>
      <c r="D3221" s="3" t="s">
        <v>1483</v>
      </c>
      <c r="E3221" s="3" t="s">
        <v>1177</v>
      </c>
      <c r="F3221" s="3">
        <v>0</v>
      </c>
      <c r="G3221" s="3">
        <v>185000</v>
      </c>
    </row>
    <row r="3222" spans="1:7" x14ac:dyDescent="0.2">
      <c r="A3222" s="3" t="s">
        <v>1072</v>
      </c>
      <c r="B3222" s="4">
        <v>45046</v>
      </c>
      <c r="C3222" s="3" t="s">
        <v>1180</v>
      </c>
      <c r="D3222" s="3" t="s">
        <v>1388</v>
      </c>
      <c r="E3222" s="3" t="s">
        <v>1389</v>
      </c>
      <c r="F3222" s="3">
        <v>0</v>
      </c>
      <c r="G3222" s="3">
        <v>-4342.5</v>
      </c>
    </row>
    <row r="3223" spans="1:7" x14ac:dyDescent="0.2">
      <c r="A3223" s="3" t="s">
        <v>1072</v>
      </c>
      <c r="B3223" s="4">
        <v>45046</v>
      </c>
      <c r="C3223" s="3" t="s">
        <v>1180</v>
      </c>
      <c r="D3223" s="3" t="s">
        <v>1390</v>
      </c>
      <c r="E3223" s="3" t="s">
        <v>1391</v>
      </c>
      <c r="F3223" s="3">
        <v>-1900000</v>
      </c>
      <c r="G3223" s="3">
        <v>-2261000</v>
      </c>
    </row>
    <row r="3224" spans="1:7" x14ac:dyDescent="0.2">
      <c r="A3224" s="3" t="s">
        <v>1072</v>
      </c>
      <c r="B3224" s="4">
        <v>45046</v>
      </c>
      <c r="C3224" s="3" t="s">
        <v>1180</v>
      </c>
      <c r="D3224" s="3" t="s">
        <v>1392</v>
      </c>
      <c r="E3224" s="3" t="s">
        <v>1393</v>
      </c>
      <c r="F3224" s="3">
        <v>0</v>
      </c>
      <c r="G3224" s="3">
        <v>4342.5</v>
      </c>
    </row>
    <row r="3225" spans="1:7" x14ac:dyDescent="0.2">
      <c r="A3225" s="3" t="s">
        <v>1072</v>
      </c>
      <c r="B3225" s="4">
        <v>45046</v>
      </c>
      <c r="C3225" s="3" t="s">
        <v>1180</v>
      </c>
      <c r="D3225" s="3" t="s">
        <v>1394</v>
      </c>
      <c r="E3225" s="3" t="s">
        <v>1256</v>
      </c>
      <c r="F3225" s="3">
        <v>600</v>
      </c>
      <c r="G3225" s="3">
        <v>1200</v>
      </c>
    </row>
    <row r="3226" spans="1:7" x14ac:dyDescent="0.2">
      <c r="A3226" s="3" t="s">
        <v>1072</v>
      </c>
      <c r="B3226" s="4">
        <v>45046</v>
      </c>
      <c r="C3226" s="3" t="s">
        <v>1180</v>
      </c>
      <c r="D3226" s="3" t="s">
        <v>1395</v>
      </c>
      <c r="E3226" s="3" t="s">
        <v>1396</v>
      </c>
      <c r="F3226" s="3">
        <v>0</v>
      </c>
      <c r="G3226" s="3">
        <v>-10376940.42</v>
      </c>
    </row>
    <row r="3227" spans="1:7" x14ac:dyDescent="0.2">
      <c r="A3227" s="3" t="s">
        <v>1072</v>
      </c>
      <c r="B3227" s="4">
        <v>45046</v>
      </c>
      <c r="C3227" s="3" t="s">
        <v>1180</v>
      </c>
      <c r="D3227" s="3" t="s">
        <v>1397</v>
      </c>
      <c r="E3227" s="3" t="s">
        <v>1398</v>
      </c>
      <c r="F3227" s="3">
        <v>600</v>
      </c>
      <c r="G3227" s="3">
        <v>1200</v>
      </c>
    </row>
    <row r="3228" spans="1:7" x14ac:dyDescent="0.2">
      <c r="A3228" s="3" t="s">
        <v>1072</v>
      </c>
      <c r="B3228" s="4">
        <v>45046</v>
      </c>
      <c r="C3228" s="3" t="s">
        <v>1180</v>
      </c>
      <c r="D3228" s="3" t="s">
        <v>1512</v>
      </c>
      <c r="E3228" s="3" t="s">
        <v>1513</v>
      </c>
      <c r="F3228" s="3">
        <v>4011000</v>
      </c>
      <c r="G3228" s="3">
        <v>18846187.399999999</v>
      </c>
    </row>
    <row r="3229" spans="1:7" x14ac:dyDescent="0.2">
      <c r="A3229" s="3" t="s">
        <v>1072</v>
      </c>
      <c r="B3229" s="4">
        <v>45046</v>
      </c>
      <c r="C3229" s="3" t="s">
        <v>1180</v>
      </c>
      <c r="D3229" s="3" t="s">
        <v>1399</v>
      </c>
      <c r="E3229" s="3" t="s">
        <v>1400</v>
      </c>
      <c r="F3229" s="3">
        <v>0</v>
      </c>
      <c r="G3229" s="3">
        <v>-120000</v>
      </c>
    </row>
    <row r="3230" spans="1:7" x14ac:dyDescent="0.2">
      <c r="A3230" s="3" t="s">
        <v>1074</v>
      </c>
      <c r="B3230" s="4">
        <v>45046</v>
      </c>
      <c r="C3230" s="3" t="s">
        <v>1175</v>
      </c>
      <c r="D3230" s="3" t="s">
        <v>1492</v>
      </c>
      <c r="E3230" s="3" t="s">
        <v>1493</v>
      </c>
      <c r="F3230" s="3">
        <v>-7391879.0300000003</v>
      </c>
      <c r="G3230" s="3">
        <v>-26749727.600000001</v>
      </c>
    </row>
    <row r="3231" spans="1:7" x14ac:dyDescent="0.2">
      <c r="A3231" s="3" t="s">
        <v>1069</v>
      </c>
      <c r="B3231" s="4">
        <v>45046</v>
      </c>
      <c r="C3231" s="3" t="s">
        <v>1175</v>
      </c>
      <c r="D3231" s="3" t="s">
        <v>1178</v>
      </c>
      <c r="E3231" s="3" t="s">
        <v>1179</v>
      </c>
      <c r="F3231" s="3">
        <v>0</v>
      </c>
      <c r="G3231" s="3">
        <v>10376940.42</v>
      </c>
    </row>
    <row r="3232" spans="1:7" x14ac:dyDescent="0.2">
      <c r="A3232" s="3" t="s">
        <v>1069</v>
      </c>
      <c r="B3232" s="4">
        <v>45046</v>
      </c>
      <c r="C3232" s="3" t="s">
        <v>1175</v>
      </c>
      <c r="D3232" s="3" t="s">
        <v>1233</v>
      </c>
      <c r="E3232" s="3" t="s">
        <v>1234</v>
      </c>
      <c r="F3232" s="3">
        <v>0</v>
      </c>
      <c r="G3232" s="3">
        <v>2703000</v>
      </c>
    </row>
    <row r="3233" spans="1:7" x14ac:dyDescent="0.2">
      <c r="A3233" s="3" t="s">
        <v>1069</v>
      </c>
      <c r="B3233" s="4">
        <v>45046</v>
      </c>
      <c r="C3233" s="3" t="s">
        <v>1175</v>
      </c>
      <c r="D3233" s="3" t="s">
        <v>1494</v>
      </c>
      <c r="E3233" s="3" t="s">
        <v>1495</v>
      </c>
      <c r="F3233" s="3">
        <v>7391879.0300000003</v>
      </c>
      <c r="G3233" s="3">
        <v>26749727.600000001</v>
      </c>
    </row>
    <row r="3234" spans="1:7" x14ac:dyDescent="0.2">
      <c r="A3234" s="3" t="s">
        <v>1069</v>
      </c>
      <c r="B3234" s="4">
        <v>45046</v>
      </c>
      <c r="C3234" s="3" t="s">
        <v>1175</v>
      </c>
      <c r="D3234" s="3" t="s">
        <v>1516</v>
      </c>
      <c r="E3234" s="3" t="s">
        <v>1400</v>
      </c>
      <c r="F3234" s="3">
        <v>0</v>
      </c>
      <c r="G3234" s="3">
        <v>41000</v>
      </c>
    </row>
    <row r="3235" spans="1:7" x14ac:dyDescent="0.2">
      <c r="A3235" s="3" t="s">
        <v>1072</v>
      </c>
      <c r="B3235" s="4">
        <v>45046</v>
      </c>
      <c r="C3235" s="3" t="s">
        <v>1180</v>
      </c>
      <c r="D3235" s="3" t="s">
        <v>1409</v>
      </c>
      <c r="E3235" s="3" t="s">
        <v>1410</v>
      </c>
      <c r="F3235" s="3">
        <v>0</v>
      </c>
      <c r="G3235" s="3">
        <v>216064.1</v>
      </c>
    </row>
    <row r="3236" spans="1:7" x14ac:dyDescent="0.2">
      <c r="A3236" s="3" t="s">
        <v>1072</v>
      </c>
      <c r="B3236" s="4">
        <v>45046</v>
      </c>
      <c r="C3236" s="3" t="s">
        <v>1180</v>
      </c>
      <c r="D3236" s="3" t="s">
        <v>1411</v>
      </c>
      <c r="E3236" s="3" t="s">
        <v>1412</v>
      </c>
      <c r="F3236" s="3">
        <v>0</v>
      </c>
      <c r="G3236" s="3">
        <v>-216063.1</v>
      </c>
    </row>
    <row r="3237" spans="1:7" x14ac:dyDescent="0.2">
      <c r="A3237" s="3" t="s">
        <v>1072</v>
      </c>
      <c r="B3237" s="4">
        <v>45046</v>
      </c>
      <c r="C3237" s="3" t="s">
        <v>1180</v>
      </c>
      <c r="D3237" s="3" t="s">
        <v>1413</v>
      </c>
      <c r="E3237" s="3" t="s">
        <v>1414</v>
      </c>
      <c r="F3237" s="3">
        <v>0</v>
      </c>
      <c r="G3237" s="3">
        <v>133790.35</v>
      </c>
    </row>
    <row r="3238" spans="1:7" x14ac:dyDescent="0.2">
      <c r="A3238" s="3" t="s">
        <v>1072</v>
      </c>
      <c r="B3238" s="4">
        <v>45046</v>
      </c>
      <c r="C3238" s="3" t="s">
        <v>1180</v>
      </c>
      <c r="D3238" s="3" t="s">
        <v>1415</v>
      </c>
      <c r="E3238" s="3" t="s">
        <v>1416</v>
      </c>
      <c r="F3238" s="3">
        <v>-3323.88</v>
      </c>
      <c r="G3238" s="3">
        <v>-49570.78</v>
      </c>
    </row>
    <row r="3239" spans="1:7" x14ac:dyDescent="0.2">
      <c r="A3239" s="3" t="s">
        <v>1072</v>
      </c>
      <c r="B3239" s="4">
        <v>45046</v>
      </c>
      <c r="C3239" s="3" t="s">
        <v>1180</v>
      </c>
      <c r="D3239" s="3" t="s">
        <v>1462</v>
      </c>
      <c r="E3239" s="3" t="s">
        <v>1463</v>
      </c>
      <c r="F3239" s="3">
        <v>0</v>
      </c>
      <c r="G3239" s="3">
        <v>37955.300000000003</v>
      </c>
    </row>
    <row r="3240" spans="1:7" x14ac:dyDescent="0.2">
      <c r="A3240" s="3" t="s">
        <v>1072</v>
      </c>
      <c r="B3240" s="4">
        <v>45046</v>
      </c>
      <c r="C3240" s="3" t="s">
        <v>1180</v>
      </c>
      <c r="D3240" s="3" t="s">
        <v>1484</v>
      </c>
      <c r="E3240" s="3" t="s">
        <v>1485</v>
      </c>
      <c r="F3240" s="3">
        <v>-547.66999999999996</v>
      </c>
      <c r="G3240" s="3">
        <v>-6989.9</v>
      </c>
    </row>
    <row r="3241" spans="1:7" x14ac:dyDescent="0.2">
      <c r="A3241" s="3" t="s">
        <v>1072</v>
      </c>
      <c r="B3241" s="4">
        <v>45046</v>
      </c>
      <c r="C3241" s="3" t="s">
        <v>1180</v>
      </c>
      <c r="D3241" s="3" t="s">
        <v>1417</v>
      </c>
      <c r="E3241" s="3" t="s">
        <v>1418</v>
      </c>
      <c r="F3241" s="3">
        <v>0</v>
      </c>
      <c r="G3241" s="3">
        <v>11600</v>
      </c>
    </row>
    <row r="3242" spans="1:7" x14ac:dyDescent="0.2">
      <c r="A3242" s="3" t="s">
        <v>1072</v>
      </c>
      <c r="B3242" s="4">
        <v>45046</v>
      </c>
      <c r="C3242" s="3" t="s">
        <v>1180</v>
      </c>
      <c r="D3242" s="3" t="s">
        <v>1419</v>
      </c>
      <c r="E3242" s="3" t="s">
        <v>1420</v>
      </c>
      <c r="F3242" s="3">
        <v>-193.34</v>
      </c>
      <c r="G3242" s="3">
        <v>-3512.23</v>
      </c>
    </row>
    <row r="3243" spans="1:7" x14ac:dyDescent="0.2">
      <c r="A3243" s="3" t="s">
        <v>1069</v>
      </c>
      <c r="B3243" s="4">
        <v>45046</v>
      </c>
      <c r="C3243" s="3" t="s">
        <v>1180</v>
      </c>
      <c r="D3243" s="3" t="s">
        <v>1421</v>
      </c>
      <c r="E3243" s="3" t="s">
        <v>1422</v>
      </c>
      <c r="F3243" s="3">
        <v>0</v>
      </c>
      <c r="G3243" s="3">
        <v>874505.75</v>
      </c>
    </row>
    <row r="3244" spans="1:7" x14ac:dyDescent="0.2">
      <c r="A3244" s="3" t="s">
        <v>1074</v>
      </c>
      <c r="B3244" s="4">
        <v>45046</v>
      </c>
      <c r="C3244" s="3" t="s">
        <v>1180</v>
      </c>
      <c r="D3244" s="3" t="s">
        <v>1421</v>
      </c>
      <c r="E3244" s="3" t="s">
        <v>1533</v>
      </c>
      <c r="F3244" s="3">
        <v>181086.48</v>
      </c>
      <c r="G3244" s="3">
        <v>620341.23</v>
      </c>
    </row>
    <row r="3245" spans="1:7" x14ac:dyDescent="0.2">
      <c r="A3245" s="3" t="s">
        <v>1069</v>
      </c>
      <c r="B3245" s="4">
        <v>45046</v>
      </c>
      <c r="C3245" s="3" t="s">
        <v>1180</v>
      </c>
      <c r="D3245" s="3" t="s">
        <v>1214</v>
      </c>
      <c r="E3245" s="3" t="s">
        <v>1215</v>
      </c>
      <c r="F3245" s="3">
        <v>0</v>
      </c>
      <c r="G3245" s="3">
        <v>26200000</v>
      </c>
    </row>
    <row r="3246" spans="1:7" x14ac:dyDescent="0.2">
      <c r="A3246" s="3" t="s">
        <v>1069</v>
      </c>
      <c r="B3246" s="4">
        <v>45046</v>
      </c>
      <c r="C3246" s="3" t="s">
        <v>1180</v>
      </c>
      <c r="D3246" s="3" t="s">
        <v>1216</v>
      </c>
      <c r="E3246" s="3" t="s">
        <v>1217</v>
      </c>
      <c r="F3246" s="3">
        <v>0</v>
      </c>
      <c r="G3246" s="3">
        <v>68427</v>
      </c>
    </row>
    <row r="3247" spans="1:7" x14ac:dyDescent="0.2">
      <c r="A3247" s="3" t="s">
        <v>1069</v>
      </c>
      <c r="B3247" s="4">
        <v>45046</v>
      </c>
      <c r="C3247" s="3" t="s">
        <v>1180</v>
      </c>
      <c r="D3247" s="3" t="s">
        <v>1218</v>
      </c>
      <c r="E3247" s="3" t="s">
        <v>1219</v>
      </c>
      <c r="F3247" s="3">
        <v>0</v>
      </c>
      <c r="G3247" s="3">
        <v>103812</v>
      </c>
    </row>
    <row r="3248" spans="1:7" x14ac:dyDescent="0.2">
      <c r="A3248" s="3" t="s">
        <v>1069</v>
      </c>
      <c r="B3248" s="4">
        <v>45046</v>
      </c>
      <c r="C3248" s="3" t="s">
        <v>1180</v>
      </c>
      <c r="D3248" s="3" t="s">
        <v>1197</v>
      </c>
      <c r="E3248" s="3" t="s">
        <v>1198</v>
      </c>
      <c r="F3248" s="3">
        <v>0</v>
      </c>
      <c r="G3248" s="3">
        <v>314087</v>
      </c>
    </row>
    <row r="3249" spans="1:7" x14ac:dyDescent="0.2">
      <c r="A3249" s="3" t="s">
        <v>1074</v>
      </c>
      <c r="B3249" s="4">
        <v>45046</v>
      </c>
      <c r="C3249" s="3" t="s">
        <v>1180</v>
      </c>
      <c r="D3249" s="3" t="s">
        <v>1197</v>
      </c>
      <c r="E3249" s="3" t="s">
        <v>1550</v>
      </c>
      <c r="F3249" s="3">
        <v>102551.98</v>
      </c>
      <c r="G3249" s="3">
        <v>126951.98</v>
      </c>
    </row>
    <row r="3250" spans="1:7" x14ac:dyDescent="0.2">
      <c r="A3250" s="3" t="s">
        <v>1069</v>
      </c>
      <c r="B3250" s="4">
        <v>45046</v>
      </c>
      <c r="C3250" s="3" t="s">
        <v>1180</v>
      </c>
      <c r="D3250" s="3" t="s">
        <v>1496</v>
      </c>
      <c r="E3250" s="3" t="s">
        <v>1497</v>
      </c>
      <c r="F3250" s="3">
        <v>1500</v>
      </c>
      <c r="G3250" s="3">
        <v>139500</v>
      </c>
    </row>
    <row r="3251" spans="1:7" x14ac:dyDescent="0.2">
      <c r="A3251" s="3" t="s">
        <v>1069</v>
      </c>
      <c r="B3251" s="4">
        <v>45046</v>
      </c>
      <c r="C3251" s="3" t="s">
        <v>1180</v>
      </c>
      <c r="D3251" s="3" t="s">
        <v>1181</v>
      </c>
      <c r="E3251" s="3" t="s">
        <v>1182</v>
      </c>
      <c r="F3251" s="3">
        <v>0</v>
      </c>
      <c r="G3251" s="3">
        <v>8557641.8000000007</v>
      </c>
    </row>
    <row r="3252" spans="1:7" x14ac:dyDescent="0.2">
      <c r="A3252" s="3" t="s">
        <v>1069</v>
      </c>
      <c r="B3252" s="4">
        <v>45046</v>
      </c>
      <c r="C3252" s="3" t="s">
        <v>1180</v>
      </c>
      <c r="D3252" s="3" t="s">
        <v>1263</v>
      </c>
      <c r="E3252" s="3" t="s">
        <v>1264</v>
      </c>
      <c r="F3252" s="3">
        <v>0</v>
      </c>
      <c r="G3252" s="3">
        <v>13807.78</v>
      </c>
    </row>
    <row r="3253" spans="1:7" x14ac:dyDescent="0.2">
      <c r="A3253" s="3" t="s">
        <v>1069</v>
      </c>
      <c r="B3253" s="4">
        <v>45046</v>
      </c>
      <c r="C3253" s="3" t="s">
        <v>1180</v>
      </c>
      <c r="D3253" s="3" t="s">
        <v>1202</v>
      </c>
      <c r="E3253" s="3" t="s">
        <v>1203</v>
      </c>
      <c r="F3253" s="3">
        <v>3500</v>
      </c>
      <c r="G3253" s="3">
        <v>197060.09</v>
      </c>
    </row>
    <row r="3254" spans="1:7" x14ac:dyDescent="0.2">
      <c r="A3254" s="3" t="s">
        <v>1074</v>
      </c>
      <c r="B3254" s="4">
        <v>45046</v>
      </c>
      <c r="C3254" s="3" t="s">
        <v>1180</v>
      </c>
      <c r="D3254" s="3" t="s">
        <v>1202</v>
      </c>
      <c r="E3254" s="3" t="s">
        <v>1577</v>
      </c>
      <c r="F3254" s="3">
        <v>0</v>
      </c>
      <c r="G3254" s="3">
        <v>19185</v>
      </c>
    </row>
    <row r="3255" spans="1:7" x14ac:dyDescent="0.2">
      <c r="A3255" s="3" t="s">
        <v>1069</v>
      </c>
      <c r="B3255" s="4">
        <v>45046</v>
      </c>
      <c r="C3255" s="3" t="s">
        <v>1180</v>
      </c>
      <c r="D3255" s="3" t="s">
        <v>1204</v>
      </c>
      <c r="E3255" s="3" t="s">
        <v>1205</v>
      </c>
      <c r="F3255" s="3">
        <v>0</v>
      </c>
      <c r="G3255" s="3">
        <v>7500</v>
      </c>
    </row>
    <row r="3256" spans="1:7" x14ac:dyDescent="0.2">
      <c r="A3256" s="3" t="s">
        <v>1074</v>
      </c>
      <c r="B3256" s="4">
        <v>45046</v>
      </c>
      <c r="C3256" s="3" t="s">
        <v>1180</v>
      </c>
      <c r="D3256" s="3" t="s">
        <v>1204</v>
      </c>
      <c r="E3256" s="3" t="s">
        <v>1673</v>
      </c>
      <c r="F3256" s="3">
        <v>114370.5</v>
      </c>
      <c r="G3256" s="3">
        <v>114370.5</v>
      </c>
    </row>
    <row r="3257" spans="1:7" x14ac:dyDescent="0.2">
      <c r="A3257" s="3" t="s">
        <v>1069</v>
      </c>
      <c r="B3257" s="4">
        <v>45046</v>
      </c>
      <c r="C3257" s="3" t="s">
        <v>1180</v>
      </c>
      <c r="D3257" s="3" t="s">
        <v>1199</v>
      </c>
      <c r="E3257" s="3" t="s">
        <v>1200</v>
      </c>
      <c r="F3257" s="3">
        <v>0</v>
      </c>
      <c r="G3257" s="3">
        <v>67400</v>
      </c>
    </row>
    <row r="3258" spans="1:7" x14ac:dyDescent="0.2">
      <c r="A3258" s="3" t="s">
        <v>1069</v>
      </c>
      <c r="B3258" s="4">
        <v>45046</v>
      </c>
      <c r="C3258" s="3" t="s">
        <v>1180</v>
      </c>
      <c r="D3258" s="3" t="s">
        <v>1486</v>
      </c>
      <c r="E3258" s="3" t="s">
        <v>1487</v>
      </c>
      <c r="F3258" s="3">
        <v>0</v>
      </c>
      <c r="G3258" s="3">
        <v>20600</v>
      </c>
    </row>
    <row r="3259" spans="1:7" x14ac:dyDescent="0.2">
      <c r="A3259" s="3" t="s">
        <v>1069</v>
      </c>
      <c r="B3259" s="4">
        <v>45046</v>
      </c>
      <c r="C3259" s="3" t="s">
        <v>1180</v>
      </c>
      <c r="D3259" s="3" t="s">
        <v>1220</v>
      </c>
      <c r="E3259" s="3" t="s">
        <v>1221</v>
      </c>
      <c r="F3259" s="3">
        <v>0</v>
      </c>
      <c r="G3259" s="3">
        <v>15175</v>
      </c>
    </row>
    <row r="3260" spans="1:7" x14ac:dyDescent="0.2">
      <c r="A3260" s="3" t="s">
        <v>1069</v>
      </c>
      <c r="B3260" s="4">
        <v>45046</v>
      </c>
      <c r="C3260" s="3" t="s">
        <v>1180</v>
      </c>
      <c r="D3260" s="3" t="s">
        <v>1498</v>
      </c>
      <c r="E3260" s="3" t="s">
        <v>1499</v>
      </c>
      <c r="F3260" s="3">
        <v>0</v>
      </c>
      <c r="G3260" s="3">
        <v>570856.07999999996</v>
      </c>
    </row>
    <row r="3261" spans="1:7" x14ac:dyDescent="0.2">
      <c r="A3261" s="3" t="s">
        <v>1069</v>
      </c>
      <c r="B3261" s="4">
        <v>45046</v>
      </c>
      <c r="C3261" s="3" t="s">
        <v>1180</v>
      </c>
      <c r="D3261" s="3" t="s">
        <v>1183</v>
      </c>
      <c r="E3261" s="3" t="s">
        <v>1184</v>
      </c>
      <c r="F3261" s="3">
        <v>0</v>
      </c>
      <c r="G3261" s="3">
        <v>47748851.509999998</v>
      </c>
    </row>
    <row r="3262" spans="1:7" x14ac:dyDescent="0.2">
      <c r="A3262" s="3" t="s">
        <v>1074</v>
      </c>
      <c r="B3262" s="4">
        <v>45046</v>
      </c>
      <c r="C3262" s="3" t="s">
        <v>1180</v>
      </c>
      <c r="D3262" s="3" t="s">
        <v>1183</v>
      </c>
      <c r="E3262" s="3" t="s">
        <v>1631</v>
      </c>
      <c r="F3262" s="3">
        <v>0</v>
      </c>
      <c r="G3262" s="3">
        <v>7187757.9199999999</v>
      </c>
    </row>
    <row r="3263" spans="1:7" x14ac:dyDescent="0.2">
      <c r="A3263" s="3" t="s">
        <v>1069</v>
      </c>
      <c r="B3263" s="4">
        <v>45046</v>
      </c>
      <c r="C3263" s="3" t="s">
        <v>1180</v>
      </c>
      <c r="D3263" s="3" t="s">
        <v>1222</v>
      </c>
      <c r="E3263" s="3" t="s">
        <v>1223</v>
      </c>
      <c r="F3263" s="3">
        <v>0</v>
      </c>
      <c r="G3263" s="3">
        <v>3850818.04</v>
      </c>
    </row>
    <row r="3264" spans="1:7" x14ac:dyDescent="0.2">
      <c r="A3264" s="3" t="s">
        <v>1074</v>
      </c>
      <c r="B3264" s="4">
        <v>45046</v>
      </c>
      <c r="C3264" s="3" t="s">
        <v>1180</v>
      </c>
      <c r="D3264" s="3" t="s">
        <v>1222</v>
      </c>
      <c r="E3264" s="3" t="s">
        <v>1664</v>
      </c>
      <c r="F3264" s="3">
        <v>0</v>
      </c>
      <c r="G3264" s="3">
        <v>1826086.96</v>
      </c>
    </row>
    <row r="3265" spans="1:7" x14ac:dyDescent="0.2">
      <c r="A3265" s="3" t="s">
        <v>1069</v>
      </c>
      <c r="B3265" s="4">
        <v>45046</v>
      </c>
      <c r="C3265" s="3" t="s">
        <v>1180</v>
      </c>
      <c r="D3265" s="3" t="s">
        <v>1235</v>
      </c>
      <c r="E3265" s="3" t="s">
        <v>1236</v>
      </c>
      <c r="F3265" s="3">
        <v>0</v>
      </c>
      <c r="G3265" s="3">
        <v>782608.07</v>
      </c>
    </row>
    <row r="3266" spans="1:7" x14ac:dyDescent="0.2">
      <c r="A3266" s="3" t="s">
        <v>1069</v>
      </c>
      <c r="B3266" s="4">
        <v>45046</v>
      </c>
      <c r="C3266" s="3" t="s">
        <v>1180</v>
      </c>
      <c r="D3266" s="3" t="s">
        <v>1206</v>
      </c>
      <c r="E3266" s="3" t="s">
        <v>1207</v>
      </c>
      <c r="F3266" s="3">
        <v>0</v>
      </c>
      <c r="G3266" s="3">
        <v>166550</v>
      </c>
    </row>
    <row r="3267" spans="1:7" x14ac:dyDescent="0.2">
      <c r="A3267" s="3" t="s">
        <v>1069</v>
      </c>
      <c r="B3267" s="4">
        <v>45046</v>
      </c>
      <c r="C3267" s="3" t="s">
        <v>1180</v>
      </c>
      <c r="D3267" s="3" t="s">
        <v>1208</v>
      </c>
      <c r="E3267" s="3" t="s">
        <v>1209</v>
      </c>
      <c r="F3267" s="3">
        <v>0</v>
      </c>
      <c r="G3267" s="3">
        <v>45000</v>
      </c>
    </row>
    <row r="3268" spans="1:7" x14ac:dyDescent="0.2">
      <c r="A3268" s="3" t="s">
        <v>1069</v>
      </c>
      <c r="B3268" s="4">
        <v>45046</v>
      </c>
      <c r="C3268" s="3" t="s">
        <v>1180</v>
      </c>
      <c r="D3268" s="3" t="s">
        <v>1259</v>
      </c>
      <c r="E3268" s="3" t="s">
        <v>1260</v>
      </c>
      <c r="F3268" s="3">
        <v>6000</v>
      </c>
      <c r="G3268" s="3">
        <v>137000</v>
      </c>
    </row>
    <row r="3269" spans="1:7" x14ac:dyDescent="0.2">
      <c r="A3269" s="3" t="s">
        <v>1074</v>
      </c>
      <c r="B3269" s="4">
        <v>45046</v>
      </c>
      <c r="C3269" s="3" t="s">
        <v>1180</v>
      </c>
      <c r="D3269" s="3" t="s">
        <v>1674</v>
      </c>
      <c r="E3269" s="3" t="s">
        <v>1675</v>
      </c>
      <c r="F3269" s="3">
        <v>221353.14</v>
      </c>
      <c r="G3269" s="3">
        <v>221353.14</v>
      </c>
    </row>
    <row r="3270" spans="1:7" x14ac:dyDescent="0.2">
      <c r="A3270" s="3" t="s">
        <v>1074</v>
      </c>
      <c r="B3270" s="4">
        <v>45046</v>
      </c>
      <c r="C3270" s="3" t="s">
        <v>1180</v>
      </c>
      <c r="D3270" s="3" t="s">
        <v>1578</v>
      </c>
      <c r="E3270" s="3" t="s">
        <v>1579</v>
      </c>
      <c r="F3270" s="3">
        <v>0</v>
      </c>
      <c r="G3270" s="3">
        <v>66190.11</v>
      </c>
    </row>
    <row r="3271" spans="1:7" x14ac:dyDescent="0.2">
      <c r="A3271" s="3" t="s">
        <v>1069</v>
      </c>
      <c r="B3271" s="4">
        <v>45046</v>
      </c>
      <c r="C3271" s="3" t="s">
        <v>1180</v>
      </c>
      <c r="D3271" s="3" t="s">
        <v>1265</v>
      </c>
      <c r="E3271" s="3" t="s">
        <v>1266</v>
      </c>
      <c r="F3271" s="3">
        <v>-214050</v>
      </c>
      <c r="G3271" s="3">
        <v>807275.63</v>
      </c>
    </row>
    <row r="3272" spans="1:7" x14ac:dyDescent="0.2">
      <c r="A3272" s="3" t="s">
        <v>1074</v>
      </c>
      <c r="B3272" s="4">
        <v>45046</v>
      </c>
      <c r="C3272" s="3" t="s">
        <v>1180</v>
      </c>
      <c r="D3272" s="3" t="s">
        <v>1265</v>
      </c>
      <c r="E3272" s="3" t="s">
        <v>1518</v>
      </c>
      <c r="F3272" s="3">
        <v>0</v>
      </c>
      <c r="G3272" s="3">
        <v>1313735.8400000001</v>
      </c>
    </row>
    <row r="3273" spans="1:7" x14ac:dyDescent="0.2">
      <c r="A3273" s="3" t="s">
        <v>1069</v>
      </c>
      <c r="B3273" s="4">
        <v>45046</v>
      </c>
      <c r="C3273" s="3" t="s">
        <v>1180</v>
      </c>
      <c r="D3273" s="3" t="s">
        <v>1423</v>
      </c>
      <c r="E3273" s="3" t="s">
        <v>1424</v>
      </c>
      <c r="F3273" s="3">
        <v>0</v>
      </c>
      <c r="G3273" s="3">
        <v>622274.51</v>
      </c>
    </row>
    <row r="3274" spans="1:7" x14ac:dyDescent="0.2">
      <c r="A3274" s="3" t="s">
        <v>1074</v>
      </c>
      <c r="B3274" s="4">
        <v>45046</v>
      </c>
      <c r="C3274" s="3" t="s">
        <v>1180</v>
      </c>
      <c r="D3274" s="3" t="s">
        <v>1519</v>
      </c>
      <c r="E3274" s="3" t="s">
        <v>1551</v>
      </c>
      <c r="F3274" s="3">
        <v>18750</v>
      </c>
      <c r="G3274" s="3">
        <v>63530</v>
      </c>
    </row>
    <row r="3275" spans="1:7" x14ac:dyDescent="0.2">
      <c r="A3275" s="3" t="s">
        <v>1069</v>
      </c>
      <c r="B3275" s="4">
        <v>45046</v>
      </c>
      <c r="C3275" s="3" t="s">
        <v>1180</v>
      </c>
      <c r="D3275" s="3" t="s">
        <v>1519</v>
      </c>
      <c r="E3275" s="3" t="s">
        <v>1520</v>
      </c>
      <c r="F3275" s="3">
        <v>0</v>
      </c>
      <c r="G3275" s="3">
        <v>985049.68</v>
      </c>
    </row>
    <row r="3276" spans="1:7" x14ac:dyDescent="0.2">
      <c r="A3276" s="3" t="s">
        <v>1074</v>
      </c>
      <c r="B3276" s="4">
        <v>45046</v>
      </c>
      <c r="C3276" s="3" t="s">
        <v>1180</v>
      </c>
      <c r="D3276" s="3" t="s">
        <v>1521</v>
      </c>
      <c r="E3276" s="3" t="s">
        <v>1522</v>
      </c>
      <c r="F3276" s="3">
        <v>1400</v>
      </c>
      <c r="G3276" s="3">
        <v>17400</v>
      </c>
    </row>
    <row r="3277" spans="1:7" x14ac:dyDescent="0.2">
      <c r="A3277" s="3" t="s">
        <v>1074</v>
      </c>
      <c r="B3277" s="4">
        <v>45046</v>
      </c>
      <c r="C3277" s="3" t="s">
        <v>1180</v>
      </c>
      <c r="D3277" s="3" t="s">
        <v>1534</v>
      </c>
      <c r="E3277" s="3" t="s">
        <v>1535</v>
      </c>
      <c r="F3277" s="3">
        <v>0</v>
      </c>
      <c r="G3277" s="3">
        <v>684782.6</v>
      </c>
    </row>
    <row r="3278" spans="1:7" x14ac:dyDescent="0.2">
      <c r="A3278" s="3" t="s">
        <v>1074</v>
      </c>
      <c r="B3278" s="4">
        <v>45046</v>
      </c>
      <c r="C3278" s="3" t="s">
        <v>1180</v>
      </c>
      <c r="D3278" s="3" t="s">
        <v>1610</v>
      </c>
      <c r="E3278" s="3" t="s">
        <v>1611</v>
      </c>
      <c r="F3278" s="3">
        <v>99398.37</v>
      </c>
      <c r="G3278" s="3">
        <v>969789.71</v>
      </c>
    </row>
    <row r="3279" spans="1:7" x14ac:dyDescent="0.2">
      <c r="A3279" s="3" t="s">
        <v>1074</v>
      </c>
      <c r="B3279" s="4">
        <v>45046</v>
      </c>
      <c r="C3279" s="3" t="s">
        <v>1180</v>
      </c>
      <c r="D3279" s="3" t="s">
        <v>1653</v>
      </c>
      <c r="E3279" s="3" t="s">
        <v>1654</v>
      </c>
      <c r="F3279" s="3">
        <v>4336497.82</v>
      </c>
      <c r="G3279" s="3">
        <v>11465668.449999999</v>
      </c>
    </row>
    <row r="3280" spans="1:7" x14ac:dyDescent="0.2">
      <c r="A3280" s="3" t="s">
        <v>1069</v>
      </c>
      <c r="B3280" s="4">
        <v>45046</v>
      </c>
      <c r="C3280" s="3" t="s">
        <v>1180</v>
      </c>
      <c r="D3280" s="3" t="s">
        <v>1536</v>
      </c>
      <c r="E3280" s="3" t="s">
        <v>1537</v>
      </c>
      <c r="F3280" s="3">
        <v>0</v>
      </c>
      <c r="G3280" s="3">
        <v>1502445.03</v>
      </c>
    </row>
    <row r="3281" spans="1:7" x14ac:dyDescent="0.2">
      <c r="A3281" s="3" t="s">
        <v>1069</v>
      </c>
      <c r="B3281" s="4">
        <v>45046</v>
      </c>
      <c r="C3281" s="3" t="s">
        <v>1180</v>
      </c>
      <c r="D3281" s="3" t="s">
        <v>1665</v>
      </c>
      <c r="E3281" s="3" t="s">
        <v>1666</v>
      </c>
      <c r="F3281" s="3">
        <v>0</v>
      </c>
      <c r="G3281" s="3">
        <v>1068455</v>
      </c>
    </row>
    <row r="3282" spans="1:7" x14ac:dyDescent="0.2">
      <c r="A3282" s="3" t="s">
        <v>1069</v>
      </c>
      <c r="B3282" s="4">
        <v>45046</v>
      </c>
      <c r="C3282" s="3" t="s">
        <v>1180</v>
      </c>
      <c r="D3282" s="3" t="s">
        <v>1655</v>
      </c>
      <c r="E3282" s="3" t="s">
        <v>1656</v>
      </c>
      <c r="F3282" s="3">
        <v>0</v>
      </c>
      <c r="G3282" s="3">
        <v>-24427668.440000001</v>
      </c>
    </row>
    <row r="3283" spans="1:7" x14ac:dyDescent="0.2">
      <c r="A3283" s="3" t="s">
        <v>1072</v>
      </c>
      <c r="B3283" s="4">
        <v>45046</v>
      </c>
      <c r="C3283" s="3" t="s">
        <v>1180</v>
      </c>
      <c r="D3283" s="3" t="s">
        <v>1425</v>
      </c>
      <c r="E3283" s="3" t="s">
        <v>1426</v>
      </c>
      <c r="F3283" s="3">
        <v>0</v>
      </c>
      <c r="G3283" s="3">
        <v>29600</v>
      </c>
    </row>
    <row r="3284" spans="1:7" x14ac:dyDescent="0.2">
      <c r="A3284" s="3" t="s">
        <v>1072</v>
      </c>
      <c r="B3284" s="4">
        <v>45046</v>
      </c>
      <c r="C3284" s="3" t="s">
        <v>1180</v>
      </c>
      <c r="D3284" s="3" t="s">
        <v>1427</v>
      </c>
      <c r="E3284" s="3" t="s">
        <v>1428</v>
      </c>
      <c r="F3284" s="3">
        <v>-2763027.51</v>
      </c>
      <c r="G3284" s="3">
        <v>-5442617.3499999996</v>
      </c>
    </row>
    <row r="3285" spans="1:7" x14ac:dyDescent="0.2">
      <c r="A3285" s="3" t="s">
        <v>1069</v>
      </c>
      <c r="B3285" s="4">
        <v>45046</v>
      </c>
      <c r="C3285" s="3" t="s">
        <v>1180</v>
      </c>
      <c r="D3285" s="3" t="s">
        <v>1427</v>
      </c>
      <c r="E3285" s="3" t="s">
        <v>1428</v>
      </c>
      <c r="F3285" s="3">
        <v>-117015.36</v>
      </c>
      <c r="G3285" s="3">
        <v>345946.61</v>
      </c>
    </row>
    <row r="3286" spans="1:7" x14ac:dyDescent="0.2">
      <c r="A3286" s="3" t="s">
        <v>1072</v>
      </c>
      <c r="B3286" s="4">
        <v>45046</v>
      </c>
      <c r="C3286" s="3" t="s">
        <v>1180</v>
      </c>
      <c r="D3286" s="3" t="s">
        <v>1431</v>
      </c>
      <c r="E3286" s="3" t="s">
        <v>1432</v>
      </c>
      <c r="F3286" s="3">
        <v>-69</v>
      </c>
      <c r="G3286" s="3">
        <v>0</v>
      </c>
    </row>
    <row r="3287" spans="1:7" x14ac:dyDescent="0.2">
      <c r="A3287" s="3" t="s">
        <v>1069</v>
      </c>
      <c r="B3287" s="4">
        <v>45046</v>
      </c>
      <c r="C3287" s="3" t="s">
        <v>1180</v>
      </c>
      <c r="D3287" s="3" t="s">
        <v>1187</v>
      </c>
      <c r="E3287" s="3" t="s">
        <v>1188</v>
      </c>
      <c r="F3287" s="3">
        <v>-3491282.68</v>
      </c>
      <c r="G3287" s="3">
        <v>412385.21</v>
      </c>
    </row>
    <row r="3288" spans="1:7" x14ac:dyDescent="0.2">
      <c r="A3288" s="3" t="s">
        <v>1072</v>
      </c>
      <c r="B3288" s="4">
        <v>45046</v>
      </c>
      <c r="C3288" s="3" t="s">
        <v>1180</v>
      </c>
      <c r="D3288" s="3" t="s">
        <v>1187</v>
      </c>
      <c r="E3288" s="3" t="s">
        <v>1433</v>
      </c>
      <c r="F3288" s="3">
        <v>-779595.49</v>
      </c>
      <c r="G3288" s="3">
        <v>444082.57</v>
      </c>
    </row>
    <row r="3289" spans="1:7" x14ac:dyDescent="0.2">
      <c r="A3289" s="3" t="s">
        <v>1072</v>
      </c>
      <c r="B3289" s="4">
        <v>45046</v>
      </c>
      <c r="C3289" s="3" t="s">
        <v>1180</v>
      </c>
      <c r="D3289" s="3" t="s">
        <v>1435</v>
      </c>
      <c r="E3289" s="3" t="s">
        <v>1436</v>
      </c>
      <c r="F3289" s="3">
        <v>3.58</v>
      </c>
      <c r="G3289" s="3">
        <v>547.71</v>
      </c>
    </row>
    <row r="3290" spans="1:7" x14ac:dyDescent="0.2">
      <c r="A3290" s="3" t="s">
        <v>1069</v>
      </c>
      <c r="B3290" s="4">
        <v>45046</v>
      </c>
      <c r="C3290" s="3" t="s">
        <v>1180</v>
      </c>
      <c r="D3290" s="3" t="s">
        <v>1243</v>
      </c>
      <c r="E3290" s="3" t="s">
        <v>1244</v>
      </c>
      <c r="F3290" s="3">
        <v>5.07</v>
      </c>
      <c r="G3290" s="3">
        <v>837.98</v>
      </c>
    </row>
    <row r="3291" spans="1:7" x14ac:dyDescent="0.2">
      <c r="A3291" s="3" t="s">
        <v>1069</v>
      </c>
      <c r="B3291" s="4">
        <v>45046</v>
      </c>
      <c r="C3291" s="3" t="s">
        <v>1180</v>
      </c>
      <c r="D3291" s="3" t="s">
        <v>1245</v>
      </c>
      <c r="E3291" s="3" t="s">
        <v>1246</v>
      </c>
      <c r="F3291" s="3">
        <v>16861452.460000001</v>
      </c>
      <c r="G3291" s="3">
        <v>36802478.020000003</v>
      </c>
    </row>
    <row r="3292" spans="1:7" x14ac:dyDescent="0.2">
      <c r="A3292" s="3" t="s">
        <v>1072</v>
      </c>
      <c r="B3292" s="4">
        <v>45046</v>
      </c>
      <c r="C3292" s="3" t="s">
        <v>1175</v>
      </c>
      <c r="D3292" s="3" t="s">
        <v>1437</v>
      </c>
      <c r="E3292" s="3" t="s">
        <v>1438</v>
      </c>
      <c r="F3292" s="3">
        <v>-9.84</v>
      </c>
      <c r="G3292" s="3">
        <v>-10.23</v>
      </c>
    </row>
    <row r="3293" spans="1:7" x14ac:dyDescent="0.2">
      <c r="A3293" s="3" t="s">
        <v>1069</v>
      </c>
      <c r="B3293" s="4">
        <v>45046</v>
      </c>
      <c r="C3293" s="3" t="s">
        <v>1175</v>
      </c>
      <c r="D3293" s="3" t="s">
        <v>1437</v>
      </c>
      <c r="E3293" s="3" t="s">
        <v>1438</v>
      </c>
      <c r="F3293" s="3">
        <v>0.05</v>
      </c>
      <c r="G3293" s="3">
        <v>0.08</v>
      </c>
    </row>
    <row r="3294" spans="1:7" x14ac:dyDescent="0.2">
      <c r="A3294" s="3" t="s">
        <v>1072</v>
      </c>
      <c r="B3294" s="4">
        <v>45046</v>
      </c>
      <c r="C3294" s="3" t="s">
        <v>1175</v>
      </c>
      <c r="D3294" s="3" t="s">
        <v>1191</v>
      </c>
      <c r="E3294" s="3" t="s">
        <v>1192</v>
      </c>
      <c r="F3294" s="3">
        <v>1171314.8400000001</v>
      </c>
      <c r="G3294" s="3">
        <v>-1226429.45</v>
      </c>
    </row>
    <row r="3295" spans="1:7" x14ac:dyDescent="0.2">
      <c r="A3295" s="3" t="s">
        <v>1069</v>
      </c>
      <c r="B3295" s="4">
        <v>45046</v>
      </c>
      <c r="C3295" s="3" t="s">
        <v>1175</v>
      </c>
      <c r="D3295" s="3" t="s">
        <v>1191</v>
      </c>
      <c r="E3295" s="3" t="s">
        <v>1192</v>
      </c>
      <c r="F3295" s="3">
        <v>-11019349.15</v>
      </c>
      <c r="G3295" s="3">
        <v>-129709692.95</v>
      </c>
    </row>
    <row r="3296" spans="1:7" x14ac:dyDescent="0.2">
      <c r="A3296" s="3" t="s">
        <v>1074</v>
      </c>
      <c r="B3296" s="4">
        <v>45046</v>
      </c>
      <c r="C3296" s="3" t="s">
        <v>1175</v>
      </c>
      <c r="D3296" s="3" t="s">
        <v>1191</v>
      </c>
      <c r="E3296" s="3" t="s">
        <v>1192</v>
      </c>
      <c r="F3296" s="3">
        <v>1582944.96</v>
      </c>
      <c r="G3296" s="3">
        <v>-1646466.88</v>
      </c>
    </row>
    <row r="3297" spans="1:7" x14ac:dyDescent="0.2">
      <c r="A3297" s="3" t="s">
        <v>1072</v>
      </c>
      <c r="B3297" s="4">
        <v>45046</v>
      </c>
      <c r="C3297" s="3" t="s">
        <v>1175</v>
      </c>
      <c r="D3297" s="3" t="s">
        <v>1441</v>
      </c>
      <c r="E3297" s="3" t="s">
        <v>1442</v>
      </c>
      <c r="F3297" s="3">
        <v>-1511.74</v>
      </c>
      <c r="G3297" s="3">
        <v>-84915.49</v>
      </c>
    </row>
    <row r="3298" spans="1:7" x14ac:dyDescent="0.2">
      <c r="A3298" s="3" t="s">
        <v>1072</v>
      </c>
      <c r="B3298" s="4">
        <v>45046</v>
      </c>
      <c r="C3298" s="3" t="s">
        <v>1175</v>
      </c>
      <c r="D3298" s="3" t="s">
        <v>1464</v>
      </c>
      <c r="E3298" s="3" t="s">
        <v>1465</v>
      </c>
      <c r="F3298" s="3">
        <v>-6809.25</v>
      </c>
      <c r="G3298" s="3">
        <v>-45395</v>
      </c>
    </row>
    <row r="3299" spans="1:7" x14ac:dyDescent="0.2">
      <c r="A3299" s="3" t="s">
        <v>1072</v>
      </c>
      <c r="B3299" s="4">
        <v>45046</v>
      </c>
      <c r="C3299" s="3" t="s">
        <v>1175</v>
      </c>
      <c r="D3299" s="3" t="s">
        <v>1193</v>
      </c>
      <c r="E3299" s="3" t="s">
        <v>1443</v>
      </c>
      <c r="F3299" s="3">
        <v>167124.73000000001</v>
      </c>
      <c r="G3299" s="3">
        <v>-105771.91</v>
      </c>
    </row>
    <row r="3300" spans="1:7" x14ac:dyDescent="0.2">
      <c r="A3300" s="3" t="s">
        <v>1069</v>
      </c>
      <c r="B3300" s="4">
        <v>45046</v>
      </c>
      <c r="C3300" s="3" t="s">
        <v>1175</v>
      </c>
      <c r="D3300" s="3" t="s">
        <v>1193</v>
      </c>
      <c r="E3300" s="3" t="s">
        <v>1194</v>
      </c>
      <c r="F3300" s="3">
        <v>-1456220.9</v>
      </c>
      <c r="G3300" s="3">
        <v>-3997162.46</v>
      </c>
    </row>
    <row r="3301" spans="1:7" x14ac:dyDescent="0.2">
      <c r="A3301" s="3" t="s">
        <v>1074</v>
      </c>
      <c r="B3301" s="4">
        <v>45046</v>
      </c>
      <c r="C3301" s="3" t="s">
        <v>1175</v>
      </c>
      <c r="D3301" s="3" t="s">
        <v>1193</v>
      </c>
      <c r="E3301" s="3" t="s">
        <v>1194</v>
      </c>
      <c r="F3301" s="3">
        <v>731360.56</v>
      </c>
      <c r="G3301" s="3">
        <v>3600912.7</v>
      </c>
    </row>
    <row r="3302" spans="1:7" x14ac:dyDescent="0.2">
      <c r="A3302" s="3" t="s">
        <v>1069</v>
      </c>
      <c r="B3302" s="4">
        <v>45046</v>
      </c>
      <c r="C3302" s="3" t="s">
        <v>1175</v>
      </c>
      <c r="D3302" s="3" t="s">
        <v>1657</v>
      </c>
      <c r="E3302" s="3" t="s">
        <v>1658</v>
      </c>
      <c r="F3302" s="3">
        <v>0</v>
      </c>
      <c r="G3302" s="3">
        <v>59039.93</v>
      </c>
    </row>
    <row r="3303" spans="1:7" x14ac:dyDescent="0.2">
      <c r="A3303" s="3" t="s">
        <v>1069</v>
      </c>
      <c r="B3303" s="4">
        <v>45046</v>
      </c>
      <c r="C3303" s="3" t="s">
        <v>1175</v>
      </c>
      <c r="D3303" s="3" t="s">
        <v>1667</v>
      </c>
      <c r="E3303" s="3" t="s">
        <v>1668</v>
      </c>
      <c r="F3303" s="3">
        <v>0</v>
      </c>
      <c r="G3303" s="3">
        <v>1209624.06</v>
      </c>
    </row>
    <row r="3304" spans="1:7" x14ac:dyDescent="0.2">
      <c r="A3304" s="3" t="s">
        <v>1072</v>
      </c>
      <c r="B3304" s="4">
        <v>45046</v>
      </c>
      <c r="C3304" s="3" t="s">
        <v>1175</v>
      </c>
      <c r="D3304" s="3" t="s">
        <v>1444</v>
      </c>
      <c r="E3304" s="3" t="s">
        <v>1445</v>
      </c>
      <c r="F3304" s="3">
        <v>0</v>
      </c>
      <c r="G3304" s="3">
        <v>28029.81</v>
      </c>
    </row>
    <row r="3305" spans="1:7" x14ac:dyDescent="0.2">
      <c r="A3305" s="3" t="s">
        <v>1072</v>
      </c>
      <c r="B3305" s="4">
        <v>45046</v>
      </c>
      <c r="C3305" s="3" t="s">
        <v>1175</v>
      </c>
      <c r="D3305" s="3" t="s">
        <v>1446</v>
      </c>
      <c r="E3305" s="3" t="s">
        <v>1447</v>
      </c>
      <c r="F3305" s="3">
        <v>0</v>
      </c>
      <c r="G3305" s="3">
        <v>-254.99</v>
      </c>
    </row>
    <row r="3306" spans="1:7" x14ac:dyDescent="0.2">
      <c r="A3306" s="3" t="s">
        <v>1069</v>
      </c>
      <c r="B3306" s="4">
        <v>45077</v>
      </c>
      <c r="C3306" s="3" t="s">
        <v>1210</v>
      </c>
      <c r="D3306" s="3" t="s">
        <v>1552</v>
      </c>
      <c r="E3306" s="3" t="s">
        <v>1553</v>
      </c>
      <c r="F3306" s="3">
        <v>-4851826.09</v>
      </c>
      <c r="G3306" s="3">
        <v>-24357478.27</v>
      </c>
    </row>
    <row r="3307" spans="1:7" x14ac:dyDescent="0.2">
      <c r="A3307" s="3" t="s">
        <v>1069</v>
      </c>
      <c r="B3307" s="4">
        <v>45077</v>
      </c>
      <c r="C3307" s="3" t="s">
        <v>1210</v>
      </c>
      <c r="D3307" s="3" t="s">
        <v>1554</v>
      </c>
      <c r="E3307" s="3" t="s">
        <v>1555</v>
      </c>
      <c r="F3307" s="3">
        <v>-65332.85</v>
      </c>
      <c r="G3307" s="3">
        <v>-94646.91</v>
      </c>
    </row>
    <row r="3308" spans="1:7" x14ac:dyDescent="0.2">
      <c r="A3308" s="3" t="s">
        <v>1072</v>
      </c>
      <c r="B3308" s="4">
        <v>45077</v>
      </c>
      <c r="C3308" s="3" t="s">
        <v>1210</v>
      </c>
      <c r="D3308" s="3" t="s">
        <v>1448</v>
      </c>
      <c r="E3308" s="3" t="s">
        <v>1449</v>
      </c>
      <c r="F3308" s="3">
        <v>-4774233.25</v>
      </c>
      <c r="G3308" s="3">
        <v>-12972050.84</v>
      </c>
    </row>
    <row r="3309" spans="1:7" x14ac:dyDescent="0.2">
      <c r="A3309" s="3" t="s">
        <v>1072</v>
      </c>
      <c r="B3309" s="4">
        <v>45077</v>
      </c>
      <c r="C3309" s="3" t="s">
        <v>1210</v>
      </c>
      <c r="D3309" s="3" t="s">
        <v>1273</v>
      </c>
      <c r="E3309" s="3" t="s">
        <v>1274</v>
      </c>
      <c r="F3309" s="3">
        <v>3490.94</v>
      </c>
      <c r="G3309" s="3">
        <v>3490.94</v>
      </c>
    </row>
    <row r="3310" spans="1:7" x14ac:dyDescent="0.2">
      <c r="A3310" s="3" t="s">
        <v>1074</v>
      </c>
      <c r="B3310" s="4">
        <v>45077</v>
      </c>
      <c r="C3310" s="3" t="s">
        <v>1168</v>
      </c>
      <c r="D3310" s="3" t="s">
        <v>1514</v>
      </c>
      <c r="E3310" s="3" t="s">
        <v>1676</v>
      </c>
      <c r="F3310" s="3">
        <v>192174.7</v>
      </c>
      <c r="G3310" s="3">
        <v>192174.7</v>
      </c>
    </row>
    <row r="3311" spans="1:7" x14ac:dyDescent="0.2">
      <c r="A3311" s="3" t="s">
        <v>1069</v>
      </c>
      <c r="B3311" s="4">
        <v>45077</v>
      </c>
      <c r="C3311" s="3" t="s">
        <v>1168</v>
      </c>
      <c r="D3311" s="3" t="s">
        <v>1531</v>
      </c>
      <c r="E3311" s="3" t="s">
        <v>1532</v>
      </c>
      <c r="F3311" s="3">
        <v>135356.82999999999</v>
      </c>
      <c r="G3311" s="3">
        <v>559359.05000000005</v>
      </c>
    </row>
    <row r="3312" spans="1:7" x14ac:dyDescent="0.2">
      <c r="A3312" s="3" t="s">
        <v>1069</v>
      </c>
      <c r="B3312" s="4">
        <v>45077</v>
      </c>
      <c r="C3312" s="3" t="s">
        <v>1168</v>
      </c>
      <c r="D3312" s="3" t="s">
        <v>1540</v>
      </c>
      <c r="E3312" s="3" t="s">
        <v>1541</v>
      </c>
      <c r="F3312" s="3">
        <v>6631.99</v>
      </c>
      <c r="G3312" s="3">
        <v>18160.919999999998</v>
      </c>
    </row>
    <row r="3313" spans="1:7" x14ac:dyDescent="0.2">
      <c r="A3313" s="3" t="s">
        <v>1069</v>
      </c>
      <c r="B3313" s="4">
        <v>45077</v>
      </c>
      <c r="C3313" s="3" t="s">
        <v>1168</v>
      </c>
      <c r="D3313" s="3" t="s">
        <v>1556</v>
      </c>
      <c r="E3313" s="3" t="s">
        <v>1557</v>
      </c>
      <c r="F3313" s="3">
        <v>171178.44</v>
      </c>
      <c r="G3313" s="3">
        <v>171178.44</v>
      </c>
    </row>
    <row r="3314" spans="1:7" x14ac:dyDescent="0.2">
      <c r="A3314" s="3" t="s">
        <v>1069</v>
      </c>
      <c r="B3314" s="4">
        <v>45077</v>
      </c>
      <c r="C3314" s="3" t="s">
        <v>1168</v>
      </c>
      <c r="D3314" s="3" t="s">
        <v>1558</v>
      </c>
      <c r="E3314" s="3" t="s">
        <v>1559</v>
      </c>
      <c r="F3314" s="3">
        <v>242591.31</v>
      </c>
      <c r="G3314" s="3">
        <v>1156878.26</v>
      </c>
    </row>
    <row r="3315" spans="1:7" x14ac:dyDescent="0.2">
      <c r="A3315" s="3" t="s">
        <v>1069</v>
      </c>
      <c r="B3315" s="4">
        <v>45077</v>
      </c>
      <c r="C3315" s="3" t="s">
        <v>1168</v>
      </c>
      <c r="D3315" s="3" t="s">
        <v>1659</v>
      </c>
      <c r="E3315" s="3" t="s">
        <v>1660</v>
      </c>
      <c r="F3315" s="3">
        <v>0</v>
      </c>
      <c r="G3315" s="3">
        <v>250</v>
      </c>
    </row>
    <row r="3316" spans="1:7" x14ac:dyDescent="0.2">
      <c r="A3316" s="3" t="s">
        <v>1072</v>
      </c>
      <c r="B3316" s="4">
        <v>45077</v>
      </c>
      <c r="C3316" s="3" t="s">
        <v>1168</v>
      </c>
      <c r="D3316" s="3" t="s">
        <v>1661</v>
      </c>
      <c r="E3316" s="3" t="s">
        <v>1662</v>
      </c>
      <c r="F3316" s="3">
        <v>0</v>
      </c>
      <c r="G3316" s="3">
        <v>200</v>
      </c>
    </row>
    <row r="3317" spans="1:7" x14ac:dyDescent="0.2">
      <c r="A3317" s="3" t="s">
        <v>1072</v>
      </c>
      <c r="B3317" s="4">
        <v>45077</v>
      </c>
      <c r="C3317" s="3" t="s">
        <v>1168</v>
      </c>
      <c r="D3317" s="3" t="s">
        <v>1669</v>
      </c>
      <c r="E3317" s="3" t="s">
        <v>1670</v>
      </c>
      <c r="F3317" s="3">
        <v>20456.5</v>
      </c>
      <c r="G3317" s="3">
        <v>20943.45</v>
      </c>
    </row>
    <row r="3318" spans="1:7" x14ac:dyDescent="0.2">
      <c r="A3318" s="3" t="s">
        <v>1072</v>
      </c>
      <c r="B3318" s="4">
        <v>45077</v>
      </c>
      <c r="C3318" s="3" t="s">
        <v>1168</v>
      </c>
      <c r="D3318" s="3" t="s">
        <v>1281</v>
      </c>
      <c r="E3318" s="3" t="s">
        <v>1282</v>
      </c>
      <c r="F3318" s="3">
        <v>28166.51</v>
      </c>
      <c r="G3318" s="3">
        <v>221172.3</v>
      </c>
    </row>
    <row r="3319" spans="1:7" x14ac:dyDescent="0.2">
      <c r="A3319" s="3" t="s">
        <v>1072</v>
      </c>
      <c r="B3319" s="4">
        <v>45077</v>
      </c>
      <c r="C3319" s="3" t="s">
        <v>1168</v>
      </c>
      <c r="D3319" s="3" t="s">
        <v>1283</v>
      </c>
      <c r="E3319" s="3" t="s">
        <v>1284</v>
      </c>
      <c r="F3319" s="3">
        <v>2880.57</v>
      </c>
      <c r="G3319" s="3">
        <v>28676.11</v>
      </c>
    </row>
    <row r="3320" spans="1:7" x14ac:dyDescent="0.2">
      <c r="A3320" s="3" t="s">
        <v>1072</v>
      </c>
      <c r="B3320" s="4">
        <v>45077</v>
      </c>
      <c r="C3320" s="3" t="s">
        <v>1168</v>
      </c>
      <c r="D3320" s="3" t="s">
        <v>1285</v>
      </c>
      <c r="E3320" s="3" t="s">
        <v>1286</v>
      </c>
      <c r="F3320" s="3">
        <v>0</v>
      </c>
      <c r="G3320" s="3">
        <v>2719.43</v>
      </c>
    </row>
    <row r="3321" spans="1:7" x14ac:dyDescent="0.2">
      <c r="A3321" s="3" t="s">
        <v>1072</v>
      </c>
      <c r="B3321" s="4">
        <v>45077</v>
      </c>
      <c r="C3321" s="3" t="s">
        <v>1168</v>
      </c>
      <c r="D3321" s="3" t="s">
        <v>1301</v>
      </c>
      <c r="E3321" s="3" t="s">
        <v>1302</v>
      </c>
      <c r="F3321" s="3">
        <v>0</v>
      </c>
      <c r="G3321" s="3">
        <v>760.87</v>
      </c>
    </row>
    <row r="3322" spans="1:7" x14ac:dyDescent="0.2">
      <c r="A3322" s="3" t="s">
        <v>1072</v>
      </c>
      <c r="B3322" s="4">
        <v>45077</v>
      </c>
      <c r="C3322" s="3" t="s">
        <v>1168</v>
      </c>
      <c r="D3322" s="3" t="s">
        <v>1315</v>
      </c>
      <c r="E3322" s="3" t="s">
        <v>1316</v>
      </c>
      <c r="F3322" s="3">
        <v>1129.57</v>
      </c>
      <c r="G3322" s="3">
        <v>1129.57</v>
      </c>
    </row>
    <row r="3323" spans="1:7" x14ac:dyDescent="0.2">
      <c r="A3323" s="3" t="s">
        <v>1072</v>
      </c>
      <c r="B3323" s="4">
        <v>45077</v>
      </c>
      <c r="C3323" s="3" t="s">
        <v>1168</v>
      </c>
      <c r="D3323" s="3" t="s">
        <v>1450</v>
      </c>
      <c r="E3323" s="3" t="s">
        <v>1451</v>
      </c>
      <c r="F3323" s="3">
        <v>149683.76999999999</v>
      </c>
      <c r="G3323" s="3">
        <v>1010982.75</v>
      </c>
    </row>
    <row r="3324" spans="1:7" x14ac:dyDescent="0.2">
      <c r="A3324" s="3" t="s">
        <v>1072</v>
      </c>
      <c r="B3324" s="4">
        <v>45077</v>
      </c>
      <c r="C3324" s="3" t="s">
        <v>1168</v>
      </c>
      <c r="D3324" s="3" t="s">
        <v>1452</v>
      </c>
      <c r="E3324" s="3" t="s">
        <v>1453</v>
      </c>
      <c r="F3324" s="3">
        <v>50267.62</v>
      </c>
      <c r="G3324" s="3">
        <v>162429.65</v>
      </c>
    </row>
    <row r="3325" spans="1:7" x14ac:dyDescent="0.2">
      <c r="A3325" s="3" t="s">
        <v>1072</v>
      </c>
      <c r="B3325" s="4">
        <v>45077</v>
      </c>
      <c r="C3325" s="3" t="s">
        <v>1168</v>
      </c>
      <c r="D3325" s="3" t="s">
        <v>1454</v>
      </c>
      <c r="E3325" s="3" t="s">
        <v>1455</v>
      </c>
      <c r="F3325" s="3">
        <v>0</v>
      </c>
      <c r="G3325" s="3">
        <v>694.78</v>
      </c>
    </row>
    <row r="3326" spans="1:7" x14ac:dyDescent="0.2">
      <c r="A3326" s="3" t="s">
        <v>1072</v>
      </c>
      <c r="B3326" s="4">
        <v>45077</v>
      </c>
      <c r="C3326" s="3" t="s">
        <v>1168</v>
      </c>
      <c r="D3326" s="3" t="s">
        <v>1468</v>
      </c>
      <c r="E3326" s="3" t="s">
        <v>1469</v>
      </c>
      <c r="F3326" s="3">
        <v>1189.57</v>
      </c>
      <c r="G3326" s="3">
        <v>3568.71</v>
      </c>
    </row>
    <row r="3327" spans="1:7" x14ac:dyDescent="0.2">
      <c r="A3327" s="3" t="s">
        <v>1072</v>
      </c>
      <c r="B3327" s="4">
        <v>45077</v>
      </c>
      <c r="C3327" s="3" t="s">
        <v>1168</v>
      </c>
      <c r="D3327" s="3" t="s">
        <v>1620</v>
      </c>
      <c r="E3327" s="3" t="s">
        <v>1621</v>
      </c>
      <c r="F3327" s="3">
        <v>2170.4499999999998</v>
      </c>
      <c r="G3327" s="3">
        <v>2248.71</v>
      </c>
    </row>
    <row r="3328" spans="1:7" x14ac:dyDescent="0.2">
      <c r="A3328" s="3" t="s">
        <v>1072</v>
      </c>
      <c r="B3328" s="4">
        <v>45077</v>
      </c>
      <c r="C3328" s="3" t="s">
        <v>1168</v>
      </c>
      <c r="D3328" s="3" t="s">
        <v>1542</v>
      </c>
      <c r="E3328" s="3" t="s">
        <v>1543</v>
      </c>
      <c r="F3328" s="3">
        <v>3793437.38</v>
      </c>
      <c r="G3328" s="3">
        <v>9470418.2100000009</v>
      </c>
    </row>
    <row r="3329" spans="1:7" x14ac:dyDescent="0.2">
      <c r="A3329" s="3" t="s">
        <v>1072</v>
      </c>
      <c r="B3329" s="4">
        <v>45077</v>
      </c>
      <c r="C3329" s="3" t="s">
        <v>1168</v>
      </c>
      <c r="D3329" s="3" t="s">
        <v>1527</v>
      </c>
      <c r="E3329" s="3" t="s">
        <v>1528</v>
      </c>
      <c r="F3329" s="3">
        <v>61021.919999999998</v>
      </c>
      <c r="G3329" s="3">
        <v>435567.52</v>
      </c>
    </row>
    <row r="3330" spans="1:7" x14ac:dyDescent="0.2">
      <c r="A3330" s="3" t="s">
        <v>1072</v>
      </c>
      <c r="B3330" s="4">
        <v>45077</v>
      </c>
      <c r="C3330" s="3" t="s">
        <v>1168</v>
      </c>
      <c r="D3330" s="3" t="s">
        <v>1560</v>
      </c>
      <c r="E3330" s="3" t="s">
        <v>1561</v>
      </c>
      <c r="F3330" s="3">
        <v>0</v>
      </c>
      <c r="G3330" s="3">
        <v>17292.48</v>
      </c>
    </row>
    <row r="3331" spans="1:7" x14ac:dyDescent="0.2">
      <c r="A3331" s="3" t="s">
        <v>1072</v>
      </c>
      <c r="B3331" s="4">
        <v>45077</v>
      </c>
      <c r="C3331" s="3" t="s">
        <v>1210</v>
      </c>
      <c r="D3331" s="3" t="s">
        <v>1509</v>
      </c>
      <c r="E3331" s="3" t="s">
        <v>1510</v>
      </c>
      <c r="F3331" s="3">
        <v>-17.190000000000001</v>
      </c>
      <c r="G3331" s="3">
        <v>-337.38</v>
      </c>
    </row>
    <row r="3332" spans="1:7" x14ac:dyDescent="0.2">
      <c r="A3332" s="3" t="s">
        <v>1072</v>
      </c>
      <c r="B3332" s="4">
        <v>45077</v>
      </c>
      <c r="C3332" s="3" t="s">
        <v>1210</v>
      </c>
      <c r="D3332" s="3" t="s">
        <v>1323</v>
      </c>
      <c r="E3332" s="3" t="s">
        <v>1324</v>
      </c>
      <c r="F3332" s="3">
        <v>0</v>
      </c>
      <c r="G3332" s="3">
        <v>-10.39</v>
      </c>
    </row>
    <row r="3333" spans="1:7" x14ac:dyDescent="0.2">
      <c r="A3333" s="3" t="s">
        <v>1069</v>
      </c>
      <c r="B3333" s="4">
        <v>45077</v>
      </c>
      <c r="C3333" s="3" t="s">
        <v>1210</v>
      </c>
      <c r="D3333" s="3" t="s">
        <v>1249</v>
      </c>
      <c r="E3333" s="3" t="s">
        <v>1250</v>
      </c>
      <c r="F3333" s="3">
        <v>-222525.45</v>
      </c>
      <c r="G3333" s="3">
        <v>-553041.54</v>
      </c>
    </row>
    <row r="3334" spans="1:7" x14ac:dyDescent="0.2">
      <c r="A3334" s="3" t="s">
        <v>1069</v>
      </c>
      <c r="B3334" s="4">
        <v>45077</v>
      </c>
      <c r="C3334" s="3" t="s">
        <v>1168</v>
      </c>
      <c r="D3334" s="3" t="s">
        <v>1169</v>
      </c>
      <c r="E3334" s="3" t="s">
        <v>1079</v>
      </c>
      <c r="F3334" s="3">
        <v>52232.03</v>
      </c>
      <c r="G3334" s="3">
        <v>98086.79</v>
      </c>
    </row>
    <row r="3335" spans="1:7" x14ac:dyDescent="0.2">
      <c r="A3335" s="3" t="s">
        <v>1074</v>
      </c>
      <c r="B3335" s="4">
        <v>45077</v>
      </c>
      <c r="C3335" s="3" t="s">
        <v>1168</v>
      </c>
      <c r="D3335" s="3" t="s">
        <v>1169</v>
      </c>
      <c r="E3335" s="3" t="s">
        <v>1079</v>
      </c>
      <c r="F3335" s="3">
        <v>5637.5</v>
      </c>
      <c r="G3335" s="3">
        <v>32177.72</v>
      </c>
    </row>
    <row r="3336" spans="1:7" x14ac:dyDescent="0.2">
      <c r="A3336" s="3" t="s">
        <v>1069</v>
      </c>
      <c r="B3336" s="4">
        <v>45077</v>
      </c>
      <c r="C3336" s="3" t="s">
        <v>1168</v>
      </c>
      <c r="D3336" s="3" t="s">
        <v>1261</v>
      </c>
      <c r="E3336" s="3" t="s">
        <v>1145</v>
      </c>
      <c r="F3336" s="3">
        <v>-12480</v>
      </c>
      <c r="G3336" s="3">
        <v>12480</v>
      </c>
    </row>
    <row r="3337" spans="1:7" x14ac:dyDescent="0.2">
      <c r="A3337" s="3" t="s">
        <v>1072</v>
      </c>
      <c r="B3337" s="4">
        <v>45077</v>
      </c>
      <c r="C3337" s="3" t="s">
        <v>1168</v>
      </c>
      <c r="D3337" s="3" t="s">
        <v>1648</v>
      </c>
      <c r="E3337" s="3" t="s">
        <v>1084</v>
      </c>
      <c r="F3337" s="3">
        <v>0</v>
      </c>
      <c r="G3337" s="3">
        <v>295</v>
      </c>
    </row>
    <row r="3338" spans="1:7" x14ac:dyDescent="0.2">
      <c r="A3338" s="3" t="s">
        <v>1072</v>
      </c>
      <c r="B3338" s="4">
        <v>45077</v>
      </c>
      <c r="C3338" s="3" t="s">
        <v>1168</v>
      </c>
      <c r="D3338" s="3" t="s">
        <v>1339</v>
      </c>
      <c r="E3338" s="3" t="s">
        <v>1087</v>
      </c>
      <c r="F3338" s="3">
        <v>0</v>
      </c>
      <c r="G3338" s="3">
        <v>712</v>
      </c>
    </row>
    <row r="3339" spans="1:7" x14ac:dyDescent="0.2">
      <c r="A3339" s="3" t="s">
        <v>1072</v>
      </c>
      <c r="B3339" s="4">
        <v>45077</v>
      </c>
      <c r="C3339" s="3" t="s">
        <v>1168</v>
      </c>
      <c r="D3339" s="3" t="s">
        <v>1195</v>
      </c>
      <c r="E3339" s="3" t="s">
        <v>1085</v>
      </c>
      <c r="F3339" s="3">
        <v>1869.9</v>
      </c>
      <c r="G3339" s="3">
        <v>5578.63</v>
      </c>
    </row>
    <row r="3340" spans="1:7" x14ac:dyDescent="0.2">
      <c r="A3340" s="3" t="s">
        <v>1069</v>
      </c>
      <c r="B3340" s="4">
        <v>45077</v>
      </c>
      <c r="C3340" s="3" t="s">
        <v>1168</v>
      </c>
      <c r="D3340" s="3" t="s">
        <v>1195</v>
      </c>
      <c r="E3340" s="3" t="s">
        <v>1085</v>
      </c>
      <c r="F3340" s="3">
        <v>449.38</v>
      </c>
      <c r="G3340" s="3">
        <v>1406.56</v>
      </c>
    </row>
    <row r="3341" spans="1:7" x14ac:dyDescent="0.2">
      <c r="A3341" s="3" t="s">
        <v>1072</v>
      </c>
      <c r="B3341" s="4">
        <v>45077</v>
      </c>
      <c r="C3341" s="3" t="s">
        <v>1168</v>
      </c>
      <c r="D3341" s="3" t="s">
        <v>1340</v>
      </c>
      <c r="E3341" s="3" t="s">
        <v>1141</v>
      </c>
      <c r="F3341" s="3">
        <v>78.25</v>
      </c>
      <c r="G3341" s="3">
        <v>433.65</v>
      </c>
    </row>
    <row r="3342" spans="1:7" x14ac:dyDescent="0.2">
      <c r="A3342" s="3" t="s">
        <v>1072</v>
      </c>
      <c r="B3342" s="4">
        <v>45077</v>
      </c>
      <c r="C3342" s="3" t="s">
        <v>1168</v>
      </c>
      <c r="D3342" s="3" t="s">
        <v>1342</v>
      </c>
      <c r="E3342" s="3" t="s">
        <v>1080</v>
      </c>
      <c r="F3342" s="3">
        <v>1999.13</v>
      </c>
      <c r="G3342" s="3">
        <v>3603.65</v>
      </c>
    </row>
    <row r="3343" spans="1:7" x14ac:dyDescent="0.2">
      <c r="A3343" s="3" t="s">
        <v>1072</v>
      </c>
      <c r="B3343" s="4">
        <v>45077</v>
      </c>
      <c r="C3343" s="3" t="s">
        <v>1168</v>
      </c>
      <c r="D3343" s="3" t="s">
        <v>1504</v>
      </c>
      <c r="E3343" s="3" t="s">
        <v>1142</v>
      </c>
      <c r="F3343" s="3">
        <v>3130</v>
      </c>
      <c r="G3343" s="3">
        <v>10839</v>
      </c>
    </row>
    <row r="3344" spans="1:7" x14ac:dyDescent="0.2">
      <c r="A3344" s="3" t="s">
        <v>1069</v>
      </c>
      <c r="B3344" s="4">
        <v>45077</v>
      </c>
      <c r="C3344" s="3" t="s">
        <v>1168</v>
      </c>
      <c r="D3344" s="3" t="s">
        <v>1251</v>
      </c>
      <c r="E3344" s="3" t="s">
        <v>1095</v>
      </c>
      <c r="F3344" s="3">
        <v>121658</v>
      </c>
      <c r="G3344" s="3">
        <v>329184.57</v>
      </c>
    </row>
    <row r="3345" spans="1:7" x14ac:dyDescent="0.2">
      <c r="A3345" s="3" t="s">
        <v>1072</v>
      </c>
      <c r="B3345" s="4">
        <v>45077</v>
      </c>
      <c r="C3345" s="3" t="s">
        <v>1168</v>
      </c>
      <c r="D3345" s="3" t="s">
        <v>1348</v>
      </c>
      <c r="E3345" s="3" t="s">
        <v>1095</v>
      </c>
      <c r="F3345" s="3">
        <v>119527</v>
      </c>
      <c r="G3345" s="3">
        <v>373995.7</v>
      </c>
    </row>
    <row r="3346" spans="1:7" x14ac:dyDescent="0.2">
      <c r="A3346" s="3" t="s">
        <v>1069</v>
      </c>
      <c r="B3346" s="4">
        <v>45077</v>
      </c>
      <c r="C3346" s="3" t="s">
        <v>1168</v>
      </c>
      <c r="D3346" s="3" t="s">
        <v>1252</v>
      </c>
      <c r="E3346" s="3" t="s">
        <v>1120</v>
      </c>
      <c r="F3346" s="3">
        <v>4000</v>
      </c>
      <c r="G3346" s="3">
        <v>8000</v>
      </c>
    </row>
    <row r="3347" spans="1:7" x14ac:dyDescent="0.2">
      <c r="A3347" s="3" t="s">
        <v>1072</v>
      </c>
      <c r="B3347" s="4">
        <v>45077</v>
      </c>
      <c r="C3347" s="3" t="s">
        <v>1168</v>
      </c>
      <c r="D3347" s="3" t="s">
        <v>1349</v>
      </c>
      <c r="E3347" s="3" t="s">
        <v>1089</v>
      </c>
      <c r="F3347" s="3">
        <v>86.09</v>
      </c>
      <c r="G3347" s="3">
        <v>86.09</v>
      </c>
    </row>
    <row r="3348" spans="1:7" x14ac:dyDescent="0.2">
      <c r="A3348" s="3" t="s">
        <v>1072</v>
      </c>
      <c r="B3348" s="4">
        <v>45077</v>
      </c>
      <c r="C3348" s="3" t="s">
        <v>1168</v>
      </c>
      <c r="D3348" s="3" t="s">
        <v>1350</v>
      </c>
      <c r="E3348" s="3" t="s">
        <v>1115</v>
      </c>
      <c r="F3348" s="3">
        <v>3323.91</v>
      </c>
      <c r="G3348" s="3">
        <v>9971.7000000000007</v>
      </c>
    </row>
    <row r="3349" spans="1:7" x14ac:dyDescent="0.2">
      <c r="A3349" s="3" t="s">
        <v>1072</v>
      </c>
      <c r="B3349" s="4">
        <v>45077</v>
      </c>
      <c r="C3349" s="3" t="s">
        <v>1168</v>
      </c>
      <c r="D3349" s="3" t="s">
        <v>1351</v>
      </c>
      <c r="E3349" s="3" t="s">
        <v>1096</v>
      </c>
      <c r="F3349" s="3">
        <v>1188.7</v>
      </c>
      <c r="G3349" s="3">
        <v>1575.37</v>
      </c>
    </row>
    <row r="3350" spans="1:7" x14ac:dyDescent="0.2">
      <c r="A3350" s="3" t="s">
        <v>1072</v>
      </c>
      <c r="B3350" s="4">
        <v>45077</v>
      </c>
      <c r="C3350" s="3" t="s">
        <v>1168</v>
      </c>
      <c r="D3350" s="3" t="s">
        <v>1474</v>
      </c>
      <c r="E3350" s="3" t="s">
        <v>1114</v>
      </c>
      <c r="F3350" s="3">
        <v>547.67999999999995</v>
      </c>
      <c r="G3350" s="3">
        <v>1643.03</v>
      </c>
    </row>
    <row r="3351" spans="1:7" x14ac:dyDescent="0.2">
      <c r="A3351" s="3" t="s">
        <v>1069</v>
      </c>
      <c r="B3351" s="4">
        <v>45077</v>
      </c>
      <c r="C3351" s="3" t="s">
        <v>1168</v>
      </c>
      <c r="D3351" s="3" t="s">
        <v>1229</v>
      </c>
      <c r="E3351" s="3" t="s">
        <v>1136</v>
      </c>
      <c r="F3351" s="3">
        <v>2524.84</v>
      </c>
      <c r="G3351" s="3">
        <v>11263.46</v>
      </c>
    </row>
    <row r="3352" spans="1:7" x14ac:dyDescent="0.2">
      <c r="A3352" s="3" t="s">
        <v>1072</v>
      </c>
      <c r="B3352" s="4">
        <v>45077</v>
      </c>
      <c r="C3352" s="3" t="s">
        <v>1168</v>
      </c>
      <c r="D3352" s="3" t="s">
        <v>1229</v>
      </c>
      <c r="E3352" s="3" t="s">
        <v>1106</v>
      </c>
      <c r="F3352" s="3">
        <v>5058.34</v>
      </c>
      <c r="G3352" s="3">
        <v>19162.490000000002</v>
      </c>
    </row>
    <row r="3353" spans="1:7" x14ac:dyDescent="0.2">
      <c r="A3353" s="3" t="s">
        <v>1069</v>
      </c>
      <c r="B3353" s="4">
        <v>45077</v>
      </c>
      <c r="C3353" s="3" t="s">
        <v>1168</v>
      </c>
      <c r="D3353" s="3" t="s">
        <v>1230</v>
      </c>
      <c r="E3353" s="3" t="s">
        <v>1109</v>
      </c>
      <c r="F3353" s="3">
        <v>8832.24</v>
      </c>
      <c r="G3353" s="3">
        <v>43879.43</v>
      </c>
    </row>
    <row r="3354" spans="1:7" x14ac:dyDescent="0.2">
      <c r="A3354" s="3" t="s">
        <v>1069</v>
      </c>
      <c r="B3354" s="4">
        <v>45077</v>
      </c>
      <c r="C3354" s="3" t="s">
        <v>1168</v>
      </c>
      <c r="D3354" s="3" t="s">
        <v>1564</v>
      </c>
      <c r="E3354" s="3" t="s">
        <v>1101</v>
      </c>
      <c r="F3354" s="3">
        <v>0</v>
      </c>
      <c r="G3354" s="3">
        <v>10690.2</v>
      </c>
    </row>
    <row r="3355" spans="1:7" x14ac:dyDescent="0.2">
      <c r="A3355" s="3" t="s">
        <v>1069</v>
      </c>
      <c r="B3355" s="4">
        <v>45077</v>
      </c>
      <c r="C3355" s="3" t="s">
        <v>1168</v>
      </c>
      <c r="D3355" s="3" t="s">
        <v>1196</v>
      </c>
      <c r="E3355" s="3" t="s">
        <v>1131</v>
      </c>
      <c r="F3355" s="3">
        <v>39.47</v>
      </c>
      <c r="G3355" s="3">
        <v>39.47</v>
      </c>
    </row>
    <row r="3356" spans="1:7" x14ac:dyDescent="0.2">
      <c r="A3356" s="3" t="s">
        <v>1069</v>
      </c>
      <c r="B3356" s="4">
        <v>45077</v>
      </c>
      <c r="C3356" s="3" t="s">
        <v>1168</v>
      </c>
      <c r="D3356" s="3" t="s">
        <v>1663</v>
      </c>
      <c r="E3356" s="3" t="s">
        <v>1082</v>
      </c>
      <c r="F3356" s="3">
        <v>0</v>
      </c>
      <c r="G3356" s="3">
        <v>199.99</v>
      </c>
    </row>
    <row r="3357" spans="1:7" x14ac:dyDescent="0.2">
      <c r="A3357" s="3" t="s">
        <v>1069</v>
      </c>
      <c r="B3357" s="4">
        <v>45077</v>
      </c>
      <c r="C3357" s="3" t="s">
        <v>1168</v>
      </c>
      <c r="D3357" s="3" t="s">
        <v>1544</v>
      </c>
      <c r="E3357" s="3" t="s">
        <v>1159</v>
      </c>
      <c r="F3357" s="3">
        <v>8823.9</v>
      </c>
      <c r="G3357" s="3">
        <v>16174.23</v>
      </c>
    </row>
    <row r="3358" spans="1:7" x14ac:dyDescent="0.2">
      <c r="A3358" s="3" t="s">
        <v>1072</v>
      </c>
      <c r="B3358" s="4">
        <v>45077</v>
      </c>
      <c r="C3358" s="3" t="s">
        <v>1168</v>
      </c>
      <c r="D3358" s="3" t="s">
        <v>1354</v>
      </c>
      <c r="E3358" s="3" t="s">
        <v>1078</v>
      </c>
      <c r="F3358" s="3">
        <v>0</v>
      </c>
      <c r="G3358" s="3">
        <v>5734.41</v>
      </c>
    </row>
    <row r="3359" spans="1:7" x14ac:dyDescent="0.2">
      <c r="A3359" s="3" t="s">
        <v>1069</v>
      </c>
      <c r="B3359" s="4">
        <v>45077</v>
      </c>
      <c r="C3359" s="3" t="s">
        <v>1168</v>
      </c>
      <c r="D3359" s="3" t="s">
        <v>1456</v>
      </c>
      <c r="E3359" s="3" t="s">
        <v>1457</v>
      </c>
      <c r="F3359" s="3">
        <v>0</v>
      </c>
      <c r="G3359" s="3">
        <v>-533.79999999999995</v>
      </c>
    </row>
    <row r="3360" spans="1:7" x14ac:dyDescent="0.2">
      <c r="A3360" s="3" t="s">
        <v>1069</v>
      </c>
      <c r="B3360" s="4">
        <v>45077</v>
      </c>
      <c r="C3360" s="3" t="s">
        <v>1168</v>
      </c>
      <c r="D3360" s="3" t="s">
        <v>1565</v>
      </c>
      <c r="E3360" s="3" t="s">
        <v>1566</v>
      </c>
      <c r="F3360" s="3">
        <v>22371.58</v>
      </c>
      <c r="G3360" s="3">
        <v>147794.21</v>
      </c>
    </row>
    <row r="3361" spans="1:7" x14ac:dyDescent="0.2">
      <c r="A3361" s="3" t="s">
        <v>1069</v>
      </c>
      <c r="B3361" s="4">
        <v>45077</v>
      </c>
      <c r="C3361" s="3" t="s">
        <v>1168</v>
      </c>
      <c r="D3361" s="3" t="s">
        <v>1567</v>
      </c>
      <c r="E3361" s="3" t="s">
        <v>1568</v>
      </c>
      <c r="F3361" s="3">
        <v>15457.54</v>
      </c>
      <c r="G3361" s="3">
        <v>56380.83</v>
      </c>
    </row>
    <row r="3362" spans="1:7" x14ac:dyDescent="0.2">
      <c r="A3362" s="3" t="s">
        <v>1069</v>
      </c>
      <c r="B3362" s="4">
        <v>45077</v>
      </c>
      <c r="C3362" s="3" t="s">
        <v>1168</v>
      </c>
      <c r="D3362" s="3" t="s">
        <v>1569</v>
      </c>
      <c r="E3362" s="3" t="s">
        <v>1570</v>
      </c>
      <c r="F3362" s="3">
        <v>13389.04</v>
      </c>
      <c r="G3362" s="3">
        <v>36302.06</v>
      </c>
    </row>
    <row r="3363" spans="1:7" x14ac:dyDescent="0.2">
      <c r="A3363" s="3" t="s">
        <v>1069</v>
      </c>
      <c r="B3363" s="4">
        <v>45077</v>
      </c>
      <c r="C3363" s="3" t="s">
        <v>1168</v>
      </c>
      <c r="D3363" s="3" t="s">
        <v>1608</v>
      </c>
      <c r="E3363" s="3" t="s">
        <v>1609</v>
      </c>
      <c r="F3363" s="3">
        <v>0</v>
      </c>
      <c r="G3363" s="3">
        <v>11027.39</v>
      </c>
    </row>
    <row r="3364" spans="1:7" x14ac:dyDescent="0.2">
      <c r="A3364" s="3" t="s">
        <v>1069</v>
      </c>
      <c r="B3364" s="4">
        <v>45077</v>
      </c>
      <c r="C3364" s="3" t="s">
        <v>1168</v>
      </c>
      <c r="D3364" s="3" t="s">
        <v>1571</v>
      </c>
      <c r="E3364" s="3" t="s">
        <v>1572</v>
      </c>
      <c r="F3364" s="3">
        <v>229887.83</v>
      </c>
      <c r="G3364" s="3">
        <v>270264.53999999998</v>
      </c>
    </row>
    <row r="3365" spans="1:7" x14ac:dyDescent="0.2">
      <c r="A3365" s="3" t="s">
        <v>1069</v>
      </c>
      <c r="B3365" s="4">
        <v>45077</v>
      </c>
      <c r="C3365" s="3" t="s">
        <v>1168</v>
      </c>
      <c r="D3365" s="3" t="s">
        <v>1573</v>
      </c>
      <c r="E3365" s="3" t="s">
        <v>1574</v>
      </c>
      <c r="F3365" s="3">
        <v>117904.12</v>
      </c>
      <c r="G3365" s="3">
        <v>306719.18</v>
      </c>
    </row>
    <row r="3366" spans="1:7" x14ac:dyDescent="0.2">
      <c r="A3366" s="3" t="s">
        <v>1069</v>
      </c>
      <c r="B3366" s="4">
        <v>45077</v>
      </c>
      <c r="C3366" s="3" t="s">
        <v>1168</v>
      </c>
      <c r="D3366" s="3" t="s">
        <v>1629</v>
      </c>
      <c r="E3366" s="3" t="s">
        <v>1630</v>
      </c>
      <c r="F3366" s="3">
        <v>33052.06</v>
      </c>
      <c r="G3366" s="3">
        <v>47503.98</v>
      </c>
    </row>
    <row r="3367" spans="1:7" x14ac:dyDescent="0.2">
      <c r="A3367" s="3" t="s">
        <v>1069</v>
      </c>
      <c r="B3367" s="4">
        <v>45077</v>
      </c>
      <c r="C3367" s="3" t="s">
        <v>1168</v>
      </c>
      <c r="D3367" s="3" t="s">
        <v>1575</v>
      </c>
      <c r="E3367" s="3" t="s">
        <v>1576</v>
      </c>
      <c r="F3367" s="3">
        <v>214964.38</v>
      </c>
      <c r="G3367" s="3">
        <v>2785386.85</v>
      </c>
    </row>
    <row r="3368" spans="1:7" x14ac:dyDescent="0.2">
      <c r="A3368" s="3" t="s">
        <v>1072</v>
      </c>
      <c r="B3368" s="4">
        <v>45077</v>
      </c>
      <c r="C3368" s="3" t="s">
        <v>1168</v>
      </c>
      <c r="D3368" s="3" t="s">
        <v>1671</v>
      </c>
      <c r="E3368" s="3" t="s">
        <v>1119</v>
      </c>
      <c r="F3368" s="3">
        <v>0</v>
      </c>
      <c r="G3368" s="3">
        <v>5202.88</v>
      </c>
    </row>
    <row r="3369" spans="1:7" x14ac:dyDescent="0.2">
      <c r="A3369" s="3" t="s">
        <v>1069</v>
      </c>
      <c r="B3369" s="4">
        <v>45077</v>
      </c>
      <c r="C3369" s="3" t="s">
        <v>1168</v>
      </c>
      <c r="D3369" s="3" t="s">
        <v>1253</v>
      </c>
      <c r="E3369" s="3" t="s">
        <v>1103</v>
      </c>
      <c r="F3369" s="3">
        <v>5264.82</v>
      </c>
      <c r="G3369" s="3">
        <v>18838.97</v>
      </c>
    </row>
    <row r="3370" spans="1:7" x14ac:dyDescent="0.2">
      <c r="A3370" s="3" t="s">
        <v>1072</v>
      </c>
      <c r="B3370" s="4">
        <v>45077</v>
      </c>
      <c r="C3370" s="3" t="s">
        <v>1168</v>
      </c>
      <c r="D3370" s="3" t="s">
        <v>1672</v>
      </c>
      <c r="E3370" s="3" t="s">
        <v>1097</v>
      </c>
      <c r="F3370" s="3">
        <v>0</v>
      </c>
      <c r="G3370" s="3">
        <v>362</v>
      </c>
    </row>
    <row r="3371" spans="1:7" x14ac:dyDescent="0.2">
      <c r="A3371" s="3" t="s">
        <v>1072</v>
      </c>
      <c r="B3371" s="4">
        <v>45077</v>
      </c>
      <c r="C3371" s="3" t="s">
        <v>1168</v>
      </c>
      <c r="D3371" s="3" t="s">
        <v>1357</v>
      </c>
      <c r="E3371" s="3" t="s">
        <v>1157</v>
      </c>
      <c r="F3371" s="3">
        <v>4892.22</v>
      </c>
      <c r="G3371" s="3">
        <v>17606.009999999998</v>
      </c>
    </row>
    <row r="3372" spans="1:7" x14ac:dyDescent="0.2">
      <c r="A3372" s="3" t="s">
        <v>1072</v>
      </c>
      <c r="B3372" s="4">
        <v>45077</v>
      </c>
      <c r="C3372" s="3" t="s">
        <v>1168</v>
      </c>
      <c r="D3372" s="3" t="s">
        <v>1201</v>
      </c>
      <c r="E3372" s="3" t="s">
        <v>1112</v>
      </c>
      <c r="F3372" s="3">
        <v>2190.86</v>
      </c>
      <c r="G3372" s="3">
        <v>5663.9</v>
      </c>
    </row>
    <row r="3373" spans="1:7" x14ac:dyDescent="0.2">
      <c r="A3373" s="3" t="s">
        <v>1072</v>
      </c>
      <c r="B3373" s="4">
        <v>45077</v>
      </c>
      <c r="C3373" s="3" t="s">
        <v>1168</v>
      </c>
      <c r="D3373" s="3" t="s">
        <v>1360</v>
      </c>
      <c r="E3373" s="3" t="s">
        <v>1098</v>
      </c>
      <c r="F3373" s="3">
        <v>2190.96</v>
      </c>
      <c r="G3373" s="3">
        <v>5344.19</v>
      </c>
    </row>
    <row r="3374" spans="1:7" x14ac:dyDescent="0.2">
      <c r="A3374" s="3" t="s">
        <v>1072</v>
      </c>
      <c r="B3374" s="4">
        <v>45077</v>
      </c>
      <c r="C3374" s="3" t="s">
        <v>1168</v>
      </c>
      <c r="D3374" s="3" t="s">
        <v>1361</v>
      </c>
      <c r="E3374" s="3" t="s">
        <v>1121</v>
      </c>
      <c r="F3374" s="3">
        <v>29600</v>
      </c>
      <c r="G3374" s="3">
        <v>88800</v>
      </c>
    </row>
    <row r="3375" spans="1:7" x14ac:dyDescent="0.2">
      <c r="A3375" s="3" t="s">
        <v>1072</v>
      </c>
      <c r="B3375" s="4">
        <v>45077</v>
      </c>
      <c r="C3375" s="3" t="s">
        <v>1168</v>
      </c>
      <c r="D3375" s="3" t="s">
        <v>1231</v>
      </c>
      <c r="E3375" s="3" t="s">
        <v>1083</v>
      </c>
      <c r="F3375" s="3">
        <v>843.6</v>
      </c>
      <c r="G3375" s="3">
        <v>2530.8000000000002</v>
      </c>
    </row>
    <row r="3376" spans="1:7" x14ac:dyDescent="0.2">
      <c r="A3376" s="3" t="s">
        <v>1069</v>
      </c>
      <c r="B3376" s="4">
        <v>45077</v>
      </c>
      <c r="C3376" s="3" t="s">
        <v>1168</v>
      </c>
      <c r="D3376" s="3" t="s">
        <v>1231</v>
      </c>
      <c r="E3376" s="3" t="s">
        <v>1070</v>
      </c>
      <c r="F3376" s="3">
        <v>1.08</v>
      </c>
      <c r="G3376" s="3">
        <v>-11396.43</v>
      </c>
    </row>
    <row r="3377" spans="1:7" x14ac:dyDescent="0.2">
      <c r="A3377" s="3" t="s">
        <v>1072</v>
      </c>
      <c r="B3377" s="4">
        <v>45077</v>
      </c>
      <c r="C3377" s="3" t="s">
        <v>1168</v>
      </c>
      <c r="D3377" s="3" t="s">
        <v>1254</v>
      </c>
      <c r="E3377" s="3" t="s">
        <v>1075</v>
      </c>
      <c r="F3377" s="3">
        <v>2121.6</v>
      </c>
      <c r="G3377" s="3">
        <v>9224.4</v>
      </c>
    </row>
    <row r="3378" spans="1:7" x14ac:dyDescent="0.2">
      <c r="A3378" s="3" t="s">
        <v>1072</v>
      </c>
      <c r="B3378" s="4">
        <v>45077</v>
      </c>
      <c r="C3378" s="3" t="s">
        <v>1168</v>
      </c>
      <c r="D3378" s="3" t="s">
        <v>1362</v>
      </c>
      <c r="E3378" s="3" t="s">
        <v>1123</v>
      </c>
      <c r="F3378" s="3">
        <v>333418.53999999998</v>
      </c>
      <c r="G3378" s="3">
        <v>971959.28</v>
      </c>
    </row>
    <row r="3379" spans="1:7" x14ac:dyDescent="0.2">
      <c r="A3379" s="3" t="s">
        <v>1072</v>
      </c>
      <c r="B3379" s="4">
        <v>45077</v>
      </c>
      <c r="C3379" s="3" t="s">
        <v>1168</v>
      </c>
      <c r="D3379" s="3" t="s">
        <v>1365</v>
      </c>
      <c r="E3379" s="3" t="s">
        <v>1090</v>
      </c>
      <c r="F3379" s="3">
        <v>5192.13</v>
      </c>
      <c r="G3379" s="3">
        <v>5192.13</v>
      </c>
    </row>
    <row r="3380" spans="1:7" x14ac:dyDescent="0.2">
      <c r="A3380" s="3" t="s">
        <v>1072</v>
      </c>
      <c r="B3380" s="4">
        <v>45077</v>
      </c>
      <c r="C3380" s="3" t="s">
        <v>1168</v>
      </c>
      <c r="D3380" s="3" t="s">
        <v>1511</v>
      </c>
      <c r="E3380" s="3" t="s">
        <v>1104</v>
      </c>
      <c r="F3380" s="3">
        <v>177.33</v>
      </c>
      <c r="G3380" s="3">
        <v>531.99</v>
      </c>
    </row>
    <row r="3381" spans="1:7" x14ac:dyDescent="0.2">
      <c r="A3381" s="3" t="s">
        <v>1072</v>
      </c>
      <c r="B3381" s="4">
        <v>45077</v>
      </c>
      <c r="C3381" s="3" t="s">
        <v>1168</v>
      </c>
      <c r="D3381" s="3" t="s">
        <v>1366</v>
      </c>
      <c r="E3381" s="3" t="s">
        <v>1144</v>
      </c>
      <c r="F3381" s="3">
        <v>607.83000000000004</v>
      </c>
      <c r="G3381" s="3">
        <v>3041.74</v>
      </c>
    </row>
    <row r="3382" spans="1:7" x14ac:dyDescent="0.2">
      <c r="A3382" s="3" t="s">
        <v>1069</v>
      </c>
      <c r="B3382" s="4">
        <v>45077</v>
      </c>
      <c r="C3382" s="3" t="s">
        <v>1168</v>
      </c>
      <c r="D3382" s="3" t="s">
        <v>1213</v>
      </c>
      <c r="E3382" s="3" t="s">
        <v>1150</v>
      </c>
      <c r="F3382" s="3">
        <v>328.38</v>
      </c>
      <c r="G3382" s="3">
        <v>985.14</v>
      </c>
    </row>
    <row r="3383" spans="1:7" x14ac:dyDescent="0.2">
      <c r="A3383" s="3" t="s">
        <v>1072</v>
      </c>
      <c r="B3383" s="4">
        <v>45077</v>
      </c>
      <c r="C3383" s="3" t="s">
        <v>1168</v>
      </c>
      <c r="D3383" s="3" t="s">
        <v>1368</v>
      </c>
      <c r="E3383" s="3" t="s">
        <v>1124</v>
      </c>
      <c r="F3383" s="3">
        <v>2227.4</v>
      </c>
      <c r="G3383" s="3">
        <v>2472.38</v>
      </c>
    </row>
    <row r="3384" spans="1:7" x14ac:dyDescent="0.2">
      <c r="A3384" s="3" t="s">
        <v>1072</v>
      </c>
      <c r="B3384" s="4">
        <v>45077</v>
      </c>
      <c r="C3384" s="3" t="s">
        <v>1168</v>
      </c>
      <c r="D3384" s="3" t="s">
        <v>1370</v>
      </c>
      <c r="E3384" s="3" t="s">
        <v>1129</v>
      </c>
      <c r="F3384" s="3">
        <v>747</v>
      </c>
      <c r="G3384" s="3">
        <v>2241</v>
      </c>
    </row>
    <row r="3385" spans="1:7" x14ac:dyDescent="0.2">
      <c r="A3385" s="3" t="s">
        <v>1072</v>
      </c>
      <c r="B3385" s="4">
        <v>45077</v>
      </c>
      <c r="C3385" s="3" t="s">
        <v>1168</v>
      </c>
      <c r="D3385" s="3" t="s">
        <v>1371</v>
      </c>
      <c r="E3385" s="3" t="s">
        <v>1093</v>
      </c>
      <c r="F3385" s="3">
        <v>0</v>
      </c>
      <c r="G3385" s="3">
        <v>10825.49</v>
      </c>
    </row>
    <row r="3386" spans="1:7" x14ac:dyDescent="0.2">
      <c r="A3386" s="3" t="s">
        <v>1072</v>
      </c>
      <c r="B3386" s="4">
        <v>45077</v>
      </c>
      <c r="C3386" s="3" t="s">
        <v>1168</v>
      </c>
      <c r="D3386" s="3" t="s">
        <v>1372</v>
      </c>
      <c r="E3386" s="3" t="s">
        <v>1158</v>
      </c>
      <c r="F3386" s="3">
        <v>600</v>
      </c>
      <c r="G3386" s="3">
        <v>1800</v>
      </c>
    </row>
    <row r="3387" spans="1:7" x14ac:dyDescent="0.2">
      <c r="A3387" s="3" t="s">
        <v>1072</v>
      </c>
      <c r="B3387" s="4">
        <v>45077</v>
      </c>
      <c r="C3387" s="3" t="s">
        <v>1168</v>
      </c>
      <c r="D3387" s="3" t="s">
        <v>1373</v>
      </c>
      <c r="E3387" s="3" t="s">
        <v>1092</v>
      </c>
      <c r="F3387" s="3">
        <v>937.23</v>
      </c>
      <c r="G3387" s="3">
        <v>2345.73</v>
      </c>
    </row>
    <row r="3388" spans="1:7" x14ac:dyDescent="0.2">
      <c r="A3388" s="3" t="s">
        <v>1069</v>
      </c>
      <c r="B3388" s="4">
        <v>45077</v>
      </c>
      <c r="C3388" s="3" t="s">
        <v>1168</v>
      </c>
      <c r="D3388" s="3" t="s">
        <v>1232</v>
      </c>
      <c r="E3388" s="3" t="s">
        <v>1105</v>
      </c>
      <c r="F3388" s="3">
        <v>600</v>
      </c>
      <c r="G3388" s="3">
        <v>1800</v>
      </c>
    </row>
    <row r="3389" spans="1:7" x14ac:dyDescent="0.2">
      <c r="A3389" s="3" t="s">
        <v>1074</v>
      </c>
      <c r="B3389" s="4">
        <v>45077</v>
      </c>
      <c r="C3389" s="3" t="s">
        <v>1168</v>
      </c>
      <c r="D3389" s="3" t="s">
        <v>1232</v>
      </c>
      <c r="E3389" s="3" t="s">
        <v>1105</v>
      </c>
      <c r="F3389" s="3">
        <v>600</v>
      </c>
      <c r="G3389" s="3">
        <v>1800</v>
      </c>
    </row>
    <row r="3390" spans="1:7" x14ac:dyDescent="0.2">
      <c r="A3390" s="3" t="s">
        <v>1072</v>
      </c>
      <c r="B3390" s="4">
        <v>45077</v>
      </c>
      <c r="C3390" s="3" t="s">
        <v>1168</v>
      </c>
      <c r="D3390" s="3" t="s">
        <v>1378</v>
      </c>
      <c r="E3390" s="3" t="s">
        <v>1143</v>
      </c>
      <c r="F3390" s="3">
        <v>77215.960000000006</v>
      </c>
      <c r="G3390" s="3">
        <v>230024.45</v>
      </c>
    </row>
    <row r="3391" spans="1:7" x14ac:dyDescent="0.2">
      <c r="A3391" s="3" t="s">
        <v>1072</v>
      </c>
      <c r="B3391" s="4">
        <v>45077</v>
      </c>
      <c r="C3391" s="3" t="s">
        <v>1168</v>
      </c>
      <c r="D3391" s="3" t="s">
        <v>1379</v>
      </c>
      <c r="E3391" s="3" t="s">
        <v>1107</v>
      </c>
      <c r="F3391" s="3">
        <v>3980.49</v>
      </c>
      <c r="G3391" s="3">
        <v>11643.12</v>
      </c>
    </row>
    <row r="3392" spans="1:7" x14ac:dyDescent="0.2">
      <c r="A3392" s="3" t="s">
        <v>1072</v>
      </c>
      <c r="B3392" s="4">
        <v>45077</v>
      </c>
      <c r="C3392" s="3" t="s">
        <v>1168</v>
      </c>
      <c r="D3392" s="3" t="s">
        <v>1380</v>
      </c>
      <c r="E3392" s="3" t="s">
        <v>1125</v>
      </c>
      <c r="F3392" s="3">
        <v>2059.1799999999998</v>
      </c>
      <c r="G3392" s="3">
        <v>5983.24</v>
      </c>
    </row>
    <row r="3393" spans="1:7" x14ac:dyDescent="0.2">
      <c r="A3393" s="3" t="s">
        <v>1072</v>
      </c>
      <c r="B3393" s="4">
        <v>45077</v>
      </c>
      <c r="C3393" s="3" t="s">
        <v>1168</v>
      </c>
      <c r="D3393" s="3" t="s">
        <v>1381</v>
      </c>
      <c r="E3393" s="3" t="s">
        <v>1130</v>
      </c>
      <c r="F3393" s="3">
        <v>2059.1799999999998</v>
      </c>
      <c r="G3393" s="3">
        <v>5983.24</v>
      </c>
    </row>
    <row r="3394" spans="1:7" x14ac:dyDescent="0.2">
      <c r="A3394" s="3" t="s">
        <v>1072</v>
      </c>
      <c r="B3394" s="4">
        <v>45077</v>
      </c>
      <c r="C3394" s="3" t="s">
        <v>1168</v>
      </c>
      <c r="D3394" s="3" t="s">
        <v>1458</v>
      </c>
      <c r="E3394" s="3" t="s">
        <v>1113</v>
      </c>
      <c r="F3394" s="3">
        <v>3007.35</v>
      </c>
      <c r="G3394" s="3">
        <v>15075.35</v>
      </c>
    </row>
    <row r="3395" spans="1:7" x14ac:dyDescent="0.2">
      <c r="A3395" s="3" t="s">
        <v>1072</v>
      </c>
      <c r="B3395" s="4">
        <v>45077</v>
      </c>
      <c r="C3395" s="3" t="s">
        <v>1168</v>
      </c>
      <c r="D3395" s="3" t="s">
        <v>1459</v>
      </c>
      <c r="E3395" s="3" t="s">
        <v>1139</v>
      </c>
      <c r="F3395" s="3">
        <v>1011.6</v>
      </c>
      <c r="G3395" s="3">
        <v>4562.1000000000004</v>
      </c>
    </row>
    <row r="3396" spans="1:7" x14ac:dyDescent="0.2">
      <c r="A3396" s="3" t="s">
        <v>1069</v>
      </c>
      <c r="B3396" s="4">
        <v>45077</v>
      </c>
      <c r="C3396" s="3" t="s">
        <v>1172</v>
      </c>
      <c r="D3396" s="3" t="s">
        <v>1173</v>
      </c>
      <c r="E3396" s="3" t="s">
        <v>1174</v>
      </c>
      <c r="F3396" s="3">
        <v>0</v>
      </c>
      <c r="G3396" s="3">
        <v>-100</v>
      </c>
    </row>
    <row r="3397" spans="1:7" x14ac:dyDescent="0.2">
      <c r="A3397" s="3" t="s">
        <v>1072</v>
      </c>
      <c r="B3397" s="4">
        <v>45077</v>
      </c>
      <c r="C3397" s="3" t="s">
        <v>1172</v>
      </c>
      <c r="D3397" s="3" t="s">
        <v>1382</v>
      </c>
      <c r="E3397" s="3" t="s">
        <v>1383</v>
      </c>
      <c r="F3397" s="3">
        <v>0</v>
      </c>
      <c r="G3397" s="3">
        <v>-120</v>
      </c>
    </row>
    <row r="3398" spans="1:7" x14ac:dyDescent="0.2">
      <c r="A3398" s="3" t="s">
        <v>1072</v>
      </c>
      <c r="B3398" s="4">
        <v>45077</v>
      </c>
      <c r="C3398" s="3" t="s">
        <v>1172</v>
      </c>
      <c r="D3398" s="3" t="s">
        <v>1384</v>
      </c>
      <c r="E3398" s="3" t="s">
        <v>1385</v>
      </c>
      <c r="F3398" s="3">
        <v>0</v>
      </c>
      <c r="G3398" s="3">
        <v>-296075.58</v>
      </c>
    </row>
    <row r="3399" spans="1:7" x14ac:dyDescent="0.2">
      <c r="A3399" s="3" t="s">
        <v>1069</v>
      </c>
      <c r="B3399" s="4">
        <v>45077</v>
      </c>
      <c r="C3399" s="3" t="s">
        <v>1172</v>
      </c>
      <c r="D3399" s="3" t="s">
        <v>1384</v>
      </c>
      <c r="E3399" s="3" t="s">
        <v>1385</v>
      </c>
      <c r="F3399" s="3">
        <v>0</v>
      </c>
      <c r="G3399" s="3">
        <v>-17843179.579999998</v>
      </c>
    </row>
    <row r="3400" spans="1:7" x14ac:dyDescent="0.2">
      <c r="A3400" s="3" t="s">
        <v>1074</v>
      </c>
      <c r="B3400" s="4">
        <v>45077</v>
      </c>
      <c r="C3400" s="3" t="s">
        <v>1172</v>
      </c>
      <c r="D3400" s="3" t="s">
        <v>1384</v>
      </c>
      <c r="E3400" s="3" t="s">
        <v>1385</v>
      </c>
      <c r="F3400" s="3">
        <v>0</v>
      </c>
      <c r="G3400" s="3">
        <v>70398.12</v>
      </c>
    </row>
    <row r="3401" spans="1:7" x14ac:dyDescent="0.2">
      <c r="A3401" s="3" t="s">
        <v>1069</v>
      </c>
      <c r="B3401" s="4">
        <v>45077</v>
      </c>
      <c r="C3401" s="3" t="s">
        <v>1180</v>
      </c>
      <c r="D3401" s="3" t="s">
        <v>1241</v>
      </c>
      <c r="E3401" s="3" t="s">
        <v>1242</v>
      </c>
      <c r="F3401" s="3">
        <v>0</v>
      </c>
      <c r="G3401" s="3">
        <v>17562360.850000001</v>
      </c>
    </row>
    <row r="3402" spans="1:7" x14ac:dyDescent="0.2">
      <c r="A3402" s="3" t="s">
        <v>1072</v>
      </c>
      <c r="B3402" s="4">
        <v>45077</v>
      </c>
      <c r="C3402" s="3" t="s">
        <v>1180</v>
      </c>
      <c r="D3402" s="3" t="s">
        <v>1483</v>
      </c>
      <c r="E3402" s="3" t="s">
        <v>1177</v>
      </c>
      <c r="F3402" s="3">
        <v>0</v>
      </c>
      <c r="G3402" s="3">
        <v>185000</v>
      </c>
    </row>
    <row r="3403" spans="1:7" x14ac:dyDescent="0.2">
      <c r="A3403" s="3" t="s">
        <v>1072</v>
      </c>
      <c r="B3403" s="4">
        <v>45077</v>
      </c>
      <c r="C3403" s="3" t="s">
        <v>1180</v>
      </c>
      <c r="D3403" s="3" t="s">
        <v>1388</v>
      </c>
      <c r="E3403" s="3" t="s">
        <v>1389</v>
      </c>
      <c r="F3403" s="3">
        <v>0</v>
      </c>
      <c r="G3403" s="3">
        <v>-4342.5</v>
      </c>
    </row>
    <row r="3404" spans="1:7" x14ac:dyDescent="0.2">
      <c r="A3404" s="3" t="s">
        <v>1072</v>
      </c>
      <c r="B3404" s="4">
        <v>45077</v>
      </c>
      <c r="C3404" s="3" t="s">
        <v>1180</v>
      </c>
      <c r="D3404" s="3" t="s">
        <v>1390</v>
      </c>
      <c r="E3404" s="3" t="s">
        <v>1391</v>
      </c>
      <c r="F3404" s="3">
        <v>0</v>
      </c>
      <c r="G3404" s="3">
        <v>-2261000</v>
      </c>
    </row>
    <row r="3405" spans="1:7" x14ac:dyDescent="0.2">
      <c r="A3405" s="3" t="s">
        <v>1072</v>
      </c>
      <c r="B3405" s="4">
        <v>45077</v>
      </c>
      <c r="C3405" s="3" t="s">
        <v>1180</v>
      </c>
      <c r="D3405" s="3" t="s">
        <v>1392</v>
      </c>
      <c r="E3405" s="3" t="s">
        <v>1393</v>
      </c>
      <c r="F3405" s="3">
        <v>0</v>
      </c>
      <c r="G3405" s="3">
        <v>4342.5</v>
      </c>
    </row>
    <row r="3406" spans="1:7" x14ac:dyDescent="0.2">
      <c r="A3406" s="3" t="s">
        <v>1072</v>
      </c>
      <c r="B3406" s="4">
        <v>45077</v>
      </c>
      <c r="C3406" s="3" t="s">
        <v>1180</v>
      </c>
      <c r="D3406" s="3" t="s">
        <v>1394</v>
      </c>
      <c r="E3406" s="3" t="s">
        <v>1256</v>
      </c>
      <c r="F3406" s="3">
        <v>-1200</v>
      </c>
      <c r="G3406" s="3">
        <v>0</v>
      </c>
    </row>
    <row r="3407" spans="1:7" x14ac:dyDescent="0.2">
      <c r="A3407" s="3" t="s">
        <v>1072</v>
      </c>
      <c r="B3407" s="4">
        <v>45077</v>
      </c>
      <c r="C3407" s="3" t="s">
        <v>1180</v>
      </c>
      <c r="D3407" s="3" t="s">
        <v>1395</v>
      </c>
      <c r="E3407" s="3" t="s">
        <v>1396</v>
      </c>
      <c r="F3407" s="3">
        <v>145000</v>
      </c>
      <c r="G3407" s="3">
        <v>-10231940.42</v>
      </c>
    </row>
    <row r="3408" spans="1:7" x14ac:dyDescent="0.2">
      <c r="A3408" s="3" t="s">
        <v>1072</v>
      </c>
      <c r="B3408" s="4">
        <v>45077</v>
      </c>
      <c r="C3408" s="3" t="s">
        <v>1180</v>
      </c>
      <c r="D3408" s="3" t="s">
        <v>1397</v>
      </c>
      <c r="E3408" s="3" t="s">
        <v>1398</v>
      </c>
      <c r="F3408" s="3">
        <v>-1200</v>
      </c>
      <c r="G3408" s="3">
        <v>0</v>
      </c>
    </row>
    <row r="3409" spans="1:7" x14ac:dyDescent="0.2">
      <c r="A3409" s="3" t="s">
        <v>1072</v>
      </c>
      <c r="B3409" s="4">
        <v>45077</v>
      </c>
      <c r="C3409" s="3" t="s">
        <v>1180</v>
      </c>
      <c r="D3409" s="3" t="s">
        <v>1512</v>
      </c>
      <c r="E3409" s="3" t="s">
        <v>1513</v>
      </c>
      <c r="F3409" s="3">
        <v>2665000</v>
      </c>
      <c r="G3409" s="3">
        <v>21511187.399999999</v>
      </c>
    </row>
    <row r="3410" spans="1:7" x14ac:dyDescent="0.2">
      <c r="A3410" s="3" t="s">
        <v>1072</v>
      </c>
      <c r="B3410" s="4">
        <v>45077</v>
      </c>
      <c r="C3410" s="3" t="s">
        <v>1180</v>
      </c>
      <c r="D3410" s="3" t="s">
        <v>1399</v>
      </c>
      <c r="E3410" s="3" t="s">
        <v>1400</v>
      </c>
      <c r="F3410" s="3">
        <v>131500</v>
      </c>
      <c r="G3410" s="3">
        <v>11500</v>
      </c>
    </row>
    <row r="3411" spans="1:7" x14ac:dyDescent="0.2">
      <c r="A3411" s="3" t="s">
        <v>1074</v>
      </c>
      <c r="B3411" s="4">
        <v>45077</v>
      </c>
      <c r="C3411" s="3" t="s">
        <v>1175</v>
      </c>
      <c r="D3411" s="3" t="s">
        <v>1492</v>
      </c>
      <c r="E3411" s="3" t="s">
        <v>1493</v>
      </c>
      <c r="F3411" s="3">
        <v>-8639308.1600000001</v>
      </c>
      <c r="G3411" s="3">
        <v>-35389035.759999998</v>
      </c>
    </row>
    <row r="3412" spans="1:7" x14ac:dyDescent="0.2">
      <c r="A3412" s="3" t="s">
        <v>1069</v>
      </c>
      <c r="B3412" s="4">
        <v>45077</v>
      </c>
      <c r="C3412" s="3" t="s">
        <v>1175</v>
      </c>
      <c r="D3412" s="3" t="s">
        <v>1178</v>
      </c>
      <c r="E3412" s="3" t="s">
        <v>1179</v>
      </c>
      <c r="F3412" s="3">
        <v>-145000</v>
      </c>
      <c r="G3412" s="3">
        <v>10231940.42</v>
      </c>
    </row>
    <row r="3413" spans="1:7" x14ac:dyDescent="0.2">
      <c r="A3413" s="3" t="s">
        <v>1069</v>
      </c>
      <c r="B3413" s="4">
        <v>45077</v>
      </c>
      <c r="C3413" s="3" t="s">
        <v>1175</v>
      </c>
      <c r="D3413" s="3" t="s">
        <v>1233</v>
      </c>
      <c r="E3413" s="3" t="s">
        <v>1234</v>
      </c>
      <c r="F3413" s="3">
        <v>349000</v>
      </c>
      <c r="G3413" s="3">
        <v>3052000</v>
      </c>
    </row>
    <row r="3414" spans="1:7" x14ac:dyDescent="0.2">
      <c r="A3414" s="3" t="s">
        <v>1069</v>
      </c>
      <c r="B3414" s="4">
        <v>45077</v>
      </c>
      <c r="C3414" s="3" t="s">
        <v>1175</v>
      </c>
      <c r="D3414" s="3" t="s">
        <v>1494</v>
      </c>
      <c r="E3414" s="3" t="s">
        <v>1495</v>
      </c>
      <c r="F3414" s="3">
        <v>8639308.1600000001</v>
      </c>
      <c r="G3414" s="3">
        <v>35389035.759999998</v>
      </c>
    </row>
    <row r="3415" spans="1:7" x14ac:dyDescent="0.2">
      <c r="A3415" s="3" t="s">
        <v>1069</v>
      </c>
      <c r="B3415" s="4">
        <v>45077</v>
      </c>
      <c r="C3415" s="3" t="s">
        <v>1175</v>
      </c>
      <c r="D3415" s="3" t="s">
        <v>1516</v>
      </c>
      <c r="E3415" s="3" t="s">
        <v>1400</v>
      </c>
      <c r="F3415" s="3">
        <v>-19000</v>
      </c>
      <c r="G3415" s="3">
        <v>22000</v>
      </c>
    </row>
    <row r="3416" spans="1:7" x14ac:dyDescent="0.2">
      <c r="A3416" s="3" t="s">
        <v>1072</v>
      </c>
      <c r="B3416" s="4">
        <v>45077</v>
      </c>
      <c r="C3416" s="3" t="s">
        <v>1180</v>
      </c>
      <c r="D3416" s="3" t="s">
        <v>1409</v>
      </c>
      <c r="E3416" s="3" t="s">
        <v>1410</v>
      </c>
      <c r="F3416" s="3">
        <v>0</v>
      </c>
      <c r="G3416" s="3">
        <v>216064.1</v>
      </c>
    </row>
    <row r="3417" spans="1:7" x14ac:dyDescent="0.2">
      <c r="A3417" s="3" t="s">
        <v>1072</v>
      </c>
      <c r="B3417" s="4">
        <v>45077</v>
      </c>
      <c r="C3417" s="3" t="s">
        <v>1180</v>
      </c>
      <c r="D3417" s="3" t="s">
        <v>1411</v>
      </c>
      <c r="E3417" s="3" t="s">
        <v>1412</v>
      </c>
      <c r="F3417" s="3">
        <v>0</v>
      </c>
      <c r="G3417" s="3">
        <v>-216063.1</v>
      </c>
    </row>
    <row r="3418" spans="1:7" x14ac:dyDescent="0.2">
      <c r="A3418" s="3" t="s">
        <v>1072</v>
      </c>
      <c r="B3418" s="4">
        <v>45077</v>
      </c>
      <c r="C3418" s="3" t="s">
        <v>1180</v>
      </c>
      <c r="D3418" s="3" t="s">
        <v>1413</v>
      </c>
      <c r="E3418" s="3" t="s">
        <v>1414</v>
      </c>
      <c r="F3418" s="3">
        <v>0</v>
      </c>
      <c r="G3418" s="3">
        <v>133790.35</v>
      </c>
    </row>
    <row r="3419" spans="1:7" x14ac:dyDescent="0.2">
      <c r="A3419" s="3" t="s">
        <v>1072</v>
      </c>
      <c r="B3419" s="4">
        <v>45077</v>
      </c>
      <c r="C3419" s="3" t="s">
        <v>1180</v>
      </c>
      <c r="D3419" s="3" t="s">
        <v>1415</v>
      </c>
      <c r="E3419" s="3" t="s">
        <v>1416</v>
      </c>
      <c r="F3419" s="3">
        <v>-3323.91</v>
      </c>
      <c r="G3419" s="3">
        <v>-52894.69</v>
      </c>
    </row>
    <row r="3420" spans="1:7" x14ac:dyDescent="0.2">
      <c r="A3420" s="3" t="s">
        <v>1072</v>
      </c>
      <c r="B3420" s="4">
        <v>45077</v>
      </c>
      <c r="C3420" s="3" t="s">
        <v>1180</v>
      </c>
      <c r="D3420" s="3" t="s">
        <v>1462</v>
      </c>
      <c r="E3420" s="3" t="s">
        <v>1463</v>
      </c>
      <c r="F3420" s="3">
        <v>0</v>
      </c>
      <c r="G3420" s="3">
        <v>37955.300000000003</v>
      </c>
    </row>
    <row r="3421" spans="1:7" x14ac:dyDescent="0.2">
      <c r="A3421" s="3" t="s">
        <v>1072</v>
      </c>
      <c r="B3421" s="4">
        <v>45077</v>
      </c>
      <c r="C3421" s="3" t="s">
        <v>1180</v>
      </c>
      <c r="D3421" s="3" t="s">
        <v>1484</v>
      </c>
      <c r="E3421" s="3" t="s">
        <v>1485</v>
      </c>
      <c r="F3421" s="3">
        <v>-547.67999999999995</v>
      </c>
      <c r="G3421" s="3">
        <v>-7537.58</v>
      </c>
    </row>
    <row r="3422" spans="1:7" x14ac:dyDescent="0.2">
      <c r="A3422" s="3" t="s">
        <v>1072</v>
      </c>
      <c r="B3422" s="4">
        <v>45077</v>
      </c>
      <c r="C3422" s="3" t="s">
        <v>1180</v>
      </c>
      <c r="D3422" s="3" t="s">
        <v>1417</v>
      </c>
      <c r="E3422" s="3" t="s">
        <v>1418</v>
      </c>
      <c r="F3422" s="3">
        <v>59722</v>
      </c>
      <c r="G3422" s="3">
        <v>71322</v>
      </c>
    </row>
    <row r="3423" spans="1:7" x14ac:dyDescent="0.2">
      <c r="A3423" s="3" t="s">
        <v>1072</v>
      </c>
      <c r="B3423" s="4">
        <v>45077</v>
      </c>
      <c r="C3423" s="3" t="s">
        <v>1180</v>
      </c>
      <c r="D3423" s="3" t="s">
        <v>1419</v>
      </c>
      <c r="E3423" s="3" t="s">
        <v>1420</v>
      </c>
      <c r="F3423" s="3">
        <v>-1188.7</v>
      </c>
      <c r="G3423" s="3">
        <v>-4700.93</v>
      </c>
    </row>
    <row r="3424" spans="1:7" x14ac:dyDescent="0.2">
      <c r="A3424" s="3" t="s">
        <v>1069</v>
      </c>
      <c r="B3424" s="4">
        <v>45077</v>
      </c>
      <c r="C3424" s="3" t="s">
        <v>1180</v>
      </c>
      <c r="D3424" s="3" t="s">
        <v>1421</v>
      </c>
      <c r="E3424" s="3" t="s">
        <v>1422</v>
      </c>
      <c r="F3424" s="3">
        <v>0</v>
      </c>
      <c r="G3424" s="3">
        <v>874505.75</v>
      </c>
    </row>
    <row r="3425" spans="1:7" x14ac:dyDescent="0.2">
      <c r="A3425" s="3" t="s">
        <v>1074</v>
      </c>
      <c r="B3425" s="4">
        <v>45077</v>
      </c>
      <c r="C3425" s="3" t="s">
        <v>1180</v>
      </c>
      <c r="D3425" s="3" t="s">
        <v>1421</v>
      </c>
      <c r="E3425" s="3" t="s">
        <v>1533</v>
      </c>
      <c r="F3425" s="3">
        <v>182721.88</v>
      </c>
      <c r="G3425" s="3">
        <v>803063.11</v>
      </c>
    </row>
    <row r="3426" spans="1:7" x14ac:dyDescent="0.2">
      <c r="A3426" s="3" t="s">
        <v>1069</v>
      </c>
      <c r="B3426" s="4">
        <v>45077</v>
      </c>
      <c r="C3426" s="3" t="s">
        <v>1180</v>
      </c>
      <c r="D3426" s="3" t="s">
        <v>1214</v>
      </c>
      <c r="E3426" s="3" t="s">
        <v>1215</v>
      </c>
      <c r="F3426" s="3">
        <v>0</v>
      </c>
      <c r="G3426" s="3">
        <v>26200000</v>
      </c>
    </row>
    <row r="3427" spans="1:7" x14ac:dyDescent="0.2">
      <c r="A3427" s="3" t="s">
        <v>1069</v>
      </c>
      <c r="B3427" s="4">
        <v>45077</v>
      </c>
      <c r="C3427" s="3" t="s">
        <v>1180</v>
      </c>
      <c r="D3427" s="3" t="s">
        <v>1216</v>
      </c>
      <c r="E3427" s="3" t="s">
        <v>1217</v>
      </c>
      <c r="F3427" s="3">
        <v>0</v>
      </c>
      <c r="G3427" s="3">
        <v>68427</v>
      </c>
    </row>
    <row r="3428" spans="1:7" x14ac:dyDescent="0.2">
      <c r="A3428" s="3" t="s">
        <v>1069</v>
      </c>
      <c r="B3428" s="4">
        <v>45077</v>
      </c>
      <c r="C3428" s="3" t="s">
        <v>1180</v>
      </c>
      <c r="D3428" s="3" t="s">
        <v>1218</v>
      </c>
      <c r="E3428" s="3" t="s">
        <v>1219</v>
      </c>
      <c r="F3428" s="3">
        <v>0</v>
      </c>
      <c r="G3428" s="3">
        <v>103812</v>
      </c>
    </row>
    <row r="3429" spans="1:7" x14ac:dyDescent="0.2">
      <c r="A3429" s="3" t="s">
        <v>1069</v>
      </c>
      <c r="B3429" s="4">
        <v>45077</v>
      </c>
      <c r="C3429" s="3" t="s">
        <v>1180</v>
      </c>
      <c r="D3429" s="3" t="s">
        <v>1197</v>
      </c>
      <c r="E3429" s="3" t="s">
        <v>1198</v>
      </c>
      <c r="F3429" s="3">
        <v>0</v>
      </c>
      <c r="G3429" s="3">
        <v>314087</v>
      </c>
    </row>
    <row r="3430" spans="1:7" x14ac:dyDescent="0.2">
      <c r="A3430" s="3" t="s">
        <v>1074</v>
      </c>
      <c r="B3430" s="4">
        <v>45077</v>
      </c>
      <c r="C3430" s="3" t="s">
        <v>1180</v>
      </c>
      <c r="D3430" s="3" t="s">
        <v>1197</v>
      </c>
      <c r="E3430" s="3" t="s">
        <v>1550</v>
      </c>
      <c r="F3430" s="3">
        <v>250404.54</v>
      </c>
      <c r="G3430" s="3">
        <v>377356.52</v>
      </c>
    </row>
    <row r="3431" spans="1:7" x14ac:dyDescent="0.2">
      <c r="A3431" s="3" t="s">
        <v>1069</v>
      </c>
      <c r="B3431" s="4">
        <v>45077</v>
      </c>
      <c r="C3431" s="3" t="s">
        <v>1180</v>
      </c>
      <c r="D3431" s="3" t="s">
        <v>1496</v>
      </c>
      <c r="E3431" s="3" t="s">
        <v>1497</v>
      </c>
      <c r="F3431" s="3">
        <v>0</v>
      </c>
      <c r="G3431" s="3">
        <v>139500</v>
      </c>
    </row>
    <row r="3432" spans="1:7" x14ac:dyDescent="0.2">
      <c r="A3432" s="3" t="s">
        <v>1069</v>
      </c>
      <c r="B3432" s="4">
        <v>45077</v>
      </c>
      <c r="C3432" s="3" t="s">
        <v>1180</v>
      </c>
      <c r="D3432" s="3" t="s">
        <v>1181</v>
      </c>
      <c r="E3432" s="3" t="s">
        <v>1182</v>
      </c>
      <c r="F3432" s="3">
        <v>0</v>
      </c>
      <c r="G3432" s="3">
        <v>8557641.8000000007</v>
      </c>
    </row>
    <row r="3433" spans="1:7" x14ac:dyDescent="0.2">
      <c r="A3433" s="3" t="s">
        <v>1069</v>
      </c>
      <c r="B3433" s="4">
        <v>45077</v>
      </c>
      <c r="C3433" s="3" t="s">
        <v>1180</v>
      </c>
      <c r="D3433" s="3" t="s">
        <v>1263</v>
      </c>
      <c r="E3433" s="3" t="s">
        <v>1264</v>
      </c>
      <c r="F3433" s="3">
        <v>0</v>
      </c>
      <c r="G3433" s="3">
        <v>13807.78</v>
      </c>
    </row>
    <row r="3434" spans="1:7" x14ac:dyDescent="0.2">
      <c r="A3434" s="3" t="s">
        <v>1069</v>
      </c>
      <c r="B3434" s="4">
        <v>45077</v>
      </c>
      <c r="C3434" s="3" t="s">
        <v>1180</v>
      </c>
      <c r="D3434" s="3" t="s">
        <v>1202</v>
      </c>
      <c r="E3434" s="3" t="s">
        <v>1203</v>
      </c>
      <c r="F3434" s="3">
        <v>0</v>
      </c>
      <c r="G3434" s="3">
        <v>197060.09</v>
      </c>
    </row>
    <row r="3435" spans="1:7" x14ac:dyDescent="0.2">
      <c r="A3435" s="3" t="s">
        <v>1074</v>
      </c>
      <c r="B3435" s="4">
        <v>45077</v>
      </c>
      <c r="C3435" s="3" t="s">
        <v>1180</v>
      </c>
      <c r="D3435" s="3" t="s">
        <v>1202</v>
      </c>
      <c r="E3435" s="3" t="s">
        <v>1577</v>
      </c>
      <c r="F3435" s="3">
        <v>0</v>
      </c>
      <c r="G3435" s="3">
        <v>19185</v>
      </c>
    </row>
    <row r="3436" spans="1:7" x14ac:dyDescent="0.2">
      <c r="A3436" s="3" t="s">
        <v>1069</v>
      </c>
      <c r="B3436" s="4">
        <v>45077</v>
      </c>
      <c r="C3436" s="3" t="s">
        <v>1180</v>
      </c>
      <c r="D3436" s="3" t="s">
        <v>1204</v>
      </c>
      <c r="E3436" s="3" t="s">
        <v>1205</v>
      </c>
      <c r="F3436" s="3">
        <v>0</v>
      </c>
      <c r="G3436" s="3">
        <v>7500</v>
      </c>
    </row>
    <row r="3437" spans="1:7" x14ac:dyDescent="0.2">
      <c r="A3437" s="3" t="s">
        <v>1074</v>
      </c>
      <c r="B3437" s="4">
        <v>45077</v>
      </c>
      <c r="C3437" s="3" t="s">
        <v>1180</v>
      </c>
      <c r="D3437" s="3" t="s">
        <v>1204</v>
      </c>
      <c r="E3437" s="3" t="s">
        <v>1673</v>
      </c>
      <c r="F3437" s="3">
        <v>0</v>
      </c>
      <c r="G3437" s="3">
        <v>114370.5</v>
      </c>
    </row>
    <row r="3438" spans="1:7" x14ac:dyDescent="0.2">
      <c r="A3438" s="3" t="s">
        <v>1069</v>
      </c>
      <c r="B3438" s="4">
        <v>45077</v>
      </c>
      <c r="C3438" s="3" t="s">
        <v>1180</v>
      </c>
      <c r="D3438" s="3" t="s">
        <v>1199</v>
      </c>
      <c r="E3438" s="3" t="s">
        <v>1200</v>
      </c>
      <c r="F3438" s="3">
        <v>0</v>
      </c>
      <c r="G3438" s="3">
        <v>67400</v>
      </c>
    </row>
    <row r="3439" spans="1:7" x14ac:dyDescent="0.2">
      <c r="A3439" s="3" t="s">
        <v>1069</v>
      </c>
      <c r="B3439" s="4">
        <v>45077</v>
      </c>
      <c r="C3439" s="3" t="s">
        <v>1180</v>
      </c>
      <c r="D3439" s="3" t="s">
        <v>1486</v>
      </c>
      <c r="E3439" s="3" t="s">
        <v>1487</v>
      </c>
      <c r="F3439" s="3">
        <v>0</v>
      </c>
      <c r="G3439" s="3">
        <v>20600</v>
      </c>
    </row>
    <row r="3440" spans="1:7" x14ac:dyDescent="0.2">
      <c r="A3440" s="3" t="s">
        <v>1069</v>
      </c>
      <c r="B3440" s="4">
        <v>45077</v>
      </c>
      <c r="C3440" s="3" t="s">
        <v>1180</v>
      </c>
      <c r="D3440" s="3" t="s">
        <v>1220</v>
      </c>
      <c r="E3440" s="3" t="s">
        <v>1221</v>
      </c>
      <c r="F3440" s="3">
        <v>0</v>
      </c>
      <c r="G3440" s="3">
        <v>15175</v>
      </c>
    </row>
    <row r="3441" spans="1:7" x14ac:dyDescent="0.2">
      <c r="A3441" s="3" t="s">
        <v>1069</v>
      </c>
      <c r="B3441" s="4">
        <v>45077</v>
      </c>
      <c r="C3441" s="3" t="s">
        <v>1180</v>
      </c>
      <c r="D3441" s="3" t="s">
        <v>1498</v>
      </c>
      <c r="E3441" s="3" t="s">
        <v>1499</v>
      </c>
      <c r="F3441" s="3">
        <v>0</v>
      </c>
      <c r="G3441" s="3">
        <v>570856.07999999996</v>
      </c>
    </row>
    <row r="3442" spans="1:7" x14ac:dyDescent="0.2">
      <c r="A3442" s="3" t="s">
        <v>1069</v>
      </c>
      <c r="B3442" s="4">
        <v>45077</v>
      </c>
      <c r="C3442" s="3" t="s">
        <v>1180</v>
      </c>
      <c r="D3442" s="3" t="s">
        <v>1183</v>
      </c>
      <c r="E3442" s="3" t="s">
        <v>1184</v>
      </c>
      <c r="F3442" s="3">
        <v>0</v>
      </c>
      <c r="G3442" s="3">
        <v>47748851.509999998</v>
      </c>
    </row>
    <row r="3443" spans="1:7" x14ac:dyDescent="0.2">
      <c r="A3443" s="3" t="s">
        <v>1074</v>
      </c>
      <c r="B3443" s="4">
        <v>45077</v>
      </c>
      <c r="C3443" s="3" t="s">
        <v>1180</v>
      </c>
      <c r="D3443" s="3" t="s">
        <v>1183</v>
      </c>
      <c r="E3443" s="3" t="s">
        <v>1631</v>
      </c>
      <c r="F3443" s="3">
        <v>0</v>
      </c>
      <c r="G3443" s="3">
        <v>7187757.9199999999</v>
      </c>
    </row>
    <row r="3444" spans="1:7" x14ac:dyDescent="0.2">
      <c r="A3444" s="3" t="s">
        <v>1069</v>
      </c>
      <c r="B3444" s="4">
        <v>45077</v>
      </c>
      <c r="C3444" s="3" t="s">
        <v>1180</v>
      </c>
      <c r="D3444" s="3" t="s">
        <v>1222</v>
      </c>
      <c r="E3444" s="3" t="s">
        <v>1223</v>
      </c>
      <c r="F3444" s="3">
        <v>0</v>
      </c>
      <c r="G3444" s="3">
        <v>3850818.04</v>
      </c>
    </row>
    <row r="3445" spans="1:7" x14ac:dyDescent="0.2">
      <c r="A3445" s="3" t="s">
        <v>1074</v>
      </c>
      <c r="B3445" s="4">
        <v>45077</v>
      </c>
      <c r="C3445" s="3" t="s">
        <v>1180</v>
      </c>
      <c r="D3445" s="3" t="s">
        <v>1222</v>
      </c>
      <c r="E3445" s="3" t="s">
        <v>1664</v>
      </c>
      <c r="F3445" s="3">
        <v>0</v>
      </c>
      <c r="G3445" s="3">
        <v>1826086.96</v>
      </c>
    </row>
    <row r="3446" spans="1:7" x14ac:dyDescent="0.2">
      <c r="A3446" s="3" t="s">
        <v>1069</v>
      </c>
      <c r="B3446" s="4">
        <v>45077</v>
      </c>
      <c r="C3446" s="3" t="s">
        <v>1180</v>
      </c>
      <c r="D3446" s="3" t="s">
        <v>1235</v>
      </c>
      <c r="E3446" s="3" t="s">
        <v>1236</v>
      </c>
      <c r="F3446" s="3">
        <v>0</v>
      </c>
      <c r="G3446" s="3">
        <v>782608.07</v>
      </c>
    </row>
    <row r="3447" spans="1:7" x14ac:dyDescent="0.2">
      <c r="A3447" s="3" t="s">
        <v>1069</v>
      </c>
      <c r="B3447" s="4">
        <v>45077</v>
      </c>
      <c r="C3447" s="3" t="s">
        <v>1180</v>
      </c>
      <c r="D3447" s="3" t="s">
        <v>1206</v>
      </c>
      <c r="E3447" s="3" t="s">
        <v>1207</v>
      </c>
      <c r="F3447" s="3">
        <v>0</v>
      </c>
      <c r="G3447" s="3">
        <v>166550</v>
      </c>
    </row>
    <row r="3448" spans="1:7" x14ac:dyDescent="0.2">
      <c r="A3448" s="3" t="s">
        <v>1069</v>
      </c>
      <c r="B3448" s="4">
        <v>45077</v>
      </c>
      <c r="C3448" s="3" t="s">
        <v>1180</v>
      </c>
      <c r="D3448" s="3" t="s">
        <v>1208</v>
      </c>
      <c r="E3448" s="3" t="s">
        <v>1209</v>
      </c>
      <c r="F3448" s="3">
        <v>0</v>
      </c>
      <c r="G3448" s="3">
        <v>45000</v>
      </c>
    </row>
    <row r="3449" spans="1:7" x14ac:dyDescent="0.2">
      <c r="A3449" s="3" t="s">
        <v>1069</v>
      </c>
      <c r="B3449" s="4">
        <v>45077</v>
      </c>
      <c r="C3449" s="3" t="s">
        <v>1180</v>
      </c>
      <c r="D3449" s="3" t="s">
        <v>1259</v>
      </c>
      <c r="E3449" s="3" t="s">
        <v>1260</v>
      </c>
      <c r="F3449" s="3">
        <v>0</v>
      </c>
      <c r="G3449" s="3">
        <v>137000</v>
      </c>
    </row>
    <row r="3450" spans="1:7" x14ac:dyDescent="0.2">
      <c r="A3450" s="3" t="s">
        <v>1074</v>
      </c>
      <c r="B3450" s="4">
        <v>45077</v>
      </c>
      <c r="C3450" s="3" t="s">
        <v>1180</v>
      </c>
      <c r="D3450" s="3" t="s">
        <v>1674</v>
      </c>
      <c r="E3450" s="3" t="s">
        <v>1675</v>
      </c>
      <c r="F3450" s="3">
        <v>0</v>
      </c>
      <c r="G3450" s="3">
        <v>221353.14</v>
      </c>
    </row>
    <row r="3451" spans="1:7" x14ac:dyDescent="0.2">
      <c r="A3451" s="3" t="s">
        <v>1074</v>
      </c>
      <c r="B3451" s="4">
        <v>45077</v>
      </c>
      <c r="C3451" s="3" t="s">
        <v>1180</v>
      </c>
      <c r="D3451" s="3" t="s">
        <v>1578</v>
      </c>
      <c r="E3451" s="3" t="s">
        <v>1579</v>
      </c>
      <c r="F3451" s="3">
        <v>0</v>
      </c>
      <c r="G3451" s="3">
        <v>66190.11</v>
      </c>
    </row>
    <row r="3452" spans="1:7" x14ac:dyDescent="0.2">
      <c r="A3452" s="3" t="s">
        <v>1069</v>
      </c>
      <c r="B3452" s="4">
        <v>45077</v>
      </c>
      <c r="C3452" s="3" t="s">
        <v>1180</v>
      </c>
      <c r="D3452" s="3" t="s">
        <v>1265</v>
      </c>
      <c r="E3452" s="3" t="s">
        <v>1266</v>
      </c>
      <c r="F3452" s="3">
        <v>15120.46</v>
      </c>
      <c r="G3452" s="3">
        <v>822396.09</v>
      </c>
    </row>
    <row r="3453" spans="1:7" x14ac:dyDescent="0.2">
      <c r="A3453" s="3" t="s">
        <v>1074</v>
      </c>
      <c r="B3453" s="4">
        <v>45077</v>
      </c>
      <c r="C3453" s="3" t="s">
        <v>1180</v>
      </c>
      <c r="D3453" s="3" t="s">
        <v>1265</v>
      </c>
      <c r="E3453" s="3" t="s">
        <v>1518</v>
      </c>
      <c r="F3453" s="3">
        <v>0</v>
      </c>
      <c r="G3453" s="3">
        <v>1313735.8400000001</v>
      </c>
    </row>
    <row r="3454" spans="1:7" x14ac:dyDescent="0.2">
      <c r="A3454" s="3" t="s">
        <v>1069</v>
      </c>
      <c r="B3454" s="4">
        <v>45077</v>
      </c>
      <c r="C3454" s="3" t="s">
        <v>1180</v>
      </c>
      <c r="D3454" s="3" t="s">
        <v>1423</v>
      </c>
      <c r="E3454" s="3" t="s">
        <v>1424</v>
      </c>
      <c r="F3454" s="3">
        <v>0</v>
      </c>
      <c r="G3454" s="3">
        <v>622274.51</v>
      </c>
    </row>
    <row r="3455" spans="1:7" x14ac:dyDescent="0.2">
      <c r="A3455" s="3" t="s">
        <v>1074</v>
      </c>
      <c r="B3455" s="4">
        <v>45077</v>
      </c>
      <c r="C3455" s="3" t="s">
        <v>1180</v>
      </c>
      <c r="D3455" s="3" t="s">
        <v>1519</v>
      </c>
      <c r="E3455" s="3" t="s">
        <v>1551</v>
      </c>
      <c r="F3455" s="3">
        <v>13000</v>
      </c>
      <c r="G3455" s="3">
        <v>76530</v>
      </c>
    </row>
    <row r="3456" spans="1:7" x14ac:dyDescent="0.2">
      <c r="A3456" s="3" t="s">
        <v>1069</v>
      </c>
      <c r="B3456" s="4">
        <v>45077</v>
      </c>
      <c r="C3456" s="3" t="s">
        <v>1180</v>
      </c>
      <c r="D3456" s="3" t="s">
        <v>1519</v>
      </c>
      <c r="E3456" s="3" t="s">
        <v>1520</v>
      </c>
      <c r="F3456" s="3">
        <v>0</v>
      </c>
      <c r="G3456" s="3">
        <v>985049.68</v>
      </c>
    </row>
    <row r="3457" spans="1:7" x14ac:dyDescent="0.2">
      <c r="A3457" s="3" t="s">
        <v>1074</v>
      </c>
      <c r="B3457" s="4">
        <v>45077</v>
      </c>
      <c r="C3457" s="3" t="s">
        <v>1180</v>
      </c>
      <c r="D3457" s="3" t="s">
        <v>1521</v>
      </c>
      <c r="E3457" s="3" t="s">
        <v>1522</v>
      </c>
      <c r="F3457" s="3">
        <v>1400</v>
      </c>
      <c r="G3457" s="3">
        <v>18800</v>
      </c>
    </row>
    <row r="3458" spans="1:7" x14ac:dyDescent="0.2">
      <c r="A3458" s="3" t="s">
        <v>1074</v>
      </c>
      <c r="B3458" s="4">
        <v>45077</v>
      </c>
      <c r="C3458" s="3" t="s">
        <v>1180</v>
      </c>
      <c r="D3458" s="3" t="s">
        <v>1534</v>
      </c>
      <c r="E3458" s="3" t="s">
        <v>1535</v>
      </c>
      <c r="F3458" s="3">
        <v>0</v>
      </c>
      <c r="G3458" s="3">
        <v>684782.6</v>
      </c>
    </row>
    <row r="3459" spans="1:7" x14ac:dyDescent="0.2">
      <c r="A3459" s="3" t="s">
        <v>1074</v>
      </c>
      <c r="B3459" s="4">
        <v>45077</v>
      </c>
      <c r="C3459" s="3" t="s">
        <v>1180</v>
      </c>
      <c r="D3459" s="3" t="s">
        <v>1610</v>
      </c>
      <c r="E3459" s="3" t="s">
        <v>1611</v>
      </c>
      <c r="F3459" s="3">
        <v>160310.23000000001</v>
      </c>
      <c r="G3459" s="3">
        <v>1130099.94</v>
      </c>
    </row>
    <row r="3460" spans="1:7" x14ac:dyDescent="0.2">
      <c r="A3460" s="3" t="s">
        <v>1074</v>
      </c>
      <c r="B3460" s="4">
        <v>45077</v>
      </c>
      <c r="C3460" s="3" t="s">
        <v>1180</v>
      </c>
      <c r="D3460" s="3" t="s">
        <v>1653</v>
      </c>
      <c r="E3460" s="3" t="s">
        <v>1654</v>
      </c>
      <c r="F3460" s="3">
        <v>4774233.25</v>
      </c>
      <c r="G3460" s="3">
        <v>16239901.699999999</v>
      </c>
    </row>
    <row r="3461" spans="1:7" x14ac:dyDescent="0.2">
      <c r="A3461" s="3" t="s">
        <v>1069</v>
      </c>
      <c r="B3461" s="4">
        <v>45077</v>
      </c>
      <c r="C3461" s="3" t="s">
        <v>1180</v>
      </c>
      <c r="D3461" s="3" t="s">
        <v>1536</v>
      </c>
      <c r="E3461" s="3" t="s">
        <v>1537</v>
      </c>
      <c r="F3461" s="3">
        <v>272525.08</v>
      </c>
      <c r="G3461" s="3">
        <v>1774970.11</v>
      </c>
    </row>
    <row r="3462" spans="1:7" x14ac:dyDescent="0.2">
      <c r="A3462" s="3" t="s">
        <v>1069</v>
      </c>
      <c r="B3462" s="4">
        <v>45077</v>
      </c>
      <c r="C3462" s="3" t="s">
        <v>1180</v>
      </c>
      <c r="D3462" s="3" t="s">
        <v>1665</v>
      </c>
      <c r="E3462" s="3" t="s">
        <v>1666</v>
      </c>
      <c r="F3462" s="3">
        <v>0</v>
      </c>
      <c r="G3462" s="3">
        <v>1068455</v>
      </c>
    </row>
    <row r="3463" spans="1:7" x14ac:dyDescent="0.2">
      <c r="A3463" s="3" t="s">
        <v>1069</v>
      </c>
      <c r="B3463" s="4">
        <v>45077</v>
      </c>
      <c r="C3463" s="3" t="s">
        <v>1180</v>
      </c>
      <c r="D3463" s="3" t="s">
        <v>1655</v>
      </c>
      <c r="E3463" s="3" t="s">
        <v>1656</v>
      </c>
      <c r="F3463" s="3">
        <v>0</v>
      </c>
      <c r="G3463" s="3">
        <v>-24427668.440000001</v>
      </c>
    </row>
    <row r="3464" spans="1:7" x14ac:dyDescent="0.2">
      <c r="A3464" s="3" t="s">
        <v>1072</v>
      </c>
      <c r="B3464" s="4">
        <v>45077</v>
      </c>
      <c r="C3464" s="3" t="s">
        <v>1180</v>
      </c>
      <c r="D3464" s="3" t="s">
        <v>1425</v>
      </c>
      <c r="E3464" s="3" t="s">
        <v>1426</v>
      </c>
      <c r="F3464" s="3">
        <v>0</v>
      </c>
      <c r="G3464" s="3">
        <v>29600</v>
      </c>
    </row>
    <row r="3465" spans="1:7" x14ac:dyDescent="0.2">
      <c r="A3465" s="3" t="s">
        <v>1072</v>
      </c>
      <c r="B3465" s="4">
        <v>45077</v>
      </c>
      <c r="C3465" s="3" t="s">
        <v>1180</v>
      </c>
      <c r="D3465" s="3" t="s">
        <v>1427</v>
      </c>
      <c r="E3465" s="3" t="s">
        <v>1428</v>
      </c>
      <c r="F3465" s="3">
        <v>-1963646.34</v>
      </c>
      <c r="G3465" s="3">
        <v>-7406263.6900000004</v>
      </c>
    </row>
    <row r="3466" spans="1:7" x14ac:dyDescent="0.2">
      <c r="A3466" s="3" t="s">
        <v>1069</v>
      </c>
      <c r="B3466" s="4">
        <v>45077</v>
      </c>
      <c r="C3466" s="3" t="s">
        <v>1180</v>
      </c>
      <c r="D3466" s="3" t="s">
        <v>1427</v>
      </c>
      <c r="E3466" s="3" t="s">
        <v>1428</v>
      </c>
      <c r="F3466" s="3">
        <v>0</v>
      </c>
      <c r="G3466" s="3">
        <v>345946.61</v>
      </c>
    </row>
    <row r="3467" spans="1:7" x14ac:dyDescent="0.2">
      <c r="A3467" s="3" t="s">
        <v>1069</v>
      </c>
      <c r="B3467" s="4">
        <v>45077</v>
      </c>
      <c r="C3467" s="3" t="s">
        <v>1180</v>
      </c>
      <c r="D3467" s="3" t="s">
        <v>1187</v>
      </c>
      <c r="E3467" s="3" t="s">
        <v>1188</v>
      </c>
      <c r="F3467" s="3">
        <v>-229699.62</v>
      </c>
      <c r="G3467" s="3">
        <v>182685.59</v>
      </c>
    </row>
    <row r="3468" spans="1:7" x14ac:dyDescent="0.2">
      <c r="A3468" s="3" t="s">
        <v>1072</v>
      </c>
      <c r="B3468" s="4">
        <v>45077</v>
      </c>
      <c r="C3468" s="3" t="s">
        <v>1180</v>
      </c>
      <c r="D3468" s="3" t="s">
        <v>1187</v>
      </c>
      <c r="E3468" s="3" t="s">
        <v>1433</v>
      </c>
      <c r="F3468" s="3">
        <v>55669.87</v>
      </c>
      <c r="G3468" s="3">
        <v>499752.44</v>
      </c>
    </row>
    <row r="3469" spans="1:7" x14ac:dyDescent="0.2">
      <c r="A3469" s="3" t="s">
        <v>1072</v>
      </c>
      <c r="B3469" s="4">
        <v>45077</v>
      </c>
      <c r="C3469" s="3" t="s">
        <v>1180</v>
      </c>
      <c r="D3469" s="3" t="s">
        <v>1435</v>
      </c>
      <c r="E3469" s="3" t="s">
        <v>1436</v>
      </c>
      <c r="F3469" s="3">
        <v>0</v>
      </c>
      <c r="G3469" s="3">
        <v>547.71</v>
      </c>
    </row>
    <row r="3470" spans="1:7" x14ac:dyDescent="0.2">
      <c r="A3470" s="3" t="s">
        <v>1069</v>
      </c>
      <c r="B3470" s="4">
        <v>45077</v>
      </c>
      <c r="C3470" s="3" t="s">
        <v>1180</v>
      </c>
      <c r="D3470" s="3" t="s">
        <v>1243</v>
      </c>
      <c r="E3470" s="3" t="s">
        <v>1244</v>
      </c>
      <c r="F3470" s="3">
        <v>5.43</v>
      </c>
      <c r="G3470" s="3">
        <v>843.41</v>
      </c>
    </row>
    <row r="3471" spans="1:7" x14ac:dyDescent="0.2">
      <c r="A3471" s="3" t="s">
        <v>1069</v>
      </c>
      <c r="B3471" s="4">
        <v>45077</v>
      </c>
      <c r="C3471" s="3" t="s">
        <v>1180</v>
      </c>
      <c r="D3471" s="3" t="s">
        <v>1245</v>
      </c>
      <c r="E3471" s="3" t="s">
        <v>1246</v>
      </c>
      <c r="F3471" s="3">
        <v>-3171923.1</v>
      </c>
      <c r="G3471" s="3">
        <v>33630554.920000002</v>
      </c>
    </row>
    <row r="3472" spans="1:7" x14ac:dyDescent="0.2">
      <c r="A3472" s="3" t="s">
        <v>1072</v>
      </c>
      <c r="B3472" s="4">
        <v>45077</v>
      </c>
      <c r="C3472" s="3" t="s">
        <v>1175</v>
      </c>
      <c r="D3472" s="3" t="s">
        <v>1437</v>
      </c>
      <c r="E3472" s="3" t="s">
        <v>1438</v>
      </c>
      <c r="F3472" s="3">
        <v>-17.579999999999998</v>
      </c>
      <c r="G3472" s="3">
        <v>-27.81</v>
      </c>
    </row>
    <row r="3473" spans="1:7" x14ac:dyDescent="0.2">
      <c r="A3473" s="3" t="s">
        <v>1069</v>
      </c>
      <c r="B3473" s="4">
        <v>45077</v>
      </c>
      <c r="C3473" s="3" t="s">
        <v>1175</v>
      </c>
      <c r="D3473" s="3" t="s">
        <v>1437</v>
      </c>
      <c r="E3473" s="3" t="s">
        <v>1438</v>
      </c>
      <c r="F3473" s="3">
        <v>0</v>
      </c>
      <c r="G3473" s="3">
        <v>0.08</v>
      </c>
    </row>
    <row r="3474" spans="1:7" x14ac:dyDescent="0.2">
      <c r="A3474" s="3" t="s">
        <v>1072</v>
      </c>
      <c r="B3474" s="4">
        <v>45077</v>
      </c>
      <c r="C3474" s="3" t="s">
        <v>1175</v>
      </c>
      <c r="D3474" s="3" t="s">
        <v>1191</v>
      </c>
      <c r="E3474" s="3" t="s">
        <v>1192</v>
      </c>
      <c r="F3474" s="3">
        <v>-906809.09</v>
      </c>
      <c r="G3474" s="3">
        <v>-2133238.54</v>
      </c>
    </row>
    <row r="3475" spans="1:7" x14ac:dyDescent="0.2">
      <c r="A3475" s="3" t="s">
        <v>1069</v>
      </c>
      <c r="B3475" s="4">
        <v>45077</v>
      </c>
      <c r="C3475" s="3" t="s">
        <v>1175</v>
      </c>
      <c r="D3475" s="3" t="s">
        <v>1191</v>
      </c>
      <c r="E3475" s="3" t="s">
        <v>1192</v>
      </c>
      <c r="F3475" s="3">
        <v>-1805372.25</v>
      </c>
      <c r="G3475" s="3">
        <v>-131515065.2</v>
      </c>
    </row>
    <row r="3476" spans="1:7" x14ac:dyDescent="0.2">
      <c r="A3476" s="3" t="s">
        <v>1074</v>
      </c>
      <c r="B3476" s="4">
        <v>45077</v>
      </c>
      <c r="C3476" s="3" t="s">
        <v>1175</v>
      </c>
      <c r="D3476" s="3" t="s">
        <v>1191</v>
      </c>
      <c r="E3476" s="3" t="s">
        <v>1192</v>
      </c>
      <c r="F3476" s="3">
        <v>2283483.86</v>
      </c>
      <c r="G3476" s="3">
        <v>637016.98</v>
      </c>
    </row>
    <row r="3477" spans="1:7" x14ac:dyDescent="0.2">
      <c r="A3477" s="3" t="s">
        <v>1072</v>
      </c>
      <c r="B3477" s="4">
        <v>45077</v>
      </c>
      <c r="C3477" s="3" t="s">
        <v>1175</v>
      </c>
      <c r="D3477" s="3" t="s">
        <v>1488</v>
      </c>
      <c r="E3477" s="3" t="s">
        <v>1489</v>
      </c>
      <c r="F3477" s="3">
        <v>1309</v>
      </c>
      <c r="G3477" s="3">
        <v>1309</v>
      </c>
    </row>
    <row r="3478" spans="1:7" x14ac:dyDescent="0.2">
      <c r="A3478" s="3" t="s">
        <v>1072</v>
      </c>
      <c r="B3478" s="4">
        <v>45077</v>
      </c>
      <c r="C3478" s="3" t="s">
        <v>1175</v>
      </c>
      <c r="D3478" s="3" t="s">
        <v>1439</v>
      </c>
      <c r="E3478" s="3" t="s">
        <v>1440</v>
      </c>
      <c r="F3478" s="3">
        <v>-257.48</v>
      </c>
      <c r="G3478" s="3">
        <v>-257.48</v>
      </c>
    </row>
    <row r="3479" spans="1:7" x14ac:dyDescent="0.2">
      <c r="A3479" s="3" t="s">
        <v>1072</v>
      </c>
      <c r="B3479" s="4">
        <v>45077</v>
      </c>
      <c r="C3479" s="3" t="s">
        <v>1175</v>
      </c>
      <c r="D3479" s="3" t="s">
        <v>1441</v>
      </c>
      <c r="E3479" s="3" t="s">
        <v>1442</v>
      </c>
      <c r="F3479" s="3">
        <v>-399.32</v>
      </c>
      <c r="G3479" s="3">
        <v>-85314.81</v>
      </c>
    </row>
    <row r="3480" spans="1:7" x14ac:dyDescent="0.2">
      <c r="A3480" s="3" t="s">
        <v>1072</v>
      </c>
      <c r="B3480" s="4">
        <v>45077</v>
      </c>
      <c r="C3480" s="3" t="s">
        <v>1175</v>
      </c>
      <c r="D3480" s="3" t="s">
        <v>1464</v>
      </c>
      <c r="E3480" s="3" t="s">
        <v>1465</v>
      </c>
      <c r="F3480" s="3">
        <v>-4018.95</v>
      </c>
      <c r="G3480" s="3">
        <v>-49413.95</v>
      </c>
    </row>
    <row r="3481" spans="1:7" x14ac:dyDescent="0.2">
      <c r="A3481" s="3" t="s">
        <v>1072</v>
      </c>
      <c r="B3481" s="4">
        <v>45077</v>
      </c>
      <c r="C3481" s="3" t="s">
        <v>1175</v>
      </c>
      <c r="D3481" s="3" t="s">
        <v>1193</v>
      </c>
      <c r="E3481" s="3" t="s">
        <v>1443</v>
      </c>
      <c r="F3481" s="3">
        <v>-127125.64</v>
      </c>
      <c r="G3481" s="3">
        <v>-232897.55</v>
      </c>
    </row>
    <row r="3482" spans="1:7" x14ac:dyDescent="0.2">
      <c r="A3482" s="3" t="s">
        <v>1069</v>
      </c>
      <c r="B3482" s="4">
        <v>45077</v>
      </c>
      <c r="C3482" s="3" t="s">
        <v>1175</v>
      </c>
      <c r="D3482" s="3" t="s">
        <v>1193</v>
      </c>
      <c r="E3482" s="3" t="s">
        <v>1194</v>
      </c>
      <c r="F3482" s="3">
        <v>-160339.03</v>
      </c>
      <c r="G3482" s="3">
        <v>-4157501.49</v>
      </c>
    </row>
    <row r="3483" spans="1:7" x14ac:dyDescent="0.2">
      <c r="A3483" s="3" t="s">
        <v>1074</v>
      </c>
      <c r="B3483" s="4">
        <v>45077</v>
      </c>
      <c r="C3483" s="3" t="s">
        <v>1175</v>
      </c>
      <c r="D3483" s="3" t="s">
        <v>1193</v>
      </c>
      <c r="E3483" s="3" t="s">
        <v>1194</v>
      </c>
      <c r="F3483" s="3">
        <v>775342.2</v>
      </c>
      <c r="G3483" s="3">
        <v>4376254.9000000004</v>
      </c>
    </row>
    <row r="3484" spans="1:7" x14ac:dyDescent="0.2">
      <c r="A3484" s="3" t="s">
        <v>1069</v>
      </c>
      <c r="B3484" s="4">
        <v>45077</v>
      </c>
      <c r="C3484" s="3" t="s">
        <v>1175</v>
      </c>
      <c r="D3484" s="3" t="s">
        <v>1657</v>
      </c>
      <c r="E3484" s="3" t="s">
        <v>1658</v>
      </c>
      <c r="F3484" s="3">
        <v>0</v>
      </c>
      <c r="G3484" s="3">
        <v>59039.93</v>
      </c>
    </row>
    <row r="3485" spans="1:7" x14ac:dyDescent="0.2">
      <c r="A3485" s="3" t="s">
        <v>1069</v>
      </c>
      <c r="B3485" s="4">
        <v>45077</v>
      </c>
      <c r="C3485" s="3" t="s">
        <v>1175</v>
      </c>
      <c r="D3485" s="3" t="s">
        <v>1667</v>
      </c>
      <c r="E3485" s="3" t="s">
        <v>1668</v>
      </c>
      <c r="F3485" s="3">
        <v>0</v>
      </c>
      <c r="G3485" s="3">
        <v>1209624.06</v>
      </c>
    </row>
    <row r="3486" spans="1:7" x14ac:dyDescent="0.2">
      <c r="A3486" s="3" t="s">
        <v>1072</v>
      </c>
      <c r="B3486" s="4">
        <v>45077</v>
      </c>
      <c r="C3486" s="3" t="s">
        <v>1175</v>
      </c>
      <c r="D3486" s="3" t="s">
        <v>1444</v>
      </c>
      <c r="E3486" s="3" t="s">
        <v>1445</v>
      </c>
      <c r="F3486" s="3">
        <v>0</v>
      </c>
      <c r="G3486" s="3">
        <v>28029.81</v>
      </c>
    </row>
    <row r="3487" spans="1:7" x14ac:dyDescent="0.2">
      <c r="A3487" s="3" t="s">
        <v>1072</v>
      </c>
      <c r="B3487" s="4">
        <v>45077</v>
      </c>
      <c r="C3487" s="3" t="s">
        <v>1175</v>
      </c>
      <c r="D3487" s="3" t="s">
        <v>1446</v>
      </c>
      <c r="E3487" s="3" t="s">
        <v>1447</v>
      </c>
      <c r="F3487" s="3">
        <v>0</v>
      </c>
      <c r="G3487" s="3">
        <v>-254.99</v>
      </c>
    </row>
    <row r="3488" spans="1:7" x14ac:dyDescent="0.2">
      <c r="A3488" s="3" t="s">
        <v>1069</v>
      </c>
      <c r="B3488" s="4">
        <v>45107</v>
      </c>
      <c r="C3488" s="3" t="s">
        <v>1210</v>
      </c>
      <c r="D3488" s="3" t="s">
        <v>1552</v>
      </c>
      <c r="E3488" s="3" t="s">
        <v>1553</v>
      </c>
      <c r="F3488" s="3">
        <v>-1243391.3</v>
      </c>
      <c r="G3488" s="3">
        <v>-25600869.57</v>
      </c>
    </row>
    <row r="3489" spans="1:7" x14ac:dyDescent="0.2">
      <c r="A3489" s="3" t="s">
        <v>1069</v>
      </c>
      <c r="B3489" s="4">
        <v>45107</v>
      </c>
      <c r="C3489" s="3" t="s">
        <v>1210</v>
      </c>
      <c r="D3489" s="3" t="s">
        <v>1554</v>
      </c>
      <c r="E3489" s="3" t="s">
        <v>1555</v>
      </c>
      <c r="F3489" s="3">
        <v>0</v>
      </c>
      <c r="G3489" s="3">
        <v>-94646.91</v>
      </c>
    </row>
    <row r="3490" spans="1:7" x14ac:dyDescent="0.2">
      <c r="A3490" s="3" t="s">
        <v>1072</v>
      </c>
      <c r="B3490" s="4">
        <v>45107</v>
      </c>
      <c r="C3490" s="3" t="s">
        <v>1210</v>
      </c>
      <c r="D3490" s="3" t="s">
        <v>1448</v>
      </c>
      <c r="E3490" s="3" t="s">
        <v>1449</v>
      </c>
      <c r="F3490" s="3">
        <v>-3889214.05</v>
      </c>
      <c r="G3490" s="3">
        <v>-16861264.890000001</v>
      </c>
    </row>
    <row r="3491" spans="1:7" x14ac:dyDescent="0.2">
      <c r="A3491" s="3" t="s">
        <v>1072</v>
      </c>
      <c r="B3491" s="4">
        <v>45107</v>
      </c>
      <c r="C3491" s="3" t="s">
        <v>1210</v>
      </c>
      <c r="D3491" s="3" t="s">
        <v>1273</v>
      </c>
      <c r="E3491" s="3" t="s">
        <v>1274</v>
      </c>
      <c r="F3491" s="3">
        <v>0</v>
      </c>
      <c r="G3491" s="3">
        <v>3490.94</v>
      </c>
    </row>
    <row r="3492" spans="1:7" x14ac:dyDescent="0.2">
      <c r="A3492" s="3" t="s">
        <v>1074</v>
      </c>
      <c r="B3492" s="4">
        <v>45107</v>
      </c>
      <c r="C3492" s="3" t="s">
        <v>1168</v>
      </c>
      <c r="D3492" s="3" t="s">
        <v>1514</v>
      </c>
      <c r="E3492" s="3" t="s">
        <v>1676</v>
      </c>
      <c r="F3492" s="3">
        <v>0</v>
      </c>
      <c r="G3492" s="3">
        <v>192174.7</v>
      </c>
    </row>
    <row r="3493" spans="1:7" x14ac:dyDescent="0.2">
      <c r="A3493" s="3" t="s">
        <v>1069</v>
      </c>
      <c r="B3493" s="4">
        <v>45107</v>
      </c>
      <c r="C3493" s="3" t="s">
        <v>1168</v>
      </c>
      <c r="D3493" s="3" t="s">
        <v>1531</v>
      </c>
      <c r="E3493" s="3" t="s">
        <v>1532</v>
      </c>
      <c r="F3493" s="3">
        <v>18544.25</v>
      </c>
      <c r="G3493" s="3">
        <v>577903.30000000005</v>
      </c>
    </row>
    <row r="3494" spans="1:7" x14ac:dyDescent="0.2">
      <c r="A3494" s="3" t="s">
        <v>1074</v>
      </c>
      <c r="B3494" s="4">
        <v>45107</v>
      </c>
      <c r="C3494" s="3" t="s">
        <v>1168</v>
      </c>
      <c r="D3494" s="3" t="s">
        <v>1638</v>
      </c>
      <c r="E3494" s="3" t="s">
        <v>1677</v>
      </c>
      <c r="F3494" s="3">
        <v>14689.94</v>
      </c>
      <c r="G3494" s="3">
        <v>14689.94</v>
      </c>
    </row>
    <row r="3495" spans="1:7" x14ac:dyDescent="0.2">
      <c r="A3495" s="3" t="s">
        <v>1069</v>
      </c>
      <c r="B3495" s="4">
        <v>45107</v>
      </c>
      <c r="C3495" s="3" t="s">
        <v>1168</v>
      </c>
      <c r="D3495" s="3" t="s">
        <v>1540</v>
      </c>
      <c r="E3495" s="3" t="s">
        <v>1541</v>
      </c>
      <c r="F3495" s="3">
        <v>0</v>
      </c>
      <c r="G3495" s="3">
        <v>18160.919999999998</v>
      </c>
    </row>
    <row r="3496" spans="1:7" x14ac:dyDescent="0.2">
      <c r="A3496" s="3" t="s">
        <v>1069</v>
      </c>
      <c r="B3496" s="4">
        <v>45107</v>
      </c>
      <c r="C3496" s="3" t="s">
        <v>1168</v>
      </c>
      <c r="D3496" s="3" t="s">
        <v>1556</v>
      </c>
      <c r="E3496" s="3" t="s">
        <v>1557</v>
      </c>
      <c r="F3496" s="3">
        <v>0</v>
      </c>
      <c r="G3496" s="3">
        <v>171178.44</v>
      </c>
    </row>
    <row r="3497" spans="1:7" x14ac:dyDescent="0.2">
      <c r="A3497" s="3" t="s">
        <v>1069</v>
      </c>
      <c r="B3497" s="4">
        <v>45107</v>
      </c>
      <c r="C3497" s="3" t="s">
        <v>1168</v>
      </c>
      <c r="D3497" s="3" t="s">
        <v>1558</v>
      </c>
      <c r="E3497" s="3" t="s">
        <v>1559</v>
      </c>
      <c r="F3497" s="3">
        <v>62169.57</v>
      </c>
      <c r="G3497" s="3">
        <v>1219047.83</v>
      </c>
    </row>
    <row r="3498" spans="1:7" x14ac:dyDescent="0.2">
      <c r="A3498" s="3" t="s">
        <v>1069</v>
      </c>
      <c r="B3498" s="4">
        <v>45107</v>
      </c>
      <c r="C3498" s="3" t="s">
        <v>1168</v>
      </c>
      <c r="D3498" s="3" t="s">
        <v>1659</v>
      </c>
      <c r="E3498" s="3" t="s">
        <v>1660</v>
      </c>
      <c r="F3498" s="3">
        <v>0</v>
      </c>
      <c r="G3498" s="3">
        <v>250</v>
      </c>
    </row>
    <row r="3499" spans="1:7" x14ac:dyDescent="0.2">
      <c r="A3499" s="3" t="s">
        <v>1069</v>
      </c>
      <c r="B3499" s="4">
        <v>45107</v>
      </c>
      <c r="C3499" s="3" t="s">
        <v>1168</v>
      </c>
      <c r="D3499" s="3" t="s">
        <v>1678</v>
      </c>
      <c r="E3499" s="3" t="s">
        <v>1679</v>
      </c>
      <c r="F3499" s="3">
        <v>31600</v>
      </c>
      <c r="G3499" s="3">
        <v>31600</v>
      </c>
    </row>
    <row r="3500" spans="1:7" x14ac:dyDescent="0.2">
      <c r="A3500" s="3" t="s">
        <v>1072</v>
      </c>
      <c r="B3500" s="4">
        <v>45107</v>
      </c>
      <c r="C3500" s="3" t="s">
        <v>1168</v>
      </c>
      <c r="D3500" s="3" t="s">
        <v>1661</v>
      </c>
      <c r="E3500" s="3" t="s">
        <v>1662</v>
      </c>
      <c r="F3500" s="3">
        <v>86.96</v>
      </c>
      <c r="G3500" s="3">
        <v>286.95999999999998</v>
      </c>
    </row>
    <row r="3501" spans="1:7" x14ac:dyDescent="0.2">
      <c r="A3501" s="3" t="s">
        <v>1072</v>
      </c>
      <c r="B3501" s="4">
        <v>45107</v>
      </c>
      <c r="C3501" s="3" t="s">
        <v>1168</v>
      </c>
      <c r="D3501" s="3" t="s">
        <v>1680</v>
      </c>
      <c r="E3501" s="3" t="s">
        <v>1681</v>
      </c>
      <c r="F3501" s="3">
        <v>86.96</v>
      </c>
      <c r="G3501" s="3">
        <v>86.96</v>
      </c>
    </row>
    <row r="3502" spans="1:7" x14ac:dyDescent="0.2">
      <c r="A3502" s="3" t="s">
        <v>1072</v>
      </c>
      <c r="B3502" s="4">
        <v>45107</v>
      </c>
      <c r="C3502" s="3" t="s">
        <v>1168</v>
      </c>
      <c r="D3502" s="3" t="s">
        <v>1669</v>
      </c>
      <c r="E3502" s="3" t="s">
        <v>1670</v>
      </c>
      <c r="F3502" s="3">
        <v>2500</v>
      </c>
      <c r="G3502" s="3">
        <v>23443.45</v>
      </c>
    </row>
    <row r="3503" spans="1:7" x14ac:dyDescent="0.2">
      <c r="A3503" s="3" t="s">
        <v>1072</v>
      </c>
      <c r="B3503" s="4">
        <v>45107</v>
      </c>
      <c r="C3503" s="3" t="s">
        <v>1168</v>
      </c>
      <c r="D3503" s="3" t="s">
        <v>1682</v>
      </c>
      <c r="E3503" s="3" t="s">
        <v>1683</v>
      </c>
      <c r="F3503" s="3">
        <v>30013.040000000001</v>
      </c>
      <c r="G3503" s="3">
        <v>30013.040000000001</v>
      </c>
    </row>
    <row r="3504" spans="1:7" x14ac:dyDescent="0.2">
      <c r="A3504" s="3" t="s">
        <v>1072</v>
      </c>
      <c r="B3504" s="4">
        <v>45107</v>
      </c>
      <c r="C3504" s="3" t="s">
        <v>1168</v>
      </c>
      <c r="D3504" s="3" t="s">
        <v>1281</v>
      </c>
      <c r="E3504" s="3" t="s">
        <v>1282</v>
      </c>
      <c r="F3504" s="3">
        <v>16372.1</v>
      </c>
      <c r="G3504" s="3">
        <v>237544.4</v>
      </c>
    </row>
    <row r="3505" spans="1:7" x14ac:dyDescent="0.2">
      <c r="A3505" s="3" t="s">
        <v>1072</v>
      </c>
      <c r="B3505" s="4">
        <v>45107</v>
      </c>
      <c r="C3505" s="3" t="s">
        <v>1168</v>
      </c>
      <c r="D3505" s="3" t="s">
        <v>1283</v>
      </c>
      <c r="E3505" s="3" t="s">
        <v>1284</v>
      </c>
      <c r="F3505" s="3">
        <v>2570.42</v>
      </c>
      <c r="G3505" s="3">
        <v>31246.53</v>
      </c>
    </row>
    <row r="3506" spans="1:7" x14ac:dyDescent="0.2">
      <c r="A3506" s="3" t="s">
        <v>1072</v>
      </c>
      <c r="B3506" s="4">
        <v>45107</v>
      </c>
      <c r="C3506" s="3" t="s">
        <v>1168</v>
      </c>
      <c r="D3506" s="3" t="s">
        <v>1285</v>
      </c>
      <c r="E3506" s="3" t="s">
        <v>1286</v>
      </c>
      <c r="F3506" s="3">
        <v>0</v>
      </c>
      <c r="G3506" s="3">
        <v>2719.43</v>
      </c>
    </row>
    <row r="3507" spans="1:7" x14ac:dyDescent="0.2">
      <c r="A3507" s="3" t="s">
        <v>1072</v>
      </c>
      <c r="B3507" s="4">
        <v>45107</v>
      </c>
      <c r="C3507" s="3" t="s">
        <v>1168</v>
      </c>
      <c r="D3507" s="3" t="s">
        <v>1301</v>
      </c>
      <c r="E3507" s="3" t="s">
        <v>1302</v>
      </c>
      <c r="F3507" s="3">
        <v>0</v>
      </c>
      <c r="G3507" s="3">
        <v>760.87</v>
      </c>
    </row>
    <row r="3508" spans="1:7" x14ac:dyDescent="0.2">
      <c r="A3508" s="3" t="s">
        <v>1072</v>
      </c>
      <c r="B3508" s="4">
        <v>45107</v>
      </c>
      <c r="C3508" s="3" t="s">
        <v>1168</v>
      </c>
      <c r="D3508" s="3" t="s">
        <v>1315</v>
      </c>
      <c r="E3508" s="3" t="s">
        <v>1316</v>
      </c>
      <c r="F3508" s="3">
        <v>0</v>
      </c>
      <c r="G3508" s="3">
        <v>1129.57</v>
      </c>
    </row>
    <row r="3509" spans="1:7" x14ac:dyDescent="0.2">
      <c r="A3509" s="3" t="s">
        <v>1072</v>
      </c>
      <c r="B3509" s="4">
        <v>45107</v>
      </c>
      <c r="C3509" s="3" t="s">
        <v>1168</v>
      </c>
      <c r="D3509" s="3" t="s">
        <v>1450</v>
      </c>
      <c r="E3509" s="3" t="s">
        <v>1451</v>
      </c>
      <c r="F3509" s="3">
        <v>328611.84000000003</v>
      </c>
      <c r="G3509" s="3">
        <v>1339594.5900000001</v>
      </c>
    </row>
    <row r="3510" spans="1:7" x14ac:dyDescent="0.2">
      <c r="A3510" s="3" t="s">
        <v>1072</v>
      </c>
      <c r="B3510" s="4">
        <v>45107</v>
      </c>
      <c r="C3510" s="3" t="s">
        <v>1168</v>
      </c>
      <c r="D3510" s="3" t="s">
        <v>1452</v>
      </c>
      <c r="E3510" s="3" t="s">
        <v>1453</v>
      </c>
      <c r="F3510" s="3">
        <v>40224.74</v>
      </c>
      <c r="G3510" s="3">
        <v>202654.39</v>
      </c>
    </row>
    <row r="3511" spans="1:7" x14ac:dyDescent="0.2">
      <c r="A3511" s="3" t="s">
        <v>1072</v>
      </c>
      <c r="B3511" s="4">
        <v>45107</v>
      </c>
      <c r="C3511" s="3" t="s">
        <v>1168</v>
      </c>
      <c r="D3511" s="3" t="s">
        <v>1454</v>
      </c>
      <c r="E3511" s="3" t="s">
        <v>1455</v>
      </c>
      <c r="F3511" s="3">
        <v>0</v>
      </c>
      <c r="G3511" s="3">
        <v>694.78</v>
      </c>
    </row>
    <row r="3512" spans="1:7" x14ac:dyDescent="0.2">
      <c r="A3512" s="3" t="s">
        <v>1072</v>
      </c>
      <c r="B3512" s="4">
        <v>45107</v>
      </c>
      <c r="C3512" s="3" t="s">
        <v>1168</v>
      </c>
      <c r="D3512" s="3" t="s">
        <v>1468</v>
      </c>
      <c r="E3512" s="3" t="s">
        <v>1469</v>
      </c>
      <c r="F3512" s="3">
        <v>1440.87</v>
      </c>
      <c r="G3512" s="3">
        <v>5009.58</v>
      </c>
    </row>
    <row r="3513" spans="1:7" x14ac:dyDescent="0.2">
      <c r="A3513" s="3" t="s">
        <v>1072</v>
      </c>
      <c r="B3513" s="4">
        <v>45107</v>
      </c>
      <c r="C3513" s="3" t="s">
        <v>1168</v>
      </c>
      <c r="D3513" s="3" t="s">
        <v>1620</v>
      </c>
      <c r="E3513" s="3" t="s">
        <v>1621</v>
      </c>
      <c r="F3513" s="3">
        <v>8882.14</v>
      </c>
      <c r="G3513" s="3">
        <v>11130.85</v>
      </c>
    </row>
    <row r="3514" spans="1:7" x14ac:dyDescent="0.2">
      <c r="A3514" s="3" t="s">
        <v>1072</v>
      </c>
      <c r="B3514" s="4">
        <v>45107</v>
      </c>
      <c r="C3514" s="3" t="s">
        <v>1168</v>
      </c>
      <c r="D3514" s="3" t="s">
        <v>1542</v>
      </c>
      <c r="E3514" s="3" t="s">
        <v>1543</v>
      </c>
      <c r="F3514" s="3">
        <v>2684636.77</v>
      </c>
      <c r="G3514" s="3">
        <v>12155054.98</v>
      </c>
    </row>
    <row r="3515" spans="1:7" x14ac:dyDescent="0.2">
      <c r="A3515" s="3" t="s">
        <v>1072</v>
      </c>
      <c r="B3515" s="4">
        <v>45107</v>
      </c>
      <c r="C3515" s="3" t="s">
        <v>1168</v>
      </c>
      <c r="D3515" s="3" t="s">
        <v>1527</v>
      </c>
      <c r="E3515" s="3" t="s">
        <v>1528</v>
      </c>
      <c r="F3515" s="3">
        <v>28694.560000000001</v>
      </c>
      <c r="G3515" s="3">
        <v>464262.08</v>
      </c>
    </row>
    <row r="3516" spans="1:7" x14ac:dyDescent="0.2">
      <c r="A3516" s="3" t="s">
        <v>1072</v>
      </c>
      <c r="B3516" s="4">
        <v>45107</v>
      </c>
      <c r="C3516" s="3" t="s">
        <v>1168</v>
      </c>
      <c r="D3516" s="3" t="s">
        <v>1560</v>
      </c>
      <c r="E3516" s="3" t="s">
        <v>1561</v>
      </c>
      <c r="F3516" s="3">
        <v>0</v>
      </c>
      <c r="G3516" s="3">
        <v>17292.48</v>
      </c>
    </row>
    <row r="3517" spans="1:7" x14ac:dyDescent="0.2">
      <c r="A3517" s="3" t="s">
        <v>1072</v>
      </c>
      <c r="B3517" s="4">
        <v>45107</v>
      </c>
      <c r="C3517" s="3" t="s">
        <v>1210</v>
      </c>
      <c r="D3517" s="3" t="s">
        <v>1509</v>
      </c>
      <c r="E3517" s="3" t="s">
        <v>1510</v>
      </c>
      <c r="F3517" s="3">
        <v>-67.930000000000007</v>
      </c>
      <c r="G3517" s="3">
        <v>-405.31</v>
      </c>
    </row>
    <row r="3518" spans="1:7" x14ac:dyDescent="0.2">
      <c r="A3518" s="3" t="s">
        <v>1072</v>
      </c>
      <c r="B3518" s="4">
        <v>45107</v>
      </c>
      <c r="C3518" s="3" t="s">
        <v>1210</v>
      </c>
      <c r="D3518" s="3" t="s">
        <v>1323</v>
      </c>
      <c r="E3518" s="3" t="s">
        <v>1324</v>
      </c>
      <c r="F3518" s="3">
        <v>-7.64</v>
      </c>
      <c r="G3518" s="3">
        <v>-18.03</v>
      </c>
    </row>
    <row r="3519" spans="1:7" x14ac:dyDescent="0.2">
      <c r="A3519" s="3" t="s">
        <v>1069</v>
      </c>
      <c r="B3519" s="4">
        <v>45107</v>
      </c>
      <c r="C3519" s="3" t="s">
        <v>1210</v>
      </c>
      <c r="D3519" s="3" t="s">
        <v>1249</v>
      </c>
      <c r="E3519" s="3" t="s">
        <v>1250</v>
      </c>
      <c r="F3519" s="3">
        <v>-393902.07</v>
      </c>
      <c r="G3519" s="3">
        <v>-946943.61</v>
      </c>
    </row>
    <row r="3520" spans="1:7" x14ac:dyDescent="0.2">
      <c r="A3520" s="3" t="s">
        <v>1072</v>
      </c>
      <c r="B3520" s="4">
        <v>45107</v>
      </c>
      <c r="C3520" s="3" t="s">
        <v>1168</v>
      </c>
      <c r="D3520" s="3" t="s">
        <v>1325</v>
      </c>
      <c r="E3520" s="3" t="s">
        <v>1073</v>
      </c>
      <c r="F3520" s="3">
        <v>580</v>
      </c>
      <c r="G3520" s="3">
        <v>580</v>
      </c>
    </row>
    <row r="3521" spans="1:7" x14ac:dyDescent="0.2">
      <c r="A3521" s="3" t="s">
        <v>1072</v>
      </c>
      <c r="B3521" s="4">
        <v>45107</v>
      </c>
      <c r="C3521" s="3" t="s">
        <v>1168</v>
      </c>
      <c r="D3521" s="3" t="s">
        <v>1326</v>
      </c>
      <c r="E3521" s="3" t="s">
        <v>1088</v>
      </c>
      <c r="F3521" s="3">
        <v>11170</v>
      </c>
      <c r="G3521" s="3">
        <v>11170</v>
      </c>
    </row>
    <row r="3522" spans="1:7" x14ac:dyDescent="0.2">
      <c r="A3522" s="3" t="s">
        <v>1072</v>
      </c>
      <c r="B3522" s="4">
        <v>45107</v>
      </c>
      <c r="C3522" s="3" t="s">
        <v>1168</v>
      </c>
      <c r="D3522" s="3" t="s">
        <v>1169</v>
      </c>
      <c r="E3522" s="3" t="s">
        <v>1079</v>
      </c>
      <c r="F3522" s="3">
        <v>1200</v>
      </c>
      <c r="G3522" s="3">
        <v>1200</v>
      </c>
    </row>
    <row r="3523" spans="1:7" x14ac:dyDescent="0.2">
      <c r="A3523" s="3" t="s">
        <v>1069</v>
      </c>
      <c r="B3523" s="4">
        <v>45107</v>
      </c>
      <c r="C3523" s="3" t="s">
        <v>1168</v>
      </c>
      <c r="D3523" s="3" t="s">
        <v>1169</v>
      </c>
      <c r="E3523" s="3" t="s">
        <v>1079</v>
      </c>
      <c r="F3523" s="3">
        <v>39589.129999999997</v>
      </c>
      <c r="G3523" s="3">
        <v>137675.92000000001</v>
      </c>
    </row>
    <row r="3524" spans="1:7" x14ac:dyDescent="0.2">
      <c r="A3524" s="3" t="s">
        <v>1074</v>
      </c>
      <c r="B3524" s="4">
        <v>45107</v>
      </c>
      <c r="C3524" s="3" t="s">
        <v>1168</v>
      </c>
      <c r="D3524" s="3" t="s">
        <v>1169</v>
      </c>
      <c r="E3524" s="3" t="s">
        <v>1079</v>
      </c>
      <c r="F3524" s="3">
        <v>1293.75</v>
      </c>
      <c r="G3524" s="3">
        <v>33471.47</v>
      </c>
    </row>
    <row r="3525" spans="1:7" x14ac:dyDescent="0.2">
      <c r="A3525" s="3" t="s">
        <v>1069</v>
      </c>
      <c r="B3525" s="4">
        <v>45107</v>
      </c>
      <c r="C3525" s="3" t="s">
        <v>1168</v>
      </c>
      <c r="D3525" s="3" t="s">
        <v>1261</v>
      </c>
      <c r="E3525" s="3" t="s">
        <v>1145</v>
      </c>
      <c r="F3525" s="3">
        <v>0</v>
      </c>
      <c r="G3525" s="3">
        <v>12480</v>
      </c>
    </row>
    <row r="3526" spans="1:7" x14ac:dyDescent="0.2">
      <c r="A3526" s="3" t="s">
        <v>1072</v>
      </c>
      <c r="B3526" s="4">
        <v>45107</v>
      </c>
      <c r="C3526" s="3" t="s">
        <v>1168</v>
      </c>
      <c r="D3526" s="3" t="s">
        <v>1648</v>
      </c>
      <c r="E3526" s="3" t="s">
        <v>1084</v>
      </c>
      <c r="F3526" s="3">
        <v>0</v>
      </c>
      <c r="G3526" s="3">
        <v>295</v>
      </c>
    </row>
    <row r="3527" spans="1:7" x14ac:dyDescent="0.2">
      <c r="A3527" s="3" t="s">
        <v>1072</v>
      </c>
      <c r="B3527" s="4">
        <v>45107</v>
      </c>
      <c r="C3527" s="3" t="s">
        <v>1168</v>
      </c>
      <c r="D3527" s="3" t="s">
        <v>1339</v>
      </c>
      <c r="E3527" s="3" t="s">
        <v>1087</v>
      </c>
      <c r="F3527" s="3">
        <v>885</v>
      </c>
      <c r="G3527" s="3">
        <v>1597</v>
      </c>
    </row>
    <row r="3528" spans="1:7" x14ac:dyDescent="0.2">
      <c r="A3528" s="3" t="s">
        <v>1072</v>
      </c>
      <c r="B3528" s="4">
        <v>45107</v>
      </c>
      <c r="C3528" s="3" t="s">
        <v>1168</v>
      </c>
      <c r="D3528" s="3" t="s">
        <v>1195</v>
      </c>
      <c r="E3528" s="3" t="s">
        <v>1085</v>
      </c>
      <c r="F3528" s="3">
        <v>1821.46</v>
      </c>
      <c r="G3528" s="3">
        <v>7400.09</v>
      </c>
    </row>
    <row r="3529" spans="1:7" x14ac:dyDescent="0.2">
      <c r="A3529" s="3" t="s">
        <v>1069</v>
      </c>
      <c r="B3529" s="4">
        <v>45107</v>
      </c>
      <c r="C3529" s="3" t="s">
        <v>1168</v>
      </c>
      <c r="D3529" s="3" t="s">
        <v>1195</v>
      </c>
      <c r="E3529" s="3" t="s">
        <v>1085</v>
      </c>
      <c r="F3529" s="3">
        <v>516.95000000000005</v>
      </c>
      <c r="G3529" s="3">
        <v>1923.51</v>
      </c>
    </row>
    <row r="3530" spans="1:7" x14ac:dyDescent="0.2">
      <c r="A3530" s="3" t="s">
        <v>1072</v>
      </c>
      <c r="B3530" s="4">
        <v>45107</v>
      </c>
      <c r="C3530" s="3" t="s">
        <v>1168</v>
      </c>
      <c r="D3530" s="3" t="s">
        <v>1340</v>
      </c>
      <c r="E3530" s="3" t="s">
        <v>1141</v>
      </c>
      <c r="F3530" s="3">
        <v>0</v>
      </c>
      <c r="G3530" s="3">
        <v>433.65</v>
      </c>
    </row>
    <row r="3531" spans="1:7" x14ac:dyDescent="0.2">
      <c r="A3531" s="3" t="s">
        <v>1072</v>
      </c>
      <c r="B3531" s="4">
        <v>45107</v>
      </c>
      <c r="C3531" s="3" t="s">
        <v>1168</v>
      </c>
      <c r="D3531" s="3" t="s">
        <v>1342</v>
      </c>
      <c r="E3531" s="3" t="s">
        <v>1080</v>
      </c>
      <c r="F3531" s="3">
        <v>0</v>
      </c>
      <c r="G3531" s="3">
        <v>3603.65</v>
      </c>
    </row>
    <row r="3532" spans="1:7" x14ac:dyDescent="0.2">
      <c r="A3532" s="3" t="s">
        <v>1072</v>
      </c>
      <c r="B3532" s="4">
        <v>45107</v>
      </c>
      <c r="C3532" s="3" t="s">
        <v>1168</v>
      </c>
      <c r="D3532" s="3" t="s">
        <v>1504</v>
      </c>
      <c r="E3532" s="3" t="s">
        <v>1142</v>
      </c>
      <c r="F3532" s="3">
        <v>4230</v>
      </c>
      <c r="G3532" s="3">
        <v>15069</v>
      </c>
    </row>
    <row r="3533" spans="1:7" x14ac:dyDescent="0.2">
      <c r="A3533" s="3" t="s">
        <v>1069</v>
      </c>
      <c r="B3533" s="4">
        <v>45107</v>
      </c>
      <c r="C3533" s="3" t="s">
        <v>1168</v>
      </c>
      <c r="D3533" s="3" t="s">
        <v>1251</v>
      </c>
      <c r="E3533" s="3" t="s">
        <v>1095</v>
      </c>
      <c r="F3533" s="3">
        <v>121658</v>
      </c>
      <c r="G3533" s="3">
        <v>450842.57</v>
      </c>
    </row>
    <row r="3534" spans="1:7" x14ac:dyDescent="0.2">
      <c r="A3534" s="3" t="s">
        <v>1072</v>
      </c>
      <c r="B3534" s="4">
        <v>45107</v>
      </c>
      <c r="C3534" s="3" t="s">
        <v>1168</v>
      </c>
      <c r="D3534" s="3" t="s">
        <v>1348</v>
      </c>
      <c r="E3534" s="3" t="s">
        <v>1095</v>
      </c>
      <c r="F3534" s="3">
        <v>119527</v>
      </c>
      <c r="G3534" s="3">
        <v>493522.7</v>
      </c>
    </row>
    <row r="3535" spans="1:7" x14ac:dyDescent="0.2">
      <c r="A3535" s="3" t="s">
        <v>1069</v>
      </c>
      <c r="B3535" s="4">
        <v>45107</v>
      </c>
      <c r="C3535" s="3" t="s">
        <v>1168</v>
      </c>
      <c r="D3535" s="3" t="s">
        <v>1252</v>
      </c>
      <c r="E3535" s="3" t="s">
        <v>1120</v>
      </c>
      <c r="F3535" s="3">
        <v>4200</v>
      </c>
      <c r="G3535" s="3">
        <v>12200</v>
      </c>
    </row>
    <row r="3536" spans="1:7" x14ac:dyDescent="0.2">
      <c r="A3536" s="3" t="s">
        <v>1074</v>
      </c>
      <c r="B3536" s="4">
        <v>45107</v>
      </c>
      <c r="C3536" s="3" t="s">
        <v>1168</v>
      </c>
      <c r="D3536" s="3" t="s">
        <v>1252</v>
      </c>
      <c r="E3536" s="3" t="s">
        <v>1120</v>
      </c>
      <c r="F3536" s="3">
        <v>7250</v>
      </c>
      <c r="G3536" s="3">
        <v>7250</v>
      </c>
    </row>
    <row r="3537" spans="1:7" x14ac:dyDescent="0.2">
      <c r="A3537" s="3" t="s">
        <v>1072</v>
      </c>
      <c r="B3537" s="4">
        <v>45107</v>
      </c>
      <c r="C3537" s="3" t="s">
        <v>1168</v>
      </c>
      <c r="D3537" s="3" t="s">
        <v>1349</v>
      </c>
      <c r="E3537" s="3" t="s">
        <v>1089</v>
      </c>
      <c r="F3537" s="3">
        <v>0</v>
      </c>
      <c r="G3537" s="3">
        <v>86.09</v>
      </c>
    </row>
    <row r="3538" spans="1:7" x14ac:dyDescent="0.2">
      <c r="A3538" s="3" t="s">
        <v>1072</v>
      </c>
      <c r="B3538" s="4">
        <v>45107</v>
      </c>
      <c r="C3538" s="3" t="s">
        <v>1168</v>
      </c>
      <c r="D3538" s="3" t="s">
        <v>1350</v>
      </c>
      <c r="E3538" s="3" t="s">
        <v>1115</v>
      </c>
      <c r="F3538" s="3">
        <v>3323.88</v>
      </c>
      <c r="G3538" s="3">
        <v>13295.58</v>
      </c>
    </row>
    <row r="3539" spans="1:7" x14ac:dyDescent="0.2">
      <c r="A3539" s="3" t="s">
        <v>1072</v>
      </c>
      <c r="B3539" s="4">
        <v>45107</v>
      </c>
      <c r="C3539" s="3" t="s">
        <v>1168</v>
      </c>
      <c r="D3539" s="3" t="s">
        <v>1351</v>
      </c>
      <c r="E3539" s="3" t="s">
        <v>1096</v>
      </c>
      <c r="F3539" s="3">
        <v>1188.69</v>
      </c>
      <c r="G3539" s="3">
        <v>2764.06</v>
      </c>
    </row>
    <row r="3540" spans="1:7" x14ac:dyDescent="0.2">
      <c r="A3540" s="3" t="s">
        <v>1072</v>
      </c>
      <c r="B3540" s="4">
        <v>45107</v>
      </c>
      <c r="C3540" s="3" t="s">
        <v>1168</v>
      </c>
      <c r="D3540" s="3" t="s">
        <v>1474</v>
      </c>
      <c r="E3540" s="3" t="s">
        <v>1114</v>
      </c>
      <c r="F3540" s="3">
        <v>547.66999999999996</v>
      </c>
      <c r="G3540" s="3">
        <v>2190.6999999999998</v>
      </c>
    </row>
    <row r="3541" spans="1:7" x14ac:dyDescent="0.2">
      <c r="A3541" s="3" t="s">
        <v>1069</v>
      </c>
      <c r="B3541" s="4">
        <v>45107</v>
      </c>
      <c r="C3541" s="3" t="s">
        <v>1168</v>
      </c>
      <c r="D3541" s="3" t="s">
        <v>1229</v>
      </c>
      <c r="E3541" s="3" t="s">
        <v>1136</v>
      </c>
      <c r="F3541" s="3">
        <v>0</v>
      </c>
      <c r="G3541" s="3">
        <v>11263.46</v>
      </c>
    </row>
    <row r="3542" spans="1:7" x14ac:dyDescent="0.2">
      <c r="A3542" s="3" t="s">
        <v>1072</v>
      </c>
      <c r="B3542" s="4">
        <v>45107</v>
      </c>
      <c r="C3542" s="3" t="s">
        <v>1168</v>
      </c>
      <c r="D3542" s="3" t="s">
        <v>1229</v>
      </c>
      <c r="E3542" s="3" t="s">
        <v>1106</v>
      </c>
      <c r="F3542" s="3">
        <v>6082.97</v>
      </c>
      <c r="G3542" s="3">
        <v>25245.46</v>
      </c>
    </row>
    <row r="3543" spans="1:7" x14ac:dyDescent="0.2">
      <c r="A3543" s="3" t="s">
        <v>1069</v>
      </c>
      <c r="B3543" s="4">
        <v>45107</v>
      </c>
      <c r="C3543" s="3" t="s">
        <v>1168</v>
      </c>
      <c r="D3543" s="3" t="s">
        <v>1230</v>
      </c>
      <c r="E3543" s="3" t="s">
        <v>1109</v>
      </c>
      <c r="F3543" s="3">
        <v>0</v>
      </c>
      <c r="G3543" s="3">
        <v>43879.43</v>
      </c>
    </row>
    <row r="3544" spans="1:7" x14ac:dyDescent="0.2">
      <c r="A3544" s="3" t="s">
        <v>1069</v>
      </c>
      <c r="B3544" s="4">
        <v>45107</v>
      </c>
      <c r="C3544" s="3" t="s">
        <v>1168</v>
      </c>
      <c r="D3544" s="3" t="s">
        <v>1564</v>
      </c>
      <c r="E3544" s="3" t="s">
        <v>1101</v>
      </c>
      <c r="F3544" s="3">
        <v>0</v>
      </c>
      <c r="G3544" s="3">
        <v>10690.2</v>
      </c>
    </row>
    <row r="3545" spans="1:7" x14ac:dyDescent="0.2">
      <c r="A3545" s="3" t="s">
        <v>1069</v>
      </c>
      <c r="B3545" s="4">
        <v>45107</v>
      </c>
      <c r="C3545" s="3" t="s">
        <v>1168</v>
      </c>
      <c r="D3545" s="3" t="s">
        <v>1196</v>
      </c>
      <c r="E3545" s="3" t="s">
        <v>1131</v>
      </c>
      <c r="F3545" s="3">
        <v>0</v>
      </c>
      <c r="G3545" s="3">
        <v>39.47</v>
      </c>
    </row>
    <row r="3546" spans="1:7" x14ac:dyDescent="0.2">
      <c r="A3546" s="3" t="s">
        <v>1069</v>
      </c>
      <c r="B3546" s="4">
        <v>45107</v>
      </c>
      <c r="C3546" s="3" t="s">
        <v>1168</v>
      </c>
      <c r="D3546" s="3" t="s">
        <v>1663</v>
      </c>
      <c r="E3546" s="3" t="s">
        <v>1082</v>
      </c>
      <c r="F3546" s="3">
        <v>0</v>
      </c>
      <c r="G3546" s="3">
        <v>199.99</v>
      </c>
    </row>
    <row r="3547" spans="1:7" x14ac:dyDescent="0.2">
      <c r="A3547" s="3" t="s">
        <v>1069</v>
      </c>
      <c r="B3547" s="4">
        <v>45107</v>
      </c>
      <c r="C3547" s="3" t="s">
        <v>1168</v>
      </c>
      <c r="D3547" s="3" t="s">
        <v>1544</v>
      </c>
      <c r="E3547" s="3" t="s">
        <v>1159</v>
      </c>
      <c r="F3547" s="3">
        <v>10741.66</v>
      </c>
      <c r="G3547" s="3">
        <v>26915.89</v>
      </c>
    </row>
    <row r="3548" spans="1:7" x14ac:dyDescent="0.2">
      <c r="A3548" s="3" t="s">
        <v>1072</v>
      </c>
      <c r="B3548" s="4">
        <v>45107</v>
      </c>
      <c r="C3548" s="3" t="s">
        <v>1168</v>
      </c>
      <c r="D3548" s="3" t="s">
        <v>1354</v>
      </c>
      <c r="E3548" s="3" t="s">
        <v>1078</v>
      </c>
      <c r="F3548" s="3">
        <v>2089.86</v>
      </c>
      <c r="G3548" s="3">
        <v>7824.27</v>
      </c>
    </row>
    <row r="3549" spans="1:7" x14ac:dyDescent="0.2">
      <c r="A3549" s="3" t="s">
        <v>1069</v>
      </c>
      <c r="B3549" s="4">
        <v>45107</v>
      </c>
      <c r="C3549" s="3" t="s">
        <v>1168</v>
      </c>
      <c r="D3549" s="3" t="s">
        <v>1456</v>
      </c>
      <c r="E3549" s="3" t="s">
        <v>1457</v>
      </c>
      <c r="F3549" s="3">
        <v>0</v>
      </c>
      <c r="G3549" s="3">
        <v>-533.79999999999995</v>
      </c>
    </row>
    <row r="3550" spans="1:7" x14ac:dyDescent="0.2">
      <c r="A3550" s="3" t="s">
        <v>1069</v>
      </c>
      <c r="B3550" s="4">
        <v>45107</v>
      </c>
      <c r="C3550" s="3" t="s">
        <v>1168</v>
      </c>
      <c r="D3550" s="3" t="s">
        <v>1565</v>
      </c>
      <c r="E3550" s="3" t="s">
        <v>1566</v>
      </c>
      <c r="F3550" s="3">
        <v>4041.1</v>
      </c>
      <c r="G3550" s="3">
        <v>151835.31</v>
      </c>
    </row>
    <row r="3551" spans="1:7" x14ac:dyDescent="0.2">
      <c r="A3551" s="3" t="s">
        <v>1069</v>
      </c>
      <c r="B3551" s="4">
        <v>45107</v>
      </c>
      <c r="C3551" s="3" t="s">
        <v>1168</v>
      </c>
      <c r="D3551" s="3" t="s">
        <v>1567</v>
      </c>
      <c r="E3551" s="3" t="s">
        <v>1568</v>
      </c>
      <c r="F3551" s="3">
        <v>5520.55</v>
      </c>
      <c r="G3551" s="3">
        <v>61901.38</v>
      </c>
    </row>
    <row r="3552" spans="1:7" x14ac:dyDescent="0.2">
      <c r="A3552" s="3" t="s">
        <v>1069</v>
      </c>
      <c r="B3552" s="4">
        <v>45107</v>
      </c>
      <c r="C3552" s="3" t="s">
        <v>1168</v>
      </c>
      <c r="D3552" s="3" t="s">
        <v>1569</v>
      </c>
      <c r="E3552" s="3" t="s">
        <v>1570</v>
      </c>
      <c r="F3552" s="3">
        <v>3014.39</v>
      </c>
      <c r="G3552" s="3">
        <v>39316.449999999997</v>
      </c>
    </row>
    <row r="3553" spans="1:7" x14ac:dyDescent="0.2">
      <c r="A3553" s="3" t="s">
        <v>1069</v>
      </c>
      <c r="B3553" s="4">
        <v>45107</v>
      </c>
      <c r="C3553" s="3" t="s">
        <v>1168</v>
      </c>
      <c r="D3553" s="3" t="s">
        <v>1608</v>
      </c>
      <c r="E3553" s="3" t="s">
        <v>1609</v>
      </c>
      <c r="F3553" s="3">
        <v>650.94000000000005</v>
      </c>
      <c r="G3553" s="3">
        <v>11678.33</v>
      </c>
    </row>
    <row r="3554" spans="1:7" x14ac:dyDescent="0.2">
      <c r="A3554" s="3" t="s">
        <v>1069</v>
      </c>
      <c r="B3554" s="4">
        <v>45107</v>
      </c>
      <c r="C3554" s="3" t="s">
        <v>1168</v>
      </c>
      <c r="D3554" s="3" t="s">
        <v>1627</v>
      </c>
      <c r="E3554" s="3" t="s">
        <v>1628</v>
      </c>
      <c r="F3554" s="3">
        <v>430.32</v>
      </c>
      <c r="G3554" s="3">
        <v>430.32</v>
      </c>
    </row>
    <row r="3555" spans="1:7" x14ac:dyDescent="0.2">
      <c r="A3555" s="3" t="s">
        <v>1069</v>
      </c>
      <c r="B3555" s="4">
        <v>45107</v>
      </c>
      <c r="C3555" s="3" t="s">
        <v>1168</v>
      </c>
      <c r="D3555" s="3" t="s">
        <v>1571</v>
      </c>
      <c r="E3555" s="3" t="s">
        <v>1572</v>
      </c>
      <c r="F3555" s="3">
        <v>130102.66</v>
      </c>
      <c r="G3555" s="3">
        <v>400367.2</v>
      </c>
    </row>
    <row r="3556" spans="1:7" x14ac:dyDescent="0.2">
      <c r="A3556" s="3" t="s">
        <v>1069</v>
      </c>
      <c r="B3556" s="4">
        <v>45107</v>
      </c>
      <c r="C3556" s="3" t="s">
        <v>1168</v>
      </c>
      <c r="D3556" s="3" t="s">
        <v>1573</v>
      </c>
      <c r="E3556" s="3" t="s">
        <v>1574</v>
      </c>
      <c r="F3556" s="3">
        <v>0</v>
      </c>
      <c r="G3556" s="3">
        <v>306719.18</v>
      </c>
    </row>
    <row r="3557" spans="1:7" x14ac:dyDescent="0.2">
      <c r="A3557" s="3" t="s">
        <v>1069</v>
      </c>
      <c r="B3557" s="4">
        <v>45107</v>
      </c>
      <c r="C3557" s="3" t="s">
        <v>1168</v>
      </c>
      <c r="D3557" s="3" t="s">
        <v>1629</v>
      </c>
      <c r="E3557" s="3" t="s">
        <v>1630</v>
      </c>
      <c r="F3557" s="3">
        <v>-30</v>
      </c>
      <c r="G3557" s="3">
        <v>47473.98</v>
      </c>
    </row>
    <row r="3558" spans="1:7" x14ac:dyDescent="0.2">
      <c r="A3558" s="3" t="s">
        <v>1069</v>
      </c>
      <c r="B3558" s="4">
        <v>45107</v>
      </c>
      <c r="C3558" s="3" t="s">
        <v>1168</v>
      </c>
      <c r="D3558" s="3" t="s">
        <v>1575</v>
      </c>
      <c r="E3558" s="3" t="s">
        <v>1576</v>
      </c>
      <c r="F3558" s="3">
        <v>0</v>
      </c>
      <c r="G3558" s="3">
        <v>2785386.85</v>
      </c>
    </row>
    <row r="3559" spans="1:7" x14ac:dyDescent="0.2">
      <c r="A3559" s="3" t="s">
        <v>1072</v>
      </c>
      <c r="B3559" s="4">
        <v>45107</v>
      </c>
      <c r="C3559" s="3" t="s">
        <v>1168</v>
      </c>
      <c r="D3559" s="3" t="s">
        <v>1671</v>
      </c>
      <c r="E3559" s="3" t="s">
        <v>1119</v>
      </c>
      <c r="F3559" s="3">
        <v>0</v>
      </c>
      <c r="G3559" s="3">
        <v>5202.88</v>
      </c>
    </row>
    <row r="3560" spans="1:7" x14ac:dyDescent="0.2">
      <c r="A3560" s="3" t="s">
        <v>1069</v>
      </c>
      <c r="B3560" s="4">
        <v>45107</v>
      </c>
      <c r="C3560" s="3" t="s">
        <v>1168</v>
      </c>
      <c r="D3560" s="3" t="s">
        <v>1684</v>
      </c>
      <c r="E3560" s="3" t="s">
        <v>1102</v>
      </c>
      <c r="F3560" s="3">
        <v>71583.149999999994</v>
      </c>
      <c r="G3560" s="3">
        <v>71583.149999999994</v>
      </c>
    </row>
    <row r="3561" spans="1:7" x14ac:dyDescent="0.2">
      <c r="A3561" s="3" t="s">
        <v>1074</v>
      </c>
      <c r="B3561" s="4">
        <v>45107</v>
      </c>
      <c r="C3561" s="3" t="s">
        <v>1168</v>
      </c>
      <c r="D3561" s="3" t="s">
        <v>1549</v>
      </c>
      <c r="E3561" s="3" t="s">
        <v>1154</v>
      </c>
      <c r="F3561" s="3">
        <v>350000</v>
      </c>
      <c r="G3561" s="3">
        <v>350000</v>
      </c>
    </row>
    <row r="3562" spans="1:7" x14ac:dyDescent="0.2">
      <c r="A3562" s="3" t="s">
        <v>1069</v>
      </c>
      <c r="B3562" s="4">
        <v>45107</v>
      </c>
      <c r="C3562" s="3" t="s">
        <v>1168</v>
      </c>
      <c r="D3562" s="3" t="s">
        <v>1253</v>
      </c>
      <c r="E3562" s="3" t="s">
        <v>1103</v>
      </c>
      <c r="F3562" s="3">
        <v>10523.82</v>
      </c>
      <c r="G3562" s="3">
        <v>29362.79</v>
      </c>
    </row>
    <row r="3563" spans="1:7" x14ac:dyDescent="0.2">
      <c r="A3563" s="3" t="s">
        <v>1072</v>
      </c>
      <c r="B3563" s="4">
        <v>45107</v>
      </c>
      <c r="C3563" s="3" t="s">
        <v>1168</v>
      </c>
      <c r="D3563" s="3" t="s">
        <v>1672</v>
      </c>
      <c r="E3563" s="3" t="s">
        <v>1097</v>
      </c>
      <c r="F3563" s="3">
        <v>0</v>
      </c>
      <c r="G3563" s="3">
        <v>362</v>
      </c>
    </row>
    <row r="3564" spans="1:7" x14ac:dyDescent="0.2">
      <c r="A3564" s="3" t="s">
        <v>1072</v>
      </c>
      <c r="B3564" s="4">
        <v>45107</v>
      </c>
      <c r="C3564" s="3" t="s">
        <v>1168</v>
      </c>
      <c r="D3564" s="3" t="s">
        <v>1357</v>
      </c>
      <c r="E3564" s="3" t="s">
        <v>1157</v>
      </c>
      <c r="F3564" s="3">
        <v>3175.51</v>
      </c>
      <c r="G3564" s="3">
        <v>20781.52</v>
      </c>
    </row>
    <row r="3565" spans="1:7" x14ac:dyDescent="0.2">
      <c r="A3565" s="3" t="s">
        <v>1072</v>
      </c>
      <c r="B3565" s="4">
        <v>45107</v>
      </c>
      <c r="C3565" s="3" t="s">
        <v>1168</v>
      </c>
      <c r="D3565" s="3" t="s">
        <v>1359</v>
      </c>
      <c r="E3565" s="3" t="s">
        <v>1086</v>
      </c>
      <c r="F3565" s="3">
        <v>1069</v>
      </c>
      <c r="G3565" s="3">
        <v>1069</v>
      </c>
    </row>
    <row r="3566" spans="1:7" x14ac:dyDescent="0.2">
      <c r="A3566" s="3" t="s">
        <v>1072</v>
      </c>
      <c r="B3566" s="4">
        <v>45107</v>
      </c>
      <c r="C3566" s="3" t="s">
        <v>1168</v>
      </c>
      <c r="D3566" s="3" t="s">
        <v>1201</v>
      </c>
      <c r="E3566" s="3" t="s">
        <v>1112</v>
      </c>
      <c r="F3566" s="3">
        <v>4327.12</v>
      </c>
      <c r="G3566" s="3">
        <v>9991.02</v>
      </c>
    </row>
    <row r="3567" spans="1:7" x14ac:dyDescent="0.2">
      <c r="A3567" s="3" t="s">
        <v>1072</v>
      </c>
      <c r="B3567" s="4">
        <v>45107</v>
      </c>
      <c r="C3567" s="3" t="s">
        <v>1168</v>
      </c>
      <c r="D3567" s="3" t="s">
        <v>1360</v>
      </c>
      <c r="E3567" s="3" t="s">
        <v>1098</v>
      </c>
      <c r="F3567" s="3">
        <v>704.96</v>
      </c>
      <c r="G3567" s="3">
        <v>6049.15</v>
      </c>
    </row>
    <row r="3568" spans="1:7" x14ac:dyDescent="0.2">
      <c r="A3568" s="3" t="s">
        <v>1072</v>
      </c>
      <c r="B3568" s="4">
        <v>45107</v>
      </c>
      <c r="C3568" s="3" t="s">
        <v>1168</v>
      </c>
      <c r="D3568" s="3" t="s">
        <v>1361</v>
      </c>
      <c r="E3568" s="3" t="s">
        <v>1121</v>
      </c>
      <c r="F3568" s="3">
        <v>29600</v>
      </c>
      <c r="G3568" s="3">
        <v>118400</v>
      </c>
    </row>
    <row r="3569" spans="1:7" x14ac:dyDescent="0.2">
      <c r="A3569" s="3" t="s">
        <v>1072</v>
      </c>
      <c r="B3569" s="4">
        <v>45107</v>
      </c>
      <c r="C3569" s="3" t="s">
        <v>1168</v>
      </c>
      <c r="D3569" s="3" t="s">
        <v>1231</v>
      </c>
      <c r="E3569" s="3" t="s">
        <v>1083</v>
      </c>
      <c r="F3569" s="3">
        <v>843.6</v>
      </c>
      <c r="G3569" s="3">
        <v>3374.4</v>
      </c>
    </row>
    <row r="3570" spans="1:7" x14ac:dyDescent="0.2">
      <c r="A3570" s="3" t="s">
        <v>1069</v>
      </c>
      <c r="B3570" s="4">
        <v>45107</v>
      </c>
      <c r="C3570" s="3" t="s">
        <v>1168</v>
      </c>
      <c r="D3570" s="3" t="s">
        <v>1231</v>
      </c>
      <c r="E3570" s="3" t="s">
        <v>1070</v>
      </c>
      <c r="F3570" s="3">
        <v>0</v>
      </c>
      <c r="G3570" s="3">
        <v>-11396.43</v>
      </c>
    </row>
    <row r="3571" spans="1:7" x14ac:dyDescent="0.2">
      <c r="A3571" s="3" t="s">
        <v>1072</v>
      </c>
      <c r="B3571" s="4">
        <v>45107</v>
      </c>
      <c r="C3571" s="3" t="s">
        <v>1168</v>
      </c>
      <c r="D3571" s="3" t="s">
        <v>1254</v>
      </c>
      <c r="E3571" s="3" t="s">
        <v>1075</v>
      </c>
      <c r="F3571" s="3">
        <v>155</v>
      </c>
      <c r="G3571" s="3">
        <v>9379.4</v>
      </c>
    </row>
    <row r="3572" spans="1:7" x14ac:dyDescent="0.2">
      <c r="A3572" s="3" t="s">
        <v>1072</v>
      </c>
      <c r="B3572" s="4">
        <v>45107</v>
      </c>
      <c r="C3572" s="3" t="s">
        <v>1168</v>
      </c>
      <c r="D3572" s="3" t="s">
        <v>1362</v>
      </c>
      <c r="E3572" s="3" t="s">
        <v>1123</v>
      </c>
      <c r="F3572" s="3">
        <v>373109.3</v>
      </c>
      <c r="G3572" s="3">
        <v>1345068.58</v>
      </c>
    </row>
    <row r="3573" spans="1:7" x14ac:dyDescent="0.2">
      <c r="A3573" s="3" t="s">
        <v>1072</v>
      </c>
      <c r="B3573" s="4">
        <v>45107</v>
      </c>
      <c r="C3573" s="3" t="s">
        <v>1168</v>
      </c>
      <c r="D3573" s="3" t="s">
        <v>1365</v>
      </c>
      <c r="E3573" s="3" t="s">
        <v>1090</v>
      </c>
      <c r="F3573" s="3">
        <v>0</v>
      </c>
      <c r="G3573" s="3">
        <v>5192.13</v>
      </c>
    </row>
    <row r="3574" spans="1:7" x14ac:dyDescent="0.2">
      <c r="A3574" s="3" t="s">
        <v>1072</v>
      </c>
      <c r="B3574" s="4">
        <v>45107</v>
      </c>
      <c r="C3574" s="3" t="s">
        <v>1168</v>
      </c>
      <c r="D3574" s="3" t="s">
        <v>1511</v>
      </c>
      <c r="E3574" s="3" t="s">
        <v>1104</v>
      </c>
      <c r="F3574" s="3">
        <v>177.33</v>
      </c>
      <c r="G3574" s="3">
        <v>709.32</v>
      </c>
    </row>
    <row r="3575" spans="1:7" x14ac:dyDescent="0.2">
      <c r="A3575" s="3" t="s">
        <v>1072</v>
      </c>
      <c r="B3575" s="4">
        <v>45107</v>
      </c>
      <c r="C3575" s="3" t="s">
        <v>1168</v>
      </c>
      <c r="D3575" s="3" t="s">
        <v>1366</v>
      </c>
      <c r="E3575" s="3" t="s">
        <v>1144</v>
      </c>
      <c r="F3575" s="3">
        <v>4172.17</v>
      </c>
      <c r="G3575" s="3">
        <v>7213.91</v>
      </c>
    </row>
    <row r="3576" spans="1:7" x14ac:dyDescent="0.2">
      <c r="A3576" s="3" t="s">
        <v>1069</v>
      </c>
      <c r="B3576" s="4">
        <v>45107</v>
      </c>
      <c r="C3576" s="3" t="s">
        <v>1168</v>
      </c>
      <c r="D3576" s="3" t="s">
        <v>1213</v>
      </c>
      <c r="E3576" s="3" t="s">
        <v>1150</v>
      </c>
      <c r="F3576" s="3">
        <v>366.14</v>
      </c>
      <c r="G3576" s="3">
        <v>1351.28</v>
      </c>
    </row>
    <row r="3577" spans="1:7" x14ac:dyDescent="0.2">
      <c r="A3577" s="3" t="s">
        <v>1072</v>
      </c>
      <c r="B3577" s="4">
        <v>45107</v>
      </c>
      <c r="C3577" s="3" t="s">
        <v>1168</v>
      </c>
      <c r="D3577" s="3" t="s">
        <v>1368</v>
      </c>
      <c r="E3577" s="3" t="s">
        <v>1124</v>
      </c>
      <c r="F3577" s="3">
        <v>2814.73</v>
      </c>
      <c r="G3577" s="3">
        <v>5287.11</v>
      </c>
    </row>
    <row r="3578" spans="1:7" x14ac:dyDescent="0.2">
      <c r="A3578" s="3" t="s">
        <v>1072</v>
      </c>
      <c r="B3578" s="4">
        <v>45107</v>
      </c>
      <c r="C3578" s="3" t="s">
        <v>1168</v>
      </c>
      <c r="D3578" s="3" t="s">
        <v>1369</v>
      </c>
      <c r="E3578" s="3" t="s">
        <v>1099</v>
      </c>
      <c r="F3578" s="3">
        <v>8349.65</v>
      </c>
      <c r="G3578" s="3">
        <v>8349.65</v>
      </c>
    </row>
    <row r="3579" spans="1:7" x14ac:dyDescent="0.2">
      <c r="A3579" s="3" t="s">
        <v>1072</v>
      </c>
      <c r="B3579" s="4">
        <v>45107</v>
      </c>
      <c r="C3579" s="3" t="s">
        <v>1168</v>
      </c>
      <c r="D3579" s="3" t="s">
        <v>1370</v>
      </c>
      <c r="E3579" s="3" t="s">
        <v>1129</v>
      </c>
      <c r="F3579" s="3">
        <v>747</v>
      </c>
      <c r="G3579" s="3">
        <v>2988</v>
      </c>
    </row>
    <row r="3580" spans="1:7" x14ac:dyDescent="0.2">
      <c r="A3580" s="3" t="s">
        <v>1072</v>
      </c>
      <c r="B3580" s="4">
        <v>45107</v>
      </c>
      <c r="C3580" s="3" t="s">
        <v>1168</v>
      </c>
      <c r="D3580" s="3" t="s">
        <v>1371</v>
      </c>
      <c r="E3580" s="3" t="s">
        <v>1093</v>
      </c>
      <c r="F3580" s="3">
        <v>0</v>
      </c>
      <c r="G3580" s="3">
        <v>10825.49</v>
      </c>
    </row>
    <row r="3581" spans="1:7" x14ac:dyDescent="0.2">
      <c r="A3581" s="3" t="s">
        <v>1072</v>
      </c>
      <c r="B3581" s="4">
        <v>45107</v>
      </c>
      <c r="C3581" s="3" t="s">
        <v>1168</v>
      </c>
      <c r="D3581" s="3" t="s">
        <v>1372</v>
      </c>
      <c r="E3581" s="3" t="s">
        <v>1158</v>
      </c>
      <c r="F3581" s="3">
        <v>600</v>
      </c>
      <c r="G3581" s="3">
        <v>2400</v>
      </c>
    </row>
    <row r="3582" spans="1:7" x14ac:dyDescent="0.2">
      <c r="A3582" s="3" t="s">
        <v>1072</v>
      </c>
      <c r="B3582" s="4">
        <v>45107</v>
      </c>
      <c r="C3582" s="3" t="s">
        <v>1168</v>
      </c>
      <c r="D3582" s="3" t="s">
        <v>1373</v>
      </c>
      <c r="E3582" s="3" t="s">
        <v>1092</v>
      </c>
      <c r="F3582" s="3">
        <v>847</v>
      </c>
      <c r="G3582" s="3">
        <v>3192.73</v>
      </c>
    </row>
    <row r="3583" spans="1:7" x14ac:dyDescent="0.2">
      <c r="A3583" s="3" t="s">
        <v>1069</v>
      </c>
      <c r="B3583" s="4">
        <v>45107</v>
      </c>
      <c r="C3583" s="3" t="s">
        <v>1168</v>
      </c>
      <c r="D3583" s="3" t="s">
        <v>1232</v>
      </c>
      <c r="E3583" s="3" t="s">
        <v>1105</v>
      </c>
      <c r="F3583" s="3">
        <v>600</v>
      </c>
      <c r="G3583" s="3">
        <v>2400</v>
      </c>
    </row>
    <row r="3584" spans="1:7" x14ac:dyDescent="0.2">
      <c r="A3584" s="3" t="s">
        <v>1074</v>
      </c>
      <c r="B3584" s="4">
        <v>45107</v>
      </c>
      <c r="C3584" s="3" t="s">
        <v>1168</v>
      </c>
      <c r="D3584" s="3" t="s">
        <v>1232</v>
      </c>
      <c r="E3584" s="3" t="s">
        <v>1105</v>
      </c>
      <c r="F3584" s="3">
        <v>600</v>
      </c>
      <c r="G3584" s="3">
        <v>2400</v>
      </c>
    </row>
    <row r="3585" spans="1:7" x14ac:dyDescent="0.2">
      <c r="A3585" s="3" t="s">
        <v>1072</v>
      </c>
      <c r="B3585" s="4">
        <v>45107</v>
      </c>
      <c r="C3585" s="3" t="s">
        <v>1168</v>
      </c>
      <c r="D3585" s="3" t="s">
        <v>1378</v>
      </c>
      <c r="E3585" s="3" t="s">
        <v>1143</v>
      </c>
      <c r="F3585" s="3">
        <v>82763.78</v>
      </c>
      <c r="G3585" s="3">
        <v>312788.23</v>
      </c>
    </row>
    <row r="3586" spans="1:7" x14ac:dyDescent="0.2">
      <c r="A3586" s="3" t="s">
        <v>1072</v>
      </c>
      <c r="B3586" s="4">
        <v>45107</v>
      </c>
      <c r="C3586" s="3" t="s">
        <v>1168</v>
      </c>
      <c r="D3586" s="3" t="s">
        <v>1379</v>
      </c>
      <c r="E3586" s="3" t="s">
        <v>1107</v>
      </c>
      <c r="F3586" s="3">
        <v>4434.6400000000003</v>
      </c>
      <c r="G3586" s="3">
        <v>16077.76</v>
      </c>
    </row>
    <row r="3587" spans="1:7" x14ac:dyDescent="0.2">
      <c r="A3587" s="3" t="s">
        <v>1072</v>
      </c>
      <c r="B3587" s="4">
        <v>45107</v>
      </c>
      <c r="C3587" s="3" t="s">
        <v>1168</v>
      </c>
      <c r="D3587" s="3" t="s">
        <v>1380</v>
      </c>
      <c r="E3587" s="3" t="s">
        <v>1125</v>
      </c>
      <c r="F3587" s="3">
        <v>2442.38</v>
      </c>
      <c r="G3587" s="3">
        <v>8425.6200000000008</v>
      </c>
    </row>
    <row r="3588" spans="1:7" x14ac:dyDescent="0.2">
      <c r="A3588" s="3" t="s">
        <v>1072</v>
      </c>
      <c r="B3588" s="4">
        <v>45107</v>
      </c>
      <c r="C3588" s="3" t="s">
        <v>1168</v>
      </c>
      <c r="D3588" s="3" t="s">
        <v>1381</v>
      </c>
      <c r="E3588" s="3" t="s">
        <v>1130</v>
      </c>
      <c r="F3588" s="3">
        <v>2442.38</v>
      </c>
      <c r="G3588" s="3">
        <v>8425.6200000000008</v>
      </c>
    </row>
    <row r="3589" spans="1:7" x14ac:dyDescent="0.2">
      <c r="A3589" s="3" t="s">
        <v>1072</v>
      </c>
      <c r="B3589" s="4">
        <v>45107</v>
      </c>
      <c r="C3589" s="3" t="s">
        <v>1168</v>
      </c>
      <c r="D3589" s="3" t="s">
        <v>1458</v>
      </c>
      <c r="E3589" s="3" t="s">
        <v>1113</v>
      </c>
      <c r="F3589" s="3">
        <v>0</v>
      </c>
      <c r="G3589" s="3">
        <v>15075.35</v>
      </c>
    </row>
    <row r="3590" spans="1:7" x14ac:dyDescent="0.2">
      <c r="A3590" s="3" t="s">
        <v>1072</v>
      </c>
      <c r="B3590" s="4">
        <v>45107</v>
      </c>
      <c r="C3590" s="3" t="s">
        <v>1168</v>
      </c>
      <c r="D3590" s="3" t="s">
        <v>1459</v>
      </c>
      <c r="E3590" s="3" t="s">
        <v>1139</v>
      </c>
      <c r="F3590" s="3">
        <v>0</v>
      </c>
      <c r="G3590" s="3">
        <v>4562.1000000000004</v>
      </c>
    </row>
    <row r="3591" spans="1:7" x14ac:dyDescent="0.2">
      <c r="A3591" s="3" t="s">
        <v>1069</v>
      </c>
      <c r="B3591" s="4">
        <v>45107</v>
      </c>
      <c r="C3591" s="3" t="s">
        <v>1172</v>
      </c>
      <c r="D3591" s="3" t="s">
        <v>1173</v>
      </c>
      <c r="E3591" s="3" t="s">
        <v>1174</v>
      </c>
      <c r="F3591" s="3">
        <v>0</v>
      </c>
      <c r="G3591" s="3">
        <v>-100</v>
      </c>
    </row>
    <row r="3592" spans="1:7" x14ac:dyDescent="0.2">
      <c r="A3592" s="3" t="s">
        <v>1072</v>
      </c>
      <c r="B3592" s="4">
        <v>45107</v>
      </c>
      <c r="C3592" s="3" t="s">
        <v>1172</v>
      </c>
      <c r="D3592" s="3" t="s">
        <v>1382</v>
      </c>
      <c r="E3592" s="3" t="s">
        <v>1383</v>
      </c>
      <c r="F3592" s="3">
        <v>0</v>
      </c>
      <c r="G3592" s="3">
        <v>-120</v>
      </c>
    </row>
    <row r="3593" spans="1:7" x14ac:dyDescent="0.2">
      <c r="A3593" s="3" t="s">
        <v>1072</v>
      </c>
      <c r="B3593" s="4">
        <v>45107</v>
      </c>
      <c r="C3593" s="3" t="s">
        <v>1172</v>
      </c>
      <c r="D3593" s="3" t="s">
        <v>1384</v>
      </c>
      <c r="E3593" s="3" t="s">
        <v>1385</v>
      </c>
      <c r="F3593" s="3">
        <v>0</v>
      </c>
      <c r="G3593" s="3">
        <v>-296075.58</v>
      </c>
    </row>
    <row r="3594" spans="1:7" x14ac:dyDescent="0.2">
      <c r="A3594" s="3" t="s">
        <v>1069</v>
      </c>
      <c r="B3594" s="4">
        <v>45107</v>
      </c>
      <c r="C3594" s="3" t="s">
        <v>1172</v>
      </c>
      <c r="D3594" s="3" t="s">
        <v>1384</v>
      </c>
      <c r="E3594" s="3" t="s">
        <v>1385</v>
      </c>
      <c r="F3594" s="3">
        <v>0</v>
      </c>
      <c r="G3594" s="3">
        <v>-17843179.579999998</v>
      </c>
    </row>
    <row r="3595" spans="1:7" x14ac:dyDescent="0.2">
      <c r="A3595" s="3" t="s">
        <v>1074</v>
      </c>
      <c r="B3595" s="4">
        <v>45107</v>
      </c>
      <c r="C3595" s="3" t="s">
        <v>1172</v>
      </c>
      <c r="D3595" s="3" t="s">
        <v>1384</v>
      </c>
      <c r="E3595" s="3" t="s">
        <v>1385</v>
      </c>
      <c r="F3595" s="3">
        <v>0</v>
      </c>
      <c r="G3595" s="3">
        <v>70398.12</v>
      </c>
    </row>
    <row r="3596" spans="1:7" x14ac:dyDescent="0.2">
      <c r="A3596" s="3" t="s">
        <v>1069</v>
      </c>
      <c r="B3596" s="4">
        <v>45107</v>
      </c>
      <c r="C3596" s="3" t="s">
        <v>1180</v>
      </c>
      <c r="D3596" s="3" t="s">
        <v>1241</v>
      </c>
      <c r="E3596" s="3" t="s">
        <v>1242</v>
      </c>
      <c r="F3596" s="3">
        <v>0</v>
      </c>
      <c r="G3596" s="3">
        <v>17562360.850000001</v>
      </c>
    </row>
    <row r="3597" spans="1:7" x14ac:dyDescent="0.2">
      <c r="A3597" s="3" t="s">
        <v>1072</v>
      </c>
      <c r="B3597" s="4">
        <v>45107</v>
      </c>
      <c r="C3597" s="3" t="s">
        <v>1180</v>
      </c>
      <c r="D3597" s="3" t="s">
        <v>1483</v>
      </c>
      <c r="E3597" s="3" t="s">
        <v>1177</v>
      </c>
      <c r="F3597" s="3">
        <v>0</v>
      </c>
      <c r="G3597" s="3">
        <v>185000</v>
      </c>
    </row>
    <row r="3598" spans="1:7" x14ac:dyDescent="0.2">
      <c r="A3598" s="3" t="s">
        <v>1072</v>
      </c>
      <c r="B3598" s="4">
        <v>45107</v>
      </c>
      <c r="C3598" s="3" t="s">
        <v>1180</v>
      </c>
      <c r="D3598" s="3" t="s">
        <v>1388</v>
      </c>
      <c r="E3598" s="3" t="s">
        <v>1389</v>
      </c>
      <c r="F3598" s="3">
        <v>0</v>
      </c>
      <c r="G3598" s="3">
        <v>-4342.5</v>
      </c>
    </row>
    <row r="3599" spans="1:7" x14ac:dyDescent="0.2">
      <c r="A3599" s="3" t="s">
        <v>1072</v>
      </c>
      <c r="B3599" s="4">
        <v>45107</v>
      </c>
      <c r="C3599" s="3" t="s">
        <v>1180</v>
      </c>
      <c r="D3599" s="3" t="s">
        <v>1390</v>
      </c>
      <c r="E3599" s="3" t="s">
        <v>1391</v>
      </c>
      <c r="F3599" s="3">
        <v>0</v>
      </c>
      <c r="G3599" s="3">
        <v>-2261000</v>
      </c>
    </row>
    <row r="3600" spans="1:7" x14ac:dyDescent="0.2">
      <c r="A3600" s="3" t="s">
        <v>1072</v>
      </c>
      <c r="B3600" s="4">
        <v>45107</v>
      </c>
      <c r="C3600" s="3" t="s">
        <v>1180</v>
      </c>
      <c r="D3600" s="3" t="s">
        <v>1392</v>
      </c>
      <c r="E3600" s="3" t="s">
        <v>1393</v>
      </c>
      <c r="F3600" s="3">
        <v>0</v>
      </c>
      <c r="G3600" s="3">
        <v>4342.5</v>
      </c>
    </row>
    <row r="3601" spans="1:7" x14ac:dyDescent="0.2">
      <c r="A3601" s="3" t="s">
        <v>1072</v>
      </c>
      <c r="B3601" s="4">
        <v>45107</v>
      </c>
      <c r="C3601" s="3" t="s">
        <v>1180</v>
      </c>
      <c r="D3601" s="3" t="s">
        <v>1394</v>
      </c>
      <c r="E3601" s="3" t="s">
        <v>1256</v>
      </c>
      <c r="F3601" s="3">
        <v>-20000</v>
      </c>
      <c r="G3601" s="3">
        <v>-20000</v>
      </c>
    </row>
    <row r="3602" spans="1:7" x14ac:dyDescent="0.2">
      <c r="A3602" s="3" t="s">
        <v>1072</v>
      </c>
      <c r="B3602" s="4">
        <v>45107</v>
      </c>
      <c r="C3602" s="3" t="s">
        <v>1180</v>
      </c>
      <c r="D3602" s="3" t="s">
        <v>1395</v>
      </c>
      <c r="E3602" s="3" t="s">
        <v>1396</v>
      </c>
      <c r="F3602" s="3">
        <v>80000</v>
      </c>
      <c r="G3602" s="3">
        <v>-10151940.42</v>
      </c>
    </row>
    <row r="3603" spans="1:7" x14ac:dyDescent="0.2">
      <c r="A3603" s="3" t="s">
        <v>1072</v>
      </c>
      <c r="B3603" s="4">
        <v>45107</v>
      </c>
      <c r="C3603" s="3" t="s">
        <v>1180</v>
      </c>
      <c r="D3603" s="3" t="s">
        <v>1397</v>
      </c>
      <c r="E3603" s="3" t="s">
        <v>1398</v>
      </c>
      <c r="F3603" s="3">
        <v>-20000</v>
      </c>
      <c r="G3603" s="3">
        <v>-20000</v>
      </c>
    </row>
    <row r="3604" spans="1:7" x14ac:dyDescent="0.2">
      <c r="A3604" s="3" t="s">
        <v>1072</v>
      </c>
      <c r="B3604" s="4">
        <v>45107</v>
      </c>
      <c r="C3604" s="3" t="s">
        <v>1180</v>
      </c>
      <c r="D3604" s="3" t="s">
        <v>1512</v>
      </c>
      <c r="E3604" s="3" t="s">
        <v>1513</v>
      </c>
      <c r="F3604" s="3">
        <v>-762000</v>
      </c>
      <c r="G3604" s="3">
        <v>20749187.399999999</v>
      </c>
    </row>
    <row r="3605" spans="1:7" x14ac:dyDescent="0.2">
      <c r="A3605" s="3" t="s">
        <v>1072</v>
      </c>
      <c r="B3605" s="4">
        <v>45107</v>
      </c>
      <c r="C3605" s="3" t="s">
        <v>1180</v>
      </c>
      <c r="D3605" s="3" t="s">
        <v>1399</v>
      </c>
      <c r="E3605" s="3" t="s">
        <v>1400</v>
      </c>
      <c r="F3605" s="3">
        <v>-65000</v>
      </c>
      <c r="G3605" s="3">
        <v>-53500</v>
      </c>
    </row>
    <row r="3606" spans="1:7" x14ac:dyDescent="0.2">
      <c r="A3606" s="3" t="s">
        <v>1074</v>
      </c>
      <c r="B3606" s="4">
        <v>45107</v>
      </c>
      <c r="C3606" s="3" t="s">
        <v>1175</v>
      </c>
      <c r="D3606" s="3" t="s">
        <v>1492</v>
      </c>
      <c r="E3606" s="3" t="s">
        <v>1493</v>
      </c>
      <c r="F3606" s="3">
        <v>-5517023.9000000004</v>
      </c>
      <c r="G3606" s="3">
        <v>-40906059.659999996</v>
      </c>
    </row>
    <row r="3607" spans="1:7" x14ac:dyDescent="0.2">
      <c r="A3607" s="3" t="s">
        <v>1069</v>
      </c>
      <c r="B3607" s="4">
        <v>45107</v>
      </c>
      <c r="C3607" s="3" t="s">
        <v>1175</v>
      </c>
      <c r="D3607" s="3" t="s">
        <v>1178</v>
      </c>
      <c r="E3607" s="3" t="s">
        <v>1179</v>
      </c>
      <c r="F3607" s="3">
        <v>-80000</v>
      </c>
      <c r="G3607" s="3">
        <v>10151940.42</v>
      </c>
    </row>
    <row r="3608" spans="1:7" x14ac:dyDescent="0.2">
      <c r="A3608" s="3" t="s">
        <v>1069</v>
      </c>
      <c r="B3608" s="4">
        <v>45107</v>
      </c>
      <c r="C3608" s="3" t="s">
        <v>1175</v>
      </c>
      <c r="D3608" s="3" t="s">
        <v>1233</v>
      </c>
      <c r="E3608" s="3" t="s">
        <v>1234</v>
      </c>
      <c r="F3608" s="3">
        <v>40000</v>
      </c>
      <c r="G3608" s="3">
        <v>3092000</v>
      </c>
    </row>
    <row r="3609" spans="1:7" x14ac:dyDescent="0.2">
      <c r="A3609" s="3" t="s">
        <v>1069</v>
      </c>
      <c r="B3609" s="4">
        <v>45107</v>
      </c>
      <c r="C3609" s="3" t="s">
        <v>1175</v>
      </c>
      <c r="D3609" s="3" t="s">
        <v>1494</v>
      </c>
      <c r="E3609" s="3" t="s">
        <v>1495</v>
      </c>
      <c r="F3609" s="3">
        <v>5517023.9000000004</v>
      </c>
      <c r="G3609" s="3">
        <v>40906059.659999996</v>
      </c>
    </row>
    <row r="3610" spans="1:7" x14ac:dyDescent="0.2">
      <c r="A3610" s="3" t="s">
        <v>1069</v>
      </c>
      <c r="B3610" s="4">
        <v>45107</v>
      </c>
      <c r="C3610" s="3" t="s">
        <v>1175</v>
      </c>
      <c r="D3610" s="3" t="s">
        <v>1516</v>
      </c>
      <c r="E3610" s="3" t="s">
        <v>1400</v>
      </c>
      <c r="F3610" s="3">
        <v>30000</v>
      </c>
      <c r="G3610" s="3">
        <v>52000</v>
      </c>
    </row>
    <row r="3611" spans="1:7" x14ac:dyDescent="0.2">
      <c r="A3611" s="3" t="s">
        <v>1072</v>
      </c>
      <c r="B3611" s="4">
        <v>45107</v>
      </c>
      <c r="C3611" s="3" t="s">
        <v>1180</v>
      </c>
      <c r="D3611" s="3" t="s">
        <v>1409</v>
      </c>
      <c r="E3611" s="3" t="s">
        <v>1410</v>
      </c>
      <c r="F3611" s="3">
        <v>0</v>
      </c>
      <c r="G3611" s="3">
        <v>216064.1</v>
      </c>
    </row>
    <row r="3612" spans="1:7" x14ac:dyDescent="0.2">
      <c r="A3612" s="3" t="s">
        <v>1072</v>
      </c>
      <c r="B3612" s="4">
        <v>45107</v>
      </c>
      <c r="C3612" s="3" t="s">
        <v>1180</v>
      </c>
      <c r="D3612" s="3" t="s">
        <v>1411</v>
      </c>
      <c r="E3612" s="3" t="s">
        <v>1412</v>
      </c>
      <c r="F3612" s="3">
        <v>0</v>
      </c>
      <c r="G3612" s="3">
        <v>-216063.1</v>
      </c>
    </row>
    <row r="3613" spans="1:7" x14ac:dyDescent="0.2">
      <c r="A3613" s="3" t="s">
        <v>1072</v>
      </c>
      <c r="B3613" s="4">
        <v>45107</v>
      </c>
      <c r="C3613" s="3" t="s">
        <v>1180</v>
      </c>
      <c r="D3613" s="3" t="s">
        <v>1413</v>
      </c>
      <c r="E3613" s="3" t="s">
        <v>1414</v>
      </c>
      <c r="F3613" s="3">
        <v>0</v>
      </c>
      <c r="G3613" s="3">
        <v>133790.35</v>
      </c>
    </row>
    <row r="3614" spans="1:7" x14ac:dyDescent="0.2">
      <c r="A3614" s="3" t="s">
        <v>1072</v>
      </c>
      <c r="B3614" s="4">
        <v>45107</v>
      </c>
      <c r="C3614" s="3" t="s">
        <v>1180</v>
      </c>
      <c r="D3614" s="3" t="s">
        <v>1415</v>
      </c>
      <c r="E3614" s="3" t="s">
        <v>1416</v>
      </c>
      <c r="F3614" s="3">
        <v>-3323.88</v>
      </c>
      <c r="G3614" s="3">
        <v>-56218.57</v>
      </c>
    </row>
    <row r="3615" spans="1:7" x14ac:dyDescent="0.2">
      <c r="A3615" s="3" t="s">
        <v>1072</v>
      </c>
      <c r="B3615" s="4">
        <v>45107</v>
      </c>
      <c r="C3615" s="3" t="s">
        <v>1180</v>
      </c>
      <c r="D3615" s="3" t="s">
        <v>1462</v>
      </c>
      <c r="E3615" s="3" t="s">
        <v>1463</v>
      </c>
      <c r="F3615" s="3">
        <v>0</v>
      </c>
      <c r="G3615" s="3">
        <v>37955.300000000003</v>
      </c>
    </row>
    <row r="3616" spans="1:7" x14ac:dyDescent="0.2">
      <c r="A3616" s="3" t="s">
        <v>1072</v>
      </c>
      <c r="B3616" s="4">
        <v>45107</v>
      </c>
      <c r="C3616" s="3" t="s">
        <v>1180</v>
      </c>
      <c r="D3616" s="3" t="s">
        <v>1484</v>
      </c>
      <c r="E3616" s="3" t="s">
        <v>1485</v>
      </c>
      <c r="F3616" s="3">
        <v>-547.66999999999996</v>
      </c>
      <c r="G3616" s="3">
        <v>-8085.25</v>
      </c>
    </row>
    <row r="3617" spans="1:7" x14ac:dyDescent="0.2">
      <c r="A3617" s="3" t="s">
        <v>1072</v>
      </c>
      <c r="B3617" s="4">
        <v>45107</v>
      </c>
      <c r="C3617" s="3" t="s">
        <v>1180</v>
      </c>
      <c r="D3617" s="3" t="s">
        <v>1417</v>
      </c>
      <c r="E3617" s="3" t="s">
        <v>1418</v>
      </c>
      <c r="F3617" s="3">
        <v>0</v>
      </c>
      <c r="G3617" s="3">
        <v>71322</v>
      </c>
    </row>
    <row r="3618" spans="1:7" x14ac:dyDescent="0.2">
      <c r="A3618" s="3" t="s">
        <v>1072</v>
      </c>
      <c r="B3618" s="4">
        <v>45107</v>
      </c>
      <c r="C3618" s="3" t="s">
        <v>1180</v>
      </c>
      <c r="D3618" s="3" t="s">
        <v>1419</v>
      </c>
      <c r="E3618" s="3" t="s">
        <v>1420</v>
      </c>
      <c r="F3618" s="3">
        <v>-1188.69</v>
      </c>
      <c r="G3618" s="3">
        <v>-5889.62</v>
      </c>
    </row>
    <row r="3619" spans="1:7" x14ac:dyDescent="0.2">
      <c r="A3619" s="3" t="s">
        <v>1069</v>
      </c>
      <c r="B3619" s="4">
        <v>45107</v>
      </c>
      <c r="C3619" s="3" t="s">
        <v>1180</v>
      </c>
      <c r="D3619" s="3" t="s">
        <v>1421</v>
      </c>
      <c r="E3619" s="3" t="s">
        <v>1422</v>
      </c>
      <c r="F3619" s="3">
        <v>0</v>
      </c>
      <c r="G3619" s="3">
        <v>874505.75</v>
      </c>
    </row>
    <row r="3620" spans="1:7" x14ac:dyDescent="0.2">
      <c r="A3620" s="3" t="s">
        <v>1074</v>
      </c>
      <c r="B3620" s="4">
        <v>45107</v>
      </c>
      <c r="C3620" s="3" t="s">
        <v>1180</v>
      </c>
      <c r="D3620" s="3" t="s">
        <v>1421</v>
      </c>
      <c r="E3620" s="3" t="s">
        <v>1533</v>
      </c>
      <c r="F3620" s="3">
        <v>0</v>
      </c>
      <c r="G3620" s="3">
        <v>803063.11</v>
      </c>
    </row>
    <row r="3621" spans="1:7" x14ac:dyDescent="0.2">
      <c r="A3621" s="3" t="s">
        <v>1069</v>
      </c>
      <c r="B3621" s="4">
        <v>45107</v>
      </c>
      <c r="C3621" s="3" t="s">
        <v>1180</v>
      </c>
      <c r="D3621" s="3" t="s">
        <v>1214</v>
      </c>
      <c r="E3621" s="3" t="s">
        <v>1215</v>
      </c>
      <c r="F3621" s="3">
        <v>0</v>
      </c>
      <c r="G3621" s="3">
        <v>26200000</v>
      </c>
    </row>
    <row r="3622" spans="1:7" x14ac:dyDescent="0.2">
      <c r="A3622" s="3" t="s">
        <v>1069</v>
      </c>
      <c r="B3622" s="4">
        <v>45107</v>
      </c>
      <c r="C3622" s="3" t="s">
        <v>1180</v>
      </c>
      <c r="D3622" s="3" t="s">
        <v>1216</v>
      </c>
      <c r="E3622" s="3" t="s">
        <v>1217</v>
      </c>
      <c r="F3622" s="3">
        <v>0</v>
      </c>
      <c r="G3622" s="3">
        <v>68427</v>
      </c>
    </row>
    <row r="3623" spans="1:7" x14ac:dyDescent="0.2">
      <c r="A3623" s="3" t="s">
        <v>1069</v>
      </c>
      <c r="B3623" s="4">
        <v>45107</v>
      </c>
      <c r="C3623" s="3" t="s">
        <v>1180</v>
      </c>
      <c r="D3623" s="3" t="s">
        <v>1218</v>
      </c>
      <c r="E3623" s="3" t="s">
        <v>1219</v>
      </c>
      <c r="F3623" s="3">
        <v>0</v>
      </c>
      <c r="G3623" s="3">
        <v>103812</v>
      </c>
    </row>
    <row r="3624" spans="1:7" x14ac:dyDescent="0.2">
      <c r="A3624" s="3" t="s">
        <v>1069</v>
      </c>
      <c r="B3624" s="4">
        <v>45107</v>
      </c>
      <c r="C3624" s="3" t="s">
        <v>1180</v>
      </c>
      <c r="D3624" s="3" t="s">
        <v>1197</v>
      </c>
      <c r="E3624" s="3" t="s">
        <v>1198</v>
      </c>
      <c r="F3624" s="3">
        <v>0</v>
      </c>
      <c r="G3624" s="3">
        <v>314087</v>
      </c>
    </row>
    <row r="3625" spans="1:7" x14ac:dyDescent="0.2">
      <c r="A3625" s="3" t="s">
        <v>1074</v>
      </c>
      <c r="B3625" s="4">
        <v>45107</v>
      </c>
      <c r="C3625" s="3" t="s">
        <v>1180</v>
      </c>
      <c r="D3625" s="3" t="s">
        <v>1197</v>
      </c>
      <c r="E3625" s="3" t="s">
        <v>1550</v>
      </c>
      <c r="F3625" s="3">
        <v>336956.98</v>
      </c>
      <c r="G3625" s="3">
        <v>714313.5</v>
      </c>
    </row>
    <row r="3626" spans="1:7" x14ac:dyDescent="0.2">
      <c r="A3626" s="3" t="s">
        <v>1069</v>
      </c>
      <c r="B3626" s="4">
        <v>45107</v>
      </c>
      <c r="C3626" s="3" t="s">
        <v>1180</v>
      </c>
      <c r="D3626" s="3" t="s">
        <v>1496</v>
      </c>
      <c r="E3626" s="3" t="s">
        <v>1497</v>
      </c>
      <c r="F3626" s="3">
        <v>0</v>
      </c>
      <c r="G3626" s="3">
        <v>139500</v>
      </c>
    </row>
    <row r="3627" spans="1:7" x14ac:dyDescent="0.2">
      <c r="A3627" s="3" t="s">
        <v>1069</v>
      </c>
      <c r="B3627" s="4">
        <v>45107</v>
      </c>
      <c r="C3627" s="3" t="s">
        <v>1180</v>
      </c>
      <c r="D3627" s="3" t="s">
        <v>1181</v>
      </c>
      <c r="E3627" s="3" t="s">
        <v>1182</v>
      </c>
      <c r="F3627" s="3">
        <v>0</v>
      </c>
      <c r="G3627" s="3">
        <v>8557641.8000000007</v>
      </c>
    </row>
    <row r="3628" spans="1:7" x14ac:dyDescent="0.2">
      <c r="A3628" s="3" t="s">
        <v>1069</v>
      </c>
      <c r="B3628" s="4">
        <v>45107</v>
      </c>
      <c r="C3628" s="3" t="s">
        <v>1180</v>
      </c>
      <c r="D3628" s="3" t="s">
        <v>1263</v>
      </c>
      <c r="E3628" s="3" t="s">
        <v>1264</v>
      </c>
      <c r="F3628" s="3">
        <v>0</v>
      </c>
      <c r="G3628" s="3">
        <v>13807.78</v>
      </c>
    </row>
    <row r="3629" spans="1:7" x14ac:dyDescent="0.2">
      <c r="A3629" s="3" t="s">
        <v>1069</v>
      </c>
      <c r="B3629" s="4">
        <v>45107</v>
      </c>
      <c r="C3629" s="3" t="s">
        <v>1180</v>
      </c>
      <c r="D3629" s="3" t="s">
        <v>1202</v>
      </c>
      <c r="E3629" s="3" t="s">
        <v>1203</v>
      </c>
      <c r="F3629" s="3">
        <v>0</v>
      </c>
      <c r="G3629" s="3">
        <v>197060.09</v>
      </c>
    </row>
    <row r="3630" spans="1:7" x14ac:dyDescent="0.2">
      <c r="A3630" s="3" t="s">
        <v>1074</v>
      </c>
      <c r="B3630" s="4">
        <v>45107</v>
      </c>
      <c r="C3630" s="3" t="s">
        <v>1180</v>
      </c>
      <c r="D3630" s="3" t="s">
        <v>1202</v>
      </c>
      <c r="E3630" s="3" t="s">
        <v>1577</v>
      </c>
      <c r="F3630" s="3">
        <v>123587.03</v>
      </c>
      <c r="G3630" s="3">
        <v>142772.03</v>
      </c>
    </row>
    <row r="3631" spans="1:7" x14ac:dyDescent="0.2">
      <c r="A3631" s="3" t="s">
        <v>1069</v>
      </c>
      <c r="B3631" s="4">
        <v>45107</v>
      </c>
      <c r="C3631" s="3" t="s">
        <v>1180</v>
      </c>
      <c r="D3631" s="3" t="s">
        <v>1204</v>
      </c>
      <c r="E3631" s="3" t="s">
        <v>1205</v>
      </c>
      <c r="F3631" s="3">
        <v>0</v>
      </c>
      <c r="G3631" s="3">
        <v>7500</v>
      </c>
    </row>
    <row r="3632" spans="1:7" x14ac:dyDescent="0.2">
      <c r="A3632" s="3" t="s">
        <v>1074</v>
      </c>
      <c r="B3632" s="4">
        <v>45107</v>
      </c>
      <c r="C3632" s="3" t="s">
        <v>1180</v>
      </c>
      <c r="D3632" s="3" t="s">
        <v>1204</v>
      </c>
      <c r="E3632" s="3" t="s">
        <v>1673</v>
      </c>
      <c r="F3632" s="3">
        <v>0</v>
      </c>
      <c r="G3632" s="3">
        <v>114370.5</v>
      </c>
    </row>
    <row r="3633" spans="1:7" x14ac:dyDescent="0.2">
      <c r="A3633" s="3" t="s">
        <v>1069</v>
      </c>
      <c r="B3633" s="4">
        <v>45107</v>
      </c>
      <c r="C3633" s="3" t="s">
        <v>1180</v>
      </c>
      <c r="D3633" s="3" t="s">
        <v>1199</v>
      </c>
      <c r="E3633" s="3" t="s">
        <v>1200</v>
      </c>
      <c r="F3633" s="3">
        <v>0</v>
      </c>
      <c r="G3633" s="3">
        <v>67400</v>
      </c>
    </row>
    <row r="3634" spans="1:7" x14ac:dyDescent="0.2">
      <c r="A3634" s="3" t="s">
        <v>1069</v>
      </c>
      <c r="B3634" s="4">
        <v>45107</v>
      </c>
      <c r="C3634" s="3" t="s">
        <v>1180</v>
      </c>
      <c r="D3634" s="3" t="s">
        <v>1486</v>
      </c>
      <c r="E3634" s="3" t="s">
        <v>1487</v>
      </c>
      <c r="F3634" s="3">
        <v>0</v>
      </c>
      <c r="G3634" s="3">
        <v>20600</v>
      </c>
    </row>
    <row r="3635" spans="1:7" x14ac:dyDescent="0.2">
      <c r="A3635" s="3" t="s">
        <v>1069</v>
      </c>
      <c r="B3635" s="4">
        <v>45107</v>
      </c>
      <c r="C3635" s="3" t="s">
        <v>1180</v>
      </c>
      <c r="D3635" s="3" t="s">
        <v>1220</v>
      </c>
      <c r="E3635" s="3" t="s">
        <v>1221</v>
      </c>
      <c r="F3635" s="3">
        <v>0</v>
      </c>
      <c r="G3635" s="3">
        <v>15175</v>
      </c>
    </row>
    <row r="3636" spans="1:7" x14ac:dyDescent="0.2">
      <c r="A3636" s="3" t="s">
        <v>1069</v>
      </c>
      <c r="B3636" s="4">
        <v>45107</v>
      </c>
      <c r="C3636" s="3" t="s">
        <v>1180</v>
      </c>
      <c r="D3636" s="3" t="s">
        <v>1498</v>
      </c>
      <c r="E3636" s="3" t="s">
        <v>1499</v>
      </c>
      <c r="F3636" s="3">
        <v>0</v>
      </c>
      <c r="G3636" s="3">
        <v>570856.07999999996</v>
      </c>
    </row>
    <row r="3637" spans="1:7" x14ac:dyDescent="0.2">
      <c r="A3637" s="3" t="s">
        <v>1069</v>
      </c>
      <c r="B3637" s="4">
        <v>45107</v>
      </c>
      <c r="C3637" s="3" t="s">
        <v>1180</v>
      </c>
      <c r="D3637" s="3" t="s">
        <v>1183</v>
      </c>
      <c r="E3637" s="3" t="s">
        <v>1184</v>
      </c>
      <c r="F3637" s="3">
        <v>0</v>
      </c>
      <c r="G3637" s="3">
        <v>47748851.509999998</v>
      </c>
    </row>
    <row r="3638" spans="1:7" x14ac:dyDescent="0.2">
      <c r="A3638" s="3" t="s">
        <v>1074</v>
      </c>
      <c r="B3638" s="4">
        <v>45107</v>
      </c>
      <c r="C3638" s="3" t="s">
        <v>1180</v>
      </c>
      <c r="D3638" s="3" t="s">
        <v>1183</v>
      </c>
      <c r="E3638" s="3" t="s">
        <v>1631</v>
      </c>
      <c r="F3638" s="3">
        <v>0</v>
      </c>
      <c r="G3638" s="3">
        <v>7187757.9199999999</v>
      </c>
    </row>
    <row r="3639" spans="1:7" x14ac:dyDescent="0.2">
      <c r="A3639" s="3" t="s">
        <v>1069</v>
      </c>
      <c r="B3639" s="4">
        <v>45107</v>
      </c>
      <c r="C3639" s="3" t="s">
        <v>1180</v>
      </c>
      <c r="D3639" s="3" t="s">
        <v>1222</v>
      </c>
      <c r="E3639" s="3" t="s">
        <v>1223</v>
      </c>
      <c r="F3639" s="3">
        <v>0</v>
      </c>
      <c r="G3639" s="3">
        <v>3850818.04</v>
      </c>
    </row>
    <row r="3640" spans="1:7" x14ac:dyDescent="0.2">
      <c r="A3640" s="3" t="s">
        <v>1074</v>
      </c>
      <c r="B3640" s="4">
        <v>45107</v>
      </c>
      <c r="C3640" s="3" t="s">
        <v>1180</v>
      </c>
      <c r="D3640" s="3" t="s">
        <v>1222</v>
      </c>
      <c r="E3640" s="3" t="s">
        <v>1664</v>
      </c>
      <c r="F3640" s="3">
        <v>0</v>
      </c>
      <c r="G3640" s="3">
        <v>1826086.96</v>
      </c>
    </row>
    <row r="3641" spans="1:7" x14ac:dyDescent="0.2">
      <c r="A3641" s="3" t="s">
        <v>1069</v>
      </c>
      <c r="B3641" s="4">
        <v>45107</v>
      </c>
      <c r="C3641" s="3" t="s">
        <v>1180</v>
      </c>
      <c r="D3641" s="3" t="s">
        <v>1235</v>
      </c>
      <c r="E3641" s="3" t="s">
        <v>1236</v>
      </c>
      <c r="F3641" s="3">
        <v>0</v>
      </c>
      <c r="G3641" s="3">
        <v>782608.07</v>
      </c>
    </row>
    <row r="3642" spans="1:7" x14ac:dyDescent="0.2">
      <c r="A3642" s="3" t="s">
        <v>1069</v>
      </c>
      <c r="B3642" s="4">
        <v>45107</v>
      </c>
      <c r="C3642" s="3" t="s">
        <v>1180</v>
      </c>
      <c r="D3642" s="3" t="s">
        <v>1206</v>
      </c>
      <c r="E3642" s="3" t="s">
        <v>1207</v>
      </c>
      <c r="F3642" s="3">
        <v>0</v>
      </c>
      <c r="G3642" s="3">
        <v>166550</v>
      </c>
    </row>
    <row r="3643" spans="1:7" x14ac:dyDescent="0.2">
      <c r="A3643" s="3" t="s">
        <v>1069</v>
      </c>
      <c r="B3643" s="4">
        <v>45107</v>
      </c>
      <c r="C3643" s="3" t="s">
        <v>1180</v>
      </c>
      <c r="D3643" s="3" t="s">
        <v>1208</v>
      </c>
      <c r="E3643" s="3" t="s">
        <v>1209</v>
      </c>
      <c r="F3643" s="3">
        <v>0</v>
      </c>
      <c r="G3643" s="3">
        <v>45000</v>
      </c>
    </row>
    <row r="3644" spans="1:7" x14ac:dyDescent="0.2">
      <c r="A3644" s="3" t="s">
        <v>1069</v>
      </c>
      <c r="B3644" s="4">
        <v>45107</v>
      </c>
      <c r="C3644" s="3" t="s">
        <v>1180</v>
      </c>
      <c r="D3644" s="3" t="s">
        <v>1259</v>
      </c>
      <c r="E3644" s="3" t="s">
        <v>1260</v>
      </c>
      <c r="F3644" s="3">
        <v>12000</v>
      </c>
      <c r="G3644" s="3">
        <v>149000</v>
      </c>
    </row>
    <row r="3645" spans="1:7" x14ac:dyDescent="0.2">
      <c r="A3645" s="3" t="s">
        <v>1074</v>
      </c>
      <c r="B3645" s="4">
        <v>45107</v>
      </c>
      <c r="C3645" s="3" t="s">
        <v>1180</v>
      </c>
      <c r="D3645" s="3" t="s">
        <v>1674</v>
      </c>
      <c r="E3645" s="3" t="s">
        <v>1675</v>
      </c>
      <c r="F3645" s="3">
        <v>71400</v>
      </c>
      <c r="G3645" s="3">
        <v>292753.14</v>
      </c>
    </row>
    <row r="3646" spans="1:7" x14ac:dyDescent="0.2">
      <c r="A3646" s="3" t="s">
        <v>1074</v>
      </c>
      <c r="B3646" s="4">
        <v>45107</v>
      </c>
      <c r="C3646" s="3" t="s">
        <v>1180</v>
      </c>
      <c r="D3646" s="3" t="s">
        <v>1578</v>
      </c>
      <c r="E3646" s="3" t="s">
        <v>1579</v>
      </c>
      <c r="F3646" s="3">
        <v>0</v>
      </c>
      <c r="G3646" s="3">
        <v>66190.11</v>
      </c>
    </row>
    <row r="3647" spans="1:7" x14ac:dyDescent="0.2">
      <c r="A3647" s="3" t="s">
        <v>1069</v>
      </c>
      <c r="B3647" s="4">
        <v>45107</v>
      </c>
      <c r="C3647" s="3" t="s">
        <v>1180</v>
      </c>
      <c r="D3647" s="3" t="s">
        <v>1265</v>
      </c>
      <c r="E3647" s="3" t="s">
        <v>1266</v>
      </c>
      <c r="F3647" s="3">
        <v>2430363.86</v>
      </c>
      <c r="G3647" s="3">
        <v>3252759.95</v>
      </c>
    </row>
    <row r="3648" spans="1:7" x14ac:dyDescent="0.2">
      <c r="A3648" s="3" t="s">
        <v>1074</v>
      </c>
      <c r="B3648" s="4">
        <v>45107</v>
      </c>
      <c r="C3648" s="3" t="s">
        <v>1180</v>
      </c>
      <c r="D3648" s="3" t="s">
        <v>1265</v>
      </c>
      <c r="E3648" s="3" t="s">
        <v>1518</v>
      </c>
      <c r="F3648" s="3">
        <v>209563.05</v>
      </c>
      <c r="G3648" s="3">
        <v>1523298.89</v>
      </c>
    </row>
    <row r="3649" spans="1:7" x14ac:dyDescent="0.2">
      <c r="A3649" s="3" t="s">
        <v>1069</v>
      </c>
      <c r="B3649" s="4">
        <v>45107</v>
      </c>
      <c r="C3649" s="3" t="s">
        <v>1180</v>
      </c>
      <c r="D3649" s="3" t="s">
        <v>1423</v>
      </c>
      <c r="E3649" s="3" t="s">
        <v>1424</v>
      </c>
      <c r="F3649" s="3">
        <v>0</v>
      </c>
      <c r="G3649" s="3">
        <v>622274.51</v>
      </c>
    </row>
    <row r="3650" spans="1:7" x14ac:dyDescent="0.2">
      <c r="A3650" s="3" t="s">
        <v>1074</v>
      </c>
      <c r="B3650" s="4">
        <v>45107</v>
      </c>
      <c r="C3650" s="3" t="s">
        <v>1180</v>
      </c>
      <c r="D3650" s="3" t="s">
        <v>1519</v>
      </c>
      <c r="E3650" s="3" t="s">
        <v>1551</v>
      </c>
      <c r="F3650" s="3">
        <v>0</v>
      </c>
      <c r="G3650" s="3">
        <v>76530</v>
      </c>
    </row>
    <row r="3651" spans="1:7" x14ac:dyDescent="0.2">
      <c r="A3651" s="3" t="s">
        <v>1069</v>
      </c>
      <c r="B3651" s="4">
        <v>45107</v>
      </c>
      <c r="C3651" s="3" t="s">
        <v>1180</v>
      </c>
      <c r="D3651" s="3" t="s">
        <v>1519</v>
      </c>
      <c r="E3651" s="3" t="s">
        <v>1520</v>
      </c>
      <c r="F3651" s="3">
        <v>0</v>
      </c>
      <c r="G3651" s="3">
        <v>985049.68</v>
      </c>
    </row>
    <row r="3652" spans="1:7" x14ac:dyDescent="0.2">
      <c r="A3652" s="3" t="s">
        <v>1074</v>
      </c>
      <c r="B3652" s="4">
        <v>45107</v>
      </c>
      <c r="C3652" s="3" t="s">
        <v>1180</v>
      </c>
      <c r="D3652" s="3" t="s">
        <v>1521</v>
      </c>
      <c r="E3652" s="3" t="s">
        <v>1522</v>
      </c>
      <c r="F3652" s="3">
        <v>0</v>
      </c>
      <c r="G3652" s="3">
        <v>18800</v>
      </c>
    </row>
    <row r="3653" spans="1:7" x14ac:dyDescent="0.2">
      <c r="A3653" s="3" t="s">
        <v>1074</v>
      </c>
      <c r="B3653" s="4">
        <v>45107</v>
      </c>
      <c r="C3653" s="3" t="s">
        <v>1180</v>
      </c>
      <c r="D3653" s="3" t="s">
        <v>1534</v>
      </c>
      <c r="E3653" s="3" t="s">
        <v>1535</v>
      </c>
      <c r="F3653" s="3">
        <v>0</v>
      </c>
      <c r="G3653" s="3">
        <v>684782.6</v>
      </c>
    </row>
    <row r="3654" spans="1:7" x14ac:dyDescent="0.2">
      <c r="A3654" s="3" t="s">
        <v>1074</v>
      </c>
      <c r="B3654" s="4">
        <v>45107</v>
      </c>
      <c r="C3654" s="3" t="s">
        <v>1180</v>
      </c>
      <c r="D3654" s="3" t="s">
        <v>1610</v>
      </c>
      <c r="E3654" s="3" t="s">
        <v>1611</v>
      </c>
      <c r="F3654" s="3">
        <v>0</v>
      </c>
      <c r="G3654" s="3">
        <v>1130099.94</v>
      </c>
    </row>
    <row r="3655" spans="1:7" x14ac:dyDescent="0.2">
      <c r="A3655" s="3" t="s">
        <v>1074</v>
      </c>
      <c r="B3655" s="4">
        <v>45107</v>
      </c>
      <c r="C3655" s="3" t="s">
        <v>1180</v>
      </c>
      <c r="D3655" s="3" t="s">
        <v>1653</v>
      </c>
      <c r="E3655" s="3" t="s">
        <v>1654</v>
      </c>
      <c r="F3655" s="3">
        <v>3889214.05</v>
      </c>
      <c r="G3655" s="3">
        <v>20129115.75</v>
      </c>
    </row>
    <row r="3656" spans="1:7" x14ac:dyDescent="0.2">
      <c r="A3656" s="3" t="s">
        <v>1069</v>
      </c>
      <c r="B3656" s="4">
        <v>45107</v>
      </c>
      <c r="C3656" s="3" t="s">
        <v>1180</v>
      </c>
      <c r="D3656" s="3" t="s">
        <v>1536</v>
      </c>
      <c r="E3656" s="3" t="s">
        <v>1537</v>
      </c>
      <c r="F3656" s="3">
        <v>200000</v>
      </c>
      <c r="G3656" s="3">
        <v>1974970.11</v>
      </c>
    </row>
    <row r="3657" spans="1:7" x14ac:dyDescent="0.2">
      <c r="A3657" s="3" t="s">
        <v>1069</v>
      </c>
      <c r="B3657" s="4">
        <v>45107</v>
      </c>
      <c r="C3657" s="3" t="s">
        <v>1180</v>
      </c>
      <c r="D3657" s="3" t="s">
        <v>1665</v>
      </c>
      <c r="E3657" s="3" t="s">
        <v>1666</v>
      </c>
      <c r="F3657" s="3">
        <v>0</v>
      </c>
      <c r="G3657" s="3">
        <v>1068455</v>
      </c>
    </row>
    <row r="3658" spans="1:7" x14ac:dyDescent="0.2">
      <c r="A3658" s="3" t="s">
        <v>1069</v>
      </c>
      <c r="B3658" s="4">
        <v>45107</v>
      </c>
      <c r="C3658" s="3" t="s">
        <v>1180</v>
      </c>
      <c r="D3658" s="3" t="s">
        <v>1655</v>
      </c>
      <c r="E3658" s="3" t="s">
        <v>1656</v>
      </c>
      <c r="F3658" s="3">
        <v>0</v>
      </c>
      <c r="G3658" s="3">
        <v>-24427668.440000001</v>
      </c>
    </row>
    <row r="3659" spans="1:7" x14ac:dyDescent="0.2">
      <c r="A3659" s="3" t="s">
        <v>1072</v>
      </c>
      <c r="B3659" s="4">
        <v>45107</v>
      </c>
      <c r="C3659" s="3" t="s">
        <v>1180</v>
      </c>
      <c r="D3659" s="3" t="s">
        <v>1425</v>
      </c>
      <c r="E3659" s="3" t="s">
        <v>1426</v>
      </c>
      <c r="F3659" s="3">
        <v>0</v>
      </c>
      <c r="G3659" s="3">
        <v>29600</v>
      </c>
    </row>
    <row r="3660" spans="1:7" x14ac:dyDescent="0.2">
      <c r="A3660" s="3" t="s">
        <v>1072</v>
      </c>
      <c r="B3660" s="4">
        <v>45107</v>
      </c>
      <c r="C3660" s="3" t="s">
        <v>1180</v>
      </c>
      <c r="D3660" s="3" t="s">
        <v>1427</v>
      </c>
      <c r="E3660" s="3" t="s">
        <v>1428</v>
      </c>
      <c r="F3660" s="3">
        <v>-447403.84</v>
      </c>
      <c r="G3660" s="3">
        <v>-7853667.5300000003</v>
      </c>
    </row>
    <row r="3661" spans="1:7" x14ac:dyDescent="0.2">
      <c r="A3661" s="3" t="s">
        <v>1069</v>
      </c>
      <c r="B3661" s="4">
        <v>45107</v>
      </c>
      <c r="C3661" s="3" t="s">
        <v>1180</v>
      </c>
      <c r="D3661" s="3" t="s">
        <v>1427</v>
      </c>
      <c r="E3661" s="3" t="s">
        <v>1428</v>
      </c>
      <c r="F3661" s="3">
        <v>0</v>
      </c>
      <c r="G3661" s="3">
        <v>345946.61</v>
      </c>
    </row>
    <row r="3662" spans="1:7" x14ac:dyDescent="0.2">
      <c r="A3662" s="3" t="s">
        <v>1069</v>
      </c>
      <c r="B3662" s="4">
        <v>45107</v>
      </c>
      <c r="C3662" s="3" t="s">
        <v>1180</v>
      </c>
      <c r="D3662" s="3" t="s">
        <v>1187</v>
      </c>
      <c r="E3662" s="3" t="s">
        <v>1188</v>
      </c>
      <c r="F3662" s="3">
        <v>792268.68</v>
      </c>
      <c r="G3662" s="3">
        <v>974954.27</v>
      </c>
    </row>
    <row r="3663" spans="1:7" x14ac:dyDescent="0.2">
      <c r="A3663" s="3" t="s">
        <v>1072</v>
      </c>
      <c r="B3663" s="4">
        <v>45107</v>
      </c>
      <c r="C3663" s="3" t="s">
        <v>1180</v>
      </c>
      <c r="D3663" s="3" t="s">
        <v>1187</v>
      </c>
      <c r="E3663" s="3" t="s">
        <v>1433</v>
      </c>
      <c r="F3663" s="3">
        <v>234494.48</v>
      </c>
      <c r="G3663" s="3">
        <v>734246.92</v>
      </c>
    </row>
    <row r="3664" spans="1:7" x14ac:dyDescent="0.2">
      <c r="A3664" s="3" t="s">
        <v>1072</v>
      </c>
      <c r="B3664" s="4">
        <v>45107</v>
      </c>
      <c r="C3664" s="3" t="s">
        <v>1180</v>
      </c>
      <c r="D3664" s="3" t="s">
        <v>1189</v>
      </c>
      <c r="E3664" s="3" t="s">
        <v>1434</v>
      </c>
      <c r="F3664" s="3">
        <v>-1188</v>
      </c>
      <c r="G3664" s="3">
        <v>-1188</v>
      </c>
    </row>
    <row r="3665" spans="1:7" x14ac:dyDescent="0.2">
      <c r="A3665" s="3" t="s">
        <v>1072</v>
      </c>
      <c r="B3665" s="4">
        <v>45107</v>
      </c>
      <c r="C3665" s="3" t="s">
        <v>1180</v>
      </c>
      <c r="D3665" s="3" t="s">
        <v>1435</v>
      </c>
      <c r="E3665" s="3" t="s">
        <v>1436</v>
      </c>
      <c r="F3665" s="3">
        <v>7.64</v>
      </c>
      <c r="G3665" s="3">
        <v>555.35</v>
      </c>
    </row>
    <row r="3666" spans="1:7" x14ac:dyDescent="0.2">
      <c r="A3666" s="3" t="s">
        <v>1069</v>
      </c>
      <c r="B3666" s="4">
        <v>45107</v>
      </c>
      <c r="C3666" s="3" t="s">
        <v>1180</v>
      </c>
      <c r="D3666" s="3" t="s">
        <v>1243</v>
      </c>
      <c r="E3666" s="3" t="s">
        <v>1244</v>
      </c>
      <c r="F3666" s="3">
        <v>5.44</v>
      </c>
      <c r="G3666" s="3">
        <v>848.85</v>
      </c>
    </row>
    <row r="3667" spans="1:7" x14ac:dyDescent="0.2">
      <c r="A3667" s="3" t="s">
        <v>1069</v>
      </c>
      <c r="B3667" s="4">
        <v>45107</v>
      </c>
      <c r="C3667" s="3" t="s">
        <v>1180</v>
      </c>
      <c r="D3667" s="3" t="s">
        <v>1245</v>
      </c>
      <c r="E3667" s="3" t="s">
        <v>1246</v>
      </c>
      <c r="F3667" s="3">
        <v>3791417.77</v>
      </c>
      <c r="G3667" s="3">
        <v>37421972.689999998</v>
      </c>
    </row>
    <row r="3668" spans="1:7" x14ac:dyDescent="0.2">
      <c r="A3668" s="3" t="s">
        <v>1072</v>
      </c>
      <c r="B3668" s="4">
        <v>45107</v>
      </c>
      <c r="C3668" s="3" t="s">
        <v>1175</v>
      </c>
      <c r="D3668" s="3" t="s">
        <v>1437</v>
      </c>
      <c r="E3668" s="3" t="s">
        <v>1438</v>
      </c>
      <c r="F3668" s="3">
        <v>-1.19</v>
      </c>
      <c r="G3668" s="3">
        <v>-29</v>
      </c>
    </row>
    <row r="3669" spans="1:7" x14ac:dyDescent="0.2">
      <c r="A3669" s="3" t="s">
        <v>1069</v>
      </c>
      <c r="B3669" s="4">
        <v>45107</v>
      </c>
      <c r="C3669" s="3" t="s">
        <v>1175</v>
      </c>
      <c r="D3669" s="3" t="s">
        <v>1437</v>
      </c>
      <c r="E3669" s="3" t="s">
        <v>1438</v>
      </c>
      <c r="F3669" s="3">
        <v>0</v>
      </c>
      <c r="G3669" s="3">
        <v>0.08</v>
      </c>
    </row>
    <row r="3670" spans="1:7" x14ac:dyDescent="0.2">
      <c r="A3670" s="3" t="s">
        <v>1072</v>
      </c>
      <c r="B3670" s="4">
        <v>45107</v>
      </c>
      <c r="C3670" s="3" t="s">
        <v>1175</v>
      </c>
      <c r="D3670" s="3" t="s">
        <v>1191</v>
      </c>
      <c r="E3670" s="3" t="s">
        <v>1192</v>
      </c>
      <c r="F3670" s="3">
        <v>882644.96</v>
      </c>
      <c r="G3670" s="3">
        <v>-1250593.58</v>
      </c>
    </row>
    <row r="3671" spans="1:7" x14ac:dyDescent="0.2">
      <c r="A3671" s="3" t="s">
        <v>1069</v>
      </c>
      <c r="B3671" s="4">
        <v>45107</v>
      </c>
      <c r="C3671" s="3" t="s">
        <v>1175</v>
      </c>
      <c r="D3671" s="3" t="s">
        <v>1191</v>
      </c>
      <c r="E3671" s="3" t="s">
        <v>1192</v>
      </c>
      <c r="F3671" s="3">
        <v>-11860657.33</v>
      </c>
      <c r="G3671" s="3">
        <v>-143375722.53</v>
      </c>
    </row>
    <row r="3672" spans="1:7" x14ac:dyDescent="0.2">
      <c r="A3672" s="3" t="s">
        <v>1074</v>
      </c>
      <c r="B3672" s="4">
        <v>45107</v>
      </c>
      <c r="C3672" s="3" t="s">
        <v>1175</v>
      </c>
      <c r="D3672" s="3" t="s">
        <v>1191</v>
      </c>
      <c r="E3672" s="3" t="s">
        <v>1192</v>
      </c>
      <c r="F3672" s="3">
        <v>-236256.97</v>
      </c>
      <c r="G3672" s="3">
        <v>400760.01</v>
      </c>
    </row>
    <row r="3673" spans="1:7" x14ac:dyDescent="0.2">
      <c r="A3673" s="3" t="s">
        <v>1072</v>
      </c>
      <c r="B3673" s="4">
        <v>45107</v>
      </c>
      <c r="C3673" s="3" t="s">
        <v>1175</v>
      </c>
      <c r="D3673" s="3" t="s">
        <v>1488</v>
      </c>
      <c r="E3673" s="3" t="s">
        <v>1489</v>
      </c>
      <c r="F3673" s="3">
        <v>0</v>
      </c>
      <c r="G3673" s="3">
        <v>1309</v>
      </c>
    </row>
    <row r="3674" spans="1:7" x14ac:dyDescent="0.2">
      <c r="A3674" s="3" t="s">
        <v>1072</v>
      </c>
      <c r="B3674" s="4">
        <v>45107</v>
      </c>
      <c r="C3674" s="3" t="s">
        <v>1175</v>
      </c>
      <c r="D3674" s="3" t="s">
        <v>1439</v>
      </c>
      <c r="E3674" s="3" t="s">
        <v>1440</v>
      </c>
      <c r="F3674" s="3">
        <v>257.5</v>
      </c>
      <c r="G3674" s="3">
        <v>0.02</v>
      </c>
    </row>
    <row r="3675" spans="1:7" x14ac:dyDescent="0.2">
      <c r="A3675" s="3" t="s">
        <v>1072</v>
      </c>
      <c r="B3675" s="4">
        <v>45107</v>
      </c>
      <c r="C3675" s="3" t="s">
        <v>1175</v>
      </c>
      <c r="D3675" s="3" t="s">
        <v>1441</v>
      </c>
      <c r="E3675" s="3" t="s">
        <v>1442</v>
      </c>
      <c r="F3675" s="3">
        <v>-6768.37</v>
      </c>
      <c r="G3675" s="3">
        <v>-92083.18</v>
      </c>
    </row>
    <row r="3676" spans="1:7" x14ac:dyDescent="0.2">
      <c r="A3676" s="3" t="s">
        <v>1072</v>
      </c>
      <c r="B3676" s="4">
        <v>45107</v>
      </c>
      <c r="C3676" s="3" t="s">
        <v>1175</v>
      </c>
      <c r="D3676" s="3" t="s">
        <v>1464</v>
      </c>
      <c r="E3676" s="3" t="s">
        <v>1465</v>
      </c>
      <c r="F3676" s="3">
        <v>0</v>
      </c>
      <c r="G3676" s="3">
        <v>-49413.95</v>
      </c>
    </row>
    <row r="3677" spans="1:7" x14ac:dyDescent="0.2">
      <c r="A3677" s="3" t="s">
        <v>1072</v>
      </c>
      <c r="B3677" s="4">
        <v>45107</v>
      </c>
      <c r="C3677" s="3" t="s">
        <v>1175</v>
      </c>
      <c r="D3677" s="3" t="s">
        <v>1193</v>
      </c>
      <c r="E3677" s="3" t="s">
        <v>1443</v>
      </c>
      <c r="F3677" s="3">
        <v>199764.2</v>
      </c>
      <c r="G3677" s="3">
        <v>-33133.35</v>
      </c>
    </row>
    <row r="3678" spans="1:7" x14ac:dyDescent="0.2">
      <c r="A3678" s="3" t="s">
        <v>1069</v>
      </c>
      <c r="B3678" s="4">
        <v>45107</v>
      </c>
      <c r="C3678" s="3" t="s">
        <v>1175</v>
      </c>
      <c r="D3678" s="3" t="s">
        <v>1193</v>
      </c>
      <c r="E3678" s="3" t="s">
        <v>1194</v>
      </c>
      <c r="F3678" s="3">
        <v>249048.42</v>
      </c>
      <c r="G3678" s="3">
        <v>-3908453.07</v>
      </c>
    </row>
    <row r="3679" spans="1:7" x14ac:dyDescent="0.2">
      <c r="A3679" s="3" t="s">
        <v>1074</v>
      </c>
      <c r="B3679" s="4">
        <v>45107</v>
      </c>
      <c r="C3679" s="3" t="s">
        <v>1175</v>
      </c>
      <c r="D3679" s="3" t="s">
        <v>1193</v>
      </c>
      <c r="E3679" s="3" t="s">
        <v>1194</v>
      </c>
      <c r="F3679" s="3">
        <v>748726.07</v>
      </c>
      <c r="G3679" s="3">
        <v>5124980.97</v>
      </c>
    </row>
    <row r="3680" spans="1:7" x14ac:dyDescent="0.2">
      <c r="A3680" s="3" t="s">
        <v>1069</v>
      </c>
      <c r="B3680" s="4">
        <v>45107</v>
      </c>
      <c r="C3680" s="3" t="s">
        <v>1175</v>
      </c>
      <c r="D3680" s="3" t="s">
        <v>1657</v>
      </c>
      <c r="E3680" s="3" t="s">
        <v>1658</v>
      </c>
      <c r="F3680" s="3">
        <v>0</v>
      </c>
      <c r="G3680" s="3">
        <v>59039.93</v>
      </c>
    </row>
    <row r="3681" spans="1:7" x14ac:dyDescent="0.2">
      <c r="A3681" s="3" t="s">
        <v>1069</v>
      </c>
      <c r="B3681" s="4">
        <v>45107</v>
      </c>
      <c r="C3681" s="3" t="s">
        <v>1175</v>
      </c>
      <c r="D3681" s="3" t="s">
        <v>1667</v>
      </c>
      <c r="E3681" s="3" t="s">
        <v>1668</v>
      </c>
      <c r="F3681" s="3">
        <v>0</v>
      </c>
      <c r="G3681" s="3">
        <v>1209624.06</v>
      </c>
    </row>
    <row r="3682" spans="1:7" x14ac:dyDescent="0.2">
      <c r="A3682" s="3" t="s">
        <v>1072</v>
      </c>
      <c r="B3682" s="4">
        <v>45107</v>
      </c>
      <c r="C3682" s="3" t="s">
        <v>1175</v>
      </c>
      <c r="D3682" s="3" t="s">
        <v>1444</v>
      </c>
      <c r="E3682" s="3" t="s">
        <v>1445</v>
      </c>
      <c r="F3682" s="3">
        <v>0</v>
      </c>
      <c r="G3682" s="3">
        <v>28029.81</v>
      </c>
    </row>
    <row r="3683" spans="1:7" x14ac:dyDescent="0.2">
      <c r="A3683" s="3" t="s">
        <v>1072</v>
      </c>
      <c r="B3683" s="4">
        <v>45107</v>
      </c>
      <c r="C3683" s="3" t="s">
        <v>1175</v>
      </c>
      <c r="D3683" s="3" t="s">
        <v>1446</v>
      </c>
      <c r="E3683" s="3" t="s">
        <v>1447</v>
      </c>
      <c r="F3683" s="3">
        <v>0</v>
      </c>
      <c r="G3683" s="3">
        <v>-254.99</v>
      </c>
    </row>
    <row r="3684" spans="1:7" x14ac:dyDescent="0.2">
      <c r="A3684" s="3" t="s">
        <v>1069</v>
      </c>
      <c r="B3684" s="4">
        <v>45138</v>
      </c>
      <c r="C3684" s="3" t="s">
        <v>1210</v>
      </c>
      <c r="D3684" s="3" t="s">
        <v>1552</v>
      </c>
      <c r="E3684" s="3" t="s">
        <v>1553</v>
      </c>
      <c r="F3684" s="3">
        <v>-1314691.31</v>
      </c>
      <c r="G3684" s="3">
        <v>-26915560.879999999</v>
      </c>
    </row>
    <row r="3685" spans="1:7" x14ac:dyDescent="0.2">
      <c r="A3685" s="3" t="s">
        <v>1069</v>
      </c>
      <c r="B3685" s="4">
        <v>45138</v>
      </c>
      <c r="C3685" s="3" t="s">
        <v>1210</v>
      </c>
      <c r="D3685" s="3" t="s">
        <v>1554</v>
      </c>
      <c r="E3685" s="3" t="s">
        <v>1555</v>
      </c>
      <c r="F3685" s="3">
        <v>-7741.94</v>
      </c>
      <c r="G3685" s="3">
        <v>-102388.85</v>
      </c>
    </row>
    <row r="3686" spans="1:7" x14ac:dyDescent="0.2">
      <c r="A3686" s="3" t="s">
        <v>1072</v>
      </c>
      <c r="B3686" s="4">
        <v>45138</v>
      </c>
      <c r="C3686" s="3" t="s">
        <v>1210</v>
      </c>
      <c r="D3686" s="3" t="s">
        <v>1448</v>
      </c>
      <c r="E3686" s="3" t="s">
        <v>1449</v>
      </c>
      <c r="F3686" s="3">
        <v>-3821545.56</v>
      </c>
      <c r="G3686" s="3">
        <v>-20682810.449999999</v>
      </c>
    </row>
    <row r="3687" spans="1:7" x14ac:dyDescent="0.2">
      <c r="A3687" s="3" t="s">
        <v>1072</v>
      </c>
      <c r="B3687" s="4">
        <v>45138</v>
      </c>
      <c r="C3687" s="3" t="s">
        <v>1210</v>
      </c>
      <c r="D3687" s="3" t="s">
        <v>1273</v>
      </c>
      <c r="E3687" s="3" t="s">
        <v>1274</v>
      </c>
      <c r="F3687" s="3">
        <v>0</v>
      </c>
      <c r="G3687" s="3">
        <v>3490.94</v>
      </c>
    </row>
    <row r="3688" spans="1:7" x14ac:dyDescent="0.2">
      <c r="A3688" s="3" t="s">
        <v>1069</v>
      </c>
      <c r="B3688" s="4">
        <v>45138</v>
      </c>
      <c r="C3688" s="3" t="s">
        <v>1210</v>
      </c>
      <c r="D3688" s="3" t="s">
        <v>1685</v>
      </c>
      <c r="E3688" s="3" t="s">
        <v>1686</v>
      </c>
      <c r="F3688" s="3">
        <v>-37500</v>
      </c>
      <c r="G3688" s="3">
        <v>-37500</v>
      </c>
    </row>
    <row r="3689" spans="1:7" x14ac:dyDescent="0.2">
      <c r="A3689" s="3" t="s">
        <v>1069</v>
      </c>
      <c r="B3689" s="4">
        <v>45138</v>
      </c>
      <c r="C3689" s="3" t="s">
        <v>1168</v>
      </c>
      <c r="D3689" s="3" t="s">
        <v>1687</v>
      </c>
      <c r="E3689" s="3" t="s">
        <v>1688</v>
      </c>
      <c r="F3689" s="3">
        <v>45300.43</v>
      </c>
      <c r="G3689" s="3">
        <v>45300.43</v>
      </c>
    </row>
    <row r="3690" spans="1:7" x14ac:dyDescent="0.2">
      <c r="A3690" s="3" t="s">
        <v>1074</v>
      </c>
      <c r="B3690" s="4">
        <v>45138</v>
      </c>
      <c r="C3690" s="3" t="s">
        <v>1168</v>
      </c>
      <c r="D3690" s="3" t="s">
        <v>1514</v>
      </c>
      <c r="E3690" s="3" t="s">
        <v>1676</v>
      </c>
      <c r="F3690" s="3">
        <v>44968.24</v>
      </c>
      <c r="G3690" s="3">
        <v>237142.94</v>
      </c>
    </row>
    <row r="3691" spans="1:7" x14ac:dyDescent="0.2">
      <c r="A3691" s="3" t="s">
        <v>1069</v>
      </c>
      <c r="B3691" s="4">
        <v>45138</v>
      </c>
      <c r="C3691" s="3" t="s">
        <v>1168</v>
      </c>
      <c r="D3691" s="3" t="s">
        <v>1531</v>
      </c>
      <c r="E3691" s="3" t="s">
        <v>1532</v>
      </c>
      <c r="F3691" s="3">
        <v>71053.34</v>
      </c>
      <c r="G3691" s="3">
        <v>648956.64</v>
      </c>
    </row>
    <row r="3692" spans="1:7" x14ac:dyDescent="0.2">
      <c r="A3692" s="3" t="s">
        <v>1074</v>
      </c>
      <c r="B3692" s="4">
        <v>45138</v>
      </c>
      <c r="C3692" s="3" t="s">
        <v>1168</v>
      </c>
      <c r="D3692" s="3" t="s">
        <v>1638</v>
      </c>
      <c r="E3692" s="3" t="s">
        <v>1677</v>
      </c>
      <c r="F3692" s="3">
        <v>0</v>
      </c>
      <c r="G3692" s="3">
        <v>14689.94</v>
      </c>
    </row>
    <row r="3693" spans="1:7" x14ac:dyDescent="0.2">
      <c r="A3693" s="3" t="s">
        <v>1069</v>
      </c>
      <c r="B3693" s="4">
        <v>45138</v>
      </c>
      <c r="C3693" s="3" t="s">
        <v>1168</v>
      </c>
      <c r="D3693" s="3" t="s">
        <v>1540</v>
      </c>
      <c r="E3693" s="3" t="s">
        <v>1541</v>
      </c>
      <c r="F3693" s="3">
        <v>3875.85</v>
      </c>
      <c r="G3693" s="3">
        <v>22036.77</v>
      </c>
    </row>
    <row r="3694" spans="1:7" x14ac:dyDescent="0.2">
      <c r="A3694" s="3" t="s">
        <v>1069</v>
      </c>
      <c r="B3694" s="4">
        <v>45138</v>
      </c>
      <c r="C3694" s="3" t="s">
        <v>1168</v>
      </c>
      <c r="D3694" s="3" t="s">
        <v>1556</v>
      </c>
      <c r="E3694" s="3" t="s">
        <v>1557</v>
      </c>
      <c r="F3694" s="3">
        <v>0</v>
      </c>
      <c r="G3694" s="3">
        <v>171178.44</v>
      </c>
    </row>
    <row r="3695" spans="1:7" x14ac:dyDescent="0.2">
      <c r="A3695" s="3" t="s">
        <v>1069</v>
      </c>
      <c r="B3695" s="4">
        <v>45138</v>
      </c>
      <c r="C3695" s="3" t="s">
        <v>1168</v>
      </c>
      <c r="D3695" s="3" t="s">
        <v>1558</v>
      </c>
      <c r="E3695" s="3" t="s">
        <v>1559</v>
      </c>
      <c r="F3695" s="3">
        <v>61865.22</v>
      </c>
      <c r="G3695" s="3">
        <v>1280913.05</v>
      </c>
    </row>
    <row r="3696" spans="1:7" x14ac:dyDescent="0.2">
      <c r="A3696" s="3" t="s">
        <v>1074</v>
      </c>
      <c r="B3696" s="4">
        <v>45138</v>
      </c>
      <c r="C3696" s="3" t="s">
        <v>1168</v>
      </c>
      <c r="D3696" s="3" t="s">
        <v>1640</v>
      </c>
      <c r="E3696" s="3" t="s">
        <v>1689</v>
      </c>
      <c r="F3696" s="3">
        <v>6212.85</v>
      </c>
      <c r="G3696" s="3">
        <v>6212.85</v>
      </c>
    </row>
    <row r="3697" spans="1:7" x14ac:dyDescent="0.2">
      <c r="A3697" s="3" t="s">
        <v>1069</v>
      </c>
      <c r="B3697" s="4">
        <v>45138</v>
      </c>
      <c r="C3697" s="3" t="s">
        <v>1168</v>
      </c>
      <c r="D3697" s="3" t="s">
        <v>1659</v>
      </c>
      <c r="E3697" s="3" t="s">
        <v>1660</v>
      </c>
      <c r="F3697" s="3">
        <v>0</v>
      </c>
      <c r="G3697" s="3">
        <v>250</v>
      </c>
    </row>
    <row r="3698" spans="1:7" x14ac:dyDescent="0.2">
      <c r="A3698" s="3" t="s">
        <v>1069</v>
      </c>
      <c r="B3698" s="4">
        <v>45138</v>
      </c>
      <c r="C3698" s="3" t="s">
        <v>1168</v>
      </c>
      <c r="D3698" s="3" t="s">
        <v>1678</v>
      </c>
      <c r="E3698" s="3" t="s">
        <v>1679</v>
      </c>
      <c r="F3698" s="3">
        <v>0</v>
      </c>
      <c r="G3698" s="3">
        <v>31600</v>
      </c>
    </row>
    <row r="3699" spans="1:7" x14ac:dyDescent="0.2">
      <c r="A3699" s="3" t="s">
        <v>1072</v>
      </c>
      <c r="B3699" s="4">
        <v>45138</v>
      </c>
      <c r="C3699" s="3" t="s">
        <v>1168</v>
      </c>
      <c r="D3699" s="3" t="s">
        <v>1661</v>
      </c>
      <c r="E3699" s="3" t="s">
        <v>1662</v>
      </c>
      <c r="F3699" s="3">
        <v>0</v>
      </c>
      <c r="G3699" s="3">
        <v>286.95999999999998</v>
      </c>
    </row>
    <row r="3700" spans="1:7" x14ac:dyDescent="0.2">
      <c r="A3700" s="3" t="s">
        <v>1072</v>
      </c>
      <c r="B3700" s="4">
        <v>45138</v>
      </c>
      <c r="C3700" s="3" t="s">
        <v>1168</v>
      </c>
      <c r="D3700" s="3" t="s">
        <v>1680</v>
      </c>
      <c r="E3700" s="3" t="s">
        <v>1681</v>
      </c>
      <c r="F3700" s="3">
        <v>0</v>
      </c>
      <c r="G3700" s="3">
        <v>86.96</v>
      </c>
    </row>
    <row r="3701" spans="1:7" x14ac:dyDescent="0.2">
      <c r="A3701" s="3" t="s">
        <v>1072</v>
      </c>
      <c r="B3701" s="4">
        <v>45138</v>
      </c>
      <c r="C3701" s="3" t="s">
        <v>1168</v>
      </c>
      <c r="D3701" s="3" t="s">
        <v>1669</v>
      </c>
      <c r="E3701" s="3" t="s">
        <v>1670</v>
      </c>
      <c r="F3701" s="3">
        <v>-19.48</v>
      </c>
      <c r="G3701" s="3">
        <v>23423.97</v>
      </c>
    </row>
    <row r="3702" spans="1:7" x14ac:dyDescent="0.2">
      <c r="A3702" s="3" t="s">
        <v>1072</v>
      </c>
      <c r="B3702" s="4">
        <v>45138</v>
      </c>
      <c r="C3702" s="3" t="s">
        <v>1168</v>
      </c>
      <c r="D3702" s="3" t="s">
        <v>1682</v>
      </c>
      <c r="E3702" s="3" t="s">
        <v>1683</v>
      </c>
      <c r="F3702" s="3">
        <v>11607.87</v>
      </c>
      <c r="G3702" s="3">
        <v>41620.910000000003</v>
      </c>
    </row>
    <row r="3703" spans="1:7" x14ac:dyDescent="0.2">
      <c r="A3703" s="3" t="s">
        <v>1072</v>
      </c>
      <c r="B3703" s="4">
        <v>45138</v>
      </c>
      <c r="C3703" s="3" t="s">
        <v>1168</v>
      </c>
      <c r="D3703" s="3" t="s">
        <v>1281</v>
      </c>
      <c r="E3703" s="3" t="s">
        <v>1282</v>
      </c>
      <c r="F3703" s="3">
        <v>12386.25</v>
      </c>
      <c r="G3703" s="3">
        <v>249930.65</v>
      </c>
    </row>
    <row r="3704" spans="1:7" x14ac:dyDescent="0.2">
      <c r="A3704" s="3" t="s">
        <v>1072</v>
      </c>
      <c r="B3704" s="4">
        <v>45138</v>
      </c>
      <c r="C3704" s="3" t="s">
        <v>1168</v>
      </c>
      <c r="D3704" s="3" t="s">
        <v>1283</v>
      </c>
      <c r="E3704" s="3" t="s">
        <v>1284</v>
      </c>
      <c r="F3704" s="3">
        <v>115757.06</v>
      </c>
      <c r="G3704" s="3">
        <v>147003.59</v>
      </c>
    </row>
    <row r="3705" spans="1:7" x14ac:dyDescent="0.2">
      <c r="A3705" s="3" t="s">
        <v>1072</v>
      </c>
      <c r="B3705" s="4">
        <v>45138</v>
      </c>
      <c r="C3705" s="3" t="s">
        <v>1168</v>
      </c>
      <c r="D3705" s="3" t="s">
        <v>1285</v>
      </c>
      <c r="E3705" s="3" t="s">
        <v>1286</v>
      </c>
      <c r="F3705" s="3">
        <v>0</v>
      </c>
      <c r="G3705" s="3">
        <v>2719.43</v>
      </c>
    </row>
    <row r="3706" spans="1:7" x14ac:dyDescent="0.2">
      <c r="A3706" s="3" t="s">
        <v>1072</v>
      </c>
      <c r="B3706" s="4">
        <v>45138</v>
      </c>
      <c r="C3706" s="3" t="s">
        <v>1168</v>
      </c>
      <c r="D3706" s="3" t="s">
        <v>1301</v>
      </c>
      <c r="E3706" s="3" t="s">
        <v>1302</v>
      </c>
      <c r="F3706" s="3">
        <v>0</v>
      </c>
      <c r="G3706" s="3">
        <v>760.87</v>
      </c>
    </row>
    <row r="3707" spans="1:7" x14ac:dyDescent="0.2">
      <c r="A3707" s="3" t="s">
        <v>1072</v>
      </c>
      <c r="B3707" s="4">
        <v>45138</v>
      </c>
      <c r="C3707" s="3" t="s">
        <v>1168</v>
      </c>
      <c r="D3707" s="3" t="s">
        <v>1305</v>
      </c>
      <c r="E3707" s="3" t="s">
        <v>1306</v>
      </c>
      <c r="F3707" s="3">
        <v>25461.52</v>
      </c>
      <c r="G3707" s="3">
        <v>25461.52</v>
      </c>
    </row>
    <row r="3708" spans="1:7" x14ac:dyDescent="0.2">
      <c r="A3708" s="3" t="s">
        <v>1072</v>
      </c>
      <c r="B3708" s="4">
        <v>45138</v>
      </c>
      <c r="C3708" s="3" t="s">
        <v>1168</v>
      </c>
      <c r="D3708" s="3" t="s">
        <v>1690</v>
      </c>
      <c r="E3708" s="3" t="s">
        <v>1691</v>
      </c>
      <c r="F3708" s="3">
        <v>468.7</v>
      </c>
      <c r="G3708" s="3">
        <v>468.7</v>
      </c>
    </row>
    <row r="3709" spans="1:7" x14ac:dyDescent="0.2">
      <c r="A3709" s="3" t="s">
        <v>1072</v>
      </c>
      <c r="B3709" s="4">
        <v>45138</v>
      </c>
      <c r="C3709" s="3" t="s">
        <v>1168</v>
      </c>
      <c r="D3709" s="3" t="s">
        <v>1315</v>
      </c>
      <c r="E3709" s="3" t="s">
        <v>1316</v>
      </c>
      <c r="F3709" s="3">
        <v>0</v>
      </c>
      <c r="G3709" s="3">
        <v>1129.57</v>
      </c>
    </row>
    <row r="3710" spans="1:7" x14ac:dyDescent="0.2">
      <c r="A3710" s="3" t="s">
        <v>1072</v>
      </c>
      <c r="B3710" s="4">
        <v>45138</v>
      </c>
      <c r="C3710" s="3" t="s">
        <v>1168</v>
      </c>
      <c r="D3710" s="3" t="s">
        <v>1450</v>
      </c>
      <c r="E3710" s="3" t="s">
        <v>1451</v>
      </c>
      <c r="F3710" s="3">
        <v>75191</v>
      </c>
      <c r="G3710" s="3">
        <v>1414785.59</v>
      </c>
    </row>
    <row r="3711" spans="1:7" x14ac:dyDescent="0.2">
      <c r="A3711" s="3" t="s">
        <v>1072</v>
      </c>
      <c r="B3711" s="4">
        <v>45138</v>
      </c>
      <c r="C3711" s="3" t="s">
        <v>1168</v>
      </c>
      <c r="D3711" s="3" t="s">
        <v>1452</v>
      </c>
      <c r="E3711" s="3" t="s">
        <v>1453</v>
      </c>
      <c r="F3711" s="3">
        <v>79865.240000000005</v>
      </c>
      <c r="G3711" s="3">
        <v>282519.63</v>
      </c>
    </row>
    <row r="3712" spans="1:7" x14ac:dyDescent="0.2">
      <c r="A3712" s="3" t="s">
        <v>1072</v>
      </c>
      <c r="B3712" s="4">
        <v>45138</v>
      </c>
      <c r="C3712" s="3" t="s">
        <v>1168</v>
      </c>
      <c r="D3712" s="3" t="s">
        <v>1454</v>
      </c>
      <c r="E3712" s="3" t="s">
        <v>1455</v>
      </c>
      <c r="F3712" s="3">
        <v>0</v>
      </c>
      <c r="G3712" s="3">
        <v>694.78</v>
      </c>
    </row>
    <row r="3713" spans="1:7" x14ac:dyDescent="0.2">
      <c r="A3713" s="3" t="s">
        <v>1072</v>
      </c>
      <c r="B3713" s="4">
        <v>45138</v>
      </c>
      <c r="C3713" s="3" t="s">
        <v>1168</v>
      </c>
      <c r="D3713" s="3" t="s">
        <v>1468</v>
      </c>
      <c r="E3713" s="3" t="s">
        <v>1469</v>
      </c>
      <c r="F3713" s="3">
        <v>1483.14</v>
      </c>
      <c r="G3713" s="3">
        <v>6492.72</v>
      </c>
    </row>
    <row r="3714" spans="1:7" x14ac:dyDescent="0.2">
      <c r="A3714" s="3" t="s">
        <v>1072</v>
      </c>
      <c r="B3714" s="4">
        <v>45138</v>
      </c>
      <c r="C3714" s="3" t="s">
        <v>1168</v>
      </c>
      <c r="D3714" s="3" t="s">
        <v>1620</v>
      </c>
      <c r="E3714" s="3" t="s">
        <v>1621</v>
      </c>
      <c r="F3714" s="3">
        <v>107.39</v>
      </c>
      <c r="G3714" s="3">
        <v>11238.24</v>
      </c>
    </row>
    <row r="3715" spans="1:7" x14ac:dyDescent="0.2">
      <c r="A3715" s="3" t="s">
        <v>1072</v>
      </c>
      <c r="B3715" s="4">
        <v>45138</v>
      </c>
      <c r="C3715" s="3" t="s">
        <v>1168</v>
      </c>
      <c r="D3715" s="3" t="s">
        <v>1542</v>
      </c>
      <c r="E3715" s="3" t="s">
        <v>1543</v>
      </c>
      <c r="F3715" s="3">
        <v>3233584.29</v>
      </c>
      <c r="G3715" s="3">
        <v>15388639.27</v>
      </c>
    </row>
    <row r="3716" spans="1:7" x14ac:dyDescent="0.2">
      <c r="A3716" s="3" t="s">
        <v>1072</v>
      </c>
      <c r="B3716" s="4">
        <v>45138</v>
      </c>
      <c r="C3716" s="3" t="s">
        <v>1168</v>
      </c>
      <c r="D3716" s="3" t="s">
        <v>1527</v>
      </c>
      <c r="E3716" s="3" t="s">
        <v>1528</v>
      </c>
      <c r="F3716" s="3">
        <v>24793.88</v>
      </c>
      <c r="G3716" s="3">
        <v>489055.96</v>
      </c>
    </row>
    <row r="3717" spans="1:7" x14ac:dyDescent="0.2">
      <c r="A3717" s="3" t="s">
        <v>1072</v>
      </c>
      <c r="B3717" s="4">
        <v>45138</v>
      </c>
      <c r="C3717" s="3" t="s">
        <v>1168</v>
      </c>
      <c r="D3717" s="3" t="s">
        <v>1560</v>
      </c>
      <c r="E3717" s="3" t="s">
        <v>1561</v>
      </c>
      <c r="F3717" s="3">
        <v>0</v>
      </c>
      <c r="G3717" s="3">
        <v>17292.48</v>
      </c>
    </row>
    <row r="3718" spans="1:7" x14ac:dyDescent="0.2">
      <c r="A3718" s="3" t="s">
        <v>1072</v>
      </c>
      <c r="B3718" s="4">
        <v>45138</v>
      </c>
      <c r="C3718" s="3" t="s">
        <v>1210</v>
      </c>
      <c r="D3718" s="3" t="s">
        <v>1509</v>
      </c>
      <c r="E3718" s="3" t="s">
        <v>1510</v>
      </c>
      <c r="F3718" s="3">
        <v>-99.6</v>
      </c>
      <c r="G3718" s="3">
        <v>-504.91</v>
      </c>
    </row>
    <row r="3719" spans="1:7" x14ac:dyDescent="0.2">
      <c r="A3719" s="3" t="s">
        <v>1072</v>
      </c>
      <c r="B3719" s="4">
        <v>45138</v>
      </c>
      <c r="C3719" s="3" t="s">
        <v>1210</v>
      </c>
      <c r="D3719" s="3" t="s">
        <v>1323</v>
      </c>
      <c r="E3719" s="3" t="s">
        <v>1324</v>
      </c>
      <c r="F3719" s="3">
        <v>-4.0199999999999996</v>
      </c>
      <c r="G3719" s="3">
        <v>-22.05</v>
      </c>
    </row>
    <row r="3720" spans="1:7" x14ac:dyDescent="0.2">
      <c r="A3720" s="3" t="s">
        <v>1069</v>
      </c>
      <c r="B3720" s="4">
        <v>45138</v>
      </c>
      <c r="C3720" s="3" t="s">
        <v>1210</v>
      </c>
      <c r="D3720" s="3" t="s">
        <v>1249</v>
      </c>
      <c r="E3720" s="3" t="s">
        <v>1250</v>
      </c>
      <c r="F3720" s="3">
        <v>-259590.93</v>
      </c>
      <c r="G3720" s="3">
        <v>-1206534.54</v>
      </c>
    </row>
    <row r="3721" spans="1:7" x14ac:dyDescent="0.2">
      <c r="A3721" s="3" t="s">
        <v>1069</v>
      </c>
      <c r="B3721" s="4">
        <v>45138</v>
      </c>
      <c r="C3721" s="3" t="s">
        <v>1168</v>
      </c>
      <c r="D3721" s="3" t="s">
        <v>1692</v>
      </c>
      <c r="E3721" s="3" t="s">
        <v>1149</v>
      </c>
      <c r="F3721" s="3">
        <v>13404.96</v>
      </c>
      <c r="G3721" s="3">
        <v>13404.96</v>
      </c>
    </row>
    <row r="3722" spans="1:7" x14ac:dyDescent="0.2">
      <c r="A3722" s="3" t="s">
        <v>1069</v>
      </c>
      <c r="B3722" s="4">
        <v>45138</v>
      </c>
      <c r="C3722" s="3" t="s">
        <v>1168</v>
      </c>
      <c r="D3722" s="3" t="s">
        <v>1226</v>
      </c>
      <c r="E3722" s="3" t="s">
        <v>1126</v>
      </c>
      <c r="F3722" s="3">
        <v>3050</v>
      </c>
      <c r="G3722" s="3">
        <v>3050</v>
      </c>
    </row>
    <row r="3723" spans="1:7" x14ac:dyDescent="0.2">
      <c r="A3723" s="3" t="s">
        <v>1072</v>
      </c>
      <c r="B3723" s="4">
        <v>45138</v>
      </c>
      <c r="C3723" s="3" t="s">
        <v>1168</v>
      </c>
      <c r="D3723" s="3" t="s">
        <v>1325</v>
      </c>
      <c r="E3723" s="3" t="s">
        <v>1073</v>
      </c>
      <c r="F3723" s="3">
        <v>700</v>
      </c>
      <c r="G3723" s="3">
        <v>1280</v>
      </c>
    </row>
    <row r="3724" spans="1:7" x14ac:dyDescent="0.2">
      <c r="A3724" s="3" t="s">
        <v>1072</v>
      </c>
      <c r="B3724" s="4">
        <v>45138</v>
      </c>
      <c r="C3724" s="3" t="s">
        <v>1168</v>
      </c>
      <c r="D3724" s="3" t="s">
        <v>1326</v>
      </c>
      <c r="E3724" s="3" t="s">
        <v>1088</v>
      </c>
      <c r="F3724" s="3">
        <v>0</v>
      </c>
      <c r="G3724" s="3">
        <v>11170</v>
      </c>
    </row>
    <row r="3725" spans="1:7" x14ac:dyDescent="0.2">
      <c r="A3725" s="3" t="s">
        <v>1072</v>
      </c>
      <c r="B3725" s="4">
        <v>45138</v>
      </c>
      <c r="C3725" s="3" t="s">
        <v>1168</v>
      </c>
      <c r="D3725" s="3" t="s">
        <v>1169</v>
      </c>
      <c r="E3725" s="3" t="s">
        <v>1079</v>
      </c>
      <c r="F3725" s="3">
        <v>3450</v>
      </c>
      <c r="G3725" s="3">
        <v>4650</v>
      </c>
    </row>
    <row r="3726" spans="1:7" x14ac:dyDescent="0.2">
      <c r="A3726" s="3" t="s">
        <v>1069</v>
      </c>
      <c r="B3726" s="4">
        <v>45138</v>
      </c>
      <c r="C3726" s="3" t="s">
        <v>1168</v>
      </c>
      <c r="D3726" s="3" t="s">
        <v>1169</v>
      </c>
      <c r="E3726" s="3" t="s">
        <v>1079</v>
      </c>
      <c r="F3726" s="3">
        <v>26226.57</v>
      </c>
      <c r="G3726" s="3">
        <v>163902.49</v>
      </c>
    </row>
    <row r="3727" spans="1:7" x14ac:dyDescent="0.2">
      <c r="A3727" s="3" t="s">
        <v>1074</v>
      </c>
      <c r="B3727" s="4">
        <v>45138</v>
      </c>
      <c r="C3727" s="3" t="s">
        <v>1168</v>
      </c>
      <c r="D3727" s="3" t="s">
        <v>1169</v>
      </c>
      <c r="E3727" s="3" t="s">
        <v>1079</v>
      </c>
      <c r="F3727" s="3">
        <v>7705</v>
      </c>
      <c r="G3727" s="3">
        <v>41176.47</v>
      </c>
    </row>
    <row r="3728" spans="1:7" x14ac:dyDescent="0.2">
      <c r="A3728" s="3" t="s">
        <v>1069</v>
      </c>
      <c r="B3728" s="4">
        <v>45138</v>
      </c>
      <c r="C3728" s="3" t="s">
        <v>1168</v>
      </c>
      <c r="D3728" s="3" t="s">
        <v>1261</v>
      </c>
      <c r="E3728" s="3" t="s">
        <v>1145</v>
      </c>
      <c r="F3728" s="3">
        <v>0</v>
      </c>
      <c r="G3728" s="3">
        <v>12480</v>
      </c>
    </row>
    <row r="3729" spans="1:7" x14ac:dyDescent="0.2">
      <c r="A3729" s="3" t="s">
        <v>1072</v>
      </c>
      <c r="B3729" s="4">
        <v>45138</v>
      </c>
      <c r="C3729" s="3" t="s">
        <v>1168</v>
      </c>
      <c r="D3729" s="3" t="s">
        <v>1648</v>
      </c>
      <c r="E3729" s="3" t="s">
        <v>1084</v>
      </c>
      <c r="F3729" s="3">
        <v>0</v>
      </c>
      <c r="G3729" s="3">
        <v>295</v>
      </c>
    </row>
    <row r="3730" spans="1:7" x14ac:dyDescent="0.2">
      <c r="A3730" s="3" t="s">
        <v>1074</v>
      </c>
      <c r="B3730" s="4">
        <v>45138</v>
      </c>
      <c r="C3730" s="3" t="s">
        <v>1168</v>
      </c>
      <c r="D3730" s="3" t="s">
        <v>1649</v>
      </c>
      <c r="E3730" s="3" t="s">
        <v>1117</v>
      </c>
      <c r="F3730" s="3">
        <v>4602</v>
      </c>
      <c r="G3730" s="3">
        <v>4602</v>
      </c>
    </row>
    <row r="3731" spans="1:7" x14ac:dyDescent="0.2">
      <c r="A3731" s="3" t="s">
        <v>1072</v>
      </c>
      <c r="B3731" s="4">
        <v>45138</v>
      </c>
      <c r="C3731" s="3" t="s">
        <v>1168</v>
      </c>
      <c r="D3731" s="3" t="s">
        <v>1339</v>
      </c>
      <c r="E3731" s="3" t="s">
        <v>1087</v>
      </c>
      <c r="F3731" s="3">
        <v>0</v>
      </c>
      <c r="G3731" s="3">
        <v>1597</v>
      </c>
    </row>
    <row r="3732" spans="1:7" x14ac:dyDescent="0.2">
      <c r="A3732" s="3" t="s">
        <v>1072</v>
      </c>
      <c r="B3732" s="4">
        <v>45138</v>
      </c>
      <c r="C3732" s="3" t="s">
        <v>1168</v>
      </c>
      <c r="D3732" s="3" t="s">
        <v>1195</v>
      </c>
      <c r="E3732" s="3" t="s">
        <v>1085</v>
      </c>
      <c r="F3732" s="3">
        <v>1918.65</v>
      </c>
      <c r="G3732" s="3">
        <v>9318.74</v>
      </c>
    </row>
    <row r="3733" spans="1:7" x14ac:dyDescent="0.2">
      <c r="A3733" s="3" t="s">
        <v>1069</v>
      </c>
      <c r="B3733" s="4">
        <v>45138</v>
      </c>
      <c r="C3733" s="3" t="s">
        <v>1168</v>
      </c>
      <c r="D3733" s="3" t="s">
        <v>1195</v>
      </c>
      <c r="E3733" s="3" t="s">
        <v>1085</v>
      </c>
      <c r="F3733" s="3">
        <v>644.16999999999996</v>
      </c>
      <c r="G3733" s="3">
        <v>2567.6799999999998</v>
      </c>
    </row>
    <row r="3734" spans="1:7" x14ac:dyDescent="0.2">
      <c r="A3734" s="3" t="s">
        <v>1072</v>
      </c>
      <c r="B3734" s="4">
        <v>45138</v>
      </c>
      <c r="C3734" s="3" t="s">
        <v>1168</v>
      </c>
      <c r="D3734" s="3" t="s">
        <v>1340</v>
      </c>
      <c r="E3734" s="3" t="s">
        <v>1141</v>
      </c>
      <c r="F3734" s="3">
        <v>78.239999999999995</v>
      </c>
      <c r="G3734" s="3">
        <v>511.89</v>
      </c>
    </row>
    <row r="3735" spans="1:7" x14ac:dyDescent="0.2">
      <c r="A3735" s="3" t="s">
        <v>1072</v>
      </c>
      <c r="B3735" s="4">
        <v>45138</v>
      </c>
      <c r="C3735" s="3" t="s">
        <v>1168</v>
      </c>
      <c r="D3735" s="3" t="s">
        <v>1342</v>
      </c>
      <c r="E3735" s="3" t="s">
        <v>1080</v>
      </c>
      <c r="F3735" s="3">
        <v>749</v>
      </c>
      <c r="G3735" s="3">
        <v>4352.6499999999996</v>
      </c>
    </row>
    <row r="3736" spans="1:7" x14ac:dyDescent="0.2">
      <c r="A3736" s="3" t="s">
        <v>1072</v>
      </c>
      <c r="B3736" s="4">
        <v>45138</v>
      </c>
      <c r="C3736" s="3" t="s">
        <v>1168</v>
      </c>
      <c r="D3736" s="3" t="s">
        <v>1504</v>
      </c>
      <c r="E3736" s="3" t="s">
        <v>1142</v>
      </c>
      <c r="F3736" s="3">
        <v>3130</v>
      </c>
      <c r="G3736" s="3">
        <v>18199</v>
      </c>
    </row>
    <row r="3737" spans="1:7" x14ac:dyDescent="0.2">
      <c r="A3737" s="3" t="s">
        <v>1069</v>
      </c>
      <c r="B3737" s="4">
        <v>45138</v>
      </c>
      <c r="C3737" s="3" t="s">
        <v>1168</v>
      </c>
      <c r="D3737" s="3" t="s">
        <v>1251</v>
      </c>
      <c r="E3737" s="3" t="s">
        <v>1095</v>
      </c>
      <c r="F3737" s="3">
        <v>121658</v>
      </c>
      <c r="G3737" s="3">
        <v>572500.56999999995</v>
      </c>
    </row>
    <row r="3738" spans="1:7" x14ac:dyDescent="0.2">
      <c r="A3738" s="3" t="s">
        <v>1072</v>
      </c>
      <c r="B3738" s="4">
        <v>45138</v>
      </c>
      <c r="C3738" s="3" t="s">
        <v>1168</v>
      </c>
      <c r="D3738" s="3" t="s">
        <v>1348</v>
      </c>
      <c r="E3738" s="3" t="s">
        <v>1095</v>
      </c>
      <c r="F3738" s="3">
        <v>119527</v>
      </c>
      <c r="G3738" s="3">
        <v>613049.69999999995</v>
      </c>
    </row>
    <row r="3739" spans="1:7" x14ac:dyDescent="0.2">
      <c r="A3739" s="3" t="s">
        <v>1069</v>
      </c>
      <c r="B3739" s="4">
        <v>45138</v>
      </c>
      <c r="C3739" s="3" t="s">
        <v>1168</v>
      </c>
      <c r="D3739" s="3" t="s">
        <v>1252</v>
      </c>
      <c r="E3739" s="3" t="s">
        <v>1120</v>
      </c>
      <c r="F3739" s="3">
        <v>0</v>
      </c>
      <c r="G3739" s="3">
        <v>12200</v>
      </c>
    </row>
    <row r="3740" spans="1:7" x14ac:dyDescent="0.2">
      <c r="A3740" s="3" t="s">
        <v>1074</v>
      </c>
      <c r="B3740" s="4">
        <v>45138</v>
      </c>
      <c r="C3740" s="3" t="s">
        <v>1168</v>
      </c>
      <c r="D3740" s="3" t="s">
        <v>1252</v>
      </c>
      <c r="E3740" s="3" t="s">
        <v>1120</v>
      </c>
      <c r="F3740" s="3">
        <v>7250</v>
      </c>
      <c r="G3740" s="3">
        <v>14500</v>
      </c>
    </row>
    <row r="3741" spans="1:7" x14ac:dyDescent="0.2">
      <c r="A3741" s="3" t="s">
        <v>1072</v>
      </c>
      <c r="B3741" s="4">
        <v>45138</v>
      </c>
      <c r="C3741" s="3" t="s">
        <v>1168</v>
      </c>
      <c r="D3741" s="3" t="s">
        <v>1349</v>
      </c>
      <c r="E3741" s="3" t="s">
        <v>1089</v>
      </c>
      <c r="F3741" s="3">
        <v>0</v>
      </c>
      <c r="G3741" s="3">
        <v>86.09</v>
      </c>
    </row>
    <row r="3742" spans="1:7" x14ac:dyDescent="0.2">
      <c r="A3742" s="3" t="s">
        <v>1072</v>
      </c>
      <c r="B3742" s="4">
        <v>45138</v>
      </c>
      <c r="C3742" s="3" t="s">
        <v>1168</v>
      </c>
      <c r="D3742" s="3" t="s">
        <v>1350</v>
      </c>
      <c r="E3742" s="3" t="s">
        <v>1115</v>
      </c>
      <c r="F3742" s="3">
        <v>3323.92</v>
      </c>
      <c r="G3742" s="3">
        <v>16619.5</v>
      </c>
    </row>
    <row r="3743" spans="1:7" x14ac:dyDescent="0.2">
      <c r="A3743" s="3" t="s">
        <v>1072</v>
      </c>
      <c r="B3743" s="4">
        <v>45138</v>
      </c>
      <c r="C3743" s="3" t="s">
        <v>1168</v>
      </c>
      <c r="D3743" s="3" t="s">
        <v>1351</v>
      </c>
      <c r="E3743" s="3" t="s">
        <v>1096</v>
      </c>
      <c r="F3743" s="3">
        <v>1188.71</v>
      </c>
      <c r="G3743" s="3">
        <v>3952.77</v>
      </c>
    </row>
    <row r="3744" spans="1:7" x14ac:dyDescent="0.2">
      <c r="A3744" s="3" t="s">
        <v>1072</v>
      </c>
      <c r="B3744" s="4">
        <v>45138</v>
      </c>
      <c r="C3744" s="3" t="s">
        <v>1168</v>
      </c>
      <c r="D3744" s="3" t="s">
        <v>1474</v>
      </c>
      <c r="E3744" s="3" t="s">
        <v>1114</v>
      </c>
      <c r="F3744" s="3">
        <v>547.69000000000005</v>
      </c>
      <c r="G3744" s="3">
        <v>2738.39</v>
      </c>
    </row>
    <row r="3745" spans="1:7" x14ac:dyDescent="0.2">
      <c r="A3745" s="3" t="s">
        <v>1069</v>
      </c>
      <c r="B3745" s="4">
        <v>45138</v>
      </c>
      <c r="C3745" s="3" t="s">
        <v>1168</v>
      </c>
      <c r="D3745" s="3" t="s">
        <v>1229</v>
      </c>
      <c r="E3745" s="3" t="s">
        <v>1136</v>
      </c>
      <c r="F3745" s="3">
        <v>0</v>
      </c>
      <c r="G3745" s="3">
        <v>11263.46</v>
      </c>
    </row>
    <row r="3746" spans="1:7" x14ac:dyDescent="0.2">
      <c r="A3746" s="3" t="s">
        <v>1072</v>
      </c>
      <c r="B3746" s="4">
        <v>45138</v>
      </c>
      <c r="C3746" s="3" t="s">
        <v>1168</v>
      </c>
      <c r="D3746" s="3" t="s">
        <v>1229</v>
      </c>
      <c r="E3746" s="3" t="s">
        <v>1106</v>
      </c>
      <c r="F3746" s="3">
        <v>7214.2</v>
      </c>
      <c r="G3746" s="3">
        <v>32459.66</v>
      </c>
    </row>
    <row r="3747" spans="1:7" x14ac:dyDescent="0.2">
      <c r="A3747" s="3" t="s">
        <v>1069</v>
      </c>
      <c r="B3747" s="4">
        <v>45138</v>
      </c>
      <c r="C3747" s="3" t="s">
        <v>1168</v>
      </c>
      <c r="D3747" s="3" t="s">
        <v>1230</v>
      </c>
      <c r="E3747" s="3" t="s">
        <v>1109</v>
      </c>
      <c r="F3747" s="3">
        <v>0</v>
      </c>
      <c r="G3747" s="3">
        <v>43879.43</v>
      </c>
    </row>
    <row r="3748" spans="1:7" x14ac:dyDescent="0.2">
      <c r="A3748" s="3" t="s">
        <v>1069</v>
      </c>
      <c r="B3748" s="4">
        <v>45138</v>
      </c>
      <c r="C3748" s="3" t="s">
        <v>1168</v>
      </c>
      <c r="D3748" s="3" t="s">
        <v>1564</v>
      </c>
      <c r="E3748" s="3" t="s">
        <v>1101</v>
      </c>
      <c r="F3748" s="3">
        <v>0</v>
      </c>
      <c r="G3748" s="3">
        <v>10690.2</v>
      </c>
    </row>
    <row r="3749" spans="1:7" x14ac:dyDescent="0.2">
      <c r="A3749" s="3" t="s">
        <v>1069</v>
      </c>
      <c r="B3749" s="4">
        <v>45138</v>
      </c>
      <c r="C3749" s="3" t="s">
        <v>1168</v>
      </c>
      <c r="D3749" s="3" t="s">
        <v>1196</v>
      </c>
      <c r="E3749" s="3" t="s">
        <v>1131</v>
      </c>
      <c r="F3749" s="3">
        <v>0</v>
      </c>
      <c r="G3749" s="3">
        <v>39.47</v>
      </c>
    </row>
    <row r="3750" spans="1:7" x14ac:dyDescent="0.2">
      <c r="A3750" s="3" t="s">
        <v>1069</v>
      </c>
      <c r="B3750" s="4">
        <v>45138</v>
      </c>
      <c r="C3750" s="3" t="s">
        <v>1168</v>
      </c>
      <c r="D3750" s="3" t="s">
        <v>1663</v>
      </c>
      <c r="E3750" s="3" t="s">
        <v>1082</v>
      </c>
      <c r="F3750" s="3">
        <v>0</v>
      </c>
      <c r="G3750" s="3">
        <v>199.99</v>
      </c>
    </row>
    <row r="3751" spans="1:7" x14ac:dyDescent="0.2">
      <c r="A3751" s="3" t="s">
        <v>1069</v>
      </c>
      <c r="B3751" s="4">
        <v>45138</v>
      </c>
      <c r="C3751" s="3" t="s">
        <v>1168</v>
      </c>
      <c r="D3751" s="3" t="s">
        <v>1544</v>
      </c>
      <c r="E3751" s="3" t="s">
        <v>1159</v>
      </c>
      <c r="F3751" s="3">
        <v>10459.969999999999</v>
      </c>
      <c r="G3751" s="3">
        <v>37375.86</v>
      </c>
    </row>
    <row r="3752" spans="1:7" x14ac:dyDescent="0.2">
      <c r="A3752" s="3" t="s">
        <v>1072</v>
      </c>
      <c r="B3752" s="4">
        <v>45138</v>
      </c>
      <c r="C3752" s="3" t="s">
        <v>1168</v>
      </c>
      <c r="D3752" s="3" t="s">
        <v>1354</v>
      </c>
      <c r="E3752" s="3" t="s">
        <v>1078</v>
      </c>
      <c r="F3752" s="3">
        <v>2063.15</v>
      </c>
      <c r="G3752" s="3">
        <v>9887.42</v>
      </c>
    </row>
    <row r="3753" spans="1:7" x14ac:dyDescent="0.2">
      <c r="A3753" s="3" t="s">
        <v>1069</v>
      </c>
      <c r="B3753" s="4">
        <v>45138</v>
      </c>
      <c r="C3753" s="3" t="s">
        <v>1168</v>
      </c>
      <c r="D3753" s="3" t="s">
        <v>1456</v>
      </c>
      <c r="E3753" s="3" t="s">
        <v>1457</v>
      </c>
      <c r="F3753" s="3">
        <v>0</v>
      </c>
      <c r="G3753" s="3">
        <v>-533.79999999999995</v>
      </c>
    </row>
    <row r="3754" spans="1:7" x14ac:dyDescent="0.2">
      <c r="A3754" s="3" t="s">
        <v>1069</v>
      </c>
      <c r="B3754" s="4">
        <v>45138</v>
      </c>
      <c r="C3754" s="3" t="s">
        <v>1168</v>
      </c>
      <c r="D3754" s="3" t="s">
        <v>1565</v>
      </c>
      <c r="E3754" s="3" t="s">
        <v>1566</v>
      </c>
      <c r="F3754" s="3">
        <v>15410.95</v>
      </c>
      <c r="G3754" s="3">
        <v>167246.26</v>
      </c>
    </row>
    <row r="3755" spans="1:7" x14ac:dyDescent="0.2">
      <c r="A3755" s="3" t="s">
        <v>1069</v>
      </c>
      <c r="B3755" s="4">
        <v>45138</v>
      </c>
      <c r="C3755" s="3" t="s">
        <v>1168</v>
      </c>
      <c r="D3755" s="3" t="s">
        <v>1567</v>
      </c>
      <c r="E3755" s="3" t="s">
        <v>1568</v>
      </c>
      <c r="F3755" s="3">
        <v>11041.1</v>
      </c>
      <c r="G3755" s="3">
        <v>72942.48</v>
      </c>
    </row>
    <row r="3756" spans="1:7" x14ac:dyDescent="0.2">
      <c r="A3756" s="3" t="s">
        <v>1069</v>
      </c>
      <c r="B3756" s="4">
        <v>45138</v>
      </c>
      <c r="C3756" s="3" t="s">
        <v>1168</v>
      </c>
      <c r="D3756" s="3" t="s">
        <v>1569</v>
      </c>
      <c r="E3756" s="3" t="s">
        <v>1570</v>
      </c>
      <c r="F3756" s="3">
        <v>4808.22</v>
      </c>
      <c r="G3756" s="3">
        <v>44124.67</v>
      </c>
    </row>
    <row r="3757" spans="1:7" x14ac:dyDescent="0.2">
      <c r="A3757" s="3" t="s">
        <v>1069</v>
      </c>
      <c r="B3757" s="4">
        <v>45138</v>
      </c>
      <c r="C3757" s="3" t="s">
        <v>1168</v>
      </c>
      <c r="D3757" s="3" t="s">
        <v>1608</v>
      </c>
      <c r="E3757" s="3" t="s">
        <v>1609</v>
      </c>
      <c r="F3757" s="3">
        <v>0</v>
      </c>
      <c r="G3757" s="3">
        <v>11678.33</v>
      </c>
    </row>
    <row r="3758" spans="1:7" x14ac:dyDescent="0.2">
      <c r="A3758" s="3" t="s">
        <v>1069</v>
      </c>
      <c r="B3758" s="4">
        <v>45138</v>
      </c>
      <c r="C3758" s="3" t="s">
        <v>1168</v>
      </c>
      <c r="D3758" s="3" t="s">
        <v>1627</v>
      </c>
      <c r="E3758" s="3" t="s">
        <v>1628</v>
      </c>
      <c r="F3758" s="3">
        <v>821.92</v>
      </c>
      <c r="G3758" s="3">
        <v>1252.24</v>
      </c>
    </row>
    <row r="3759" spans="1:7" x14ac:dyDescent="0.2">
      <c r="A3759" s="3" t="s">
        <v>1069</v>
      </c>
      <c r="B3759" s="4">
        <v>45138</v>
      </c>
      <c r="C3759" s="3" t="s">
        <v>1168</v>
      </c>
      <c r="D3759" s="3" t="s">
        <v>1693</v>
      </c>
      <c r="E3759" s="3" t="s">
        <v>1694</v>
      </c>
      <c r="F3759" s="3">
        <v>5515.07</v>
      </c>
      <c r="G3759" s="3">
        <v>5515.07</v>
      </c>
    </row>
    <row r="3760" spans="1:7" x14ac:dyDescent="0.2">
      <c r="A3760" s="3" t="s">
        <v>1069</v>
      </c>
      <c r="B3760" s="4">
        <v>45138</v>
      </c>
      <c r="C3760" s="3" t="s">
        <v>1168</v>
      </c>
      <c r="D3760" s="3" t="s">
        <v>1695</v>
      </c>
      <c r="E3760" s="3" t="s">
        <v>1696</v>
      </c>
      <c r="F3760" s="3">
        <v>591.78</v>
      </c>
      <c r="G3760" s="3">
        <v>591.78</v>
      </c>
    </row>
    <row r="3761" spans="1:7" x14ac:dyDescent="0.2">
      <c r="A3761" s="3" t="s">
        <v>1069</v>
      </c>
      <c r="B3761" s="4">
        <v>45138</v>
      </c>
      <c r="C3761" s="3" t="s">
        <v>1168</v>
      </c>
      <c r="D3761" s="3" t="s">
        <v>1571</v>
      </c>
      <c r="E3761" s="3" t="s">
        <v>1572</v>
      </c>
      <c r="F3761" s="3">
        <v>0</v>
      </c>
      <c r="G3761" s="3">
        <v>400367.2</v>
      </c>
    </row>
    <row r="3762" spans="1:7" x14ac:dyDescent="0.2">
      <c r="A3762" s="3" t="s">
        <v>1069</v>
      </c>
      <c r="B3762" s="4">
        <v>45138</v>
      </c>
      <c r="C3762" s="3" t="s">
        <v>1168</v>
      </c>
      <c r="D3762" s="3" t="s">
        <v>1573</v>
      </c>
      <c r="E3762" s="3" t="s">
        <v>1574</v>
      </c>
      <c r="F3762" s="3">
        <v>26630.13</v>
      </c>
      <c r="G3762" s="3">
        <v>333349.31</v>
      </c>
    </row>
    <row r="3763" spans="1:7" x14ac:dyDescent="0.2">
      <c r="A3763" s="3" t="s">
        <v>1069</v>
      </c>
      <c r="B3763" s="4">
        <v>45138</v>
      </c>
      <c r="C3763" s="3" t="s">
        <v>1168</v>
      </c>
      <c r="D3763" s="3" t="s">
        <v>1629</v>
      </c>
      <c r="E3763" s="3" t="s">
        <v>1630</v>
      </c>
      <c r="F3763" s="3">
        <v>0</v>
      </c>
      <c r="G3763" s="3">
        <v>47473.98</v>
      </c>
    </row>
    <row r="3764" spans="1:7" x14ac:dyDescent="0.2">
      <c r="A3764" s="3" t="s">
        <v>1069</v>
      </c>
      <c r="B3764" s="4">
        <v>45138</v>
      </c>
      <c r="C3764" s="3" t="s">
        <v>1168</v>
      </c>
      <c r="D3764" s="3" t="s">
        <v>1575</v>
      </c>
      <c r="E3764" s="3" t="s">
        <v>1576</v>
      </c>
      <c r="F3764" s="3">
        <v>411780.83</v>
      </c>
      <c r="G3764" s="3">
        <v>3197167.68</v>
      </c>
    </row>
    <row r="3765" spans="1:7" x14ac:dyDescent="0.2">
      <c r="A3765" s="3" t="s">
        <v>1072</v>
      </c>
      <c r="B3765" s="4">
        <v>45138</v>
      </c>
      <c r="C3765" s="3" t="s">
        <v>1168</v>
      </c>
      <c r="D3765" s="3" t="s">
        <v>1671</v>
      </c>
      <c r="E3765" s="3" t="s">
        <v>1119</v>
      </c>
      <c r="F3765" s="3">
        <v>0</v>
      </c>
      <c r="G3765" s="3">
        <v>5202.88</v>
      </c>
    </row>
    <row r="3766" spans="1:7" x14ac:dyDescent="0.2">
      <c r="A3766" s="3" t="s">
        <v>1069</v>
      </c>
      <c r="B3766" s="4">
        <v>45138</v>
      </c>
      <c r="C3766" s="3" t="s">
        <v>1168</v>
      </c>
      <c r="D3766" s="3" t="s">
        <v>1684</v>
      </c>
      <c r="E3766" s="3" t="s">
        <v>1102</v>
      </c>
      <c r="F3766" s="3">
        <v>5282.68</v>
      </c>
      <c r="G3766" s="3">
        <v>76865.83</v>
      </c>
    </row>
    <row r="3767" spans="1:7" x14ac:dyDescent="0.2">
      <c r="A3767" s="3" t="s">
        <v>1074</v>
      </c>
      <c r="B3767" s="4">
        <v>45138</v>
      </c>
      <c r="C3767" s="3" t="s">
        <v>1168</v>
      </c>
      <c r="D3767" s="3" t="s">
        <v>1549</v>
      </c>
      <c r="E3767" s="3" t="s">
        <v>1154</v>
      </c>
      <c r="F3767" s="3">
        <v>0</v>
      </c>
      <c r="G3767" s="3">
        <v>350000</v>
      </c>
    </row>
    <row r="3768" spans="1:7" x14ac:dyDescent="0.2">
      <c r="A3768" s="3" t="s">
        <v>1069</v>
      </c>
      <c r="B3768" s="4">
        <v>45138</v>
      </c>
      <c r="C3768" s="3" t="s">
        <v>1168</v>
      </c>
      <c r="D3768" s="3" t="s">
        <v>1253</v>
      </c>
      <c r="E3768" s="3" t="s">
        <v>1103</v>
      </c>
      <c r="F3768" s="3">
        <v>15190</v>
      </c>
      <c r="G3768" s="3">
        <v>44552.79</v>
      </c>
    </row>
    <row r="3769" spans="1:7" x14ac:dyDescent="0.2">
      <c r="A3769" s="3" t="s">
        <v>1072</v>
      </c>
      <c r="B3769" s="4">
        <v>45138</v>
      </c>
      <c r="C3769" s="3" t="s">
        <v>1168</v>
      </c>
      <c r="D3769" s="3" t="s">
        <v>1672</v>
      </c>
      <c r="E3769" s="3" t="s">
        <v>1097</v>
      </c>
      <c r="F3769" s="3">
        <v>0</v>
      </c>
      <c r="G3769" s="3">
        <v>362</v>
      </c>
    </row>
    <row r="3770" spans="1:7" x14ac:dyDescent="0.2">
      <c r="A3770" s="3" t="s">
        <v>1069</v>
      </c>
      <c r="B3770" s="4">
        <v>45138</v>
      </c>
      <c r="C3770" s="3" t="s">
        <v>1168</v>
      </c>
      <c r="D3770" s="3" t="s">
        <v>1672</v>
      </c>
      <c r="E3770" s="3" t="s">
        <v>1097</v>
      </c>
      <c r="F3770" s="3">
        <v>20</v>
      </c>
      <c r="G3770" s="3">
        <v>20</v>
      </c>
    </row>
    <row r="3771" spans="1:7" x14ac:dyDescent="0.2">
      <c r="A3771" s="3" t="s">
        <v>1072</v>
      </c>
      <c r="B3771" s="4">
        <v>45138</v>
      </c>
      <c r="C3771" s="3" t="s">
        <v>1168</v>
      </c>
      <c r="D3771" s="3" t="s">
        <v>1357</v>
      </c>
      <c r="E3771" s="3" t="s">
        <v>1157</v>
      </c>
      <c r="F3771" s="3">
        <v>4022.51</v>
      </c>
      <c r="G3771" s="3">
        <v>24804.03</v>
      </c>
    </row>
    <row r="3772" spans="1:7" x14ac:dyDescent="0.2">
      <c r="A3772" s="3" t="s">
        <v>1072</v>
      </c>
      <c r="B3772" s="4">
        <v>45138</v>
      </c>
      <c r="C3772" s="3" t="s">
        <v>1168</v>
      </c>
      <c r="D3772" s="3" t="s">
        <v>1359</v>
      </c>
      <c r="E3772" s="3" t="s">
        <v>1086</v>
      </c>
      <c r="F3772" s="3">
        <v>0</v>
      </c>
      <c r="G3772" s="3">
        <v>1069</v>
      </c>
    </row>
    <row r="3773" spans="1:7" x14ac:dyDescent="0.2">
      <c r="A3773" s="3" t="s">
        <v>1072</v>
      </c>
      <c r="B3773" s="4">
        <v>45138</v>
      </c>
      <c r="C3773" s="3" t="s">
        <v>1168</v>
      </c>
      <c r="D3773" s="3" t="s">
        <v>1201</v>
      </c>
      <c r="E3773" s="3" t="s">
        <v>1112</v>
      </c>
      <c r="F3773" s="3">
        <v>5699.68</v>
      </c>
      <c r="G3773" s="3">
        <v>15690.7</v>
      </c>
    </row>
    <row r="3774" spans="1:7" x14ac:dyDescent="0.2">
      <c r="A3774" s="3" t="s">
        <v>1072</v>
      </c>
      <c r="B3774" s="4">
        <v>45138</v>
      </c>
      <c r="C3774" s="3" t="s">
        <v>1168</v>
      </c>
      <c r="D3774" s="3" t="s">
        <v>1360</v>
      </c>
      <c r="E3774" s="3" t="s">
        <v>1098</v>
      </c>
      <c r="F3774" s="3">
        <v>1459.35</v>
      </c>
      <c r="G3774" s="3">
        <v>7508.5</v>
      </c>
    </row>
    <row r="3775" spans="1:7" x14ac:dyDescent="0.2">
      <c r="A3775" s="3" t="s">
        <v>1072</v>
      </c>
      <c r="B3775" s="4">
        <v>45138</v>
      </c>
      <c r="C3775" s="3" t="s">
        <v>1168</v>
      </c>
      <c r="D3775" s="3" t="s">
        <v>1361</v>
      </c>
      <c r="E3775" s="3" t="s">
        <v>1121</v>
      </c>
      <c r="F3775" s="3">
        <v>29600</v>
      </c>
      <c r="G3775" s="3">
        <v>148000</v>
      </c>
    </row>
    <row r="3776" spans="1:7" x14ac:dyDescent="0.2">
      <c r="A3776" s="3" t="s">
        <v>1072</v>
      </c>
      <c r="B3776" s="4">
        <v>45138</v>
      </c>
      <c r="C3776" s="3" t="s">
        <v>1168</v>
      </c>
      <c r="D3776" s="3" t="s">
        <v>1231</v>
      </c>
      <c r="E3776" s="3" t="s">
        <v>1083</v>
      </c>
      <c r="F3776" s="3">
        <v>843.6</v>
      </c>
      <c r="G3776" s="3">
        <v>4218</v>
      </c>
    </row>
    <row r="3777" spans="1:7" x14ac:dyDescent="0.2">
      <c r="A3777" s="3" t="s">
        <v>1069</v>
      </c>
      <c r="B3777" s="4">
        <v>45138</v>
      </c>
      <c r="C3777" s="3" t="s">
        <v>1168</v>
      </c>
      <c r="D3777" s="3" t="s">
        <v>1231</v>
      </c>
      <c r="E3777" s="3" t="s">
        <v>1070</v>
      </c>
      <c r="F3777" s="3">
        <v>0</v>
      </c>
      <c r="G3777" s="3">
        <v>-11396.43</v>
      </c>
    </row>
    <row r="3778" spans="1:7" x14ac:dyDescent="0.2">
      <c r="A3778" s="3" t="s">
        <v>1072</v>
      </c>
      <c r="B3778" s="4">
        <v>45138</v>
      </c>
      <c r="C3778" s="3" t="s">
        <v>1168</v>
      </c>
      <c r="D3778" s="3" t="s">
        <v>1254</v>
      </c>
      <c r="E3778" s="3" t="s">
        <v>1075</v>
      </c>
      <c r="F3778" s="3">
        <v>5400</v>
      </c>
      <c r="G3778" s="3">
        <v>14779.4</v>
      </c>
    </row>
    <row r="3779" spans="1:7" x14ac:dyDescent="0.2">
      <c r="A3779" s="3" t="s">
        <v>1069</v>
      </c>
      <c r="B3779" s="4">
        <v>45138</v>
      </c>
      <c r="C3779" s="3" t="s">
        <v>1168</v>
      </c>
      <c r="D3779" s="3" t="s">
        <v>1254</v>
      </c>
      <c r="E3779" s="3" t="s">
        <v>1075</v>
      </c>
      <c r="F3779" s="3">
        <v>33647.279999999999</v>
      </c>
      <c r="G3779" s="3">
        <v>33647.279999999999</v>
      </c>
    </row>
    <row r="3780" spans="1:7" x14ac:dyDescent="0.2">
      <c r="A3780" s="3" t="s">
        <v>1072</v>
      </c>
      <c r="B3780" s="4">
        <v>45138</v>
      </c>
      <c r="C3780" s="3" t="s">
        <v>1168</v>
      </c>
      <c r="D3780" s="3" t="s">
        <v>1362</v>
      </c>
      <c r="E3780" s="3" t="s">
        <v>1123</v>
      </c>
      <c r="F3780" s="3">
        <v>377867.45</v>
      </c>
      <c r="G3780" s="3">
        <v>1722936.03</v>
      </c>
    </row>
    <row r="3781" spans="1:7" x14ac:dyDescent="0.2">
      <c r="A3781" s="3" t="s">
        <v>1072</v>
      </c>
      <c r="B3781" s="4">
        <v>45138</v>
      </c>
      <c r="C3781" s="3" t="s">
        <v>1168</v>
      </c>
      <c r="D3781" s="3" t="s">
        <v>1365</v>
      </c>
      <c r="E3781" s="3" t="s">
        <v>1090</v>
      </c>
      <c r="F3781" s="3">
        <v>0</v>
      </c>
      <c r="G3781" s="3">
        <v>5192.13</v>
      </c>
    </row>
    <row r="3782" spans="1:7" x14ac:dyDescent="0.2">
      <c r="A3782" s="3" t="s">
        <v>1072</v>
      </c>
      <c r="B3782" s="4">
        <v>45138</v>
      </c>
      <c r="C3782" s="3" t="s">
        <v>1168</v>
      </c>
      <c r="D3782" s="3" t="s">
        <v>1511</v>
      </c>
      <c r="E3782" s="3" t="s">
        <v>1104</v>
      </c>
      <c r="F3782" s="3">
        <v>177.33</v>
      </c>
      <c r="G3782" s="3">
        <v>886.65</v>
      </c>
    </row>
    <row r="3783" spans="1:7" x14ac:dyDescent="0.2">
      <c r="A3783" s="3" t="s">
        <v>1072</v>
      </c>
      <c r="B3783" s="4">
        <v>45138</v>
      </c>
      <c r="C3783" s="3" t="s">
        <v>1168</v>
      </c>
      <c r="D3783" s="3" t="s">
        <v>1366</v>
      </c>
      <c r="E3783" s="3" t="s">
        <v>1144</v>
      </c>
      <c r="F3783" s="3">
        <v>2165.59</v>
      </c>
      <c r="G3783" s="3">
        <v>9379.5</v>
      </c>
    </row>
    <row r="3784" spans="1:7" x14ac:dyDescent="0.2">
      <c r="A3784" s="3" t="s">
        <v>1069</v>
      </c>
      <c r="B3784" s="4">
        <v>45138</v>
      </c>
      <c r="C3784" s="3" t="s">
        <v>1168</v>
      </c>
      <c r="D3784" s="3" t="s">
        <v>1213</v>
      </c>
      <c r="E3784" s="3" t="s">
        <v>1150</v>
      </c>
      <c r="F3784" s="3">
        <v>366.14</v>
      </c>
      <c r="G3784" s="3">
        <v>1717.42</v>
      </c>
    </row>
    <row r="3785" spans="1:7" x14ac:dyDescent="0.2">
      <c r="A3785" s="3" t="s">
        <v>1072</v>
      </c>
      <c r="B3785" s="4">
        <v>45138</v>
      </c>
      <c r="C3785" s="3" t="s">
        <v>1168</v>
      </c>
      <c r="D3785" s="3" t="s">
        <v>1368</v>
      </c>
      <c r="E3785" s="3" t="s">
        <v>1124</v>
      </c>
      <c r="F3785" s="3">
        <v>4892.5600000000004</v>
      </c>
      <c r="G3785" s="3">
        <v>10179.67</v>
      </c>
    </row>
    <row r="3786" spans="1:7" x14ac:dyDescent="0.2">
      <c r="A3786" s="3" t="s">
        <v>1072</v>
      </c>
      <c r="B3786" s="4">
        <v>45138</v>
      </c>
      <c r="C3786" s="3" t="s">
        <v>1168</v>
      </c>
      <c r="D3786" s="3" t="s">
        <v>1369</v>
      </c>
      <c r="E3786" s="3" t="s">
        <v>1099</v>
      </c>
      <c r="F3786" s="3">
        <v>2162.3200000000002</v>
      </c>
      <c r="G3786" s="3">
        <v>10511.97</v>
      </c>
    </row>
    <row r="3787" spans="1:7" x14ac:dyDescent="0.2">
      <c r="A3787" s="3" t="s">
        <v>1072</v>
      </c>
      <c r="B3787" s="4">
        <v>45138</v>
      </c>
      <c r="C3787" s="3" t="s">
        <v>1168</v>
      </c>
      <c r="D3787" s="3" t="s">
        <v>1370</v>
      </c>
      <c r="E3787" s="3" t="s">
        <v>1129</v>
      </c>
      <c r="F3787" s="3">
        <v>747</v>
      </c>
      <c r="G3787" s="3">
        <v>3735</v>
      </c>
    </row>
    <row r="3788" spans="1:7" x14ac:dyDescent="0.2">
      <c r="A3788" s="3" t="s">
        <v>1072</v>
      </c>
      <c r="B3788" s="4">
        <v>45138</v>
      </c>
      <c r="C3788" s="3" t="s">
        <v>1168</v>
      </c>
      <c r="D3788" s="3" t="s">
        <v>1371</v>
      </c>
      <c r="E3788" s="3" t="s">
        <v>1093</v>
      </c>
      <c r="F3788" s="3">
        <v>0</v>
      </c>
      <c r="G3788" s="3">
        <v>10825.49</v>
      </c>
    </row>
    <row r="3789" spans="1:7" x14ac:dyDescent="0.2">
      <c r="A3789" s="3" t="s">
        <v>1072</v>
      </c>
      <c r="B3789" s="4">
        <v>45138</v>
      </c>
      <c r="C3789" s="3" t="s">
        <v>1168</v>
      </c>
      <c r="D3789" s="3" t="s">
        <v>1372</v>
      </c>
      <c r="E3789" s="3" t="s">
        <v>1158</v>
      </c>
      <c r="F3789" s="3">
        <v>600</v>
      </c>
      <c r="G3789" s="3">
        <v>3000</v>
      </c>
    </row>
    <row r="3790" spans="1:7" x14ac:dyDescent="0.2">
      <c r="A3790" s="3" t="s">
        <v>1072</v>
      </c>
      <c r="B3790" s="4">
        <v>45138</v>
      </c>
      <c r="C3790" s="3" t="s">
        <v>1168</v>
      </c>
      <c r="D3790" s="3" t="s">
        <v>1373</v>
      </c>
      <c r="E3790" s="3" t="s">
        <v>1092</v>
      </c>
      <c r="F3790" s="3">
        <v>847</v>
      </c>
      <c r="G3790" s="3">
        <v>4039.73</v>
      </c>
    </row>
    <row r="3791" spans="1:7" x14ac:dyDescent="0.2">
      <c r="A3791" s="3" t="s">
        <v>1069</v>
      </c>
      <c r="B3791" s="4">
        <v>45138</v>
      </c>
      <c r="C3791" s="3" t="s">
        <v>1168</v>
      </c>
      <c r="D3791" s="3" t="s">
        <v>1232</v>
      </c>
      <c r="E3791" s="3" t="s">
        <v>1105</v>
      </c>
      <c r="F3791" s="3">
        <v>600</v>
      </c>
      <c r="G3791" s="3">
        <v>3000</v>
      </c>
    </row>
    <row r="3792" spans="1:7" x14ac:dyDescent="0.2">
      <c r="A3792" s="3" t="s">
        <v>1074</v>
      </c>
      <c r="B3792" s="4">
        <v>45138</v>
      </c>
      <c r="C3792" s="3" t="s">
        <v>1168</v>
      </c>
      <c r="D3792" s="3" t="s">
        <v>1232</v>
      </c>
      <c r="E3792" s="3" t="s">
        <v>1105</v>
      </c>
      <c r="F3792" s="3">
        <v>600</v>
      </c>
      <c r="G3792" s="3">
        <v>3000</v>
      </c>
    </row>
    <row r="3793" spans="1:7" x14ac:dyDescent="0.2">
      <c r="A3793" s="3" t="s">
        <v>1072</v>
      </c>
      <c r="B3793" s="4">
        <v>45138</v>
      </c>
      <c r="C3793" s="3" t="s">
        <v>1168</v>
      </c>
      <c r="D3793" s="3" t="s">
        <v>1374</v>
      </c>
      <c r="E3793" s="3" t="s">
        <v>1108</v>
      </c>
      <c r="F3793" s="3">
        <v>4000</v>
      </c>
      <c r="G3793" s="3">
        <v>4000</v>
      </c>
    </row>
    <row r="3794" spans="1:7" x14ac:dyDescent="0.2">
      <c r="A3794" s="3" t="s">
        <v>1072</v>
      </c>
      <c r="B3794" s="4">
        <v>45138</v>
      </c>
      <c r="C3794" s="3" t="s">
        <v>1168</v>
      </c>
      <c r="D3794" s="3" t="s">
        <v>1378</v>
      </c>
      <c r="E3794" s="3" t="s">
        <v>1143</v>
      </c>
      <c r="F3794" s="3">
        <v>82564.37</v>
      </c>
      <c r="G3794" s="3">
        <v>395352.6</v>
      </c>
    </row>
    <row r="3795" spans="1:7" x14ac:dyDescent="0.2">
      <c r="A3795" s="3" t="s">
        <v>1072</v>
      </c>
      <c r="B3795" s="4">
        <v>45138</v>
      </c>
      <c r="C3795" s="3" t="s">
        <v>1168</v>
      </c>
      <c r="D3795" s="3" t="s">
        <v>1379</v>
      </c>
      <c r="E3795" s="3" t="s">
        <v>1107</v>
      </c>
      <c r="F3795" s="3">
        <v>4480.7700000000004</v>
      </c>
      <c r="G3795" s="3">
        <v>20558.53</v>
      </c>
    </row>
    <row r="3796" spans="1:7" x14ac:dyDescent="0.2">
      <c r="A3796" s="3" t="s">
        <v>1072</v>
      </c>
      <c r="B3796" s="4">
        <v>45138</v>
      </c>
      <c r="C3796" s="3" t="s">
        <v>1168</v>
      </c>
      <c r="D3796" s="3" t="s">
        <v>1380</v>
      </c>
      <c r="E3796" s="3" t="s">
        <v>1125</v>
      </c>
      <c r="F3796" s="3">
        <v>2495.21</v>
      </c>
      <c r="G3796" s="3">
        <v>10920.83</v>
      </c>
    </row>
    <row r="3797" spans="1:7" x14ac:dyDescent="0.2">
      <c r="A3797" s="3" t="s">
        <v>1072</v>
      </c>
      <c r="B3797" s="4">
        <v>45138</v>
      </c>
      <c r="C3797" s="3" t="s">
        <v>1168</v>
      </c>
      <c r="D3797" s="3" t="s">
        <v>1381</v>
      </c>
      <c r="E3797" s="3" t="s">
        <v>1130</v>
      </c>
      <c r="F3797" s="3">
        <v>2495.21</v>
      </c>
      <c r="G3797" s="3">
        <v>10920.83</v>
      </c>
    </row>
    <row r="3798" spans="1:7" x14ac:dyDescent="0.2">
      <c r="A3798" s="3" t="s">
        <v>1072</v>
      </c>
      <c r="B3798" s="4">
        <v>45138</v>
      </c>
      <c r="C3798" s="3" t="s">
        <v>1168</v>
      </c>
      <c r="D3798" s="3" t="s">
        <v>1458</v>
      </c>
      <c r="E3798" s="3" t="s">
        <v>1113</v>
      </c>
      <c r="F3798" s="3">
        <v>0</v>
      </c>
      <c r="G3798" s="3">
        <v>15075.35</v>
      </c>
    </row>
    <row r="3799" spans="1:7" x14ac:dyDescent="0.2">
      <c r="A3799" s="3" t="s">
        <v>1072</v>
      </c>
      <c r="B3799" s="4">
        <v>45138</v>
      </c>
      <c r="C3799" s="3" t="s">
        <v>1168</v>
      </c>
      <c r="D3799" s="3" t="s">
        <v>1459</v>
      </c>
      <c r="E3799" s="3" t="s">
        <v>1139</v>
      </c>
      <c r="F3799" s="3">
        <v>0</v>
      </c>
      <c r="G3799" s="3">
        <v>4562.1000000000004</v>
      </c>
    </row>
    <row r="3800" spans="1:7" x14ac:dyDescent="0.2">
      <c r="A3800" s="3" t="s">
        <v>1069</v>
      </c>
      <c r="B3800" s="4">
        <v>45138</v>
      </c>
      <c r="C3800" s="3" t="s">
        <v>1172</v>
      </c>
      <c r="D3800" s="3" t="s">
        <v>1173</v>
      </c>
      <c r="E3800" s="3" t="s">
        <v>1174</v>
      </c>
      <c r="F3800" s="3">
        <v>0</v>
      </c>
      <c r="G3800" s="3">
        <v>-100</v>
      </c>
    </row>
    <row r="3801" spans="1:7" x14ac:dyDescent="0.2">
      <c r="A3801" s="3" t="s">
        <v>1072</v>
      </c>
      <c r="B3801" s="4">
        <v>45138</v>
      </c>
      <c r="C3801" s="3" t="s">
        <v>1172</v>
      </c>
      <c r="D3801" s="3" t="s">
        <v>1382</v>
      </c>
      <c r="E3801" s="3" t="s">
        <v>1383</v>
      </c>
      <c r="F3801" s="3">
        <v>0</v>
      </c>
      <c r="G3801" s="3">
        <v>-120</v>
      </c>
    </row>
    <row r="3802" spans="1:7" x14ac:dyDescent="0.2">
      <c r="A3802" s="3" t="s">
        <v>1072</v>
      </c>
      <c r="B3802" s="4">
        <v>45138</v>
      </c>
      <c r="C3802" s="3" t="s">
        <v>1172</v>
      </c>
      <c r="D3802" s="3" t="s">
        <v>1384</v>
      </c>
      <c r="E3802" s="3" t="s">
        <v>1385</v>
      </c>
      <c r="F3802" s="3">
        <v>0</v>
      </c>
      <c r="G3802" s="3">
        <v>-296075.58</v>
      </c>
    </row>
    <row r="3803" spans="1:7" x14ac:dyDescent="0.2">
      <c r="A3803" s="3" t="s">
        <v>1069</v>
      </c>
      <c r="B3803" s="4">
        <v>45138</v>
      </c>
      <c r="C3803" s="3" t="s">
        <v>1172</v>
      </c>
      <c r="D3803" s="3" t="s">
        <v>1384</v>
      </c>
      <c r="E3803" s="3" t="s">
        <v>1385</v>
      </c>
      <c r="F3803" s="3">
        <v>0</v>
      </c>
      <c r="G3803" s="3">
        <v>-17843179.579999998</v>
      </c>
    </row>
    <row r="3804" spans="1:7" x14ac:dyDescent="0.2">
      <c r="A3804" s="3" t="s">
        <v>1074</v>
      </c>
      <c r="B3804" s="4">
        <v>45138</v>
      </c>
      <c r="C3804" s="3" t="s">
        <v>1172</v>
      </c>
      <c r="D3804" s="3" t="s">
        <v>1384</v>
      </c>
      <c r="E3804" s="3" t="s">
        <v>1385</v>
      </c>
      <c r="F3804" s="3">
        <v>0</v>
      </c>
      <c r="G3804" s="3">
        <v>70398.12</v>
      </c>
    </row>
    <row r="3805" spans="1:7" x14ac:dyDescent="0.2">
      <c r="A3805" s="3" t="s">
        <v>1069</v>
      </c>
      <c r="B3805" s="4">
        <v>45138</v>
      </c>
      <c r="C3805" s="3" t="s">
        <v>1180</v>
      </c>
      <c r="D3805" s="3" t="s">
        <v>1241</v>
      </c>
      <c r="E3805" s="3" t="s">
        <v>1242</v>
      </c>
      <c r="F3805" s="3">
        <v>0</v>
      </c>
      <c r="G3805" s="3">
        <v>17562360.850000001</v>
      </c>
    </row>
    <row r="3806" spans="1:7" x14ac:dyDescent="0.2">
      <c r="A3806" s="3" t="s">
        <v>1072</v>
      </c>
      <c r="B3806" s="4">
        <v>45138</v>
      </c>
      <c r="C3806" s="3" t="s">
        <v>1180</v>
      </c>
      <c r="D3806" s="3" t="s">
        <v>1483</v>
      </c>
      <c r="E3806" s="3" t="s">
        <v>1177</v>
      </c>
      <c r="F3806" s="3">
        <v>0</v>
      </c>
      <c r="G3806" s="3">
        <v>185000</v>
      </c>
    </row>
    <row r="3807" spans="1:7" x14ac:dyDescent="0.2">
      <c r="A3807" s="3" t="s">
        <v>1072</v>
      </c>
      <c r="B3807" s="4">
        <v>45138</v>
      </c>
      <c r="C3807" s="3" t="s">
        <v>1180</v>
      </c>
      <c r="D3807" s="3" t="s">
        <v>1388</v>
      </c>
      <c r="E3807" s="3" t="s">
        <v>1389</v>
      </c>
      <c r="F3807" s="3">
        <v>0</v>
      </c>
      <c r="G3807" s="3">
        <v>-4342.5</v>
      </c>
    </row>
    <row r="3808" spans="1:7" x14ac:dyDescent="0.2">
      <c r="A3808" s="3" t="s">
        <v>1072</v>
      </c>
      <c r="B3808" s="4">
        <v>45138</v>
      </c>
      <c r="C3808" s="3" t="s">
        <v>1180</v>
      </c>
      <c r="D3808" s="3" t="s">
        <v>1390</v>
      </c>
      <c r="E3808" s="3" t="s">
        <v>1391</v>
      </c>
      <c r="F3808" s="3">
        <v>0</v>
      </c>
      <c r="G3808" s="3">
        <v>-2261000</v>
      </c>
    </row>
    <row r="3809" spans="1:7" x14ac:dyDescent="0.2">
      <c r="A3809" s="3" t="s">
        <v>1072</v>
      </c>
      <c r="B3809" s="4">
        <v>45138</v>
      </c>
      <c r="C3809" s="3" t="s">
        <v>1180</v>
      </c>
      <c r="D3809" s="3" t="s">
        <v>1392</v>
      </c>
      <c r="E3809" s="3" t="s">
        <v>1393</v>
      </c>
      <c r="F3809" s="3">
        <v>0</v>
      </c>
      <c r="G3809" s="3">
        <v>4342.5</v>
      </c>
    </row>
    <row r="3810" spans="1:7" x14ac:dyDescent="0.2">
      <c r="A3810" s="3" t="s">
        <v>1072</v>
      </c>
      <c r="B3810" s="4">
        <v>45138</v>
      </c>
      <c r="C3810" s="3" t="s">
        <v>1180</v>
      </c>
      <c r="D3810" s="3" t="s">
        <v>1394</v>
      </c>
      <c r="E3810" s="3" t="s">
        <v>1256</v>
      </c>
      <c r="F3810" s="3">
        <v>600</v>
      </c>
      <c r="G3810" s="3">
        <v>-19400</v>
      </c>
    </row>
    <row r="3811" spans="1:7" x14ac:dyDescent="0.2">
      <c r="A3811" s="3" t="s">
        <v>1072</v>
      </c>
      <c r="B3811" s="4">
        <v>45138</v>
      </c>
      <c r="C3811" s="3" t="s">
        <v>1180</v>
      </c>
      <c r="D3811" s="3" t="s">
        <v>1395</v>
      </c>
      <c r="E3811" s="3" t="s">
        <v>1396</v>
      </c>
      <c r="F3811" s="3">
        <v>37000</v>
      </c>
      <c r="G3811" s="3">
        <v>-10114940.42</v>
      </c>
    </row>
    <row r="3812" spans="1:7" x14ac:dyDescent="0.2">
      <c r="A3812" s="3" t="s">
        <v>1072</v>
      </c>
      <c r="B3812" s="4">
        <v>45138</v>
      </c>
      <c r="C3812" s="3" t="s">
        <v>1180</v>
      </c>
      <c r="D3812" s="3" t="s">
        <v>1397</v>
      </c>
      <c r="E3812" s="3" t="s">
        <v>1398</v>
      </c>
      <c r="F3812" s="3">
        <v>600</v>
      </c>
      <c r="G3812" s="3">
        <v>-19400</v>
      </c>
    </row>
    <row r="3813" spans="1:7" x14ac:dyDescent="0.2">
      <c r="A3813" s="3" t="s">
        <v>1072</v>
      </c>
      <c r="B3813" s="4">
        <v>45138</v>
      </c>
      <c r="C3813" s="3" t="s">
        <v>1180</v>
      </c>
      <c r="D3813" s="3" t="s">
        <v>1512</v>
      </c>
      <c r="E3813" s="3" t="s">
        <v>1513</v>
      </c>
      <c r="F3813" s="3">
        <v>300000</v>
      </c>
      <c r="G3813" s="3">
        <v>21049187.399999999</v>
      </c>
    </row>
    <row r="3814" spans="1:7" x14ac:dyDescent="0.2">
      <c r="A3814" s="3" t="s">
        <v>1072</v>
      </c>
      <c r="B3814" s="4">
        <v>45138</v>
      </c>
      <c r="C3814" s="3" t="s">
        <v>1180</v>
      </c>
      <c r="D3814" s="3" t="s">
        <v>1399</v>
      </c>
      <c r="E3814" s="3" t="s">
        <v>1400</v>
      </c>
      <c r="F3814" s="3">
        <v>30899</v>
      </c>
      <c r="G3814" s="3">
        <v>-22601</v>
      </c>
    </row>
    <row r="3815" spans="1:7" x14ac:dyDescent="0.2">
      <c r="A3815" s="3" t="s">
        <v>1074</v>
      </c>
      <c r="B3815" s="4">
        <v>45138</v>
      </c>
      <c r="C3815" s="3" t="s">
        <v>1175</v>
      </c>
      <c r="D3815" s="3" t="s">
        <v>1492</v>
      </c>
      <c r="E3815" s="3" t="s">
        <v>1493</v>
      </c>
      <c r="F3815" s="3">
        <v>-5077020.57</v>
      </c>
      <c r="G3815" s="3">
        <v>-45983080.229999997</v>
      </c>
    </row>
    <row r="3816" spans="1:7" x14ac:dyDescent="0.2">
      <c r="A3816" s="3" t="s">
        <v>1069</v>
      </c>
      <c r="B3816" s="4">
        <v>45138</v>
      </c>
      <c r="C3816" s="3" t="s">
        <v>1175</v>
      </c>
      <c r="D3816" s="3" t="s">
        <v>1178</v>
      </c>
      <c r="E3816" s="3" t="s">
        <v>1179</v>
      </c>
      <c r="F3816" s="3">
        <v>-37000</v>
      </c>
      <c r="G3816" s="3">
        <v>10114940.42</v>
      </c>
    </row>
    <row r="3817" spans="1:7" x14ac:dyDescent="0.2">
      <c r="A3817" s="3" t="s">
        <v>1069</v>
      </c>
      <c r="B3817" s="4">
        <v>45138</v>
      </c>
      <c r="C3817" s="3" t="s">
        <v>1175</v>
      </c>
      <c r="D3817" s="3" t="s">
        <v>1233</v>
      </c>
      <c r="E3817" s="3" t="s">
        <v>1234</v>
      </c>
      <c r="F3817" s="3">
        <v>450000</v>
      </c>
      <c r="G3817" s="3">
        <v>3542000</v>
      </c>
    </row>
    <row r="3818" spans="1:7" x14ac:dyDescent="0.2">
      <c r="A3818" s="3" t="s">
        <v>1069</v>
      </c>
      <c r="B3818" s="4">
        <v>45138</v>
      </c>
      <c r="C3818" s="3" t="s">
        <v>1175</v>
      </c>
      <c r="D3818" s="3" t="s">
        <v>1494</v>
      </c>
      <c r="E3818" s="3" t="s">
        <v>1495</v>
      </c>
      <c r="F3818" s="3">
        <v>5077020.57</v>
      </c>
      <c r="G3818" s="3">
        <v>45983080.229999997</v>
      </c>
    </row>
    <row r="3819" spans="1:7" x14ac:dyDescent="0.2">
      <c r="A3819" s="3" t="s">
        <v>1069</v>
      </c>
      <c r="B3819" s="4">
        <v>45138</v>
      </c>
      <c r="C3819" s="3" t="s">
        <v>1175</v>
      </c>
      <c r="D3819" s="3" t="s">
        <v>1516</v>
      </c>
      <c r="E3819" s="3" t="s">
        <v>1400</v>
      </c>
      <c r="F3819" s="3">
        <v>-39900</v>
      </c>
      <c r="G3819" s="3">
        <v>12100</v>
      </c>
    </row>
    <row r="3820" spans="1:7" x14ac:dyDescent="0.2">
      <c r="A3820" s="3" t="s">
        <v>1069</v>
      </c>
      <c r="B3820" s="4">
        <v>45138</v>
      </c>
      <c r="C3820" s="3" t="s">
        <v>1175</v>
      </c>
      <c r="D3820" s="3" t="s">
        <v>1517</v>
      </c>
      <c r="E3820" s="3" t="s">
        <v>1398</v>
      </c>
      <c r="F3820" s="3">
        <v>-19364.75</v>
      </c>
      <c r="G3820" s="3">
        <v>-19364.75</v>
      </c>
    </row>
    <row r="3821" spans="1:7" x14ac:dyDescent="0.2">
      <c r="A3821" s="3" t="s">
        <v>1072</v>
      </c>
      <c r="B3821" s="4">
        <v>45138</v>
      </c>
      <c r="C3821" s="3" t="s">
        <v>1180</v>
      </c>
      <c r="D3821" s="3" t="s">
        <v>1409</v>
      </c>
      <c r="E3821" s="3" t="s">
        <v>1410</v>
      </c>
      <c r="F3821" s="3">
        <v>0</v>
      </c>
      <c r="G3821" s="3">
        <v>216064.1</v>
      </c>
    </row>
    <row r="3822" spans="1:7" x14ac:dyDescent="0.2">
      <c r="A3822" s="3" t="s">
        <v>1072</v>
      </c>
      <c r="B3822" s="4">
        <v>45138</v>
      </c>
      <c r="C3822" s="3" t="s">
        <v>1180</v>
      </c>
      <c r="D3822" s="3" t="s">
        <v>1411</v>
      </c>
      <c r="E3822" s="3" t="s">
        <v>1412</v>
      </c>
      <c r="F3822" s="3">
        <v>0</v>
      </c>
      <c r="G3822" s="3">
        <v>-216063.1</v>
      </c>
    </row>
    <row r="3823" spans="1:7" x14ac:dyDescent="0.2">
      <c r="A3823" s="3" t="s">
        <v>1072</v>
      </c>
      <c r="B3823" s="4">
        <v>45138</v>
      </c>
      <c r="C3823" s="3" t="s">
        <v>1180</v>
      </c>
      <c r="D3823" s="3" t="s">
        <v>1413</v>
      </c>
      <c r="E3823" s="3" t="s">
        <v>1414</v>
      </c>
      <c r="F3823" s="3">
        <v>0</v>
      </c>
      <c r="G3823" s="3">
        <v>133790.35</v>
      </c>
    </row>
    <row r="3824" spans="1:7" x14ac:dyDescent="0.2">
      <c r="A3824" s="3" t="s">
        <v>1072</v>
      </c>
      <c r="B3824" s="4">
        <v>45138</v>
      </c>
      <c r="C3824" s="3" t="s">
        <v>1180</v>
      </c>
      <c r="D3824" s="3" t="s">
        <v>1415</v>
      </c>
      <c r="E3824" s="3" t="s">
        <v>1416</v>
      </c>
      <c r="F3824" s="3">
        <v>-3323.92</v>
      </c>
      <c r="G3824" s="3">
        <v>-59542.49</v>
      </c>
    </row>
    <row r="3825" spans="1:7" x14ac:dyDescent="0.2">
      <c r="A3825" s="3" t="s">
        <v>1072</v>
      </c>
      <c r="B3825" s="4">
        <v>45138</v>
      </c>
      <c r="C3825" s="3" t="s">
        <v>1180</v>
      </c>
      <c r="D3825" s="3" t="s">
        <v>1462</v>
      </c>
      <c r="E3825" s="3" t="s">
        <v>1463</v>
      </c>
      <c r="F3825" s="3">
        <v>0</v>
      </c>
      <c r="G3825" s="3">
        <v>37955.300000000003</v>
      </c>
    </row>
    <row r="3826" spans="1:7" x14ac:dyDescent="0.2">
      <c r="A3826" s="3" t="s">
        <v>1072</v>
      </c>
      <c r="B3826" s="4">
        <v>45138</v>
      </c>
      <c r="C3826" s="3" t="s">
        <v>1180</v>
      </c>
      <c r="D3826" s="3" t="s">
        <v>1484</v>
      </c>
      <c r="E3826" s="3" t="s">
        <v>1485</v>
      </c>
      <c r="F3826" s="3">
        <v>-547.69000000000005</v>
      </c>
      <c r="G3826" s="3">
        <v>-8632.94</v>
      </c>
    </row>
    <row r="3827" spans="1:7" x14ac:dyDescent="0.2">
      <c r="A3827" s="3" t="s">
        <v>1072</v>
      </c>
      <c r="B3827" s="4">
        <v>45138</v>
      </c>
      <c r="C3827" s="3" t="s">
        <v>1180</v>
      </c>
      <c r="D3827" s="3" t="s">
        <v>1417</v>
      </c>
      <c r="E3827" s="3" t="s">
        <v>1418</v>
      </c>
      <c r="F3827" s="3">
        <v>0</v>
      </c>
      <c r="G3827" s="3">
        <v>71322</v>
      </c>
    </row>
    <row r="3828" spans="1:7" x14ac:dyDescent="0.2">
      <c r="A3828" s="3" t="s">
        <v>1072</v>
      </c>
      <c r="B3828" s="4">
        <v>45138</v>
      </c>
      <c r="C3828" s="3" t="s">
        <v>1180</v>
      </c>
      <c r="D3828" s="3" t="s">
        <v>1419</v>
      </c>
      <c r="E3828" s="3" t="s">
        <v>1420</v>
      </c>
      <c r="F3828" s="3">
        <v>-1188.71</v>
      </c>
      <c r="G3828" s="3">
        <v>-7078.33</v>
      </c>
    </row>
    <row r="3829" spans="1:7" x14ac:dyDescent="0.2">
      <c r="A3829" s="3" t="s">
        <v>1069</v>
      </c>
      <c r="B3829" s="4">
        <v>45138</v>
      </c>
      <c r="C3829" s="3" t="s">
        <v>1180</v>
      </c>
      <c r="D3829" s="3" t="s">
        <v>1421</v>
      </c>
      <c r="E3829" s="3" t="s">
        <v>1422</v>
      </c>
      <c r="F3829" s="3">
        <v>0</v>
      </c>
      <c r="G3829" s="3">
        <v>874505.75</v>
      </c>
    </row>
    <row r="3830" spans="1:7" x14ac:dyDescent="0.2">
      <c r="A3830" s="3" t="s">
        <v>1074</v>
      </c>
      <c r="B3830" s="4">
        <v>45138</v>
      </c>
      <c r="C3830" s="3" t="s">
        <v>1180</v>
      </c>
      <c r="D3830" s="3" t="s">
        <v>1421</v>
      </c>
      <c r="E3830" s="3" t="s">
        <v>1533</v>
      </c>
      <c r="F3830" s="3">
        <v>242913.75</v>
      </c>
      <c r="G3830" s="3">
        <v>1045976.86</v>
      </c>
    </row>
    <row r="3831" spans="1:7" x14ac:dyDescent="0.2">
      <c r="A3831" s="3" t="s">
        <v>1069</v>
      </c>
      <c r="B3831" s="4">
        <v>45138</v>
      </c>
      <c r="C3831" s="3" t="s">
        <v>1180</v>
      </c>
      <c r="D3831" s="3" t="s">
        <v>1214</v>
      </c>
      <c r="E3831" s="3" t="s">
        <v>1215</v>
      </c>
      <c r="F3831" s="3">
        <v>0</v>
      </c>
      <c r="G3831" s="3">
        <v>26200000</v>
      </c>
    </row>
    <row r="3832" spans="1:7" x14ac:dyDescent="0.2">
      <c r="A3832" s="3" t="s">
        <v>1069</v>
      </c>
      <c r="B3832" s="4">
        <v>45138</v>
      </c>
      <c r="C3832" s="3" t="s">
        <v>1180</v>
      </c>
      <c r="D3832" s="3" t="s">
        <v>1216</v>
      </c>
      <c r="E3832" s="3" t="s">
        <v>1217</v>
      </c>
      <c r="F3832" s="3">
        <v>0</v>
      </c>
      <c r="G3832" s="3">
        <v>68427</v>
      </c>
    </row>
    <row r="3833" spans="1:7" x14ac:dyDescent="0.2">
      <c r="A3833" s="3" t="s">
        <v>1069</v>
      </c>
      <c r="B3833" s="4">
        <v>45138</v>
      </c>
      <c r="C3833" s="3" t="s">
        <v>1180</v>
      </c>
      <c r="D3833" s="3" t="s">
        <v>1218</v>
      </c>
      <c r="E3833" s="3" t="s">
        <v>1219</v>
      </c>
      <c r="F3833" s="3">
        <v>0</v>
      </c>
      <c r="G3833" s="3">
        <v>103812</v>
      </c>
    </row>
    <row r="3834" spans="1:7" x14ac:dyDescent="0.2">
      <c r="A3834" s="3" t="s">
        <v>1069</v>
      </c>
      <c r="B3834" s="4">
        <v>45138</v>
      </c>
      <c r="C3834" s="3" t="s">
        <v>1180</v>
      </c>
      <c r="D3834" s="3" t="s">
        <v>1197</v>
      </c>
      <c r="E3834" s="3" t="s">
        <v>1198</v>
      </c>
      <c r="F3834" s="3">
        <v>0</v>
      </c>
      <c r="G3834" s="3">
        <v>314087</v>
      </c>
    </row>
    <row r="3835" spans="1:7" x14ac:dyDescent="0.2">
      <c r="A3835" s="3" t="s">
        <v>1074</v>
      </c>
      <c r="B3835" s="4">
        <v>45138</v>
      </c>
      <c r="C3835" s="3" t="s">
        <v>1180</v>
      </c>
      <c r="D3835" s="3" t="s">
        <v>1197</v>
      </c>
      <c r="E3835" s="3" t="s">
        <v>1550</v>
      </c>
      <c r="F3835" s="3">
        <v>23165</v>
      </c>
      <c r="G3835" s="3">
        <v>737478.5</v>
      </c>
    </row>
    <row r="3836" spans="1:7" x14ac:dyDescent="0.2">
      <c r="A3836" s="3" t="s">
        <v>1069</v>
      </c>
      <c r="B3836" s="4">
        <v>45138</v>
      </c>
      <c r="C3836" s="3" t="s">
        <v>1180</v>
      </c>
      <c r="D3836" s="3" t="s">
        <v>1496</v>
      </c>
      <c r="E3836" s="3" t="s">
        <v>1497</v>
      </c>
      <c r="F3836" s="3">
        <v>0</v>
      </c>
      <c r="G3836" s="3">
        <v>139500</v>
      </c>
    </row>
    <row r="3837" spans="1:7" x14ac:dyDescent="0.2">
      <c r="A3837" s="3" t="s">
        <v>1069</v>
      </c>
      <c r="B3837" s="4">
        <v>45138</v>
      </c>
      <c r="C3837" s="3" t="s">
        <v>1180</v>
      </c>
      <c r="D3837" s="3" t="s">
        <v>1181</v>
      </c>
      <c r="E3837" s="3" t="s">
        <v>1182</v>
      </c>
      <c r="F3837" s="3">
        <v>0</v>
      </c>
      <c r="G3837" s="3">
        <v>8557641.8000000007</v>
      </c>
    </row>
    <row r="3838" spans="1:7" x14ac:dyDescent="0.2">
      <c r="A3838" s="3" t="s">
        <v>1069</v>
      </c>
      <c r="B3838" s="4">
        <v>45138</v>
      </c>
      <c r="C3838" s="3" t="s">
        <v>1180</v>
      </c>
      <c r="D3838" s="3" t="s">
        <v>1263</v>
      </c>
      <c r="E3838" s="3" t="s">
        <v>1264</v>
      </c>
      <c r="F3838" s="3">
        <v>0</v>
      </c>
      <c r="G3838" s="3">
        <v>13807.78</v>
      </c>
    </row>
    <row r="3839" spans="1:7" x14ac:dyDescent="0.2">
      <c r="A3839" s="3" t="s">
        <v>1069</v>
      </c>
      <c r="B3839" s="4">
        <v>45138</v>
      </c>
      <c r="C3839" s="3" t="s">
        <v>1180</v>
      </c>
      <c r="D3839" s="3" t="s">
        <v>1202</v>
      </c>
      <c r="E3839" s="3" t="s">
        <v>1203</v>
      </c>
      <c r="F3839" s="3">
        <v>0</v>
      </c>
      <c r="G3839" s="3">
        <v>197060.09</v>
      </c>
    </row>
    <row r="3840" spans="1:7" x14ac:dyDescent="0.2">
      <c r="A3840" s="3" t="s">
        <v>1074</v>
      </c>
      <c r="B3840" s="4">
        <v>45138</v>
      </c>
      <c r="C3840" s="3" t="s">
        <v>1180</v>
      </c>
      <c r="D3840" s="3" t="s">
        <v>1202</v>
      </c>
      <c r="E3840" s="3" t="s">
        <v>1577</v>
      </c>
      <c r="F3840" s="3">
        <v>10700</v>
      </c>
      <c r="G3840" s="3">
        <v>153472.03</v>
      </c>
    </row>
    <row r="3841" spans="1:7" x14ac:dyDescent="0.2">
      <c r="A3841" s="3" t="s">
        <v>1069</v>
      </c>
      <c r="B3841" s="4">
        <v>45138</v>
      </c>
      <c r="C3841" s="3" t="s">
        <v>1180</v>
      </c>
      <c r="D3841" s="3" t="s">
        <v>1204</v>
      </c>
      <c r="E3841" s="3" t="s">
        <v>1205</v>
      </c>
      <c r="F3841" s="3">
        <v>0</v>
      </c>
      <c r="G3841" s="3">
        <v>7500</v>
      </c>
    </row>
    <row r="3842" spans="1:7" x14ac:dyDescent="0.2">
      <c r="A3842" s="3" t="s">
        <v>1074</v>
      </c>
      <c r="B3842" s="4">
        <v>45138</v>
      </c>
      <c r="C3842" s="3" t="s">
        <v>1180</v>
      </c>
      <c r="D3842" s="3" t="s">
        <v>1204</v>
      </c>
      <c r="E3842" s="3" t="s">
        <v>1673</v>
      </c>
      <c r="F3842" s="3">
        <v>0</v>
      </c>
      <c r="G3842" s="3">
        <v>114370.5</v>
      </c>
    </row>
    <row r="3843" spans="1:7" x14ac:dyDescent="0.2">
      <c r="A3843" s="3" t="s">
        <v>1069</v>
      </c>
      <c r="B3843" s="4">
        <v>45138</v>
      </c>
      <c r="C3843" s="3" t="s">
        <v>1180</v>
      </c>
      <c r="D3843" s="3" t="s">
        <v>1199</v>
      </c>
      <c r="E3843" s="3" t="s">
        <v>1200</v>
      </c>
      <c r="F3843" s="3">
        <v>0</v>
      </c>
      <c r="G3843" s="3">
        <v>67400</v>
      </c>
    </row>
    <row r="3844" spans="1:7" x14ac:dyDescent="0.2">
      <c r="A3844" s="3" t="s">
        <v>1069</v>
      </c>
      <c r="B3844" s="4">
        <v>45138</v>
      </c>
      <c r="C3844" s="3" t="s">
        <v>1180</v>
      </c>
      <c r="D3844" s="3" t="s">
        <v>1486</v>
      </c>
      <c r="E3844" s="3" t="s">
        <v>1487</v>
      </c>
      <c r="F3844" s="3">
        <v>0</v>
      </c>
      <c r="G3844" s="3">
        <v>20600</v>
      </c>
    </row>
    <row r="3845" spans="1:7" x14ac:dyDescent="0.2">
      <c r="A3845" s="3" t="s">
        <v>1069</v>
      </c>
      <c r="B3845" s="4">
        <v>45138</v>
      </c>
      <c r="C3845" s="3" t="s">
        <v>1180</v>
      </c>
      <c r="D3845" s="3" t="s">
        <v>1220</v>
      </c>
      <c r="E3845" s="3" t="s">
        <v>1221</v>
      </c>
      <c r="F3845" s="3">
        <v>0</v>
      </c>
      <c r="G3845" s="3">
        <v>15175</v>
      </c>
    </row>
    <row r="3846" spans="1:7" x14ac:dyDescent="0.2">
      <c r="A3846" s="3" t="s">
        <v>1069</v>
      </c>
      <c r="B3846" s="4">
        <v>45138</v>
      </c>
      <c r="C3846" s="3" t="s">
        <v>1180</v>
      </c>
      <c r="D3846" s="3" t="s">
        <v>1498</v>
      </c>
      <c r="E3846" s="3" t="s">
        <v>1499</v>
      </c>
      <c r="F3846" s="3">
        <v>0</v>
      </c>
      <c r="G3846" s="3">
        <v>570856.07999999996</v>
      </c>
    </row>
    <row r="3847" spans="1:7" x14ac:dyDescent="0.2">
      <c r="A3847" s="3" t="s">
        <v>1069</v>
      </c>
      <c r="B3847" s="4">
        <v>45138</v>
      </c>
      <c r="C3847" s="3" t="s">
        <v>1180</v>
      </c>
      <c r="D3847" s="3" t="s">
        <v>1183</v>
      </c>
      <c r="E3847" s="3" t="s">
        <v>1184</v>
      </c>
      <c r="F3847" s="3">
        <v>0</v>
      </c>
      <c r="G3847" s="3">
        <v>47748851.509999998</v>
      </c>
    </row>
    <row r="3848" spans="1:7" x14ac:dyDescent="0.2">
      <c r="A3848" s="3" t="s">
        <v>1074</v>
      </c>
      <c r="B3848" s="4">
        <v>45138</v>
      </c>
      <c r="C3848" s="3" t="s">
        <v>1180</v>
      </c>
      <c r="D3848" s="3" t="s">
        <v>1183</v>
      </c>
      <c r="E3848" s="3" t="s">
        <v>1631</v>
      </c>
      <c r="F3848" s="3">
        <v>0</v>
      </c>
      <c r="G3848" s="3">
        <v>7187757.9199999999</v>
      </c>
    </row>
    <row r="3849" spans="1:7" x14ac:dyDescent="0.2">
      <c r="A3849" s="3" t="s">
        <v>1069</v>
      </c>
      <c r="B3849" s="4">
        <v>45138</v>
      </c>
      <c r="C3849" s="3" t="s">
        <v>1180</v>
      </c>
      <c r="D3849" s="3" t="s">
        <v>1222</v>
      </c>
      <c r="E3849" s="3" t="s">
        <v>1223</v>
      </c>
      <c r="F3849" s="3">
        <v>0</v>
      </c>
      <c r="G3849" s="3">
        <v>3850818.04</v>
      </c>
    </row>
    <row r="3850" spans="1:7" x14ac:dyDescent="0.2">
      <c r="A3850" s="3" t="s">
        <v>1074</v>
      </c>
      <c r="B3850" s="4">
        <v>45138</v>
      </c>
      <c r="C3850" s="3" t="s">
        <v>1180</v>
      </c>
      <c r="D3850" s="3" t="s">
        <v>1222</v>
      </c>
      <c r="E3850" s="3" t="s">
        <v>1664</v>
      </c>
      <c r="F3850" s="3">
        <v>0</v>
      </c>
      <c r="G3850" s="3">
        <v>1826086.96</v>
      </c>
    </row>
    <row r="3851" spans="1:7" x14ac:dyDescent="0.2">
      <c r="A3851" s="3" t="s">
        <v>1069</v>
      </c>
      <c r="B3851" s="4">
        <v>45138</v>
      </c>
      <c r="C3851" s="3" t="s">
        <v>1180</v>
      </c>
      <c r="D3851" s="3" t="s">
        <v>1235</v>
      </c>
      <c r="E3851" s="3" t="s">
        <v>1236</v>
      </c>
      <c r="F3851" s="3">
        <v>0</v>
      </c>
      <c r="G3851" s="3">
        <v>782608.07</v>
      </c>
    </row>
    <row r="3852" spans="1:7" x14ac:dyDescent="0.2">
      <c r="A3852" s="3" t="s">
        <v>1069</v>
      </c>
      <c r="B3852" s="4">
        <v>45138</v>
      </c>
      <c r="C3852" s="3" t="s">
        <v>1180</v>
      </c>
      <c r="D3852" s="3" t="s">
        <v>1206</v>
      </c>
      <c r="E3852" s="3" t="s">
        <v>1207</v>
      </c>
      <c r="F3852" s="3">
        <v>0</v>
      </c>
      <c r="G3852" s="3">
        <v>166550</v>
      </c>
    </row>
    <row r="3853" spans="1:7" x14ac:dyDescent="0.2">
      <c r="A3853" s="3" t="s">
        <v>1074</v>
      </c>
      <c r="B3853" s="4">
        <v>45138</v>
      </c>
      <c r="C3853" s="3" t="s">
        <v>1180</v>
      </c>
      <c r="D3853" s="3" t="s">
        <v>1206</v>
      </c>
      <c r="E3853" s="3" t="s">
        <v>1697</v>
      </c>
      <c r="F3853" s="3">
        <v>2834.7</v>
      </c>
      <c r="G3853" s="3">
        <v>2834.7</v>
      </c>
    </row>
    <row r="3854" spans="1:7" x14ac:dyDescent="0.2">
      <c r="A3854" s="3" t="s">
        <v>1069</v>
      </c>
      <c r="B3854" s="4">
        <v>45138</v>
      </c>
      <c r="C3854" s="3" t="s">
        <v>1180</v>
      </c>
      <c r="D3854" s="3" t="s">
        <v>1208</v>
      </c>
      <c r="E3854" s="3" t="s">
        <v>1209</v>
      </c>
      <c r="F3854" s="3">
        <v>0</v>
      </c>
      <c r="G3854" s="3">
        <v>45000</v>
      </c>
    </row>
    <row r="3855" spans="1:7" x14ac:dyDescent="0.2">
      <c r="A3855" s="3" t="s">
        <v>1069</v>
      </c>
      <c r="B3855" s="4">
        <v>45138</v>
      </c>
      <c r="C3855" s="3" t="s">
        <v>1180</v>
      </c>
      <c r="D3855" s="3" t="s">
        <v>1259</v>
      </c>
      <c r="E3855" s="3" t="s">
        <v>1260</v>
      </c>
      <c r="F3855" s="3">
        <v>12000</v>
      </c>
      <c r="G3855" s="3">
        <v>161000</v>
      </c>
    </row>
    <row r="3856" spans="1:7" x14ac:dyDescent="0.2">
      <c r="A3856" s="3" t="s">
        <v>1074</v>
      </c>
      <c r="B3856" s="4">
        <v>45138</v>
      </c>
      <c r="C3856" s="3" t="s">
        <v>1180</v>
      </c>
      <c r="D3856" s="3" t="s">
        <v>1674</v>
      </c>
      <c r="E3856" s="3" t="s">
        <v>1675</v>
      </c>
      <c r="F3856" s="3">
        <v>0</v>
      </c>
      <c r="G3856" s="3">
        <v>292753.14</v>
      </c>
    </row>
    <row r="3857" spans="1:7" x14ac:dyDescent="0.2">
      <c r="A3857" s="3" t="s">
        <v>1074</v>
      </c>
      <c r="B3857" s="4">
        <v>45138</v>
      </c>
      <c r="C3857" s="3" t="s">
        <v>1180</v>
      </c>
      <c r="D3857" s="3" t="s">
        <v>1578</v>
      </c>
      <c r="E3857" s="3" t="s">
        <v>1579</v>
      </c>
      <c r="F3857" s="3">
        <v>0</v>
      </c>
      <c r="G3857" s="3">
        <v>66190.11</v>
      </c>
    </row>
    <row r="3858" spans="1:7" x14ac:dyDescent="0.2">
      <c r="A3858" s="3" t="s">
        <v>1069</v>
      </c>
      <c r="B3858" s="4">
        <v>45138</v>
      </c>
      <c r="C3858" s="3" t="s">
        <v>1180</v>
      </c>
      <c r="D3858" s="3" t="s">
        <v>1265</v>
      </c>
      <c r="E3858" s="3" t="s">
        <v>1266</v>
      </c>
      <c r="F3858" s="3">
        <v>0</v>
      </c>
      <c r="G3858" s="3">
        <v>3252759.95</v>
      </c>
    </row>
    <row r="3859" spans="1:7" x14ac:dyDescent="0.2">
      <c r="A3859" s="3" t="s">
        <v>1074</v>
      </c>
      <c r="B3859" s="4">
        <v>45138</v>
      </c>
      <c r="C3859" s="3" t="s">
        <v>1180</v>
      </c>
      <c r="D3859" s="3" t="s">
        <v>1265</v>
      </c>
      <c r="E3859" s="3" t="s">
        <v>1518</v>
      </c>
      <c r="F3859" s="3">
        <v>886.87</v>
      </c>
      <c r="G3859" s="3">
        <v>1524185.76</v>
      </c>
    </row>
    <row r="3860" spans="1:7" x14ac:dyDescent="0.2">
      <c r="A3860" s="3" t="s">
        <v>1069</v>
      </c>
      <c r="B3860" s="4">
        <v>45138</v>
      </c>
      <c r="C3860" s="3" t="s">
        <v>1180</v>
      </c>
      <c r="D3860" s="3" t="s">
        <v>1423</v>
      </c>
      <c r="E3860" s="3" t="s">
        <v>1424</v>
      </c>
      <c r="F3860" s="3">
        <v>0</v>
      </c>
      <c r="G3860" s="3">
        <v>622274.51</v>
      </c>
    </row>
    <row r="3861" spans="1:7" x14ac:dyDescent="0.2">
      <c r="A3861" s="3" t="s">
        <v>1074</v>
      </c>
      <c r="B3861" s="4">
        <v>45138</v>
      </c>
      <c r="C3861" s="3" t="s">
        <v>1180</v>
      </c>
      <c r="D3861" s="3" t="s">
        <v>1519</v>
      </c>
      <c r="E3861" s="3" t="s">
        <v>1551</v>
      </c>
      <c r="F3861" s="3">
        <v>0</v>
      </c>
      <c r="G3861" s="3">
        <v>76530</v>
      </c>
    </row>
    <row r="3862" spans="1:7" x14ac:dyDescent="0.2">
      <c r="A3862" s="3" t="s">
        <v>1069</v>
      </c>
      <c r="B3862" s="4">
        <v>45138</v>
      </c>
      <c r="C3862" s="3" t="s">
        <v>1180</v>
      </c>
      <c r="D3862" s="3" t="s">
        <v>1519</v>
      </c>
      <c r="E3862" s="3" t="s">
        <v>1520</v>
      </c>
      <c r="F3862" s="3">
        <v>0</v>
      </c>
      <c r="G3862" s="3">
        <v>985049.68</v>
      </c>
    </row>
    <row r="3863" spans="1:7" x14ac:dyDescent="0.2">
      <c r="A3863" s="3" t="s">
        <v>1074</v>
      </c>
      <c r="B3863" s="4">
        <v>45138</v>
      </c>
      <c r="C3863" s="3" t="s">
        <v>1180</v>
      </c>
      <c r="D3863" s="3" t="s">
        <v>1521</v>
      </c>
      <c r="E3863" s="3" t="s">
        <v>1522</v>
      </c>
      <c r="F3863" s="3">
        <v>2800</v>
      </c>
      <c r="G3863" s="3">
        <v>21600</v>
      </c>
    </row>
    <row r="3864" spans="1:7" x14ac:dyDescent="0.2">
      <c r="A3864" s="3" t="s">
        <v>1074</v>
      </c>
      <c r="B3864" s="4">
        <v>45138</v>
      </c>
      <c r="C3864" s="3" t="s">
        <v>1180</v>
      </c>
      <c r="D3864" s="3" t="s">
        <v>1534</v>
      </c>
      <c r="E3864" s="3" t="s">
        <v>1535</v>
      </c>
      <c r="F3864" s="3">
        <v>0</v>
      </c>
      <c r="G3864" s="3">
        <v>684782.6</v>
      </c>
    </row>
    <row r="3865" spans="1:7" x14ac:dyDescent="0.2">
      <c r="A3865" s="3" t="s">
        <v>1074</v>
      </c>
      <c r="B3865" s="4">
        <v>45138</v>
      </c>
      <c r="C3865" s="3" t="s">
        <v>1180</v>
      </c>
      <c r="D3865" s="3" t="s">
        <v>1610</v>
      </c>
      <c r="E3865" s="3" t="s">
        <v>1611</v>
      </c>
      <c r="F3865" s="3">
        <v>0</v>
      </c>
      <c r="G3865" s="3">
        <v>1130099.94</v>
      </c>
    </row>
    <row r="3866" spans="1:7" x14ac:dyDescent="0.2">
      <c r="A3866" s="3" t="s">
        <v>1074</v>
      </c>
      <c r="B3866" s="4">
        <v>45138</v>
      </c>
      <c r="C3866" s="3" t="s">
        <v>1180</v>
      </c>
      <c r="D3866" s="3" t="s">
        <v>1653</v>
      </c>
      <c r="E3866" s="3" t="s">
        <v>1654</v>
      </c>
      <c r="F3866" s="3">
        <v>578067.30000000005</v>
      </c>
      <c r="G3866" s="3">
        <v>20707183.050000001</v>
      </c>
    </row>
    <row r="3867" spans="1:7" x14ac:dyDescent="0.2">
      <c r="A3867" s="3" t="s">
        <v>1069</v>
      </c>
      <c r="B3867" s="4">
        <v>45138</v>
      </c>
      <c r="C3867" s="3" t="s">
        <v>1180</v>
      </c>
      <c r="D3867" s="3" t="s">
        <v>1536</v>
      </c>
      <c r="E3867" s="3" t="s">
        <v>1537</v>
      </c>
      <c r="F3867" s="3">
        <v>173913.04</v>
      </c>
      <c r="G3867" s="3">
        <v>2148883.15</v>
      </c>
    </row>
    <row r="3868" spans="1:7" x14ac:dyDescent="0.2">
      <c r="A3868" s="3" t="s">
        <v>1069</v>
      </c>
      <c r="B3868" s="4">
        <v>45138</v>
      </c>
      <c r="C3868" s="3" t="s">
        <v>1180</v>
      </c>
      <c r="D3868" s="3" t="s">
        <v>1665</v>
      </c>
      <c r="E3868" s="3" t="s">
        <v>1666</v>
      </c>
      <c r="F3868" s="3">
        <v>0</v>
      </c>
      <c r="G3868" s="3">
        <v>1068455</v>
      </c>
    </row>
    <row r="3869" spans="1:7" x14ac:dyDescent="0.2">
      <c r="A3869" s="3" t="s">
        <v>1069</v>
      </c>
      <c r="B3869" s="4">
        <v>45138</v>
      </c>
      <c r="C3869" s="3" t="s">
        <v>1180</v>
      </c>
      <c r="D3869" s="3" t="s">
        <v>1655</v>
      </c>
      <c r="E3869" s="3" t="s">
        <v>1656</v>
      </c>
      <c r="F3869" s="3">
        <v>0</v>
      </c>
      <c r="G3869" s="3">
        <v>-24427668.440000001</v>
      </c>
    </row>
    <row r="3870" spans="1:7" x14ac:dyDescent="0.2">
      <c r="A3870" s="3" t="s">
        <v>1072</v>
      </c>
      <c r="B3870" s="4">
        <v>45138</v>
      </c>
      <c r="C3870" s="3" t="s">
        <v>1180</v>
      </c>
      <c r="D3870" s="3" t="s">
        <v>1425</v>
      </c>
      <c r="E3870" s="3" t="s">
        <v>1426</v>
      </c>
      <c r="F3870" s="3">
        <v>0</v>
      </c>
      <c r="G3870" s="3">
        <v>29600</v>
      </c>
    </row>
    <row r="3871" spans="1:7" x14ac:dyDescent="0.2">
      <c r="A3871" s="3" t="s">
        <v>1072</v>
      </c>
      <c r="B3871" s="4">
        <v>45138</v>
      </c>
      <c r="C3871" s="3" t="s">
        <v>1180</v>
      </c>
      <c r="D3871" s="3" t="s">
        <v>1427</v>
      </c>
      <c r="E3871" s="3" t="s">
        <v>1428</v>
      </c>
      <c r="F3871" s="3">
        <v>4777.3999999999996</v>
      </c>
      <c r="G3871" s="3">
        <v>-7848890.1299999999</v>
      </c>
    </row>
    <row r="3872" spans="1:7" x14ac:dyDescent="0.2">
      <c r="A3872" s="3" t="s">
        <v>1069</v>
      </c>
      <c r="B3872" s="4">
        <v>45138</v>
      </c>
      <c r="C3872" s="3" t="s">
        <v>1180</v>
      </c>
      <c r="D3872" s="3" t="s">
        <v>1427</v>
      </c>
      <c r="E3872" s="3" t="s">
        <v>1428</v>
      </c>
      <c r="F3872" s="3">
        <v>76825</v>
      </c>
      <c r="G3872" s="3">
        <v>422771.61</v>
      </c>
    </row>
    <row r="3873" spans="1:7" x14ac:dyDescent="0.2">
      <c r="A3873" s="3" t="s">
        <v>1069</v>
      </c>
      <c r="B3873" s="4">
        <v>45138</v>
      </c>
      <c r="C3873" s="3" t="s">
        <v>1180</v>
      </c>
      <c r="D3873" s="3" t="s">
        <v>1187</v>
      </c>
      <c r="E3873" s="3" t="s">
        <v>1188</v>
      </c>
      <c r="F3873" s="3">
        <v>-71546.8</v>
      </c>
      <c r="G3873" s="3">
        <v>903407.47</v>
      </c>
    </row>
    <row r="3874" spans="1:7" x14ac:dyDescent="0.2">
      <c r="A3874" s="3" t="s">
        <v>1072</v>
      </c>
      <c r="B3874" s="4">
        <v>45138</v>
      </c>
      <c r="C3874" s="3" t="s">
        <v>1180</v>
      </c>
      <c r="D3874" s="3" t="s">
        <v>1187</v>
      </c>
      <c r="E3874" s="3" t="s">
        <v>1433</v>
      </c>
      <c r="F3874" s="3">
        <v>-628120.92000000004</v>
      </c>
      <c r="G3874" s="3">
        <v>106126</v>
      </c>
    </row>
    <row r="3875" spans="1:7" x14ac:dyDescent="0.2">
      <c r="A3875" s="3" t="s">
        <v>1072</v>
      </c>
      <c r="B3875" s="4">
        <v>45138</v>
      </c>
      <c r="C3875" s="3" t="s">
        <v>1180</v>
      </c>
      <c r="D3875" s="3" t="s">
        <v>1189</v>
      </c>
      <c r="E3875" s="3" t="s">
        <v>1434</v>
      </c>
      <c r="F3875" s="3">
        <v>0</v>
      </c>
      <c r="G3875" s="3">
        <v>-1188</v>
      </c>
    </row>
    <row r="3876" spans="1:7" x14ac:dyDescent="0.2">
      <c r="A3876" s="3" t="s">
        <v>1072</v>
      </c>
      <c r="B3876" s="4">
        <v>45138</v>
      </c>
      <c r="C3876" s="3" t="s">
        <v>1180</v>
      </c>
      <c r="D3876" s="3" t="s">
        <v>1435</v>
      </c>
      <c r="E3876" s="3" t="s">
        <v>1436</v>
      </c>
      <c r="F3876" s="3">
        <v>4.0199999999999996</v>
      </c>
      <c r="G3876" s="3">
        <v>559.37</v>
      </c>
    </row>
    <row r="3877" spans="1:7" x14ac:dyDescent="0.2">
      <c r="A3877" s="3" t="s">
        <v>1069</v>
      </c>
      <c r="B3877" s="4">
        <v>45138</v>
      </c>
      <c r="C3877" s="3" t="s">
        <v>1180</v>
      </c>
      <c r="D3877" s="3" t="s">
        <v>1435</v>
      </c>
      <c r="E3877" s="3" t="s">
        <v>1434</v>
      </c>
      <c r="F3877" s="3">
        <v>8620</v>
      </c>
      <c r="G3877" s="3">
        <v>8620</v>
      </c>
    </row>
    <row r="3878" spans="1:7" x14ac:dyDescent="0.2">
      <c r="A3878" s="3" t="s">
        <v>1069</v>
      </c>
      <c r="B3878" s="4">
        <v>45138</v>
      </c>
      <c r="C3878" s="3" t="s">
        <v>1180</v>
      </c>
      <c r="D3878" s="3" t="s">
        <v>1243</v>
      </c>
      <c r="E3878" s="3" t="s">
        <v>1244</v>
      </c>
      <c r="F3878" s="3">
        <v>-0.41</v>
      </c>
      <c r="G3878" s="3">
        <v>848.44</v>
      </c>
    </row>
    <row r="3879" spans="1:7" x14ac:dyDescent="0.2">
      <c r="A3879" s="3" t="s">
        <v>1069</v>
      </c>
      <c r="B3879" s="4">
        <v>45138</v>
      </c>
      <c r="C3879" s="3" t="s">
        <v>1180</v>
      </c>
      <c r="D3879" s="3" t="s">
        <v>1245</v>
      </c>
      <c r="E3879" s="3" t="s">
        <v>1246</v>
      </c>
      <c r="F3879" s="3">
        <v>-5222654.5599999996</v>
      </c>
      <c r="G3879" s="3">
        <v>32199318.129999999</v>
      </c>
    </row>
    <row r="3880" spans="1:7" x14ac:dyDescent="0.2">
      <c r="A3880" s="3" t="s">
        <v>1072</v>
      </c>
      <c r="B3880" s="4">
        <v>45138</v>
      </c>
      <c r="C3880" s="3" t="s">
        <v>1175</v>
      </c>
      <c r="D3880" s="3" t="s">
        <v>1437</v>
      </c>
      <c r="E3880" s="3" t="s">
        <v>1438</v>
      </c>
      <c r="F3880" s="3">
        <v>0.02</v>
      </c>
      <c r="G3880" s="3">
        <v>-28.98</v>
      </c>
    </row>
    <row r="3881" spans="1:7" x14ac:dyDescent="0.2">
      <c r="A3881" s="3" t="s">
        <v>1069</v>
      </c>
      <c r="B3881" s="4">
        <v>45138</v>
      </c>
      <c r="C3881" s="3" t="s">
        <v>1175</v>
      </c>
      <c r="D3881" s="3" t="s">
        <v>1437</v>
      </c>
      <c r="E3881" s="3" t="s">
        <v>1438</v>
      </c>
      <c r="F3881" s="3">
        <v>0.05</v>
      </c>
      <c r="G3881" s="3">
        <v>0.13</v>
      </c>
    </row>
    <row r="3882" spans="1:7" x14ac:dyDescent="0.2">
      <c r="A3882" s="3" t="s">
        <v>1072</v>
      </c>
      <c r="B3882" s="4">
        <v>45138</v>
      </c>
      <c r="C3882" s="3" t="s">
        <v>1175</v>
      </c>
      <c r="D3882" s="3" t="s">
        <v>1191</v>
      </c>
      <c r="E3882" s="3" t="s">
        <v>1192</v>
      </c>
      <c r="F3882" s="3">
        <v>-73435.38</v>
      </c>
      <c r="G3882" s="3">
        <v>-1324028.96</v>
      </c>
    </row>
    <row r="3883" spans="1:7" x14ac:dyDescent="0.2">
      <c r="A3883" s="3" t="s">
        <v>1069</v>
      </c>
      <c r="B3883" s="4">
        <v>45138</v>
      </c>
      <c r="C3883" s="3" t="s">
        <v>1175</v>
      </c>
      <c r="D3883" s="3" t="s">
        <v>1191</v>
      </c>
      <c r="E3883" s="3" t="s">
        <v>1192</v>
      </c>
      <c r="F3883" s="3">
        <v>1571903.91</v>
      </c>
      <c r="G3883" s="3">
        <v>-141803818.62</v>
      </c>
    </row>
    <row r="3884" spans="1:7" x14ac:dyDescent="0.2">
      <c r="A3884" s="3" t="s">
        <v>1074</v>
      </c>
      <c r="B3884" s="4">
        <v>45138</v>
      </c>
      <c r="C3884" s="3" t="s">
        <v>1175</v>
      </c>
      <c r="D3884" s="3" t="s">
        <v>1191</v>
      </c>
      <c r="E3884" s="3" t="s">
        <v>1192</v>
      </c>
      <c r="F3884" s="3">
        <v>4050790.36</v>
      </c>
      <c r="G3884" s="3">
        <v>4451550.37</v>
      </c>
    </row>
    <row r="3885" spans="1:7" x14ac:dyDescent="0.2">
      <c r="A3885" s="3" t="s">
        <v>1072</v>
      </c>
      <c r="B3885" s="4">
        <v>45138</v>
      </c>
      <c r="C3885" s="3" t="s">
        <v>1175</v>
      </c>
      <c r="D3885" s="3" t="s">
        <v>1488</v>
      </c>
      <c r="E3885" s="3" t="s">
        <v>1489</v>
      </c>
      <c r="F3885" s="3">
        <v>0</v>
      </c>
      <c r="G3885" s="3">
        <v>1309</v>
      </c>
    </row>
    <row r="3886" spans="1:7" x14ac:dyDescent="0.2">
      <c r="A3886" s="3" t="s">
        <v>1072</v>
      </c>
      <c r="B3886" s="4">
        <v>45138</v>
      </c>
      <c r="C3886" s="3" t="s">
        <v>1175</v>
      </c>
      <c r="D3886" s="3" t="s">
        <v>1439</v>
      </c>
      <c r="E3886" s="3" t="s">
        <v>1440</v>
      </c>
      <c r="F3886" s="3">
        <v>-0.02</v>
      </c>
      <c r="G3886" s="3">
        <v>0</v>
      </c>
    </row>
    <row r="3887" spans="1:7" x14ac:dyDescent="0.2">
      <c r="A3887" s="3" t="s">
        <v>1072</v>
      </c>
      <c r="B3887" s="4">
        <v>45138</v>
      </c>
      <c r="C3887" s="3" t="s">
        <v>1175</v>
      </c>
      <c r="D3887" s="3" t="s">
        <v>1441</v>
      </c>
      <c r="E3887" s="3" t="s">
        <v>1442</v>
      </c>
      <c r="F3887" s="3">
        <v>47.62</v>
      </c>
      <c r="G3887" s="3">
        <v>-92035.56</v>
      </c>
    </row>
    <row r="3888" spans="1:7" x14ac:dyDescent="0.2">
      <c r="A3888" s="3" t="s">
        <v>1072</v>
      </c>
      <c r="B3888" s="4">
        <v>45138</v>
      </c>
      <c r="C3888" s="3" t="s">
        <v>1175</v>
      </c>
      <c r="D3888" s="3" t="s">
        <v>1464</v>
      </c>
      <c r="E3888" s="3" t="s">
        <v>1465</v>
      </c>
      <c r="F3888" s="3">
        <v>0</v>
      </c>
      <c r="G3888" s="3">
        <v>-49413.95</v>
      </c>
    </row>
    <row r="3889" spans="1:7" x14ac:dyDescent="0.2">
      <c r="A3889" s="3" t="s">
        <v>1072</v>
      </c>
      <c r="B3889" s="4">
        <v>45138</v>
      </c>
      <c r="C3889" s="3" t="s">
        <v>1175</v>
      </c>
      <c r="D3889" s="3" t="s">
        <v>1193</v>
      </c>
      <c r="E3889" s="3" t="s">
        <v>1443</v>
      </c>
      <c r="F3889" s="3">
        <v>-76599.600000000006</v>
      </c>
      <c r="G3889" s="3">
        <v>-109732.95</v>
      </c>
    </row>
    <row r="3890" spans="1:7" x14ac:dyDescent="0.2">
      <c r="A3890" s="3" t="s">
        <v>1069</v>
      </c>
      <c r="B3890" s="4">
        <v>45138</v>
      </c>
      <c r="C3890" s="3" t="s">
        <v>1175</v>
      </c>
      <c r="D3890" s="3" t="s">
        <v>1193</v>
      </c>
      <c r="E3890" s="3" t="s">
        <v>1194</v>
      </c>
      <c r="F3890" s="3">
        <v>-111907.42</v>
      </c>
      <c r="G3890" s="3">
        <v>-4020360.49</v>
      </c>
    </row>
    <row r="3891" spans="1:7" x14ac:dyDescent="0.2">
      <c r="A3891" s="3" t="s">
        <v>1074</v>
      </c>
      <c r="B3891" s="4">
        <v>45138</v>
      </c>
      <c r="C3891" s="3" t="s">
        <v>1175</v>
      </c>
      <c r="D3891" s="3" t="s">
        <v>1193</v>
      </c>
      <c r="E3891" s="3" t="s">
        <v>1194</v>
      </c>
      <c r="F3891" s="3">
        <v>93524.5</v>
      </c>
      <c r="G3891" s="3">
        <v>5218505.47</v>
      </c>
    </row>
    <row r="3892" spans="1:7" x14ac:dyDescent="0.2">
      <c r="A3892" s="3" t="s">
        <v>1069</v>
      </c>
      <c r="B3892" s="4">
        <v>45138</v>
      </c>
      <c r="C3892" s="3" t="s">
        <v>1175</v>
      </c>
      <c r="D3892" s="3" t="s">
        <v>1657</v>
      </c>
      <c r="E3892" s="3" t="s">
        <v>1658</v>
      </c>
      <c r="F3892" s="3">
        <v>0</v>
      </c>
      <c r="G3892" s="3">
        <v>59039.93</v>
      </c>
    </row>
    <row r="3893" spans="1:7" x14ac:dyDescent="0.2">
      <c r="A3893" s="3" t="s">
        <v>1069</v>
      </c>
      <c r="B3893" s="4">
        <v>45138</v>
      </c>
      <c r="C3893" s="3" t="s">
        <v>1175</v>
      </c>
      <c r="D3893" s="3" t="s">
        <v>1667</v>
      </c>
      <c r="E3893" s="3" t="s">
        <v>1668</v>
      </c>
      <c r="F3893" s="3">
        <v>-1209624.06</v>
      </c>
      <c r="G3893" s="3">
        <v>0</v>
      </c>
    </row>
    <row r="3894" spans="1:7" x14ac:dyDescent="0.2">
      <c r="A3894" s="3" t="s">
        <v>1069</v>
      </c>
      <c r="B3894" s="4">
        <v>45138</v>
      </c>
      <c r="C3894" s="3" t="s">
        <v>1175</v>
      </c>
      <c r="D3894" s="3" t="s">
        <v>1698</v>
      </c>
      <c r="E3894" s="3" t="s">
        <v>1699</v>
      </c>
      <c r="F3894" s="3">
        <v>71995</v>
      </c>
      <c r="G3894" s="3">
        <v>71995</v>
      </c>
    </row>
    <row r="3895" spans="1:7" x14ac:dyDescent="0.2">
      <c r="A3895" s="3" t="s">
        <v>1072</v>
      </c>
      <c r="B3895" s="4">
        <v>45138</v>
      </c>
      <c r="C3895" s="3" t="s">
        <v>1175</v>
      </c>
      <c r="D3895" s="3" t="s">
        <v>1444</v>
      </c>
      <c r="E3895" s="3" t="s">
        <v>1445</v>
      </c>
      <c r="F3895" s="3">
        <v>-26160.01</v>
      </c>
      <c r="G3895" s="3">
        <v>1869.8</v>
      </c>
    </row>
    <row r="3896" spans="1:7" x14ac:dyDescent="0.2">
      <c r="A3896" s="3" t="s">
        <v>1072</v>
      </c>
      <c r="B3896" s="4">
        <v>45138</v>
      </c>
      <c r="C3896" s="3" t="s">
        <v>1175</v>
      </c>
      <c r="D3896" s="3" t="s">
        <v>1446</v>
      </c>
      <c r="E3896" s="3" t="s">
        <v>1447</v>
      </c>
      <c r="F3896" s="3">
        <v>0</v>
      </c>
      <c r="G3896" s="3">
        <v>-254.99</v>
      </c>
    </row>
    <row r="3897" spans="1:7" x14ac:dyDescent="0.2">
      <c r="A3897" s="3" t="s">
        <v>1069</v>
      </c>
      <c r="B3897" s="4">
        <v>45169</v>
      </c>
      <c r="C3897" s="3" t="s">
        <v>1210</v>
      </c>
      <c r="D3897" s="3" t="s">
        <v>1552</v>
      </c>
      <c r="E3897" s="3" t="s">
        <v>1553</v>
      </c>
      <c r="F3897" s="3">
        <v>62604.35</v>
      </c>
      <c r="G3897" s="3">
        <v>-26852956.530000001</v>
      </c>
    </row>
    <row r="3898" spans="1:7" x14ac:dyDescent="0.2">
      <c r="A3898" s="3" t="s">
        <v>1074</v>
      </c>
      <c r="B3898" s="4">
        <v>45169</v>
      </c>
      <c r="C3898" s="3" t="s">
        <v>1210</v>
      </c>
      <c r="D3898" s="3" t="s">
        <v>1552</v>
      </c>
      <c r="E3898" s="3" t="s">
        <v>1700</v>
      </c>
      <c r="F3898" s="3">
        <v>-6821304.3600000003</v>
      </c>
      <c r="G3898" s="3">
        <v>-6821304.3600000003</v>
      </c>
    </row>
    <row r="3899" spans="1:7" x14ac:dyDescent="0.2">
      <c r="A3899" s="3" t="s">
        <v>1069</v>
      </c>
      <c r="B3899" s="4">
        <v>45169</v>
      </c>
      <c r="C3899" s="3" t="s">
        <v>1210</v>
      </c>
      <c r="D3899" s="3" t="s">
        <v>1554</v>
      </c>
      <c r="E3899" s="3" t="s">
        <v>1555</v>
      </c>
      <c r="F3899" s="3">
        <v>0</v>
      </c>
      <c r="G3899" s="3">
        <v>-102388.85</v>
      </c>
    </row>
    <row r="3900" spans="1:7" x14ac:dyDescent="0.2">
      <c r="A3900" s="3" t="s">
        <v>1074</v>
      </c>
      <c r="B3900" s="4">
        <v>45169</v>
      </c>
      <c r="C3900" s="3" t="s">
        <v>1210</v>
      </c>
      <c r="D3900" s="3" t="s">
        <v>1554</v>
      </c>
      <c r="E3900" s="3" t="s">
        <v>1701</v>
      </c>
      <c r="F3900" s="3">
        <v>-17806.45</v>
      </c>
      <c r="G3900" s="3">
        <v>-17806.45</v>
      </c>
    </row>
    <row r="3901" spans="1:7" x14ac:dyDescent="0.2">
      <c r="A3901" s="3" t="s">
        <v>1072</v>
      </c>
      <c r="B3901" s="4">
        <v>45169</v>
      </c>
      <c r="C3901" s="3" t="s">
        <v>1210</v>
      </c>
      <c r="D3901" s="3" t="s">
        <v>1448</v>
      </c>
      <c r="E3901" s="3" t="s">
        <v>1449</v>
      </c>
      <c r="F3901" s="3">
        <v>-2750089.29</v>
      </c>
      <c r="G3901" s="3">
        <v>-23432899.739999998</v>
      </c>
    </row>
    <row r="3902" spans="1:7" x14ac:dyDescent="0.2">
      <c r="A3902" s="3" t="s">
        <v>1072</v>
      </c>
      <c r="B3902" s="4">
        <v>45169</v>
      </c>
      <c r="C3902" s="3" t="s">
        <v>1210</v>
      </c>
      <c r="D3902" s="3" t="s">
        <v>1273</v>
      </c>
      <c r="E3902" s="3" t="s">
        <v>1274</v>
      </c>
      <c r="F3902" s="3">
        <v>0</v>
      </c>
      <c r="G3902" s="3">
        <v>3490.94</v>
      </c>
    </row>
    <row r="3903" spans="1:7" x14ac:dyDescent="0.2">
      <c r="A3903" s="3" t="s">
        <v>1069</v>
      </c>
      <c r="B3903" s="4">
        <v>45169</v>
      </c>
      <c r="C3903" s="3" t="s">
        <v>1210</v>
      </c>
      <c r="D3903" s="3" t="s">
        <v>1685</v>
      </c>
      <c r="E3903" s="3" t="s">
        <v>1686</v>
      </c>
      <c r="F3903" s="3">
        <v>-30491.94</v>
      </c>
      <c r="G3903" s="3">
        <v>-67991.94</v>
      </c>
    </row>
    <row r="3904" spans="1:7" x14ac:dyDescent="0.2">
      <c r="A3904" s="3" t="s">
        <v>1069</v>
      </c>
      <c r="B3904" s="4">
        <v>45169</v>
      </c>
      <c r="C3904" s="3" t="s">
        <v>1168</v>
      </c>
      <c r="D3904" s="3" t="s">
        <v>1687</v>
      </c>
      <c r="E3904" s="3" t="s">
        <v>1688</v>
      </c>
      <c r="F3904" s="3">
        <v>0</v>
      </c>
      <c r="G3904" s="3">
        <v>45300.43</v>
      </c>
    </row>
    <row r="3905" spans="1:7" x14ac:dyDescent="0.2">
      <c r="A3905" s="3" t="s">
        <v>1074</v>
      </c>
      <c r="B3905" s="4">
        <v>45169</v>
      </c>
      <c r="C3905" s="3" t="s">
        <v>1168</v>
      </c>
      <c r="D3905" s="3" t="s">
        <v>1514</v>
      </c>
      <c r="E3905" s="3" t="s">
        <v>1676</v>
      </c>
      <c r="F3905" s="3">
        <v>0</v>
      </c>
      <c r="G3905" s="3">
        <v>237142.94</v>
      </c>
    </row>
    <row r="3906" spans="1:7" x14ac:dyDescent="0.2">
      <c r="A3906" s="3" t="s">
        <v>1069</v>
      </c>
      <c r="B3906" s="4">
        <v>45169</v>
      </c>
      <c r="C3906" s="3" t="s">
        <v>1168</v>
      </c>
      <c r="D3906" s="3" t="s">
        <v>1531</v>
      </c>
      <c r="E3906" s="3" t="s">
        <v>1532</v>
      </c>
      <c r="F3906" s="3">
        <v>0</v>
      </c>
      <c r="G3906" s="3">
        <v>648956.64</v>
      </c>
    </row>
    <row r="3907" spans="1:7" x14ac:dyDescent="0.2">
      <c r="A3907" s="3" t="s">
        <v>1074</v>
      </c>
      <c r="B3907" s="4">
        <v>45169</v>
      </c>
      <c r="C3907" s="3" t="s">
        <v>1168</v>
      </c>
      <c r="D3907" s="3" t="s">
        <v>1531</v>
      </c>
      <c r="E3907" s="3" t="s">
        <v>1532</v>
      </c>
      <c r="F3907" s="3">
        <v>134265.54</v>
      </c>
      <c r="G3907" s="3">
        <v>134265.54</v>
      </c>
    </row>
    <row r="3908" spans="1:7" x14ac:dyDescent="0.2">
      <c r="A3908" s="3" t="s">
        <v>1074</v>
      </c>
      <c r="B3908" s="4">
        <v>45169</v>
      </c>
      <c r="C3908" s="3" t="s">
        <v>1168</v>
      </c>
      <c r="D3908" s="3" t="s">
        <v>1638</v>
      </c>
      <c r="E3908" s="3" t="s">
        <v>1677</v>
      </c>
      <c r="F3908" s="3">
        <v>30020</v>
      </c>
      <c r="G3908" s="3">
        <v>44709.94</v>
      </c>
    </row>
    <row r="3909" spans="1:7" x14ac:dyDescent="0.2">
      <c r="A3909" s="3" t="s">
        <v>1069</v>
      </c>
      <c r="B3909" s="4">
        <v>45169</v>
      </c>
      <c r="C3909" s="3" t="s">
        <v>1168</v>
      </c>
      <c r="D3909" s="3" t="s">
        <v>1540</v>
      </c>
      <c r="E3909" s="3" t="s">
        <v>1541</v>
      </c>
      <c r="F3909" s="3">
        <v>3308.35</v>
      </c>
      <c r="G3909" s="3">
        <v>25345.119999999999</v>
      </c>
    </row>
    <row r="3910" spans="1:7" x14ac:dyDescent="0.2">
      <c r="A3910" s="3" t="s">
        <v>1069</v>
      </c>
      <c r="B3910" s="4">
        <v>45169</v>
      </c>
      <c r="C3910" s="3" t="s">
        <v>1168</v>
      </c>
      <c r="D3910" s="3" t="s">
        <v>1556</v>
      </c>
      <c r="E3910" s="3" t="s">
        <v>1557</v>
      </c>
      <c r="F3910" s="3">
        <v>0</v>
      </c>
      <c r="G3910" s="3">
        <v>171178.44</v>
      </c>
    </row>
    <row r="3911" spans="1:7" x14ac:dyDescent="0.2">
      <c r="A3911" s="3" t="s">
        <v>1069</v>
      </c>
      <c r="B3911" s="4">
        <v>45169</v>
      </c>
      <c r="C3911" s="3" t="s">
        <v>1168</v>
      </c>
      <c r="D3911" s="3" t="s">
        <v>1558</v>
      </c>
      <c r="E3911" s="3" t="s">
        <v>1559</v>
      </c>
      <c r="F3911" s="3">
        <v>62604.35</v>
      </c>
      <c r="G3911" s="3">
        <v>1343517.4</v>
      </c>
    </row>
    <row r="3912" spans="1:7" x14ac:dyDescent="0.2">
      <c r="A3912" s="3" t="s">
        <v>1074</v>
      </c>
      <c r="B3912" s="4">
        <v>45169</v>
      </c>
      <c r="C3912" s="3" t="s">
        <v>1168</v>
      </c>
      <c r="D3912" s="3" t="s">
        <v>1558</v>
      </c>
      <c r="E3912" s="3" t="s">
        <v>1702</v>
      </c>
      <c r="F3912" s="3">
        <v>343456.51</v>
      </c>
      <c r="G3912" s="3">
        <v>343456.51</v>
      </c>
    </row>
    <row r="3913" spans="1:7" x14ac:dyDescent="0.2">
      <c r="A3913" s="3" t="s">
        <v>1069</v>
      </c>
      <c r="B3913" s="4">
        <v>45169</v>
      </c>
      <c r="C3913" s="3" t="s">
        <v>1168</v>
      </c>
      <c r="D3913" s="3" t="s">
        <v>1640</v>
      </c>
      <c r="E3913" s="3" t="s">
        <v>1641</v>
      </c>
      <c r="F3913" s="3">
        <v>1005.47</v>
      </c>
      <c r="G3913" s="3">
        <v>1005.47</v>
      </c>
    </row>
    <row r="3914" spans="1:7" x14ac:dyDescent="0.2">
      <c r="A3914" s="3" t="s">
        <v>1074</v>
      </c>
      <c r="B3914" s="4">
        <v>45169</v>
      </c>
      <c r="C3914" s="3" t="s">
        <v>1168</v>
      </c>
      <c r="D3914" s="3" t="s">
        <v>1640</v>
      </c>
      <c r="E3914" s="3" t="s">
        <v>1689</v>
      </c>
      <c r="F3914" s="3">
        <v>0</v>
      </c>
      <c r="G3914" s="3">
        <v>6212.85</v>
      </c>
    </row>
    <row r="3915" spans="1:7" x14ac:dyDescent="0.2">
      <c r="A3915" s="3" t="s">
        <v>1069</v>
      </c>
      <c r="B3915" s="4">
        <v>45169</v>
      </c>
      <c r="C3915" s="3" t="s">
        <v>1168</v>
      </c>
      <c r="D3915" s="3" t="s">
        <v>1659</v>
      </c>
      <c r="E3915" s="3" t="s">
        <v>1660</v>
      </c>
      <c r="F3915" s="3">
        <v>0</v>
      </c>
      <c r="G3915" s="3">
        <v>250</v>
      </c>
    </row>
    <row r="3916" spans="1:7" x14ac:dyDescent="0.2">
      <c r="A3916" s="3" t="s">
        <v>1069</v>
      </c>
      <c r="B3916" s="4">
        <v>45169</v>
      </c>
      <c r="C3916" s="3" t="s">
        <v>1168</v>
      </c>
      <c r="D3916" s="3" t="s">
        <v>1678</v>
      </c>
      <c r="E3916" s="3" t="s">
        <v>1679</v>
      </c>
      <c r="F3916" s="3">
        <v>0</v>
      </c>
      <c r="G3916" s="3">
        <v>31600</v>
      </c>
    </row>
    <row r="3917" spans="1:7" x14ac:dyDescent="0.2">
      <c r="A3917" s="3" t="s">
        <v>1072</v>
      </c>
      <c r="B3917" s="4">
        <v>45169</v>
      </c>
      <c r="C3917" s="3" t="s">
        <v>1168</v>
      </c>
      <c r="D3917" s="3" t="s">
        <v>1661</v>
      </c>
      <c r="E3917" s="3" t="s">
        <v>1662</v>
      </c>
      <c r="F3917" s="3">
        <v>0</v>
      </c>
      <c r="G3917" s="3">
        <v>286.95999999999998</v>
      </c>
    </row>
    <row r="3918" spans="1:7" x14ac:dyDescent="0.2">
      <c r="A3918" s="3" t="s">
        <v>1072</v>
      </c>
      <c r="B3918" s="4">
        <v>45169</v>
      </c>
      <c r="C3918" s="3" t="s">
        <v>1168</v>
      </c>
      <c r="D3918" s="3" t="s">
        <v>1680</v>
      </c>
      <c r="E3918" s="3" t="s">
        <v>1681</v>
      </c>
      <c r="F3918" s="3">
        <v>0</v>
      </c>
      <c r="G3918" s="3">
        <v>86.96</v>
      </c>
    </row>
    <row r="3919" spans="1:7" x14ac:dyDescent="0.2">
      <c r="A3919" s="3" t="s">
        <v>1072</v>
      </c>
      <c r="B3919" s="4">
        <v>45169</v>
      </c>
      <c r="C3919" s="3" t="s">
        <v>1168</v>
      </c>
      <c r="D3919" s="3" t="s">
        <v>1669</v>
      </c>
      <c r="E3919" s="3" t="s">
        <v>1670</v>
      </c>
      <c r="F3919" s="3">
        <v>0</v>
      </c>
      <c r="G3919" s="3">
        <v>23423.97</v>
      </c>
    </row>
    <row r="3920" spans="1:7" x14ac:dyDescent="0.2">
      <c r="A3920" s="3" t="s">
        <v>1072</v>
      </c>
      <c r="B3920" s="4">
        <v>45169</v>
      </c>
      <c r="C3920" s="3" t="s">
        <v>1168</v>
      </c>
      <c r="D3920" s="3" t="s">
        <v>1703</v>
      </c>
      <c r="E3920" s="3" t="s">
        <v>1704</v>
      </c>
      <c r="F3920" s="3">
        <v>10516.44</v>
      </c>
      <c r="G3920" s="3">
        <v>10516.44</v>
      </c>
    </row>
    <row r="3921" spans="1:7" x14ac:dyDescent="0.2">
      <c r="A3921" s="3" t="s">
        <v>1072</v>
      </c>
      <c r="B3921" s="4">
        <v>45169</v>
      </c>
      <c r="C3921" s="3" t="s">
        <v>1168</v>
      </c>
      <c r="D3921" s="3" t="s">
        <v>1682</v>
      </c>
      <c r="E3921" s="3" t="s">
        <v>1683</v>
      </c>
      <c r="F3921" s="3">
        <v>0</v>
      </c>
      <c r="G3921" s="3">
        <v>41620.910000000003</v>
      </c>
    </row>
    <row r="3922" spans="1:7" x14ac:dyDescent="0.2">
      <c r="A3922" s="3" t="s">
        <v>1072</v>
      </c>
      <c r="B3922" s="4">
        <v>45169</v>
      </c>
      <c r="C3922" s="3" t="s">
        <v>1168</v>
      </c>
      <c r="D3922" s="3" t="s">
        <v>1281</v>
      </c>
      <c r="E3922" s="3" t="s">
        <v>1282</v>
      </c>
      <c r="F3922" s="3">
        <v>5129.4799999999996</v>
      </c>
      <c r="G3922" s="3">
        <v>255060.13</v>
      </c>
    </row>
    <row r="3923" spans="1:7" x14ac:dyDescent="0.2">
      <c r="A3923" s="3" t="s">
        <v>1072</v>
      </c>
      <c r="B3923" s="4">
        <v>45169</v>
      </c>
      <c r="C3923" s="3" t="s">
        <v>1168</v>
      </c>
      <c r="D3923" s="3" t="s">
        <v>1283</v>
      </c>
      <c r="E3923" s="3" t="s">
        <v>1284</v>
      </c>
      <c r="F3923" s="3">
        <v>1800</v>
      </c>
      <c r="G3923" s="3">
        <v>148803.59</v>
      </c>
    </row>
    <row r="3924" spans="1:7" x14ac:dyDescent="0.2">
      <c r="A3924" s="3" t="s">
        <v>1072</v>
      </c>
      <c r="B3924" s="4">
        <v>45169</v>
      </c>
      <c r="C3924" s="3" t="s">
        <v>1168</v>
      </c>
      <c r="D3924" s="3" t="s">
        <v>1285</v>
      </c>
      <c r="E3924" s="3" t="s">
        <v>1286</v>
      </c>
      <c r="F3924" s="3">
        <v>-20443.12</v>
      </c>
      <c r="G3924" s="3">
        <v>-17723.689999999999</v>
      </c>
    </row>
    <row r="3925" spans="1:7" x14ac:dyDescent="0.2">
      <c r="A3925" s="3" t="s">
        <v>1072</v>
      </c>
      <c r="B3925" s="4">
        <v>45169</v>
      </c>
      <c r="C3925" s="3" t="s">
        <v>1168</v>
      </c>
      <c r="D3925" s="3" t="s">
        <v>1705</v>
      </c>
      <c r="E3925" s="3" t="s">
        <v>1706</v>
      </c>
      <c r="F3925" s="3">
        <v>26340.75</v>
      </c>
      <c r="G3925" s="3">
        <v>26340.75</v>
      </c>
    </row>
    <row r="3926" spans="1:7" x14ac:dyDescent="0.2">
      <c r="A3926" s="3" t="s">
        <v>1072</v>
      </c>
      <c r="B3926" s="4">
        <v>45169</v>
      </c>
      <c r="C3926" s="3" t="s">
        <v>1168</v>
      </c>
      <c r="D3926" s="3" t="s">
        <v>1301</v>
      </c>
      <c r="E3926" s="3" t="s">
        <v>1302</v>
      </c>
      <c r="F3926" s="3">
        <v>0</v>
      </c>
      <c r="G3926" s="3">
        <v>760.87</v>
      </c>
    </row>
    <row r="3927" spans="1:7" x14ac:dyDescent="0.2">
      <c r="A3927" s="3" t="s">
        <v>1072</v>
      </c>
      <c r="B3927" s="4">
        <v>45169</v>
      </c>
      <c r="C3927" s="3" t="s">
        <v>1168</v>
      </c>
      <c r="D3927" s="3" t="s">
        <v>1305</v>
      </c>
      <c r="E3927" s="3" t="s">
        <v>1306</v>
      </c>
      <c r="F3927" s="3">
        <v>2290.6999999999998</v>
      </c>
      <c r="G3927" s="3">
        <v>27752.22</v>
      </c>
    </row>
    <row r="3928" spans="1:7" x14ac:dyDescent="0.2">
      <c r="A3928" s="3" t="s">
        <v>1072</v>
      </c>
      <c r="B3928" s="4">
        <v>45169</v>
      </c>
      <c r="C3928" s="3" t="s">
        <v>1168</v>
      </c>
      <c r="D3928" s="3" t="s">
        <v>1690</v>
      </c>
      <c r="E3928" s="3" t="s">
        <v>1691</v>
      </c>
      <c r="F3928" s="3">
        <v>7096.87</v>
      </c>
      <c r="G3928" s="3">
        <v>7565.57</v>
      </c>
    </row>
    <row r="3929" spans="1:7" x14ac:dyDescent="0.2">
      <c r="A3929" s="3" t="s">
        <v>1072</v>
      </c>
      <c r="B3929" s="4">
        <v>45169</v>
      </c>
      <c r="C3929" s="3" t="s">
        <v>1168</v>
      </c>
      <c r="D3929" s="3" t="s">
        <v>1315</v>
      </c>
      <c r="E3929" s="3" t="s">
        <v>1316</v>
      </c>
      <c r="F3929" s="3">
        <v>0</v>
      </c>
      <c r="G3929" s="3">
        <v>1129.57</v>
      </c>
    </row>
    <row r="3930" spans="1:7" x14ac:dyDescent="0.2">
      <c r="A3930" s="3" t="s">
        <v>1072</v>
      </c>
      <c r="B3930" s="4">
        <v>45169</v>
      </c>
      <c r="C3930" s="3" t="s">
        <v>1168</v>
      </c>
      <c r="D3930" s="3" t="s">
        <v>1450</v>
      </c>
      <c r="E3930" s="3" t="s">
        <v>1451</v>
      </c>
      <c r="F3930" s="3">
        <v>76169.75</v>
      </c>
      <c r="G3930" s="3">
        <v>1490955.34</v>
      </c>
    </row>
    <row r="3931" spans="1:7" x14ac:dyDescent="0.2">
      <c r="A3931" s="3" t="s">
        <v>1072</v>
      </c>
      <c r="B3931" s="4">
        <v>45169</v>
      </c>
      <c r="C3931" s="3" t="s">
        <v>1168</v>
      </c>
      <c r="D3931" s="3" t="s">
        <v>1452</v>
      </c>
      <c r="E3931" s="3" t="s">
        <v>1453</v>
      </c>
      <c r="F3931" s="3">
        <v>47477.81</v>
      </c>
      <c r="G3931" s="3">
        <v>329997.44</v>
      </c>
    </row>
    <row r="3932" spans="1:7" x14ac:dyDescent="0.2">
      <c r="A3932" s="3" t="s">
        <v>1072</v>
      </c>
      <c r="B3932" s="4">
        <v>45169</v>
      </c>
      <c r="C3932" s="3" t="s">
        <v>1168</v>
      </c>
      <c r="D3932" s="3" t="s">
        <v>1454</v>
      </c>
      <c r="E3932" s="3" t="s">
        <v>1455</v>
      </c>
      <c r="F3932" s="3">
        <v>0</v>
      </c>
      <c r="G3932" s="3">
        <v>694.78</v>
      </c>
    </row>
    <row r="3933" spans="1:7" x14ac:dyDescent="0.2">
      <c r="A3933" s="3" t="s">
        <v>1072</v>
      </c>
      <c r="B3933" s="4">
        <v>45169</v>
      </c>
      <c r="C3933" s="3" t="s">
        <v>1168</v>
      </c>
      <c r="D3933" s="3" t="s">
        <v>1468</v>
      </c>
      <c r="E3933" s="3" t="s">
        <v>1469</v>
      </c>
      <c r="F3933" s="3">
        <v>1797.39</v>
      </c>
      <c r="G3933" s="3">
        <v>8290.11</v>
      </c>
    </row>
    <row r="3934" spans="1:7" x14ac:dyDescent="0.2">
      <c r="A3934" s="3" t="s">
        <v>1072</v>
      </c>
      <c r="B3934" s="4">
        <v>45169</v>
      </c>
      <c r="C3934" s="3" t="s">
        <v>1168</v>
      </c>
      <c r="D3934" s="3" t="s">
        <v>1620</v>
      </c>
      <c r="E3934" s="3" t="s">
        <v>1621</v>
      </c>
      <c r="F3934" s="3">
        <v>3776.28</v>
      </c>
      <c r="G3934" s="3">
        <v>15014.52</v>
      </c>
    </row>
    <row r="3935" spans="1:7" x14ac:dyDescent="0.2">
      <c r="A3935" s="3" t="s">
        <v>1072</v>
      </c>
      <c r="B3935" s="4">
        <v>45169</v>
      </c>
      <c r="C3935" s="3" t="s">
        <v>1168</v>
      </c>
      <c r="D3935" s="3" t="s">
        <v>1542</v>
      </c>
      <c r="E3935" s="3" t="s">
        <v>1543</v>
      </c>
      <c r="F3935" s="3">
        <v>1998124.14</v>
      </c>
      <c r="G3935" s="3">
        <v>17386763.41</v>
      </c>
    </row>
    <row r="3936" spans="1:7" x14ac:dyDescent="0.2">
      <c r="A3936" s="3" t="s">
        <v>1072</v>
      </c>
      <c r="B3936" s="4">
        <v>45169</v>
      </c>
      <c r="C3936" s="3" t="s">
        <v>1168</v>
      </c>
      <c r="D3936" s="3" t="s">
        <v>1527</v>
      </c>
      <c r="E3936" s="3" t="s">
        <v>1528</v>
      </c>
      <c r="F3936" s="3">
        <v>43415.97</v>
      </c>
      <c r="G3936" s="3">
        <v>532471.93000000005</v>
      </c>
    </row>
    <row r="3937" spans="1:7" x14ac:dyDescent="0.2">
      <c r="A3937" s="3" t="s">
        <v>1072</v>
      </c>
      <c r="B3937" s="4">
        <v>45169</v>
      </c>
      <c r="C3937" s="3" t="s">
        <v>1168</v>
      </c>
      <c r="D3937" s="3" t="s">
        <v>1560</v>
      </c>
      <c r="E3937" s="3" t="s">
        <v>1561</v>
      </c>
      <c r="F3937" s="3">
        <v>0</v>
      </c>
      <c r="G3937" s="3">
        <v>17292.48</v>
      </c>
    </row>
    <row r="3938" spans="1:7" x14ac:dyDescent="0.2">
      <c r="A3938" s="3" t="s">
        <v>1072</v>
      </c>
      <c r="B3938" s="4">
        <v>45169</v>
      </c>
      <c r="C3938" s="3" t="s">
        <v>1210</v>
      </c>
      <c r="D3938" s="3" t="s">
        <v>1509</v>
      </c>
      <c r="E3938" s="3" t="s">
        <v>1510</v>
      </c>
      <c r="F3938" s="3">
        <v>-196.86</v>
      </c>
      <c r="G3938" s="3">
        <v>-701.77</v>
      </c>
    </row>
    <row r="3939" spans="1:7" x14ac:dyDescent="0.2">
      <c r="A3939" s="3" t="s">
        <v>1072</v>
      </c>
      <c r="B3939" s="4">
        <v>45169</v>
      </c>
      <c r="C3939" s="3" t="s">
        <v>1210</v>
      </c>
      <c r="D3939" s="3" t="s">
        <v>1323</v>
      </c>
      <c r="E3939" s="3" t="s">
        <v>1324</v>
      </c>
      <c r="F3939" s="3">
        <v>-4.04</v>
      </c>
      <c r="G3939" s="3">
        <v>-26.09</v>
      </c>
    </row>
    <row r="3940" spans="1:7" x14ac:dyDescent="0.2">
      <c r="A3940" s="3" t="s">
        <v>1069</v>
      </c>
      <c r="B3940" s="4">
        <v>45169</v>
      </c>
      <c r="C3940" s="3" t="s">
        <v>1210</v>
      </c>
      <c r="D3940" s="3" t="s">
        <v>1249</v>
      </c>
      <c r="E3940" s="3" t="s">
        <v>1250</v>
      </c>
      <c r="F3940" s="3">
        <v>-241364.67</v>
      </c>
      <c r="G3940" s="3">
        <v>-1447899.21</v>
      </c>
    </row>
    <row r="3941" spans="1:7" x14ac:dyDescent="0.2">
      <c r="A3941" s="3" t="s">
        <v>1069</v>
      </c>
      <c r="B3941" s="4">
        <v>45169</v>
      </c>
      <c r="C3941" s="3" t="s">
        <v>1168</v>
      </c>
      <c r="D3941" s="3" t="s">
        <v>1692</v>
      </c>
      <c r="E3941" s="3" t="s">
        <v>1149</v>
      </c>
      <c r="F3941" s="3">
        <v>1620</v>
      </c>
      <c r="G3941" s="3">
        <v>15024.96</v>
      </c>
    </row>
    <row r="3942" spans="1:7" x14ac:dyDescent="0.2">
      <c r="A3942" s="3" t="s">
        <v>1069</v>
      </c>
      <c r="B3942" s="4">
        <v>45169</v>
      </c>
      <c r="C3942" s="3" t="s">
        <v>1168</v>
      </c>
      <c r="D3942" s="3" t="s">
        <v>1226</v>
      </c>
      <c r="E3942" s="3" t="s">
        <v>1126</v>
      </c>
      <c r="F3942" s="3">
        <v>0</v>
      </c>
      <c r="G3942" s="3">
        <v>3050</v>
      </c>
    </row>
    <row r="3943" spans="1:7" x14ac:dyDescent="0.2">
      <c r="A3943" s="3" t="s">
        <v>1072</v>
      </c>
      <c r="B3943" s="4">
        <v>45169</v>
      </c>
      <c r="C3943" s="3" t="s">
        <v>1168</v>
      </c>
      <c r="D3943" s="3" t="s">
        <v>1325</v>
      </c>
      <c r="E3943" s="3" t="s">
        <v>1073</v>
      </c>
      <c r="F3943" s="3">
        <v>0</v>
      </c>
      <c r="G3943" s="3">
        <v>1280</v>
      </c>
    </row>
    <row r="3944" spans="1:7" x14ac:dyDescent="0.2">
      <c r="A3944" s="3" t="s">
        <v>1072</v>
      </c>
      <c r="B3944" s="4">
        <v>45169</v>
      </c>
      <c r="C3944" s="3" t="s">
        <v>1168</v>
      </c>
      <c r="D3944" s="3" t="s">
        <v>1326</v>
      </c>
      <c r="E3944" s="3" t="s">
        <v>1088</v>
      </c>
      <c r="F3944" s="3">
        <v>0</v>
      </c>
      <c r="G3944" s="3">
        <v>11170</v>
      </c>
    </row>
    <row r="3945" spans="1:7" x14ac:dyDescent="0.2">
      <c r="A3945" s="3" t="s">
        <v>1072</v>
      </c>
      <c r="B3945" s="4">
        <v>45169</v>
      </c>
      <c r="C3945" s="3" t="s">
        <v>1168</v>
      </c>
      <c r="D3945" s="3" t="s">
        <v>1169</v>
      </c>
      <c r="E3945" s="3" t="s">
        <v>1079</v>
      </c>
      <c r="F3945" s="3">
        <v>4025</v>
      </c>
      <c r="G3945" s="3">
        <v>8675</v>
      </c>
    </row>
    <row r="3946" spans="1:7" x14ac:dyDescent="0.2">
      <c r="A3946" s="3" t="s">
        <v>1069</v>
      </c>
      <c r="B3946" s="4">
        <v>45169</v>
      </c>
      <c r="C3946" s="3" t="s">
        <v>1168</v>
      </c>
      <c r="D3946" s="3" t="s">
        <v>1169</v>
      </c>
      <c r="E3946" s="3" t="s">
        <v>1079</v>
      </c>
      <c r="F3946" s="3">
        <v>5439.56</v>
      </c>
      <c r="G3946" s="3">
        <v>169342.05</v>
      </c>
    </row>
    <row r="3947" spans="1:7" x14ac:dyDescent="0.2">
      <c r="A3947" s="3" t="s">
        <v>1074</v>
      </c>
      <c r="B3947" s="4">
        <v>45169</v>
      </c>
      <c r="C3947" s="3" t="s">
        <v>1168</v>
      </c>
      <c r="D3947" s="3" t="s">
        <v>1169</v>
      </c>
      <c r="E3947" s="3" t="s">
        <v>1079</v>
      </c>
      <c r="F3947" s="3">
        <v>0</v>
      </c>
      <c r="G3947" s="3">
        <v>41176.47</v>
      </c>
    </row>
    <row r="3948" spans="1:7" x14ac:dyDescent="0.2">
      <c r="A3948" s="3" t="s">
        <v>1069</v>
      </c>
      <c r="B3948" s="4">
        <v>45169</v>
      </c>
      <c r="C3948" s="3" t="s">
        <v>1168</v>
      </c>
      <c r="D3948" s="3" t="s">
        <v>1261</v>
      </c>
      <c r="E3948" s="3" t="s">
        <v>1145</v>
      </c>
      <c r="F3948" s="3">
        <v>0</v>
      </c>
      <c r="G3948" s="3">
        <v>12480</v>
      </c>
    </row>
    <row r="3949" spans="1:7" x14ac:dyDescent="0.2">
      <c r="A3949" s="3" t="s">
        <v>1072</v>
      </c>
      <c r="B3949" s="4">
        <v>45169</v>
      </c>
      <c r="C3949" s="3" t="s">
        <v>1168</v>
      </c>
      <c r="D3949" s="3" t="s">
        <v>1648</v>
      </c>
      <c r="E3949" s="3" t="s">
        <v>1084</v>
      </c>
      <c r="F3949" s="3">
        <v>0</v>
      </c>
      <c r="G3949" s="3">
        <v>295</v>
      </c>
    </row>
    <row r="3950" spans="1:7" x14ac:dyDescent="0.2">
      <c r="A3950" s="3" t="s">
        <v>1069</v>
      </c>
      <c r="B3950" s="4">
        <v>45169</v>
      </c>
      <c r="C3950" s="3" t="s">
        <v>1168</v>
      </c>
      <c r="D3950" s="3" t="s">
        <v>1624</v>
      </c>
      <c r="E3950" s="3" t="s">
        <v>1118</v>
      </c>
      <c r="F3950" s="3">
        <v>10250</v>
      </c>
      <c r="G3950" s="3">
        <v>10250</v>
      </c>
    </row>
    <row r="3951" spans="1:7" x14ac:dyDescent="0.2">
      <c r="A3951" s="3" t="s">
        <v>1074</v>
      </c>
      <c r="B3951" s="4">
        <v>45169</v>
      </c>
      <c r="C3951" s="3" t="s">
        <v>1168</v>
      </c>
      <c r="D3951" s="3" t="s">
        <v>1649</v>
      </c>
      <c r="E3951" s="3" t="s">
        <v>1117</v>
      </c>
      <c r="F3951" s="3">
        <v>0</v>
      </c>
      <c r="G3951" s="3">
        <v>4602</v>
      </c>
    </row>
    <row r="3952" spans="1:7" x14ac:dyDescent="0.2">
      <c r="A3952" s="3" t="s">
        <v>1072</v>
      </c>
      <c r="B3952" s="4">
        <v>45169</v>
      </c>
      <c r="C3952" s="3" t="s">
        <v>1168</v>
      </c>
      <c r="D3952" s="3" t="s">
        <v>1339</v>
      </c>
      <c r="E3952" s="3" t="s">
        <v>1087</v>
      </c>
      <c r="F3952" s="3">
        <v>0</v>
      </c>
      <c r="G3952" s="3">
        <v>1597</v>
      </c>
    </row>
    <row r="3953" spans="1:7" x14ac:dyDescent="0.2">
      <c r="A3953" s="3" t="s">
        <v>1074</v>
      </c>
      <c r="B3953" s="4">
        <v>45169</v>
      </c>
      <c r="C3953" s="3" t="s">
        <v>1168</v>
      </c>
      <c r="D3953" s="3" t="s">
        <v>1707</v>
      </c>
      <c r="E3953" s="3" t="s">
        <v>1118</v>
      </c>
      <c r="F3953" s="3">
        <v>18500</v>
      </c>
      <c r="G3953" s="3">
        <v>18500</v>
      </c>
    </row>
    <row r="3954" spans="1:7" x14ac:dyDescent="0.2">
      <c r="A3954" s="3" t="s">
        <v>1072</v>
      </c>
      <c r="B3954" s="4">
        <v>45169</v>
      </c>
      <c r="C3954" s="3" t="s">
        <v>1168</v>
      </c>
      <c r="D3954" s="3" t="s">
        <v>1195</v>
      </c>
      <c r="E3954" s="3" t="s">
        <v>1085</v>
      </c>
      <c r="F3954" s="3">
        <v>2073.8000000000002</v>
      </c>
      <c r="G3954" s="3">
        <v>11392.54</v>
      </c>
    </row>
    <row r="3955" spans="1:7" x14ac:dyDescent="0.2">
      <c r="A3955" s="3" t="s">
        <v>1069</v>
      </c>
      <c r="B3955" s="4">
        <v>45169</v>
      </c>
      <c r="C3955" s="3" t="s">
        <v>1168</v>
      </c>
      <c r="D3955" s="3" t="s">
        <v>1195</v>
      </c>
      <c r="E3955" s="3" t="s">
        <v>1085</v>
      </c>
      <c r="F3955" s="3">
        <v>390.11</v>
      </c>
      <c r="G3955" s="3">
        <v>2957.79</v>
      </c>
    </row>
    <row r="3956" spans="1:7" x14ac:dyDescent="0.2">
      <c r="A3956" s="3" t="s">
        <v>1072</v>
      </c>
      <c r="B3956" s="4">
        <v>45169</v>
      </c>
      <c r="C3956" s="3" t="s">
        <v>1168</v>
      </c>
      <c r="D3956" s="3" t="s">
        <v>1340</v>
      </c>
      <c r="E3956" s="3" t="s">
        <v>1141</v>
      </c>
      <c r="F3956" s="3">
        <v>0</v>
      </c>
      <c r="G3956" s="3">
        <v>511.89</v>
      </c>
    </row>
    <row r="3957" spans="1:7" x14ac:dyDescent="0.2">
      <c r="A3957" s="3" t="s">
        <v>1072</v>
      </c>
      <c r="B3957" s="4">
        <v>45169</v>
      </c>
      <c r="C3957" s="3" t="s">
        <v>1168</v>
      </c>
      <c r="D3957" s="3" t="s">
        <v>1708</v>
      </c>
      <c r="E3957" s="3" t="s">
        <v>1140</v>
      </c>
      <c r="F3957" s="3">
        <v>4123</v>
      </c>
      <c r="G3957" s="3">
        <v>4123</v>
      </c>
    </row>
    <row r="3958" spans="1:7" x14ac:dyDescent="0.2">
      <c r="A3958" s="3" t="s">
        <v>1072</v>
      </c>
      <c r="B3958" s="4">
        <v>45169</v>
      </c>
      <c r="C3958" s="3" t="s">
        <v>1168</v>
      </c>
      <c r="D3958" s="3" t="s">
        <v>1341</v>
      </c>
      <c r="E3958" s="3" t="s">
        <v>1135</v>
      </c>
      <c r="F3958" s="3">
        <v>26779.67</v>
      </c>
      <c r="G3958" s="3">
        <v>26779.67</v>
      </c>
    </row>
    <row r="3959" spans="1:7" x14ac:dyDescent="0.2">
      <c r="A3959" s="3" t="s">
        <v>1072</v>
      </c>
      <c r="B3959" s="4">
        <v>45169</v>
      </c>
      <c r="C3959" s="3" t="s">
        <v>1168</v>
      </c>
      <c r="D3959" s="3" t="s">
        <v>1342</v>
      </c>
      <c r="E3959" s="3" t="s">
        <v>1080</v>
      </c>
      <c r="F3959" s="3">
        <v>0</v>
      </c>
      <c r="G3959" s="3">
        <v>4352.6499999999996</v>
      </c>
    </row>
    <row r="3960" spans="1:7" x14ac:dyDescent="0.2">
      <c r="A3960" s="3" t="s">
        <v>1072</v>
      </c>
      <c r="B3960" s="4">
        <v>45169</v>
      </c>
      <c r="C3960" s="3" t="s">
        <v>1168</v>
      </c>
      <c r="D3960" s="3" t="s">
        <v>1504</v>
      </c>
      <c r="E3960" s="3" t="s">
        <v>1142</v>
      </c>
      <c r="F3960" s="3">
        <v>5130</v>
      </c>
      <c r="G3960" s="3">
        <v>23329</v>
      </c>
    </row>
    <row r="3961" spans="1:7" x14ac:dyDescent="0.2">
      <c r="A3961" s="3" t="s">
        <v>1069</v>
      </c>
      <c r="B3961" s="4">
        <v>45169</v>
      </c>
      <c r="C3961" s="3" t="s">
        <v>1168</v>
      </c>
      <c r="D3961" s="3" t="s">
        <v>1251</v>
      </c>
      <c r="E3961" s="3" t="s">
        <v>1095</v>
      </c>
      <c r="F3961" s="3">
        <v>122083</v>
      </c>
      <c r="G3961" s="3">
        <v>694583.57</v>
      </c>
    </row>
    <row r="3962" spans="1:7" x14ac:dyDescent="0.2">
      <c r="A3962" s="3" t="s">
        <v>1072</v>
      </c>
      <c r="B3962" s="4">
        <v>45169</v>
      </c>
      <c r="C3962" s="3" t="s">
        <v>1168</v>
      </c>
      <c r="D3962" s="3" t="s">
        <v>1348</v>
      </c>
      <c r="E3962" s="3" t="s">
        <v>1095</v>
      </c>
      <c r="F3962" s="3">
        <v>119697</v>
      </c>
      <c r="G3962" s="3">
        <v>732746.7</v>
      </c>
    </row>
    <row r="3963" spans="1:7" x14ac:dyDescent="0.2">
      <c r="A3963" s="3" t="s">
        <v>1069</v>
      </c>
      <c r="B3963" s="4">
        <v>45169</v>
      </c>
      <c r="C3963" s="3" t="s">
        <v>1168</v>
      </c>
      <c r="D3963" s="3" t="s">
        <v>1252</v>
      </c>
      <c r="E3963" s="3" t="s">
        <v>1120</v>
      </c>
      <c r="F3963" s="3">
        <v>0</v>
      </c>
      <c r="G3963" s="3">
        <v>12200</v>
      </c>
    </row>
    <row r="3964" spans="1:7" x14ac:dyDescent="0.2">
      <c r="A3964" s="3" t="s">
        <v>1074</v>
      </c>
      <c r="B3964" s="4">
        <v>45169</v>
      </c>
      <c r="C3964" s="3" t="s">
        <v>1168</v>
      </c>
      <c r="D3964" s="3" t="s">
        <v>1252</v>
      </c>
      <c r="E3964" s="3" t="s">
        <v>1120</v>
      </c>
      <c r="F3964" s="3">
        <v>7250</v>
      </c>
      <c r="G3964" s="3">
        <v>21750</v>
      </c>
    </row>
    <row r="3965" spans="1:7" x14ac:dyDescent="0.2">
      <c r="A3965" s="3" t="s">
        <v>1072</v>
      </c>
      <c r="B3965" s="4">
        <v>45169</v>
      </c>
      <c r="C3965" s="3" t="s">
        <v>1168</v>
      </c>
      <c r="D3965" s="3" t="s">
        <v>1349</v>
      </c>
      <c r="E3965" s="3" t="s">
        <v>1089</v>
      </c>
      <c r="F3965" s="3">
        <v>0</v>
      </c>
      <c r="G3965" s="3">
        <v>86.09</v>
      </c>
    </row>
    <row r="3966" spans="1:7" x14ac:dyDescent="0.2">
      <c r="A3966" s="3" t="s">
        <v>1072</v>
      </c>
      <c r="B3966" s="4">
        <v>45169</v>
      </c>
      <c r="C3966" s="3" t="s">
        <v>1168</v>
      </c>
      <c r="D3966" s="3" t="s">
        <v>1350</v>
      </c>
      <c r="E3966" s="3" t="s">
        <v>1115</v>
      </c>
      <c r="F3966" s="3">
        <v>3323.89</v>
      </c>
      <c r="G3966" s="3">
        <v>19943.39</v>
      </c>
    </row>
    <row r="3967" spans="1:7" x14ac:dyDescent="0.2">
      <c r="A3967" s="3" t="s">
        <v>1072</v>
      </c>
      <c r="B3967" s="4">
        <v>45169</v>
      </c>
      <c r="C3967" s="3" t="s">
        <v>1168</v>
      </c>
      <c r="D3967" s="3" t="s">
        <v>1351</v>
      </c>
      <c r="E3967" s="3" t="s">
        <v>1096</v>
      </c>
      <c r="F3967" s="3">
        <v>1188.7</v>
      </c>
      <c r="G3967" s="3">
        <v>5141.47</v>
      </c>
    </row>
    <row r="3968" spans="1:7" x14ac:dyDescent="0.2">
      <c r="A3968" s="3" t="s">
        <v>1072</v>
      </c>
      <c r="B3968" s="4">
        <v>45169</v>
      </c>
      <c r="C3968" s="3" t="s">
        <v>1168</v>
      </c>
      <c r="D3968" s="3" t="s">
        <v>1474</v>
      </c>
      <c r="E3968" s="3" t="s">
        <v>1114</v>
      </c>
      <c r="F3968" s="3">
        <v>547.66999999999996</v>
      </c>
      <c r="G3968" s="3">
        <v>3286.06</v>
      </c>
    </row>
    <row r="3969" spans="1:7" x14ac:dyDescent="0.2">
      <c r="A3969" s="3" t="s">
        <v>1069</v>
      </c>
      <c r="B3969" s="4">
        <v>45169</v>
      </c>
      <c r="C3969" s="3" t="s">
        <v>1168</v>
      </c>
      <c r="D3969" s="3" t="s">
        <v>1229</v>
      </c>
      <c r="E3969" s="3" t="s">
        <v>1136</v>
      </c>
      <c r="F3969" s="3">
        <v>118819.54</v>
      </c>
      <c r="G3969" s="3">
        <v>130083</v>
      </c>
    </row>
    <row r="3970" spans="1:7" x14ac:dyDescent="0.2">
      <c r="A3970" s="3" t="s">
        <v>1072</v>
      </c>
      <c r="B3970" s="4">
        <v>45169</v>
      </c>
      <c r="C3970" s="3" t="s">
        <v>1168</v>
      </c>
      <c r="D3970" s="3" t="s">
        <v>1229</v>
      </c>
      <c r="E3970" s="3" t="s">
        <v>1106</v>
      </c>
      <c r="F3970" s="3">
        <v>7399.44</v>
      </c>
      <c r="G3970" s="3">
        <v>39859.1</v>
      </c>
    </row>
    <row r="3971" spans="1:7" x14ac:dyDescent="0.2">
      <c r="A3971" s="3" t="s">
        <v>1069</v>
      </c>
      <c r="B3971" s="4">
        <v>45169</v>
      </c>
      <c r="C3971" s="3" t="s">
        <v>1168</v>
      </c>
      <c r="D3971" s="3" t="s">
        <v>1230</v>
      </c>
      <c r="E3971" s="3" t="s">
        <v>1109</v>
      </c>
      <c r="F3971" s="3">
        <v>0</v>
      </c>
      <c r="G3971" s="3">
        <v>43879.43</v>
      </c>
    </row>
    <row r="3972" spans="1:7" x14ac:dyDescent="0.2">
      <c r="A3972" s="3" t="s">
        <v>1069</v>
      </c>
      <c r="B3972" s="4">
        <v>45169</v>
      </c>
      <c r="C3972" s="3" t="s">
        <v>1168</v>
      </c>
      <c r="D3972" s="3" t="s">
        <v>1564</v>
      </c>
      <c r="E3972" s="3" t="s">
        <v>1101</v>
      </c>
      <c r="F3972" s="3">
        <v>0</v>
      </c>
      <c r="G3972" s="3">
        <v>10690.2</v>
      </c>
    </row>
    <row r="3973" spans="1:7" x14ac:dyDescent="0.2">
      <c r="A3973" s="3" t="s">
        <v>1069</v>
      </c>
      <c r="B3973" s="4">
        <v>45169</v>
      </c>
      <c r="C3973" s="3" t="s">
        <v>1168</v>
      </c>
      <c r="D3973" s="3" t="s">
        <v>1196</v>
      </c>
      <c r="E3973" s="3" t="s">
        <v>1131</v>
      </c>
      <c r="F3973" s="3">
        <v>0</v>
      </c>
      <c r="G3973" s="3">
        <v>39.47</v>
      </c>
    </row>
    <row r="3974" spans="1:7" x14ac:dyDescent="0.2">
      <c r="A3974" s="3" t="s">
        <v>1069</v>
      </c>
      <c r="B3974" s="4">
        <v>45169</v>
      </c>
      <c r="C3974" s="3" t="s">
        <v>1168</v>
      </c>
      <c r="D3974" s="3" t="s">
        <v>1663</v>
      </c>
      <c r="E3974" s="3" t="s">
        <v>1082</v>
      </c>
      <c r="F3974" s="3">
        <v>0</v>
      </c>
      <c r="G3974" s="3">
        <v>199.99</v>
      </c>
    </row>
    <row r="3975" spans="1:7" x14ac:dyDescent="0.2">
      <c r="A3975" s="3" t="s">
        <v>1069</v>
      </c>
      <c r="B3975" s="4">
        <v>45169</v>
      </c>
      <c r="C3975" s="3" t="s">
        <v>1168</v>
      </c>
      <c r="D3975" s="3" t="s">
        <v>1544</v>
      </c>
      <c r="E3975" s="3" t="s">
        <v>1159</v>
      </c>
      <c r="F3975" s="3">
        <v>10516.5</v>
      </c>
      <c r="G3975" s="3">
        <v>47892.36</v>
      </c>
    </row>
    <row r="3976" spans="1:7" x14ac:dyDescent="0.2">
      <c r="A3976" s="3" t="s">
        <v>1072</v>
      </c>
      <c r="B3976" s="4">
        <v>45169</v>
      </c>
      <c r="C3976" s="3" t="s">
        <v>1168</v>
      </c>
      <c r="D3976" s="3" t="s">
        <v>1354</v>
      </c>
      <c r="E3976" s="3" t="s">
        <v>1078</v>
      </c>
      <c r="F3976" s="3">
        <v>2085.79</v>
      </c>
      <c r="G3976" s="3">
        <v>11973.21</v>
      </c>
    </row>
    <row r="3977" spans="1:7" x14ac:dyDescent="0.2">
      <c r="A3977" s="3" t="s">
        <v>1072</v>
      </c>
      <c r="B3977" s="4">
        <v>45169</v>
      </c>
      <c r="C3977" s="3" t="s">
        <v>1168</v>
      </c>
      <c r="D3977" s="3" t="s">
        <v>1709</v>
      </c>
      <c r="E3977" s="3" t="s">
        <v>1081</v>
      </c>
      <c r="F3977" s="3">
        <v>24242.76</v>
      </c>
      <c r="G3977" s="3">
        <v>24242.76</v>
      </c>
    </row>
    <row r="3978" spans="1:7" x14ac:dyDescent="0.2">
      <c r="A3978" s="3" t="s">
        <v>1069</v>
      </c>
      <c r="B3978" s="4">
        <v>45169</v>
      </c>
      <c r="C3978" s="3" t="s">
        <v>1168</v>
      </c>
      <c r="D3978" s="3" t="s">
        <v>1456</v>
      </c>
      <c r="E3978" s="3" t="s">
        <v>1457</v>
      </c>
      <c r="F3978" s="3">
        <v>0</v>
      </c>
      <c r="G3978" s="3">
        <v>-533.79999999999995</v>
      </c>
    </row>
    <row r="3979" spans="1:7" x14ac:dyDescent="0.2">
      <c r="A3979" s="3" t="s">
        <v>1069</v>
      </c>
      <c r="B3979" s="4">
        <v>45169</v>
      </c>
      <c r="C3979" s="3" t="s">
        <v>1168</v>
      </c>
      <c r="D3979" s="3" t="s">
        <v>1565</v>
      </c>
      <c r="E3979" s="3" t="s">
        <v>1566</v>
      </c>
      <c r="F3979" s="3">
        <v>-0.09</v>
      </c>
      <c r="G3979" s="3">
        <v>167246.17000000001</v>
      </c>
    </row>
    <row r="3980" spans="1:7" x14ac:dyDescent="0.2">
      <c r="A3980" s="3" t="s">
        <v>1069</v>
      </c>
      <c r="B3980" s="4">
        <v>45169</v>
      </c>
      <c r="C3980" s="3" t="s">
        <v>1168</v>
      </c>
      <c r="D3980" s="3" t="s">
        <v>1567</v>
      </c>
      <c r="E3980" s="3" t="s">
        <v>1568</v>
      </c>
      <c r="F3980" s="3">
        <v>0</v>
      </c>
      <c r="G3980" s="3">
        <v>72942.48</v>
      </c>
    </row>
    <row r="3981" spans="1:7" x14ac:dyDescent="0.2">
      <c r="A3981" s="3" t="s">
        <v>1069</v>
      </c>
      <c r="B3981" s="4">
        <v>45169</v>
      </c>
      <c r="C3981" s="3" t="s">
        <v>1168</v>
      </c>
      <c r="D3981" s="3" t="s">
        <v>1569</v>
      </c>
      <c r="E3981" s="3" t="s">
        <v>1570</v>
      </c>
      <c r="F3981" s="3">
        <v>0</v>
      </c>
      <c r="G3981" s="3">
        <v>44124.67</v>
      </c>
    </row>
    <row r="3982" spans="1:7" x14ac:dyDescent="0.2">
      <c r="A3982" s="3" t="s">
        <v>1069</v>
      </c>
      <c r="B3982" s="4">
        <v>45169</v>
      </c>
      <c r="C3982" s="3" t="s">
        <v>1168</v>
      </c>
      <c r="D3982" s="3" t="s">
        <v>1608</v>
      </c>
      <c r="E3982" s="3" t="s">
        <v>1609</v>
      </c>
      <c r="F3982" s="3">
        <v>0</v>
      </c>
      <c r="G3982" s="3">
        <v>11678.33</v>
      </c>
    </row>
    <row r="3983" spans="1:7" x14ac:dyDescent="0.2">
      <c r="A3983" s="3" t="s">
        <v>1074</v>
      </c>
      <c r="B3983" s="4">
        <v>45169</v>
      </c>
      <c r="C3983" s="3" t="s">
        <v>1168</v>
      </c>
      <c r="D3983" s="3" t="s">
        <v>1608</v>
      </c>
      <c r="E3983" s="3" t="s">
        <v>1609</v>
      </c>
      <c r="F3983" s="3">
        <v>675.38</v>
      </c>
      <c r="G3983" s="3">
        <v>675.38</v>
      </c>
    </row>
    <row r="3984" spans="1:7" x14ac:dyDescent="0.2">
      <c r="A3984" s="3" t="s">
        <v>1069</v>
      </c>
      <c r="B3984" s="4">
        <v>45169</v>
      </c>
      <c r="C3984" s="3" t="s">
        <v>1168</v>
      </c>
      <c r="D3984" s="3" t="s">
        <v>1627</v>
      </c>
      <c r="E3984" s="3" t="s">
        <v>1628</v>
      </c>
      <c r="F3984" s="3">
        <v>0</v>
      </c>
      <c r="G3984" s="3">
        <v>1252.24</v>
      </c>
    </row>
    <row r="3985" spans="1:7" x14ac:dyDescent="0.2">
      <c r="A3985" s="3" t="s">
        <v>1074</v>
      </c>
      <c r="B3985" s="4">
        <v>45169</v>
      </c>
      <c r="C3985" s="3" t="s">
        <v>1168</v>
      </c>
      <c r="D3985" s="3" t="s">
        <v>1627</v>
      </c>
      <c r="E3985" s="3" t="s">
        <v>1628</v>
      </c>
      <c r="F3985" s="3">
        <v>1424.97</v>
      </c>
      <c r="G3985" s="3">
        <v>1424.97</v>
      </c>
    </row>
    <row r="3986" spans="1:7" x14ac:dyDescent="0.2">
      <c r="A3986" s="3" t="s">
        <v>1069</v>
      </c>
      <c r="B3986" s="4">
        <v>45169</v>
      </c>
      <c r="C3986" s="3" t="s">
        <v>1168</v>
      </c>
      <c r="D3986" s="3" t="s">
        <v>1693</v>
      </c>
      <c r="E3986" s="3" t="s">
        <v>1694</v>
      </c>
      <c r="F3986" s="3">
        <v>0</v>
      </c>
      <c r="G3986" s="3">
        <v>5515.07</v>
      </c>
    </row>
    <row r="3987" spans="1:7" x14ac:dyDescent="0.2">
      <c r="A3987" s="3" t="s">
        <v>1069</v>
      </c>
      <c r="B3987" s="4">
        <v>45169</v>
      </c>
      <c r="C3987" s="3" t="s">
        <v>1168</v>
      </c>
      <c r="D3987" s="3" t="s">
        <v>1695</v>
      </c>
      <c r="E3987" s="3" t="s">
        <v>1696</v>
      </c>
      <c r="F3987" s="3">
        <v>0</v>
      </c>
      <c r="G3987" s="3">
        <v>591.78</v>
      </c>
    </row>
    <row r="3988" spans="1:7" x14ac:dyDescent="0.2">
      <c r="A3988" s="3" t="s">
        <v>1074</v>
      </c>
      <c r="B3988" s="4">
        <v>45169</v>
      </c>
      <c r="C3988" s="3" t="s">
        <v>1168</v>
      </c>
      <c r="D3988" s="3" t="s">
        <v>1695</v>
      </c>
      <c r="E3988" s="3" t="s">
        <v>1696</v>
      </c>
      <c r="F3988" s="3">
        <v>28180.7</v>
      </c>
      <c r="G3988" s="3">
        <v>28180.7</v>
      </c>
    </row>
    <row r="3989" spans="1:7" x14ac:dyDescent="0.2">
      <c r="A3989" s="3" t="s">
        <v>1074</v>
      </c>
      <c r="B3989" s="4">
        <v>45169</v>
      </c>
      <c r="C3989" s="3" t="s">
        <v>1168</v>
      </c>
      <c r="D3989" s="3" t="s">
        <v>1710</v>
      </c>
      <c r="E3989" s="3" t="s">
        <v>1711</v>
      </c>
      <c r="F3989" s="3">
        <v>1342.47</v>
      </c>
      <c r="G3989" s="3">
        <v>1342.47</v>
      </c>
    </row>
    <row r="3990" spans="1:7" x14ac:dyDescent="0.2">
      <c r="A3990" s="3" t="s">
        <v>1074</v>
      </c>
      <c r="B3990" s="4">
        <v>45169</v>
      </c>
      <c r="C3990" s="3" t="s">
        <v>1168</v>
      </c>
      <c r="D3990" s="3" t="s">
        <v>1712</v>
      </c>
      <c r="E3990" s="3" t="s">
        <v>1713</v>
      </c>
      <c r="F3990" s="3">
        <v>1610.96</v>
      </c>
      <c r="G3990" s="3">
        <v>1610.96</v>
      </c>
    </row>
    <row r="3991" spans="1:7" x14ac:dyDescent="0.2">
      <c r="A3991" s="3" t="s">
        <v>1069</v>
      </c>
      <c r="B3991" s="4">
        <v>45169</v>
      </c>
      <c r="C3991" s="3" t="s">
        <v>1168</v>
      </c>
      <c r="D3991" s="3" t="s">
        <v>1571</v>
      </c>
      <c r="E3991" s="3" t="s">
        <v>1572</v>
      </c>
      <c r="F3991" s="3">
        <v>0</v>
      </c>
      <c r="G3991" s="3">
        <v>400367.2</v>
      </c>
    </row>
    <row r="3992" spans="1:7" x14ac:dyDescent="0.2">
      <c r="A3992" s="3" t="s">
        <v>1074</v>
      </c>
      <c r="B3992" s="4">
        <v>45169</v>
      </c>
      <c r="C3992" s="3" t="s">
        <v>1168</v>
      </c>
      <c r="D3992" s="3" t="s">
        <v>1571</v>
      </c>
      <c r="E3992" s="3" t="s">
        <v>1572</v>
      </c>
      <c r="F3992" s="3">
        <v>314994.21999999997</v>
      </c>
      <c r="G3992" s="3">
        <v>314994.21999999997</v>
      </c>
    </row>
    <row r="3993" spans="1:7" x14ac:dyDescent="0.2">
      <c r="A3993" s="3" t="s">
        <v>1069</v>
      </c>
      <c r="B3993" s="4">
        <v>45169</v>
      </c>
      <c r="C3993" s="3" t="s">
        <v>1168</v>
      </c>
      <c r="D3993" s="3" t="s">
        <v>1573</v>
      </c>
      <c r="E3993" s="3" t="s">
        <v>1574</v>
      </c>
      <c r="F3993" s="3">
        <v>0</v>
      </c>
      <c r="G3993" s="3">
        <v>333349.31</v>
      </c>
    </row>
    <row r="3994" spans="1:7" x14ac:dyDescent="0.2">
      <c r="A3994" s="3" t="s">
        <v>1069</v>
      </c>
      <c r="B3994" s="4">
        <v>45169</v>
      </c>
      <c r="C3994" s="3" t="s">
        <v>1168</v>
      </c>
      <c r="D3994" s="3" t="s">
        <v>1629</v>
      </c>
      <c r="E3994" s="3" t="s">
        <v>1630</v>
      </c>
      <c r="F3994" s="3">
        <v>0</v>
      </c>
      <c r="G3994" s="3">
        <v>47473.98</v>
      </c>
    </row>
    <row r="3995" spans="1:7" x14ac:dyDescent="0.2">
      <c r="A3995" s="3" t="s">
        <v>1074</v>
      </c>
      <c r="B3995" s="4">
        <v>45169</v>
      </c>
      <c r="C3995" s="3" t="s">
        <v>1168</v>
      </c>
      <c r="D3995" s="3" t="s">
        <v>1629</v>
      </c>
      <c r="E3995" s="3" t="s">
        <v>1630</v>
      </c>
      <c r="F3995" s="3">
        <v>36699.18</v>
      </c>
      <c r="G3995" s="3">
        <v>36699.18</v>
      </c>
    </row>
    <row r="3996" spans="1:7" x14ac:dyDescent="0.2">
      <c r="A3996" s="3" t="s">
        <v>1069</v>
      </c>
      <c r="B3996" s="4">
        <v>45169</v>
      </c>
      <c r="C3996" s="3" t="s">
        <v>1168</v>
      </c>
      <c r="D3996" s="3" t="s">
        <v>1575</v>
      </c>
      <c r="E3996" s="3" t="s">
        <v>1576</v>
      </c>
      <c r="F3996" s="3">
        <v>0</v>
      </c>
      <c r="G3996" s="3">
        <v>3197167.68</v>
      </c>
    </row>
    <row r="3997" spans="1:7" x14ac:dyDescent="0.2">
      <c r="A3997" s="3" t="s">
        <v>1074</v>
      </c>
      <c r="B3997" s="4">
        <v>45169</v>
      </c>
      <c r="C3997" s="3" t="s">
        <v>1168</v>
      </c>
      <c r="D3997" s="3" t="s">
        <v>1575</v>
      </c>
      <c r="E3997" s="3" t="s">
        <v>1576</v>
      </c>
      <c r="F3997" s="3">
        <v>403347.95</v>
      </c>
      <c r="G3997" s="3">
        <v>403347.95</v>
      </c>
    </row>
    <row r="3998" spans="1:7" x14ac:dyDescent="0.2">
      <c r="A3998" s="3" t="s">
        <v>1072</v>
      </c>
      <c r="B3998" s="4">
        <v>45169</v>
      </c>
      <c r="C3998" s="3" t="s">
        <v>1168</v>
      </c>
      <c r="D3998" s="3" t="s">
        <v>1671</v>
      </c>
      <c r="E3998" s="3" t="s">
        <v>1119</v>
      </c>
      <c r="F3998" s="3">
        <v>0</v>
      </c>
      <c r="G3998" s="3">
        <v>5202.88</v>
      </c>
    </row>
    <row r="3999" spans="1:7" x14ac:dyDescent="0.2">
      <c r="A3999" s="3" t="s">
        <v>1069</v>
      </c>
      <c r="B3999" s="4">
        <v>45169</v>
      </c>
      <c r="C3999" s="3" t="s">
        <v>1168</v>
      </c>
      <c r="D3999" s="3" t="s">
        <v>1684</v>
      </c>
      <c r="E3999" s="3" t="s">
        <v>1102</v>
      </c>
      <c r="F3999" s="3">
        <v>0</v>
      </c>
      <c r="G3999" s="3">
        <v>76865.83</v>
      </c>
    </row>
    <row r="4000" spans="1:7" x14ac:dyDescent="0.2">
      <c r="A4000" s="3" t="s">
        <v>1074</v>
      </c>
      <c r="B4000" s="4">
        <v>45169</v>
      </c>
      <c r="C4000" s="3" t="s">
        <v>1168</v>
      </c>
      <c r="D4000" s="3" t="s">
        <v>1549</v>
      </c>
      <c r="E4000" s="3" t="s">
        <v>1154</v>
      </c>
      <c r="F4000" s="3">
        <v>50000</v>
      </c>
      <c r="G4000" s="3">
        <v>400000</v>
      </c>
    </row>
    <row r="4001" spans="1:7" x14ac:dyDescent="0.2">
      <c r="A4001" s="3" t="s">
        <v>1069</v>
      </c>
      <c r="B4001" s="4">
        <v>45169</v>
      </c>
      <c r="C4001" s="3" t="s">
        <v>1168</v>
      </c>
      <c r="D4001" s="3" t="s">
        <v>1253</v>
      </c>
      <c r="E4001" s="3" t="s">
        <v>1103</v>
      </c>
      <c r="F4001" s="3">
        <v>12954.16</v>
      </c>
      <c r="G4001" s="3">
        <v>57506.95</v>
      </c>
    </row>
    <row r="4002" spans="1:7" x14ac:dyDescent="0.2">
      <c r="A4002" s="3" t="s">
        <v>1072</v>
      </c>
      <c r="B4002" s="4">
        <v>45169</v>
      </c>
      <c r="C4002" s="3" t="s">
        <v>1168</v>
      </c>
      <c r="D4002" s="3" t="s">
        <v>1672</v>
      </c>
      <c r="E4002" s="3" t="s">
        <v>1097</v>
      </c>
      <c r="F4002" s="3">
        <v>0</v>
      </c>
      <c r="G4002" s="3">
        <v>362</v>
      </c>
    </row>
    <row r="4003" spans="1:7" x14ac:dyDescent="0.2">
      <c r="A4003" s="3" t="s">
        <v>1069</v>
      </c>
      <c r="B4003" s="4">
        <v>45169</v>
      </c>
      <c r="C4003" s="3" t="s">
        <v>1168</v>
      </c>
      <c r="D4003" s="3" t="s">
        <v>1672</v>
      </c>
      <c r="E4003" s="3" t="s">
        <v>1097</v>
      </c>
      <c r="F4003" s="3">
        <v>0</v>
      </c>
      <c r="G4003" s="3">
        <v>20</v>
      </c>
    </row>
    <row r="4004" spans="1:7" x14ac:dyDescent="0.2">
      <c r="A4004" s="3" t="s">
        <v>1072</v>
      </c>
      <c r="B4004" s="4">
        <v>45169</v>
      </c>
      <c r="C4004" s="3" t="s">
        <v>1168</v>
      </c>
      <c r="D4004" s="3" t="s">
        <v>1357</v>
      </c>
      <c r="E4004" s="3" t="s">
        <v>1157</v>
      </c>
      <c r="F4004" s="3">
        <v>0</v>
      </c>
      <c r="G4004" s="3">
        <v>24804.03</v>
      </c>
    </row>
    <row r="4005" spans="1:7" x14ac:dyDescent="0.2">
      <c r="A4005" s="3" t="s">
        <v>1072</v>
      </c>
      <c r="B4005" s="4">
        <v>45169</v>
      </c>
      <c r="C4005" s="3" t="s">
        <v>1168</v>
      </c>
      <c r="D4005" s="3" t="s">
        <v>1359</v>
      </c>
      <c r="E4005" s="3" t="s">
        <v>1086</v>
      </c>
      <c r="F4005" s="3">
        <v>0</v>
      </c>
      <c r="G4005" s="3">
        <v>1069</v>
      </c>
    </row>
    <row r="4006" spans="1:7" x14ac:dyDescent="0.2">
      <c r="A4006" s="3" t="s">
        <v>1072</v>
      </c>
      <c r="B4006" s="4">
        <v>45169</v>
      </c>
      <c r="C4006" s="3" t="s">
        <v>1168</v>
      </c>
      <c r="D4006" s="3" t="s">
        <v>1201</v>
      </c>
      <c r="E4006" s="3" t="s">
        <v>1112</v>
      </c>
      <c r="F4006" s="3">
        <v>2648.22</v>
      </c>
      <c r="G4006" s="3">
        <v>18338.919999999998</v>
      </c>
    </row>
    <row r="4007" spans="1:7" x14ac:dyDescent="0.2">
      <c r="A4007" s="3" t="s">
        <v>1072</v>
      </c>
      <c r="B4007" s="4">
        <v>45169</v>
      </c>
      <c r="C4007" s="3" t="s">
        <v>1168</v>
      </c>
      <c r="D4007" s="3" t="s">
        <v>1360</v>
      </c>
      <c r="E4007" s="3" t="s">
        <v>1098</v>
      </c>
      <c r="F4007" s="3">
        <v>4215.07</v>
      </c>
      <c r="G4007" s="3">
        <v>11723.57</v>
      </c>
    </row>
    <row r="4008" spans="1:7" x14ac:dyDescent="0.2">
      <c r="A4008" s="3" t="s">
        <v>1072</v>
      </c>
      <c r="B4008" s="4">
        <v>45169</v>
      </c>
      <c r="C4008" s="3" t="s">
        <v>1168</v>
      </c>
      <c r="D4008" s="3" t="s">
        <v>1361</v>
      </c>
      <c r="E4008" s="3" t="s">
        <v>1121</v>
      </c>
      <c r="F4008" s="3">
        <v>29600</v>
      </c>
      <c r="G4008" s="3">
        <v>177600</v>
      </c>
    </row>
    <row r="4009" spans="1:7" x14ac:dyDescent="0.2">
      <c r="A4009" s="3" t="s">
        <v>1072</v>
      </c>
      <c r="B4009" s="4">
        <v>45169</v>
      </c>
      <c r="C4009" s="3" t="s">
        <v>1168</v>
      </c>
      <c r="D4009" s="3" t="s">
        <v>1231</v>
      </c>
      <c r="E4009" s="3" t="s">
        <v>1083</v>
      </c>
      <c r="F4009" s="3">
        <v>2871.04</v>
      </c>
      <c r="G4009" s="3">
        <v>7089.04</v>
      </c>
    </row>
    <row r="4010" spans="1:7" x14ac:dyDescent="0.2">
      <c r="A4010" s="3" t="s">
        <v>1069</v>
      </c>
      <c r="B4010" s="4">
        <v>45169</v>
      </c>
      <c r="C4010" s="3" t="s">
        <v>1168</v>
      </c>
      <c r="D4010" s="3" t="s">
        <v>1231</v>
      </c>
      <c r="E4010" s="3" t="s">
        <v>1070</v>
      </c>
      <c r="F4010" s="3">
        <v>0</v>
      </c>
      <c r="G4010" s="3">
        <v>-11396.43</v>
      </c>
    </row>
    <row r="4011" spans="1:7" x14ac:dyDescent="0.2">
      <c r="A4011" s="3" t="s">
        <v>1072</v>
      </c>
      <c r="B4011" s="4">
        <v>45169</v>
      </c>
      <c r="C4011" s="3" t="s">
        <v>1168</v>
      </c>
      <c r="D4011" s="3" t="s">
        <v>1254</v>
      </c>
      <c r="E4011" s="3" t="s">
        <v>1075</v>
      </c>
      <c r="F4011" s="3">
        <v>682.61</v>
      </c>
      <c r="G4011" s="3">
        <v>15462.01</v>
      </c>
    </row>
    <row r="4012" spans="1:7" x14ac:dyDescent="0.2">
      <c r="A4012" s="3" t="s">
        <v>1069</v>
      </c>
      <c r="B4012" s="4">
        <v>45169</v>
      </c>
      <c r="C4012" s="3" t="s">
        <v>1168</v>
      </c>
      <c r="D4012" s="3" t="s">
        <v>1254</v>
      </c>
      <c r="E4012" s="3" t="s">
        <v>1075</v>
      </c>
      <c r="F4012" s="3">
        <v>0</v>
      </c>
      <c r="G4012" s="3">
        <v>33647.279999999999</v>
      </c>
    </row>
    <row r="4013" spans="1:7" x14ac:dyDescent="0.2">
      <c r="A4013" s="3" t="s">
        <v>1072</v>
      </c>
      <c r="B4013" s="4">
        <v>45169</v>
      </c>
      <c r="C4013" s="3" t="s">
        <v>1168</v>
      </c>
      <c r="D4013" s="3" t="s">
        <v>1362</v>
      </c>
      <c r="E4013" s="3" t="s">
        <v>1123</v>
      </c>
      <c r="F4013" s="3">
        <v>368859.45</v>
      </c>
      <c r="G4013" s="3">
        <v>2091795.48</v>
      </c>
    </row>
    <row r="4014" spans="1:7" x14ac:dyDescent="0.2">
      <c r="A4014" s="3" t="s">
        <v>1072</v>
      </c>
      <c r="B4014" s="4">
        <v>45169</v>
      </c>
      <c r="C4014" s="3" t="s">
        <v>1168</v>
      </c>
      <c r="D4014" s="3" t="s">
        <v>1365</v>
      </c>
      <c r="E4014" s="3" t="s">
        <v>1090</v>
      </c>
      <c r="F4014" s="3">
        <v>0</v>
      </c>
      <c r="G4014" s="3">
        <v>5192.13</v>
      </c>
    </row>
    <row r="4015" spans="1:7" x14ac:dyDescent="0.2">
      <c r="A4015" s="3" t="s">
        <v>1072</v>
      </c>
      <c r="B4015" s="4">
        <v>45169</v>
      </c>
      <c r="C4015" s="3" t="s">
        <v>1168</v>
      </c>
      <c r="D4015" s="3" t="s">
        <v>1511</v>
      </c>
      <c r="E4015" s="3" t="s">
        <v>1104</v>
      </c>
      <c r="F4015" s="3">
        <v>177.33</v>
      </c>
      <c r="G4015" s="3">
        <v>1063.98</v>
      </c>
    </row>
    <row r="4016" spans="1:7" x14ac:dyDescent="0.2">
      <c r="A4016" s="3" t="s">
        <v>1072</v>
      </c>
      <c r="B4016" s="4">
        <v>45169</v>
      </c>
      <c r="C4016" s="3" t="s">
        <v>1168</v>
      </c>
      <c r="D4016" s="3" t="s">
        <v>1366</v>
      </c>
      <c r="E4016" s="3" t="s">
        <v>1144</v>
      </c>
      <c r="F4016" s="3">
        <v>9888.9599999999991</v>
      </c>
      <c r="G4016" s="3">
        <v>19268.46</v>
      </c>
    </row>
    <row r="4017" spans="1:7" x14ac:dyDescent="0.2">
      <c r="A4017" s="3" t="s">
        <v>1069</v>
      </c>
      <c r="B4017" s="4">
        <v>45169</v>
      </c>
      <c r="C4017" s="3" t="s">
        <v>1168</v>
      </c>
      <c r="D4017" s="3" t="s">
        <v>1213</v>
      </c>
      <c r="E4017" s="3" t="s">
        <v>1150</v>
      </c>
      <c r="F4017" s="3">
        <v>366.14</v>
      </c>
      <c r="G4017" s="3">
        <v>2083.56</v>
      </c>
    </row>
    <row r="4018" spans="1:7" x14ac:dyDescent="0.2">
      <c r="A4018" s="3" t="s">
        <v>1072</v>
      </c>
      <c r="B4018" s="4">
        <v>45169</v>
      </c>
      <c r="C4018" s="3" t="s">
        <v>1168</v>
      </c>
      <c r="D4018" s="3" t="s">
        <v>1368</v>
      </c>
      <c r="E4018" s="3" t="s">
        <v>1124</v>
      </c>
      <c r="F4018" s="3">
        <v>14904.84</v>
      </c>
      <c r="G4018" s="3">
        <v>25084.51</v>
      </c>
    </row>
    <row r="4019" spans="1:7" x14ac:dyDescent="0.2">
      <c r="A4019" s="3" t="s">
        <v>1072</v>
      </c>
      <c r="B4019" s="4">
        <v>45169</v>
      </c>
      <c r="C4019" s="3" t="s">
        <v>1168</v>
      </c>
      <c r="D4019" s="3" t="s">
        <v>1369</v>
      </c>
      <c r="E4019" s="3" t="s">
        <v>1099</v>
      </c>
      <c r="F4019" s="3">
        <v>3016</v>
      </c>
      <c r="G4019" s="3">
        <v>13527.97</v>
      </c>
    </row>
    <row r="4020" spans="1:7" x14ac:dyDescent="0.2">
      <c r="A4020" s="3" t="s">
        <v>1072</v>
      </c>
      <c r="B4020" s="4">
        <v>45169</v>
      </c>
      <c r="C4020" s="3" t="s">
        <v>1168</v>
      </c>
      <c r="D4020" s="3" t="s">
        <v>1370</v>
      </c>
      <c r="E4020" s="3" t="s">
        <v>1129</v>
      </c>
      <c r="F4020" s="3">
        <v>747</v>
      </c>
      <c r="G4020" s="3">
        <v>4482</v>
      </c>
    </row>
    <row r="4021" spans="1:7" x14ac:dyDescent="0.2">
      <c r="A4021" s="3" t="s">
        <v>1072</v>
      </c>
      <c r="B4021" s="4">
        <v>45169</v>
      </c>
      <c r="C4021" s="3" t="s">
        <v>1168</v>
      </c>
      <c r="D4021" s="3" t="s">
        <v>1371</v>
      </c>
      <c r="E4021" s="3" t="s">
        <v>1093</v>
      </c>
      <c r="F4021" s="3">
        <v>0</v>
      </c>
      <c r="G4021" s="3">
        <v>10825.49</v>
      </c>
    </row>
    <row r="4022" spans="1:7" x14ac:dyDescent="0.2">
      <c r="A4022" s="3" t="s">
        <v>1072</v>
      </c>
      <c r="B4022" s="4">
        <v>45169</v>
      </c>
      <c r="C4022" s="3" t="s">
        <v>1168</v>
      </c>
      <c r="D4022" s="3" t="s">
        <v>1372</v>
      </c>
      <c r="E4022" s="3" t="s">
        <v>1158</v>
      </c>
      <c r="F4022" s="3">
        <v>600</v>
      </c>
      <c r="G4022" s="3">
        <v>3600</v>
      </c>
    </row>
    <row r="4023" spans="1:7" x14ac:dyDescent="0.2">
      <c r="A4023" s="3" t="s">
        <v>1072</v>
      </c>
      <c r="B4023" s="4">
        <v>45169</v>
      </c>
      <c r="C4023" s="3" t="s">
        <v>1168</v>
      </c>
      <c r="D4023" s="3" t="s">
        <v>1373</v>
      </c>
      <c r="E4023" s="3" t="s">
        <v>1092</v>
      </c>
      <c r="F4023" s="3">
        <v>847</v>
      </c>
      <c r="G4023" s="3">
        <v>4886.7299999999996</v>
      </c>
    </row>
    <row r="4024" spans="1:7" x14ac:dyDescent="0.2">
      <c r="A4024" s="3" t="s">
        <v>1072</v>
      </c>
      <c r="B4024" s="4">
        <v>45169</v>
      </c>
      <c r="C4024" s="3" t="s">
        <v>1168</v>
      </c>
      <c r="D4024" s="3" t="s">
        <v>1714</v>
      </c>
      <c r="E4024" s="3" t="s">
        <v>1091</v>
      </c>
      <c r="F4024" s="3">
        <v>4498.72</v>
      </c>
      <c r="G4024" s="3">
        <v>4498.72</v>
      </c>
    </row>
    <row r="4025" spans="1:7" x14ac:dyDescent="0.2">
      <c r="A4025" s="3" t="s">
        <v>1069</v>
      </c>
      <c r="B4025" s="4">
        <v>45169</v>
      </c>
      <c r="C4025" s="3" t="s">
        <v>1168</v>
      </c>
      <c r="D4025" s="3" t="s">
        <v>1232</v>
      </c>
      <c r="E4025" s="3" t="s">
        <v>1105</v>
      </c>
      <c r="F4025" s="3">
        <v>600</v>
      </c>
      <c r="G4025" s="3">
        <v>3600</v>
      </c>
    </row>
    <row r="4026" spans="1:7" x14ac:dyDescent="0.2">
      <c r="A4026" s="3" t="s">
        <v>1074</v>
      </c>
      <c r="B4026" s="4">
        <v>45169</v>
      </c>
      <c r="C4026" s="3" t="s">
        <v>1168</v>
      </c>
      <c r="D4026" s="3" t="s">
        <v>1232</v>
      </c>
      <c r="E4026" s="3" t="s">
        <v>1105</v>
      </c>
      <c r="F4026" s="3">
        <v>600</v>
      </c>
      <c r="G4026" s="3">
        <v>3600</v>
      </c>
    </row>
    <row r="4027" spans="1:7" x14ac:dyDescent="0.2">
      <c r="A4027" s="3" t="s">
        <v>1072</v>
      </c>
      <c r="B4027" s="4">
        <v>45169</v>
      </c>
      <c r="C4027" s="3" t="s">
        <v>1168</v>
      </c>
      <c r="D4027" s="3" t="s">
        <v>1374</v>
      </c>
      <c r="E4027" s="3" t="s">
        <v>1108</v>
      </c>
      <c r="F4027" s="3">
        <v>0</v>
      </c>
      <c r="G4027" s="3">
        <v>4000</v>
      </c>
    </row>
    <row r="4028" spans="1:7" x14ac:dyDescent="0.2">
      <c r="A4028" s="3" t="s">
        <v>1072</v>
      </c>
      <c r="B4028" s="4">
        <v>45169</v>
      </c>
      <c r="C4028" s="3" t="s">
        <v>1168</v>
      </c>
      <c r="D4028" s="3" t="s">
        <v>1375</v>
      </c>
      <c r="E4028" s="3" t="s">
        <v>1100</v>
      </c>
      <c r="F4028" s="3">
        <v>11566.33</v>
      </c>
      <c r="G4028" s="3">
        <v>11566.33</v>
      </c>
    </row>
    <row r="4029" spans="1:7" x14ac:dyDescent="0.2">
      <c r="A4029" s="3" t="s">
        <v>1072</v>
      </c>
      <c r="B4029" s="4">
        <v>45169</v>
      </c>
      <c r="C4029" s="3" t="s">
        <v>1168</v>
      </c>
      <c r="D4029" s="3" t="s">
        <v>1378</v>
      </c>
      <c r="E4029" s="3" t="s">
        <v>1143</v>
      </c>
      <c r="F4029" s="3">
        <v>81778.720000000001</v>
      </c>
      <c r="G4029" s="3">
        <v>477131.32</v>
      </c>
    </row>
    <row r="4030" spans="1:7" x14ac:dyDescent="0.2">
      <c r="A4030" s="3" t="s">
        <v>1072</v>
      </c>
      <c r="B4030" s="4">
        <v>45169</v>
      </c>
      <c r="C4030" s="3" t="s">
        <v>1168</v>
      </c>
      <c r="D4030" s="3" t="s">
        <v>1379</v>
      </c>
      <c r="E4030" s="3" t="s">
        <v>1107</v>
      </c>
      <c r="F4030" s="3">
        <v>4381.84</v>
      </c>
      <c r="G4030" s="3">
        <v>24940.37</v>
      </c>
    </row>
    <row r="4031" spans="1:7" x14ac:dyDescent="0.2">
      <c r="A4031" s="3" t="s">
        <v>1072</v>
      </c>
      <c r="B4031" s="4">
        <v>45169</v>
      </c>
      <c r="C4031" s="3" t="s">
        <v>1168</v>
      </c>
      <c r="D4031" s="3" t="s">
        <v>1380</v>
      </c>
      <c r="E4031" s="3" t="s">
        <v>1125</v>
      </c>
      <c r="F4031" s="3">
        <v>2396.0500000000002</v>
      </c>
      <c r="G4031" s="3">
        <v>13316.88</v>
      </c>
    </row>
    <row r="4032" spans="1:7" x14ac:dyDescent="0.2">
      <c r="A4032" s="3" t="s">
        <v>1072</v>
      </c>
      <c r="B4032" s="4">
        <v>45169</v>
      </c>
      <c r="C4032" s="3" t="s">
        <v>1168</v>
      </c>
      <c r="D4032" s="3" t="s">
        <v>1381</v>
      </c>
      <c r="E4032" s="3" t="s">
        <v>1130</v>
      </c>
      <c r="F4032" s="3">
        <v>2396.0500000000002</v>
      </c>
      <c r="G4032" s="3">
        <v>13316.88</v>
      </c>
    </row>
    <row r="4033" spans="1:7" x14ac:dyDescent="0.2">
      <c r="A4033" s="3" t="s">
        <v>1072</v>
      </c>
      <c r="B4033" s="4">
        <v>45169</v>
      </c>
      <c r="C4033" s="3" t="s">
        <v>1168</v>
      </c>
      <c r="D4033" s="3" t="s">
        <v>1458</v>
      </c>
      <c r="E4033" s="3" t="s">
        <v>1113</v>
      </c>
      <c r="F4033" s="3">
        <v>0</v>
      </c>
      <c r="G4033" s="3">
        <v>15075.35</v>
      </c>
    </row>
    <row r="4034" spans="1:7" x14ac:dyDescent="0.2">
      <c r="A4034" s="3" t="s">
        <v>1072</v>
      </c>
      <c r="B4034" s="4">
        <v>45169</v>
      </c>
      <c r="C4034" s="3" t="s">
        <v>1168</v>
      </c>
      <c r="D4034" s="3" t="s">
        <v>1459</v>
      </c>
      <c r="E4034" s="3" t="s">
        <v>1139</v>
      </c>
      <c r="F4034" s="3">
        <v>0</v>
      </c>
      <c r="G4034" s="3">
        <v>4562.1000000000004</v>
      </c>
    </row>
    <row r="4035" spans="1:7" x14ac:dyDescent="0.2">
      <c r="A4035" s="3" t="s">
        <v>1069</v>
      </c>
      <c r="B4035" s="4">
        <v>45169</v>
      </c>
      <c r="C4035" s="3" t="s">
        <v>1172</v>
      </c>
      <c r="D4035" s="3" t="s">
        <v>1173</v>
      </c>
      <c r="E4035" s="3" t="s">
        <v>1174</v>
      </c>
      <c r="F4035" s="3">
        <v>0</v>
      </c>
      <c r="G4035" s="3">
        <v>-100</v>
      </c>
    </row>
    <row r="4036" spans="1:7" x14ac:dyDescent="0.2">
      <c r="A4036" s="3" t="s">
        <v>1072</v>
      </c>
      <c r="B4036" s="4">
        <v>45169</v>
      </c>
      <c r="C4036" s="3" t="s">
        <v>1172</v>
      </c>
      <c r="D4036" s="3" t="s">
        <v>1382</v>
      </c>
      <c r="E4036" s="3" t="s">
        <v>1383</v>
      </c>
      <c r="F4036" s="3">
        <v>0</v>
      </c>
      <c r="G4036" s="3">
        <v>-120</v>
      </c>
    </row>
    <row r="4037" spans="1:7" x14ac:dyDescent="0.2">
      <c r="A4037" s="3" t="s">
        <v>1072</v>
      </c>
      <c r="B4037" s="4">
        <v>45169</v>
      </c>
      <c r="C4037" s="3" t="s">
        <v>1172</v>
      </c>
      <c r="D4037" s="3" t="s">
        <v>1384</v>
      </c>
      <c r="E4037" s="3" t="s">
        <v>1385</v>
      </c>
      <c r="F4037" s="3">
        <v>0</v>
      </c>
      <c r="G4037" s="3">
        <v>-296075.58</v>
      </c>
    </row>
    <row r="4038" spans="1:7" x14ac:dyDescent="0.2">
      <c r="A4038" s="3" t="s">
        <v>1069</v>
      </c>
      <c r="B4038" s="4">
        <v>45169</v>
      </c>
      <c r="C4038" s="3" t="s">
        <v>1172</v>
      </c>
      <c r="D4038" s="3" t="s">
        <v>1384</v>
      </c>
      <c r="E4038" s="3" t="s">
        <v>1385</v>
      </c>
      <c r="F4038" s="3">
        <v>0</v>
      </c>
      <c r="G4038" s="3">
        <v>-17843179.579999998</v>
      </c>
    </row>
    <row r="4039" spans="1:7" x14ac:dyDescent="0.2">
      <c r="A4039" s="3" t="s">
        <v>1074</v>
      </c>
      <c r="B4039" s="4">
        <v>45169</v>
      </c>
      <c r="C4039" s="3" t="s">
        <v>1172</v>
      </c>
      <c r="D4039" s="3" t="s">
        <v>1384</v>
      </c>
      <c r="E4039" s="3" t="s">
        <v>1385</v>
      </c>
      <c r="F4039" s="3">
        <v>0</v>
      </c>
      <c r="G4039" s="3">
        <v>70398.12</v>
      </c>
    </row>
    <row r="4040" spans="1:7" x14ac:dyDescent="0.2">
      <c r="A4040" s="3" t="s">
        <v>1069</v>
      </c>
      <c r="B4040" s="4">
        <v>45169</v>
      </c>
      <c r="C4040" s="3" t="s">
        <v>1180</v>
      </c>
      <c r="D4040" s="3" t="s">
        <v>1241</v>
      </c>
      <c r="E4040" s="3" t="s">
        <v>1242</v>
      </c>
      <c r="F4040" s="3">
        <v>0</v>
      </c>
      <c r="G4040" s="3">
        <v>17562360.850000001</v>
      </c>
    </row>
    <row r="4041" spans="1:7" x14ac:dyDescent="0.2">
      <c r="A4041" s="3" t="s">
        <v>1072</v>
      </c>
      <c r="B4041" s="4">
        <v>45169</v>
      </c>
      <c r="C4041" s="3" t="s">
        <v>1180</v>
      </c>
      <c r="D4041" s="3" t="s">
        <v>1483</v>
      </c>
      <c r="E4041" s="3" t="s">
        <v>1177</v>
      </c>
      <c r="F4041" s="3">
        <v>40000</v>
      </c>
      <c r="G4041" s="3">
        <v>225000</v>
      </c>
    </row>
    <row r="4042" spans="1:7" x14ac:dyDescent="0.2">
      <c r="A4042" s="3" t="s">
        <v>1072</v>
      </c>
      <c r="B4042" s="4">
        <v>45169</v>
      </c>
      <c r="C4042" s="3" t="s">
        <v>1180</v>
      </c>
      <c r="D4042" s="3" t="s">
        <v>1388</v>
      </c>
      <c r="E4042" s="3" t="s">
        <v>1389</v>
      </c>
      <c r="F4042" s="3">
        <v>0</v>
      </c>
      <c r="G4042" s="3">
        <v>-4342.5</v>
      </c>
    </row>
    <row r="4043" spans="1:7" x14ac:dyDescent="0.2">
      <c r="A4043" s="3" t="s">
        <v>1072</v>
      </c>
      <c r="B4043" s="4">
        <v>45169</v>
      </c>
      <c r="C4043" s="3" t="s">
        <v>1180</v>
      </c>
      <c r="D4043" s="3" t="s">
        <v>1390</v>
      </c>
      <c r="E4043" s="3" t="s">
        <v>1391</v>
      </c>
      <c r="F4043" s="3">
        <v>0</v>
      </c>
      <c r="G4043" s="3">
        <v>-2261000</v>
      </c>
    </row>
    <row r="4044" spans="1:7" x14ac:dyDescent="0.2">
      <c r="A4044" s="3" t="s">
        <v>1072</v>
      </c>
      <c r="B4044" s="4">
        <v>45169</v>
      </c>
      <c r="C4044" s="3" t="s">
        <v>1180</v>
      </c>
      <c r="D4044" s="3" t="s">
        <v>1392</v>
      </c>
      <c r="E4044" s="3" t="s">
        <v>1393</v>
      </c>
      <c r="F4044" s="3">
        <v>0</v>
      </c>
      <c r="G4044" s="3">
        <v>4342.5</v>
      </c>
    </row>
    <row r="4045" spans="1:7" x14ac:dyDescent="0.2">
      <c r="A4045" s="3" t="s">
        <v>1072</v>
      </c>
      <c r="B4045" s="4">
        <v>45169</v>
      </c>
      <c r="C4045" s="3" t="s">
        <v>1180</v>
      </c>
      <c r="D4045" s="3" t="s">
        <v>1394</v>
      </c>
      <c r="E4045" s="3" t="s">
        <v>1256</v>
      </c>
      <c r="F4045" s="3">
        <v>55600</v>
      </c>
      <c r="G4045" s="3">
        <v>36200</v>
      </c>
    </row>
    <row r="4046" spans="1:7" x14ac:dyDescent="0.2">
      <c r="A4046" s="3" t="s">
        <v>1072</v>
      </c>
      <c r="B4046" s="4">
        <v>45169</v>
      </c>
      <c r="C4046" s="3" t="s">
        <v>1180</v>
      </c>
      <c r="D4046" s="3" t="s">
        <v>1395</v>
      </c>
      <c r="E4046" s="3" t="s">
        <v>1396</v>
      </c>
      <c r="F4046" s="3">
        <v>0</v>
      </c>
      <c r="G4046" s="3">
        <v>-10114940.42</v>
      </c>
    </row>
    <row r="4047" spans="1:7" x14ac:dyDescent="0.2">
      <c r="A4047" s="3" t="s">
        <v>1072</v>
      </c>
      <c r="B4047" s="4">
        <v>45169</v>
      </c>
      <c r="C4047" s="3" t="s">
        <v>1180</v>
      </c>
      <c r="D4047" s="3" t="s">
        <v>1397</v>
      </c>
      <c r="E4047" s="3" t="s">
        <v>1398</v>
      </c>
      <c r="F4047" s="3">
        <v>-96989.440000000002</v>
      </c>
      <c r="G4047" s="3">
        <v>-116389.44</v>
      </c>
    </row>
    <row r="4048" spans="1:7" x14ac:dyDescent="0.2">
      <c r="A4048" s="3" t="s">
        <v>1072</v>
      </c>
      <c r="B4048" s="4">
        <v>45169</v>
      </c>
      <c r="C4048" s="3" t="s">
        <v>1180</v>
      </c>
      <c r="D4048" s="3" t="s">
        <v>1512</v>
      </c>
      <c r="E4048" s="3" t="s">
        <v>1513</v>
      </c>
      <c r="F4048" s="3">
        <v>1095000</v>
      </c>
      <c r="G4048" s="3">
        <v>22144187.399999999</v>
      </c>
    </row>
    <row r="4049" spans="1:7" x14ac:dyDescent="0.2">
      <c r="A4049" s="3" t="s">
        <v>1072</v>
      </c>
      <c r="B4049" s="4">
        <v>45169</v>
      </c>
      <c r="C4049" s="3" t="s">
        <v>1180</v>
      </c>
      <c r="D4049" s="3" t="s">
        <v>1399</v>
      </c>
      <c r="E4049" s="3" t="s">
        <v>1400</v>
      </c>
      <c r="F4049" s="3">
        <v>0</v>
      </c>
      <c r="G4049" s="3">
        <v>-22601</v>
      </c>
    </row>
    <row r="4050" spans="1:7" x14ac:dyDescent="0.2">
      <c r="A4050" s="3" t="s">
        <v>1074</v>
      </c>
      <c r="B4050" s="4">
        <v>45169</v>
      </c>
      <c r="C4050" s="3" t="s">
        <v>1175</v>
      </c>
      <c r="D4050" s="3" t="s">
        <v>1492</v>
      </c>
      <c r="E4050" s="3" t="s">
        <v>1493</v>
      </c>
      <c r="F4050" s="3">
        <v>-1360139.98</v>
      </c>
      <c r="G4050" s="3">
        <v>-47343220.210000001</v>
      </c>
    </row>
    <row r="4051" spans="1:7" x14ac:dyDescent="0.2">
      <c r="A4051" s="3" t="s">
        <v>1069</v>
      </c>
      <c r="B4051" s="4">
        <v>45169</v>
      </c>
      <c r="C4051" s="3" t="s">
        <v>1175</v>
      </c>
      <c r="D4051" s="3" t="s">
        <v>1178</v>
      </c>
      <c r="E4051" s="3" t="s">
        <v>1179</v>
      </c>
      <c r="F4051" s="3">
        <v>0</v>
      </c>
      <c r="G4051" s="3">
        <v>10114940.42</v>
      </c>
    </row>
    <row r="4052" spans="1:7" x14ac:dyDescent="0.2">
      <c r="A4052" s="3" t="s">
        <v>1069</v>
      </c>
      <c r="B4052" s="4">
        <v>45169</v>
      </c>
      <c r="C4052" s="3" t="s">
        <v>1175</v>
      </c>
      <c r="D4052" s="3" t="s">
        <v>1233</v>
      </c>
      <c r="E4052" s="3" t="s">
        <v>1234</v>
      </c>
      <c r="F4052" s="3">
        <v>160000</v>
      </c>
      <c r="G4052" s="3">
        <v>3702000</v>
      </c>
    </row>
    <row r="4053" spans="1:7" x14ac:dyDescent="0.2">
      <c r="A4053" s="3" t="s">
        <v>1069</v>
      </c>
      <c r="B4053" s="4">
        <v>45169</v>
      </c>
      <c r="C4053" s="3" t="s">
        <v>1175</v>
      </c>
      <c r="D4053" s="3" t="s">
        <v>1494</v>
      </c>
      <c r="E4053" s="3" t="s">
        <v>1495</v>
      </c>
      <c r="F4053" s="3">
        <v>1360139.98</v>
      </c>
      <c r="G4053" s="3">
        <v>47343220.210000001</v>
      </c>
    </row>
    <row r="4054" spans="1:7" x14ac:dyDescent="0.2">
      <c r="A4054" s="3" t="s">
        <v>1069</v>
      </c>
      <c r="B4054" s="4">
        <v>45169</v>
      </c>
      <c r="C4054" s="3" t="s">
        <v>1175</v>
      </c>
      <c r="D4054" s="3" t="s">
        <v>1516</v>
      </c>
      <c r="E4054" s="3" t="s">
        <v>1400</v>
      </c>
      <c r="F4054" s="3">
        <v>50000</v>
      </c>
      <c r="G4054" s="3">
        <v>62100</v>
      </c>
    </row>
    <row r="4055" spans="1:7" x14ac:dyDescent="0.2">
      <c r="A4055" s="3" t="s">
        <v>1069</v>
      </c>
      <c r="B4055" s="4">
        <v>45169</v>
      </c>
      <c r="C4055" s="3" t="s">
        <v>1175</v>
      </c>
      <c r="D4055" s="3" t="s">
        <v>1517</v>
      </c>
      <c r="E4055" s="3" t="s">
        <v>1398</v>
      </c>
      <c r="F4055" s="3">
        <v>-1005.47</v>
      </c>
      <c r="G4055" s="3">
        <v>-20370.22</v>
      </c>
    </row>
    <row r="4056" spans="1:7" x14ac:dyDescent="0.2">
      <c r="A4056" s="3" t="s">
        <v>1072</v>
      </c>
      <c r="B4056" s="4">
        <v>45169</v>
      </c>
      <c r="C4056" s="3" t="s">
        <v>1180</v>
      </c>
      <c r="D4056" s="3" t="s">
        <v>1409</v>
      </c>
      <c r="E4056" s="3" t="s">
        <v>1410</v>
      </c>
      <c r="F4056" s="3">
        <v>0</v>
      </c>
      <c r="G4056" s="3">
        <v>216064.1</v>
      </c>
    </row>
    <row r="4057" spans="1:7" x14ac:dyDescent="0.2">
      <c r="A4057" s="3" t="s">
        <v>1072</v>
      </c>
      <c r="B4057" s="4">
        <v>45169</v>
      </c>
      <c r="C4057" s="3" t="s">
        <v>1180</v>
      </c>
      <c r="D4057" s="3" t="s">
        <v>1411</v>
      </c>
      <c r="E4057" s="3" t="s">
        <v>1412</v>
      </c>
      <c r="F4057" s="3">
        <v>0</v>
      </c>
      <c r="G4057" s="3">
        <v>-216063.1</v>
      </c>
    </row>
    <row r="4058" spans="1:7" x14ac:dyDescent="0.2">
      <c r="A4058" s="3" t="s">
        <v>1072</v>
      </c>
      <c r="B4058" s="4">
        <v>45169</v>
      </c>
      <c r="C4058" s="3" t="s">
        <v>1180</v>
      </c>
      <c r="D4058" s="3" t="s">
        <v>1413</v>
      </c>
      <c r="E4058" s="3" t="s">
        <v>1414</v>
      </c>
      <c r="F4058" s="3">
        <v>0</v>
      </c>
      <c r="G4058" s="3">
        <v>133790.35</v>
      </c>
    </row>
    <row r="4059" spans="1:7" x14ac:dyDescent="0.2">
      <c r="A4059" s="3" t="s">
        <v>1072</v>
      </c>
      <c r="B4059" s="4">
        <v>45169</v>
      </c>
      <c r="C4059" s="3" t="s">
        <v>1180</v>
      </c>
      <c r="D4059" s="3" t="s">
        <v>1415</v>
      </c>
      <c r="E4059" s="3" t="s">
        <v>1416</v>
      </c>
      <c r="F4059" s="3">
        <v>-3323.89</v>
      </c>
      <c r="G4059" s="3">
        <v>-62866.38</v>
      </c>
    </row>
    <row r="4060" spans="1:7" x14ac:dyDescent="0.2">
      <c r="A4060" s="3" t="s">
        <v>1072</v>
      </c>
      <c r="B4060" s="4">
        <v>45169</v>
      </c>
      <c r="C4060" s="3" t="s">
        <v>1180</v>
      </c>
      <c r="D4060" s="3" t="s">
        <v>1462</v>
      </c>
      <c r="E4060" s="3" t="s">
        <v>1463</v>
      </c>
      <c r="F4060" s="3">
        <v>0</v>
      </c>
      <c r="G4060" s="3">
        <v>37955.300000000003</v>
      </c>
    </row>
    <row r="4061" spans="1:7" x14ac:dyDescent="0.2">
      <c r="A4061" s="3" t="s">
        <v>1072</v>
      </c>
      <c r="B4061" s="4">
        <v>45169</v>
      </c>
      <c r="C4061" s="3" t="s">
        <v>1180</v>
      </c>
      <c r="D4061" s="3" t="s">
        <v>1484</v>
      </c>
      <c r="E4061" s="3" t="s">
        <v>1485</v>
      </c>
      <c r="F4061" s="3">
        <v>-547.66999999999996</v>
      </c>
      <c r="G4061" s="3">
        <v>-9180.61</v>
      </c>
    </row>
    <row r="4062" spans="1:7" x14ac:dyDescent="0.2">
      <c r="A4062" s="3" t="s">
        <v>1072</v>
      </c>
      <c r="B4062" s="4">
        <v>45169</v>
      </c>
      <c r="C4062" s="3" t="s">
        <v>1180</v>
      </c>
      <c r="D4062" s="3" t="s">
        <v>1417</v>
      </c>
      <c r="E4062" s="3" t="s">
        <v>1418</v>
      </c>
      <c r="F4062" s="3">
        <v>0</v>
      </c>
      <c r="G4062" s="3">
        <v>71322</v>
      </c>
    </row>
    <row r="4063" spans="1:7" x14ac:dyDescent="0.2">
      <c r="A4063" s="3" t="s">
        <v>1072</v>
      </c>
      <c r="B4063" s="4">
        <v>45169</v>
      </c>
      <c r="C4063" s="3" t="s">
        <v>1180</v>
      </c>
      <c r="D4063" s="3" t="s">
        <v>1419</v>
      </c>
      <c r="E4063" s="3" t="s">
        <v>1420</v>
      </c>
      <c r="F4063" s="3">
        <v>-1188.7</v>
      </c>
      <c r="G4063" s="3">
        <v>-8267.0300000000007</v>
      </c>
    </row>
    <row r="4064" spans="1:7" x14ac:dyDescent="0.2">
      <c r="A4064" s="3" t="s">
        <v>1069</v>
      </c>
      <c r="B4064" s="4">
        <v>45169</v>
      </c>
      <c r="C4064" s="3" t="s">
        <v>1180</v>
      </c>
      <c r="D4064" s="3" t="s">
        <v>1421</v>
      </c>
      <c r="E4064" s="3" t="s">
        <v>1422</v>
      </c>
      <c r="F4064" s="3">
        <v>0</v>
      </c>
      <c r="G4064" s="3">
        <v>874505.75</v>
      </c>
    </row>
    <row r="4065" spans="1:7" x14ac:dyDescent="0.2">
      <c r="A4065" s="3" t="s">
        <v>1074</v>
      </c>
      <c r="B4065" s="4">
        <v>45169</v>
      </c>
      <c r="C4065" s="3" t="s">
        <v>1180</v>
      </c>
      <c r="D4065" s="3" t="s">
        <v>1421</v>
      </c>
      <c r="E4065" s="3" t="s">
        <v>1533</v>
      </c>
      <c r="F4065" s="3">
        <v>265588</v>
      </c>
      <c r="G4065" s="3">
        <v>1311564.8600000001</v>
      </c>
    </row>
    <row r="4066" spans="1:7" x14ac:dyDescent="0.2">
      <c r="A4066" s="3" t="s">
        <v>1069</v>
      </c>
      <c r="B4066" s="4">
        <v>45169</v>
      </c>
      <c r="C4066" s="3" t="s">
        <v>1180</v>
      </c>
      <c r="D4066" s="3" t="s">
        <v>1214</v>
      </c>
      <c r="E4066" s="3" t="s">
        <v>1215</v>
      </c>
      <c r="F4066" s="3">
        <v>0</v>
      </c>
      <c r="G4066" s="3">
        <v>26200000</v>
      </c>
    </row>
    <row r="4067" spans="1:7" x14ac:dyDescent="0.2">
      <c r="A4067" s="3" t="s">
        <v>1069</v>
      </c>
      <c r="B4067" s="4">
        <v>45169</v>
      </c>
      <c r="C4067" s="3" t="s">
        <v>1180</v>
      </c>
      <c r="D4067" s="3" t="s">
        <v>1216</v>
      </c>
      <c r="E4067" s="3" t="s">
        <v>1217</v>
      </c>
      <c r="F4067" s="3">
        <v>0</v>
      </c>
      <c r="G4067" s="3">
        <v>68427</v>
      </c>
    </row>
    <row r="4068" spans="1:7" x14ac:dyDescent="0.2">
      <c r="A4068" s="3" t="s">
        <v>1069</v>
      </c>
      <c r="B4068" s="4">
        <v>45169</v>
      </c>
      <c r="C4068" s="3" t="s">
        <v>1180</v>
      </c>
      <c r="D4068" s="3" t="s">
        <v>1218</v>
      </c>
      <c r="E4068" s="3" t="s">
        <v>1219</v>
      </c>
      <c r="F4068" s="3">
        <v>0</v>
      </c>
      <c r="G4068" s="3">
        <v>103812</v>
      </c>
    </row>
    <row r="4069" spans="1:7" x14ac:dyDescent="0.2">
      <c r="A4069" s="3" t="s">
        <v>1069</v>
      </c>
      <c r="B4069" s="4">
        <v>45169</v>
      </c>
      <c r="C4069" s="3" t="s">
        <v>1180</v>
      </c>
      <c r="D4069" s="3" t="s">
        <v>1197</v>
      </c>
      <c r="E4069" s="3" t="s">
        <v>1198</v>
      </c>
      <c r="F4069" s="3">
        <v>0</v>
      </c>
      <c r="G4069" s="3">
        <v>314087</v>
      </c>
    </row>
    <row r="4070" spans="1:7" x14ac:dyDescent="0.2">
      <c r="A4070" s="3" t="s">
        <v>1074</v>
      </c>
      <c r="B4070" s="4">
        <v>45169</v>
      </c>
      <c r="C4070" s="3" t="s">
        <v>1180</v>
      </c>
      <c r="D4070" s="3" t="s">
        <v>1197</v>
      </c>
      <c r="E4070" s="3" t="s">
        <v>1550</v>
      </c>
      <c r="F4070" s="3">
        <v>12900</v>
      </c>
      <c r="G4070" s="3">
        <v>750378.5</v>
      </c>
    </row>
    <row r="4071" spans="1:7" x14ac:dyDescent="0.2">
      <c r="A4071" s="3" t="s">
        <v>1069</v>
      </c>
      <c r="B4071" s="4">
        <v>45169</v>
      </c>
      <c r="C4071" s="3" t="s">
        <v>1180</v>
      </c>
      <c r="D4071" s="3" t="s">
        <v>1496</v>
      </c>
      <c r="E4071" s="3" t="s">
        <v>1497</v>
      </c>
      <c r="F4071" s="3">
        <v>0</v>
      </c>
      <c r="G4071" s="3">
        <v>139500</v>
      </c>
    </row>
    <row r="4072" spans="1:7" x14ac:dyDescent="0.2">
      <c r="A4072" s="3" t="s">
        <v>1069</v>
      </c>
      <c r="B4072" s="4">
        <v>45169</v>
      </c>
      <c r="C4072" s="3" t="s">
        <v>1180</v>
      </c>
      <c r="D4072" s="3" t="s">
        <v>1181</v>
      </c>
      <c r="E4072" s="3" t="s">
        <v>1182</v>
      </c>
      <c r="F4072" s="3">
        <v>0</v>
      </c>
      <c r="G4072" s="3">
        <v>8557641.8000000007</v>
      </c>
    </row>
    <row r="4073" spans="1:7" x14ac:dyDescent="0.2">
      <c r="A4073" s="3" t="s">
        <v>1069</v>
      </c>
      <c r="B4073" s="4">
        <v>45169</v>
      </c>
      <c r="C4073" s="3" t="s">
        <v>1180</v>
      </c>
      <c r="D4073" s="3" t="s">
        <v>1263</v>
      </c>
      <c r="E4073" s="3" t="s">
        <v>1264</v>
      </c>
      <c r="F4073" s="3">
        <v>0</v>
      </c>
      <c r="G4073" s="3">
        <v>13807.78</v>
      </c>
    </row>
    <row r="4074" spans="1:7" x14ac:dyDescent="0.2">
      <c r="A4074" s="3" t="s">
        <v>1069</v>
      </c>
      <c r="B4074" s="4">
        <v>45169</v>
      </c>
      <c r="C4074" s="3" t="s">
        <v>1180</v>
      </c>
      <c r="D4074" s="3" t="s">
        <v>1202</v>
      </c>
      <c r="E4074" s="3" t="s">
        <v>1203</v>
      </c>
      <c r="F4074" s="3">
        <v>0</v>
      </c>
      <c r="G4074" s="3">
        <v>197060.09</v>
      </c>
    </row>
    <row r="4075" spans="1:7" x14ac:dyDescent="0.2">
      <c r="A4075" s="3" t="s">
        <v>1074</v>
      </c>
      <c r="B4075" s="4">
        <v>45169</v>
      </c>
      <c r="C4075" s="3" t="s">
        <v>1180</v>
      </c>
      <c r="D4075" s="3" t="s">
        <v>1202</v>
      </c>
      <c r="E4075" s="3" t="s">
        <v>1577</v>
      </c>
      <c r="F4075" s="3">
        <v>33140.61</v>
      </c>
      <c r="G4075" s="3">
        <v>186612.64</v>
      </c>
    </row>
    <row r="4076" spans="1:7" x14ac:dyDescent="0.2">
      <c r="A4076" s="3" t="s">
        <v>1069</v>
      </c>
      <c r="B4076" s="4">
        <v>45169</v>
      </c>
      <c r="C4076" s="3" t="s">
        <v>1180</v>
      </c>
      <c r="D4076" s="3" t="s">
        <v>1204</v>
      </c>
      <c r="E4076" s="3" t="s">
        <v>1205</v>
      </c>
      <c r="F4076" s="3">
        <v>0</v>
      </c>
      <c r="G4076" s="3">
        <v>7500</v>
      </c>
    </row>
    <row r="4077" spans="1:7" x14ac:dyDescent="0.2">
      <c r="A4077" s="3" t="s">
        <v>1074</v>
      </c>
      <c r="B4077" s="4">
        <v>45169</v>
      </c>
      <c r="C4077" s="3" t="s">
        <v>1180</v>
      </c>
      <c r="D4077" s="3" t="s">
        <v>1204</v>
      </c>
      <c r="E4077" s="3" t="s">
        <v>1673</v>
      </c>
      <c r="F4077" s="3">
        <v>0</v>
      </c>
      <c r="G4077" s="3">
        <v>114370.5</v>
      </c>
    </row>
    <row r="4078" spans="1:7" x14ac:dyDescent="0.2">
      <c r="A4078" s="3" t="s">
        <v>1069</v>
      </c>
      <c r="B4078" s="4">
        <v>45169</v>
      </c>
      <c r="C4078" s="3" t="s">
        <v>1180</v>
      </c>
      <c r="D4078" s="3" t="s">
        <v>1199</v>
      </c>
      <c r="E4078" s="3" t="s">
        <v>1200</v>
      </c>
      <c r="F4078" s="3">
        <v>78856.38</v>
      </c>
      <c r="G4078" s="3">
        <v>146256.38</v>
      </c>
    </row>
    <row r="4079" spans="1:7" x14ac:dyDescent="0.2">
      <c r="A4079" s="3" t="s">
        <v>1069</v>
      </c>
      <c r="B4079" s="4">
        <v>45169</v>
      </c>
      <c r="C4079" s="3" t="s">
        <v>1180</v>
      </c>
      <c r="D4079" s="3" t="s">
        <v>1486</v>
      </c>
      <c r="E4079" s="3" t="s">
        <v>1487</v>
      </c>
      <c r="F4079" s="3">
        <v>0</v>
      </c>
      <c r="G4079" s="3">
        <v>20600</v>
      </c>
    </row>
    <row r="4080" spans="1:7" x14ac:dyDescent="0.2">
      <c r="A4080" s="3" t="s">
        <v>1069</v>
      </c>
      <c r="B4080" s="4">
        <v>45169</v>
      </c>
      <c r="C4080" s="3" t="s">
        <v>1180</v>
      </c>
      <c r="D4080" s="3" t="s">
        <v>1220</v>
      </c>
      <c r="E4080" s="3" t="s">
        <v>1221</v>
      </c>
      <c r="F4080" s="3">
        <v>0</v>
      </c>
      <c r="G4080" s="3">
        <v>15175</v>
      </c>
    </row>
    <row r="4081" spans="1:7" x14ac:dyDescent="0.2">
      <c r="A4081" s="3" t="s">
        <v>1069</v>
      </c>
      <c r="B4081" s="4">
        <v>45169</v>
      </c>
      <c r="C4081" s="3" t="s">
        <v>1180</v>
      </c>
      <c r="D4081" s="3" t="s">
        <v>1498</v>
      </c>
      <c r="E4081" s="3" t="s">
        <v>1499</v>
      </c>
      <c r="F4081" s="3">
        <v>0</v>
      </c>
      <c r="G4081" s="3">
        <v>570856.07999999996</v>
      </c>
    </row>
    <row r="4082" spans="1:7" x14ac:dyDescent="0.2">
      <c r="A4082" s="3" t="s">
        <v>1069</v>
      </c>
      <c r="B4082" s="4">
        <v>45169</v>
      </c>
      <c r="C4082" s="3" t="s">
        <v>1180</v>
      </c>
      <c r="D4082" s="3" t="s">
        <v>1183</v>
      </c>
      <c r="E4082" s="3" t="s">
        <v>1184</v>
      </c>
      <c r="F4082" s="3">
        <v>0</v>
      </c>
      <c r="G4082" s="3">
        <v>47748851.509999998</v>
      </c>
    </row>
    <row r="4083" spans="1:7" x14ac:dyDescent="0.2">
      <c r="A4083" s="3" t="s">
        <v>1074</v>
      </c>
      <c r="B4083" s="4">
        <v>45169</v>
      </c>
      <c r="C4083" s="3" t="s">
        <v>1180</v>
      </c>
      <c r="D4083" s="3" t="s">
        <v>1183</v>
      </c>
      <c r="E4083" s="3" t="s">
        <v>1631</v>
      </c>
      <c r="F4083" s="3">
        <v>681581.85</v>
      </c>
      <c r="G4083" s="3">
        <v>7869339.7699999996</v>
      </c>
    </row>
    <row r="4084" spans="1:7" x14ac:dyDescent="0.2">
      <c r="A4084" s="3" t="s">
        <v>1069</v>
      </c>
      <c r="B4084" s="4">
        <v>45169</v>
      </c>
      <c r="C4084" s="3" t="s">
        <v>1180</v>
      </c>
      <c r="D4084" s="3" t="s">
        <v>1222</v>
      </c>
      <c r="E4084" s="3" t="s">
        <v>1223</v>
      </c>
      <c r="F4084" s="3">
        <v>0</v>
      </c>
      <c r="G4084" s="3">
        <v>3850818.04</v>
      </c>
    </row>
    <row r="4085" spans="1:7" x14ac:dyDescent="0.2">
      <c r="A4085" s="3" t="s">
        <v>1074</v>
      </c>
      <c r="B4085" s="4">
        <v>45169</v>
      </c>
      <c r="C4085" s="3" t="s">
        <v>1180</v>
      </c>
      <c r="D4085" s="3" t="s">
        <v>1222</v>
      </c>
      <c r="E4085" s="3" t="s">
        <v>1664</v>
      </c>
      <c r="F4085" s="3">
        <v>0</v>
      </c>
      <c r="G4085" s="3">
        <v>1826086.96</v>
      </c>
    </row>
    <row r="4086" spans="1:7" x14ac:dyDescent="0.2">
      <c r="A4086" s="3" t="s">
        <v>1069</v>
      </c>
      <c r="B4086" s="4">
        <v>45169</v>
      </c>
      <c r="C4086" s="3" t="s">
        <v>1180</v>
      </c>
      <c r="D4086" s="3" t="s">
        <v>1235</v>
      </c>
      <c r="E4086" s="3" t="s">
        <v>1236</v>
      </c>
      <c r="F4086" s="3">
        <v>0</v>
      </c>
      <c r="G4086" s="3">
        <v>782608.07</v>
      </c>
    </row>
    <row r="4087" spans="1:7" x14ac:dyDescent="0.2">
      <c r="A4087" s="3" t="s">
        <v>1074</v>
      </c>
      <c r="B4087" s="4">
        <v>45169</v>
      </c>
      <c r="C4087" s="3" t="s">
        <v>1180</v>
      </c>
      <c r="D4087" s="3" t="s">
        <v>1235</v>
      </c>
      <c r="E4087" s="3" t="s">
        <v>1715</v>
      </c>
      <c r="F4087" s="3">
        <v>217391.3</v>
      </c>
      <c r="G4087" s="3">
        <v>217391.3</v>
      </c>
    </row>
    <row r="4088" spans="1:7" x14ac:dyDescent="0.2">
      <c r="A4088" s="3" t="s">
        <v>1069</v>
      </c>
      <c r="B4088" s="4">
        <v>45169</v>
      </c>
      <c r="C4088" s="3" t="s">
        <v>1180</v>
      </c>
      <c r="D4088" s="3" t="s">
        <v>1206</v>
      </c>
      <c r="E4088" s="3" t="s">
        <v>1207</v>
      </c>
      <c r="F4088" s="3">
        <v>0</v>
      </c>
      <c r="G4088" s="3">
        <v>166550</v>
      </c>
    </row>
    <row r="4089" spans="1:7" x14ac:dyDescent="0.2">
      <c r="A4089" s="3" t="s">
        <v>1074</v>
      </c>
      <c r="B4089" s="4">
        <v>45169</v>
      </c>
      <c r="C4089" s="3" t="s">
        <v>1180</v>
      </c>
      <c r="D4089" s="3" t="s">
        <v>1206</v>
      </c>
      <c r="E4089" s="3" t="s">
        <v>1697</v>
      </c>
      <c r="F4089" s="3">
        <v>0</v>
      </c>
      <c r="G4089" s="3">
        <v>2834.7</v>
      </c>
    </row>
    <row r="4090" spans="1:7" x14ac:dyDescent="0.2">
      <c r="A4090" s="3" t="s">
        <v>1069</v>
      </c>
      <c r="B4090" s="4">
        <v>45169</v>
      </c>
      <c r="C4090" s="3" t="s">
        <v>1180</v>
      </c>
      <c r="D4090" s="3" t="s">
        <v>1208</v>
      </c>
      <c r="E4090" s="3" t="s">
        <v>1209</v>
      </c>
      <c r="F4090" s="3">
        <v>0</v>
      </c>
      <c r="G4090" s="3">
        <v>45000</v>
      </c>
    </row>
    <row r="4091" spans="1:7" x14ac:dyDescent="0.2">
      <c r="A4091" s="3" t="s">
        <v>1069</v>
      </c>
      <c r="B4091" s="4">
        <v>45169</v>
      </c>
      <c r="C4091" s="3" t="s">
        <v>1180</v>
      </c>
      <c r="D4091" s="3" t="s">
        <v>1259</v>
      </c>
      <c r="E4091" s="3" t="s">
        <v>1260</v>
      </c>
      <c r="F4091" s="3">
        <v>6000</v>
      </c>
      <c r="G4091" s="3">
        <v>167000</v>
      </c>
    </row>
    <row r="4092" spans="1:7" x14ac:dyDescent="0.2">
      <c r="A4092" s="3" t="s">
        <v>1074</v>
      </c>
      <c r="B4092" s="4">
        <v>45169</v>
      </c>
      <c r="C4092" s="3" t="s">
        <v>1180</v>
      </c>
      <c r="D4092" s="3" t="s">
        <v>1674</v>
      </c>
      <c r="E4092" s="3" t="s">
        <v>1675</v>
      </c>
      <c r="F4092" s="3">
        <v>237699</v>
      </c>
      <c r="G4092" s="3">
        <v>530452.14</v>
      </c>
    </row>
    <row r="4093" spans="1:7" x14ac:dyDescent="0.2">
      <c r="A4093" s="3" t="s">
        <v>1074</v>
      </c>
      <c r="B4093" s="4">
        <v>45169</v>
      </c>
      <c r="C4093" s="3" t="s">
        <v>1180</v>
      </c>
      <c r="D4093" s="3" t="s">
        <v>1578</v>
      </c>
      <c r="E4093" s="3" t="s">
        <v>1579</v>
      </c>
      <c r="F4093" s="3">
        <v>0</v>
      </c>
      <c r="G4093" s="3">
        <v>66190.11</v>
      </c>
    </row>
    <row r="4094" spans="1:7" x14ac:dyDescent="0.2">
      <c r="A4094" s="3" t="s">
        <v>1069</v>
      </c>
      <c r="B4094" s="4">
        <v>45169</v>
      </c>
      <c r="C4094" s="3" t="s">
        <v>1180</v>
      </c>
      <c r="D4094" s="3" t="s">
        <v>1265</v>
      </c>
      <c r="E4094" s="3" t="s">
        <v>1266</v>
      </c>
      <c r="F4094" s="3">
        <v>0</v>
      </c>
      <c r="G4094" s="3">
        <v>3252759.95</v>
      </c>
    </row>
    <row r="4095" spans="1:7" x14ac:dyDescent="0.2">
      <c r="A4095" s="3" t="s">
        <v>1074</v>
      </c>
      <c r="B4095" s="4">
        <v>45169</v>
      </c>
      <c r="C4095" s="3" t="s">
        <v>1180</v>
      </c>
      <c r="D4095" s="3" t="s">
        <v>1265</v>
      </c>
      <c r="E4095" s="3" t="s">
        <v>1518</v>
      </c>
      <c r="F4095" s="3">
        <v>4043.31</v>
      </c>
      <c r="G4095" s="3">
        <v>1528229.07</v>
      </c>
    </row>
    <row r="4096" spans="1:7" x14ac:dyDescent="0.2">
      <c r="A4096" s="3" t="s">
        <v>1069</v>
      </c>
      <c r="B4096" s="4">
        <v>45169</v>
      </c>
      <c r="C4096" s="3" t="s">
        <v>1180</v>
      </c>
      <c r="D4096" s="3" t="s">
        <v>1423</v>
      </c>
      <c r="E4096" s="3" t="s">
        <v>1424</v>
      </c>
      <c r="F4096" s="3">
        <v>0</v>
      </c>
      <c r="G4096" s="3">
        <v>622274.51</v>
      </c>
    </row>
    <row r="4097" spans="1:7" x14ac:dyDescent="0.2">
      <c r="A4097" s="3" t="s">
        <v>1074</v>
      </c>
      <c r="B4097" s="4">
        <v>45169</v>
      </c>
      <c r="C4097" s="3" t="s">
        <v>1180</v>
      </c>
      <c r="D4097" s="3" t="s">
        <v>1519</v>
      </c>
      <c r="E4097" s="3" t="s">
        <v>1551</v>
      </c>
      <c r="F4097" s="3">
        <v>0</v>
      </c>
      <c r="G4097" s="3">
        <v>76530</v>
      </c>
    </row>
    <row r="4098" spans="1:7" x14ac:dyDescent="0.2">
      <c r="A4098" s="3" t="s">
        <v>1069</v>
      </c>
      <c r="B4098" s="4">
        <v>45169</v>
      </c>
      <c r="C4098" s="3" t="s">
        <v>1180</v>
      </c>
      <c r="D4098" s="3" t="s">
        <v>1519</v>
      </c>
      <c r="E4098" s="3" t="s">
        <v>1520</v>
      </c>
      <c r="F4098" s="3">
        <v>0</v>
      </c>
      <c r="G4098" s="3">
        <v>985049.68</v>
      </c>
    </row>
    <row r="4099" spans="1:7" x14ac:dyDescent="0.2">
      <c r="A4099" s="3" t="s">
        <v>1074</v>
      </c>
      <c r="B4099" s="4">
        <v>45169</v>
      </c>
      <c r="C4099" s="3" t="s">
        <v>1180</v>
      </c>
      <c r="D4099" s="3" t="s">
        <v>1521</v>
      </c>
      <c r="E4099" s="3" t="s">
        <v>1522</v>
      </c>
      <c r="F4099" s="3">
        <v>1400</v>
      </c>
      <c r="G4099" s="3">
        <v>23000</v>
      </c>
    </row>
    <row r="4100" spans="1:7" x14ac:dyDescent="0.2">
      <c r="A4100" s="3" t="s">
        <v>1074</v>
      </c>
      <c r="B4100" s="4">
        <v>45169</v>
      </c>
      <c r="C4100" s="3" t="s">
        <v>1180</v>
      </c>
      <c r="D4100" s="3" t="s">
        <v>1534</v>
      </c>
      <c r="E4100" s="3" t="s">
        <v>1535</v>
      </c>
      <c r="F4100" s="3">
        <v>0</v>
      </c>
      <c r="G4100" s="3">
        <v>684782.6</v>
      </c>
    </row>
    <row r="4101" spans="1:7" x14ac:dyDescent="0.2">
      <c r="A4101" s="3" t="s">
        <v>1074</v>
      </c>
      <c r="B4101" s="4">
        <v>45169</v>
      </c>
      <c r="C4101" s="3" t="s">
        <v>1180</v>
      </c>
      <c r="D4101" s="3" t="s">
        <v>1610</v>
      </c>
      <c r="E4101" s="3" t="s">
        <v>1611</v>
      </c>
      <c r="F4101" s="3">
        <v>0</v>
      </c>
      <c r="G4101" s="3">
        <v>1130099.94</v>
      </c>
    </row>
    <row r="4102" spans="1:7" x14ac:dyDescent="0.2">
      <c r="A4102" s="3" t="s">
        <v>1074</v>
      </c>
      <c r="B4102" s="4">
        <v>45169</v>
      </c>
      <c r="C4102" s="3" t="s">
        <v>1180</v>
      </c>
      <c r="D4102" s="3" t="s">
        <v>1653</v>
      </c>
      <c r="E4102" s="3" t="s">
        <v>1654</v>
      </c>
      <c r="F4102" s="3">
        <v>0</v>
      </c>
      <c r="G4102" s="3">
        <v>20707183.050000001</v>
      </c>
    </row>
    <row r="4103" spans="1:7" x14ac:dyDescent="0.2">
      <c r="A4103" s="3" t="s">
        <v>1069</v>
      </c>
      <c r="B4103" s="4">
        <v>45169</v>
      </c>
      <c r="C4103" s="3" t="s">
        <v>1180</v>
      </c>
      <c r="D4103" s="3" t="s">
        <v>1536</v>
      </c>
      <c r="E4103" s="3" t="s">
        <v>1537</v>
      </c>
      <c r="F4103" s="3">
        <v>0</v>
      </c>
      <c r="G4103" s="3">
        <v>2148883.15</v>
      </c>
    </row>
    <row r="4104" spans="1:7" x14ac:dyDescent="0.2">
      <c r="A4104" s="3" t="s">
        <v>1069</v>
      </c>
      <c r="B4104" s="4">
        <v>45169</v>
      </c>
      <c r="C4104" s="3" t="s">
        <v>1180</v>
      </c>
      <c r="D4104" s="3" t="s">
        <v>1665</v>
      </c>
      <c r="E4104" s="3" t="s">
        <v>1666</v>
      </c>
      <c r="F4104" s="3">
        <v>0</v>
      </c>
      <c r="G4104" s="3">
        <v>1068455</v>
      </c>
    </row>
    <row r="4105" spans="1:7" x14ac:dyDescent="0.2">
      <c r="A4105" s="3" t="s">
        <v>1074</v>
      </c>
      <c r="B4105" s="4">
        <v>45169</v>
      </c>
      <c r="C4105" s="3" t="s">
        <v>1180</v>
      </c>
      <c r="D4105" s="3" t="s">
        <v>1665</v>
      </c>
      <c r="E4105" s="3" t="s">
        <v>1716</v>
      </c>
      <c r="F4105" s="3">
        <v>1493783.62</v>
      </c>
      <c r="G4105" s="3">
        <v>1493783.62</v>
      </c>
    </row>
    <row r="4106" spans="1:7" x14ac:dyDescent="0.2">
      <c r="A4106" s="3" t="s">
        <v>1069</v>
      </c>
      <c r="B4106" s="4">
        <v>45169</v>
      </c>
      <c r="C4106" s="3" t="s">
        <v>1180</v>
      </c>
      <c r="D4106" s="3" t="s">
        <v>1655</v>
      </c>
      <c r="E4106" s="3" t="s">
        <v>1656</v>
      </c>
      <c r="F4106" s="3">
        <v>0</v>
      </c>
      <c r="G4106" s="3">
        <v>-24427668.440000001</v>
      </c>
    </row>
    <row r="4107" spans="1:7" x14ac:dyDescent="0.2">
      <c r="A4107" s="3" t="s">
        <v>1072</v>
      </c>
      <c r="B4107" s="4">
        <v>45169</v>
      </c>
      <c r="C4107" s="3" t="s">
        <v>1180</v>
      </c>
      <c r="D4107" s="3" t="s">
        <v>1425</v>
      </c>
      <c r="E4107" s="3" t="s">
        <v>1426</v>
      </c>
      <c r="F4107" s="3">
        <v>0</v>
      </c>
      <c r="G4107" s="3">
        <v>29600</v>
      </c>
    </row>
    <row r="4108" spans="1:7" x14ac:dyDescent="0.2">
      <c r="A4108" s="3" t="s">
        <v>1072</v>
      </c>
      <c r="B4108" s="4">
        <v>45169</v>
      </c>
      <c r="C4108" s="3" t="s">
        <v>1180</v>
      </c>
      <c r="D4108" s="3" t="s">
        <v>1427</v>
      </c>
      <c r="E4108" s="3" t="s">
        <v>1428</v>
      </c>
      <c r="F4108" s="3">
        <v>-2690400.95</v>
      </c>
      <c r="G4108" s="3">
        <v>-10539291.08</v>
      </c>
    </row>
    <row r="4109" spans="1:7" x14ac:dyDescent="0.2">
      <c r="A4109" s="3" t="s">
        <v>1069</v>
      </c>
      <c r="B4109" s="4">
        <v>45169</v>
      </c>
      <c r="C4109" s="3" t="s">
        <v>1180</v>
      </c>
      <c r="D4109" s="3" t="s">
        <v>1427</v>
      </c>
      <c r="E4109" s="3" t="s">
        <v>1428</v>
      </c>
      <c r="F4109" s="3">
        <v>-67165</v>
      </c>
      <c r="G4109" s="3">
        <v>355606.61</v>
      </c>
    </row>
    <row r="4110" spans="1:7" x14ac:dyDescent="0.2">
      <c r="A4110" s="3" t="s">
        <v>1069</v>
      </c>
      <c r="B4110" s="4">
        <v>45169</v>
      </c>
      <c r="C4110" s="3" t="s">
        <v>1180</v>
      </c>
      <c r="D4110" s="3" t="s">
        <v>1187</v>
      </c>
      <c r="E4110" s="3" t="s">
        <v>1188</v>
      </c>
      <c r="F4110" s="3">
        <v>899155.34</v>
      </c>
      <c r="G4110" s="3">
        <v>1802562.81</v>
      </c>
    </row>
    <row r="4111" spans="1:7" x14ac:dyDescent="0.2">
      <c r="A4111" s="3" t="s">
        <v>1072</v>
      </c>
      <c r="B4111" s="4">
        <v>45169</v>
      </c>
      <c r="C4111" s="3" t="s">
        <v>1180</v>
      </c>
      <c r="D4111" s="3" t="s">
        <v>1187</v>
      </c>
      <c r="E4111" s="3" t="s">
        <v>1433</v>
      </c>
      <c r="F4111" s="3">
        <v>638416.21</v>
      </c>
      <c r="G4111" s="3">
        <v>744542.21</v>
      </c>
    </row>
    <row r="4112" spans="1:7" x14ac:dyDescent="0.2">
      <c r="A4112" s="3" t="s">
        <v>1072</v>
      </c>
      <c r="B4112" s="4">
        <v>45169</v>
      </c>
      <c r="C4112" s="3" t="s">
        <v>1180</v>
      </c>
      <c r="D4112" s="3" t="s">
        <v>1189</v>
      </c>
      <c r="E4112" s="3" t="s">
        <v>1434</v>
      </c>
      <c r="F4112" s="3">
        <v>0</v>
      </c>
      <c r="G4112" s="3">
        <v>-1188</v>
      </c>
    </row>
    <row r="4113" spans="1:7" x14ac:dyDescent="0.2">
      <c r="A4113" s="3" t="s">
        <v>1072</v>
      </c>
      <c r="B4113" s="4">
        <v>45169</v>
      </c>
      <c r="C4113" s="3" t="s">
        <v>1180</v>
      </c>
      <c r="D4113" s="3" t="s">
        <v>1435</v>
      </c>
      <c r="E4113" s="3" t="s">
        <v>1436</v>
      </c>
      <c r="F4113" s="3">
        <v>4.04</v>
      </c>
      <c r="G4113" s="3">
        <v>563.41</v>
      </c>
    </row>
    <row r="4114" spans="1:7" x14ac:dyDescent="0.2">
      <c r="A4114" s="3" t="s">
        <v>1069</v>
      </c>
      <c r="B4114" s="4">
        <v>45169</v>
      </c>
      <c r="C4114" s="3" t="s">
        <v>1180</v>
      </c>
      <c r="D4114" s="3" t="s">
        <v>1435</v>
      </c>
      <c r="E4114" s="3" t="s">
        <v>1434</v>
      </c>
      <c r="F4114" s="3">
        <v>0</v>
      </c>
      <c r="G4114" s="3">
        <v>8620</v>
      </c>
    </row>
    <row r="4115" spans="1:7" x14ac:dyDescent="0.2">
      <c r="A4115" s="3" t="s">
        <v>1069</v>
      </c>
      <c r="B4115" s="4">
        <v>45169</v>
      </c>
      <c r="C4115" s="3" t="s">
        <v>1180</v>
      </c>
      <c r="D4115" s="3" t="s">
        <v>1243</v>
      </c>
      <c r="E4115" s="3" t="s">
        <v>1244</v>
      </c>
      <c r="F4115" s="3">
        <v>0</v>
      </c>
      <c r="G4115" s="3">
        <v>848.44</v>
      </c>
    </row>
    <row r="4116" spans="1:7" x14ac:dyDescent="0.2">
      <c r="A4116" s="3" t="s">
        <v>1069</v>
      </c>
      <c r="B4116" s="4">
        <v>45169</v>
      </c>
      <c r="C4116" s="3" t="s">
        <v>1180</v>
      </c>
      <c r="D4116" s="3" t="s">
        <v>1245</v>
      </c>
      <c r="E4116" s="3" t="s">
        <v>1246</v>
      </c>
      <c r="F4116" s="3">
        <v>1395844.89</v>
      </c>
      <c r="G4116" s="3">
        <v>33595163.020000003</v>
      </c>
    </row>
    <row r="4117" spans="1:7" x14ac:dyDescent="0.2">
      <c r="A4117" s="3" t="s">
        <v>1072</v>
      </c>
      <c r="B4117" s="4">
        <v>45169</v>
      </c>
      <c r="C4117" s="3" t="s">
        <v>1175</v>
      </c>
      <c r="D4117" s="3" t="s">
        <v>1437</v>
      </c>
      <c r="E4117" s="3" t="s">
        <v>1438</v>
      </c>
      <c r="F4117" s="3">
        <v>-0.04</v>
      </c>
      <c r="G4117" s="3">
        <v>-29.02</v>
      </c>
    </row>
    <row r="4118" spans="1:7" x14ac:dyDescent="0.2">
      <c r="A4118" s="3" t="s">
        <v>1069</v>
      </c>
      <c r="B4118" s="4">
        <v>45169</v>
      </c>
      <c r="C4118" s="3" t="s">
        <v>1175</v>
      </c>
      <c r="D4118" s="3" t="s">
        <v>1437</v>
      </c>
      <c r="E4118" s="3" t="s">
        <v>1438</v>
      </c>
      <c r="F4118" s="3">
        <v>0</v>
      </c>
      <c r="G4118" s="3">
        <v>0.13</v>
      </c>
    </row>
    <row r="4119" spans="1:7" x14ac:dyDescent="0.2">
      <c r="A4119" s="3" t="s">
        <v>1072</v>
      </c>
      <c r="B4119" s="4">
        <v>45169</v>
      </c>
      <c r="C4119" s="3" t="s">
        <v>1175</v>
      </c>
      <c r="D4119" s="3" t="s">
        <v>1191</v>
      </c>
      <c r="E4119" s="3" t="s">
        <v>1192</v>
      </c>
      <c r="F4119" s="3">
        <v>601936.16</v>
      </c>
      <c r="G4119" s="3">
        <v>-722092.8</v>
      </c>
    </row>
    <row r="4120" spans="1:7" x14ac:dyDescent="0.2">
      <c r="A4120" s="3" t="s">
        <v>1069</v>
      </c>
      <c r="B4120" s="4">
        <v>45169</v>
      </c>
      <c r="C4120" s="3" t="s">
        <v>1175</v>
      </c>
      <c r="D4120" s="3" t="s">
        <v>1191</v>
      </c>
      <c r="E4120" s="3" t="s">
        <v>1192</v>
      </c>
      <c r="F4120" s="3">
        <v>-4023886.55</v>
      </c>
      <c r="G4120" s="3">
        <v>-145827705.16999999</v>
      </c>
    </row>
    <row r="4121" spans="1:7" x14ac:dyDescent="0.2">
      <c r="A4121" s="3" t="s">
        <v>1074</v>
      </c>
      <c r="B4121" s="4">
        <v>45169</v>
      </c>
      <c r="C4121" s="3" t="s">
        <v>1175</v>
      </c>
      <c r="D4121" s="3" t="s">
        <v>1191</v>
      </c>
      <c r="E4121" s="3" t="s">
        <v>1192</v>
      </c>
      <c r="F4121" s="3">
        <v>4642885.22</v>
      </c>
      <c r="G4121" s="3">
        <v>9094435.5899999999</v>
      </c>
    </row>
    <row r="4122" spans="1:7" x14ac:dyDescent="0.2">
      <c r="A4122" s="3" t="s">
        <v>1072</v>
      </c>
      <c r="B4122" s="4">
        <v>45169</v>
      </c>
      <c r="C4122" s="3" t="s">
        <v>1175</v>
      </c>
      <c r="D4122" s="3" t="s">
        <v>1488</v>
      </c>
      <c r="E4122" s="3" t="s">
        <v>1489</v>
      </c>
      <c r="F4122" s="3">
        <v>0</v>
      </c>
      <c r="G4122" s="3">
        <v>1309</v>
      </c>
    </row>
    <row r="4123" spans="1:7" x14ac:dyDescent="0.2">
      <c r="A4123" s="3" t="s">
        <v>1072</v>
      </c>
      <c r="B4123" s="4">
        <v>45169</v>
      </c>
      <c r="C4123" s="3" t="s">
        <v>1175</v>
      </c>
      <c r="D4123" s="3" t="s">
        <v>1439</v>
      </c>
      <c r="E4123" s="3" t="s">
        <v>1440</v>
      </c>
      <c r="F4123" s="3">
        <v>-0.01</v>
      </c>
      <c r="G4123" s="3">
        <v>-0.01</v>
      </c>
    </row>
    <row r="4124" spans="1:7" x14ac:dyDescent="0.2">
      <c r="A4124" s="3" t="s">
        <v>1072</v>
      </c>
      <c r="B4124" s="4">
        <v>45169</v>
      </c>
      <c r="C4124" s="3" t="s">
        <v>1175</v>
      </c>
      <c r="D4124" s="3" t="s">
        <v>1441</v>
      </c>
      <c r="E4124" s="3" t="s">
        <v>1442</v>
      </c>
      <c r="F4124" s="3">
        <v>1082.9000000000001</v>
      </c>
      <c r="G4124" s="3">
        <v>-90952.66</v>
      </c>
    </row>
    <row r="4125" spans="1:7" x14ac:dyDescent="0.2">
      <c r="A4125" s="3" t="s">
        <v>1072</v>
      </c>
      <c r="B4125" s="4">
        <v>45169</v>
      </c>
      <c r="C4125" s="3" t="s">
        <v>1175</v>
      </c>
      <c r="D4125" s="3" t="s">
        <v>1464</v>
      </c>
      <c r="E4125" s="3" t="s">
        <v>1465</v>
      </c>
      <c r="F4125" s="3">
        <v>0</v>
      </c>
      <c r="G4125" s="3">
        <v>-49413.95</v>
      </c>
    </row>
    <row r="4126" spans="1:7" x14ac:dyDescent="0.2">
      <c r="A4126" s="3" t="s">
        <v>1072</v>
      </c>
      <c r="B4126" s="4">
        <v>45169</v>
      </c>
      <c r="C4126" s="3" t="s">
        <v>1175</v>
      </c>
      <c r="D4126" s="3" t="s">
        <v>1193</v>
      </c>
      <c r="E4126" s="3" t="s">
        <v>1443</v>
      </c>
      <c r="F4126" s="3">
        <v>160517.17000000001</v>
      </c>
      <c r="G4126" s="3">
        <v>50784.22</v>
      </c>
    </row>
    <row r="4127" spans="1:7" x14ac:dyDescent="0.2">
      <c r="A4127" s="3" t="s">
        <v>1069</v>
      </c>
      <c r="B4127" s="4">
        <v>45169</v>
      </c>
      <c r="C4127" s="3" t="s">
        <v>1175</v>
      </c>
      <c r="D4127" s="3" t="s">
        <v>1193</v>
      </c>
      <c r="E4127" s="3" t="s">
        <v>1194</v>
      </c>
      <c r="F4127" s="3">
        <v>73350.600000000006</v>
      </c>
      <c r="G4127" s="3">
        <v>-3947009.89</v>
      </c>
    </row>
    <row r="4128" spans="1:7" x14ac:dyDescent="0.2">
      <c r="A4128" s="3" t="s">
        <v>1074</v>
      </c>
      <c r="B4128" s="4">
        <v>45169</v>
      </c>
      <c r="C4128" s="3" t="s">
        <v>1175</v>
      </c>
      <c r="D4128" s="3" t="s">
        <v>1193</v>
      </c>
      <c r="E4128" s="3" t="s">
        <v>1194</v>
      </c>
      <c r="F4128" s="3">
        <v>-763529.6</v>
      </c>
      <c r="G4128" s="3">
        <v>4454975.87</v>
      </c>
    </row>
    <row r="4129" spans="1:7" x14ac:dyDescent="0.2">
      <c r="A4129" s="3" t="s">
        <v>1069</v>
      </c>
      <c r="B4129" s="4">
        <v>45169</v>
      </c>
      <c r="C4129" s="3" t="s">
        <v>1175</v>
      </c>
      <c r="D4129" s="3" t="s">
        <v>1657</v>
      </c>
      <c r="E4129" s="3" t="s">
        <v>1658</v>
      </c>
      <c r="F4129" s="3">
        <v>0</v>
      </c>
      <c r="G4129" s="3">
        <v>59039.93</v>
      </c>
    </row>
    <row r="4130" spans="1:7" x14ac:dyDescent="0.2">
      <c r="A4130" s="3" t="s">
        <v>1069</v>
      </c>
      <c r="B4130" s="4">
        <v>45169</v>
      </c>
      <c r="C4130" s="3" t="s">
        <v>1175</v>
      </c>
      <c r="D4130" s="3" t="s">
        <v>1698</v>
      </c>
      <c r="E4130" s="3" t="s">
        <v>1699</v>
      </c>
      <c r="F4130" s="3">
        <v>-71995</v>
      </c>
      <c r="G4130" s="3">
        <v>0</v>
      </c>
    </row>
    <row r="4131" spans="1:7" x14ac:dyDescent="0.2">
      <c r="A4131" s="3" t="s">
        <v>1074</v>
      </c>
      <c r="B4131" s="4">
        <v>45169</v>
      </c>
      <c r="C4131" s="3" t="s">
        <v>1175</v>
      </c>
      <c r="D4131" s="3" t="s">
        <v>1717</v>
      </c>
      <c r="E4131" s="3" t="s">
        <v>1718</v>
      </c>
      <c r="F4131" s="3">
        <v>-0.4</v>
      </c>
      <c r="G4131" s="3">
        <v>-0.4</v>
      </c>
    </row>
    <row r="4132" spans="1:7" x14ac:dyDescent="0.2">
      <c r="A4132" s="3" t="s">
        <v>1072</v>
      </c>
      <c r="B4132" s="4">
        <v>45169</v>
      </c>
      <c r="C4132" s="3" t="s">
        <v>1175</v>
      </c>
      <c r="D4132" s="3" t="s">
        <v>1444</v>
      </c>
      <c r="E4132" s="3" t="s">
        <v>1445</v>
      </c>
      <c r="F4132" s="3">
        <v>0</v>
      </c>
      <c r="G4132" s="3">
        <v>1869.8</v>
      </c>
    </row>
    <row r="4133" spans="1:7" x14ac:dyDescent="0.2">
      <c r="A4133" s="3" t="s">
        <v>1072</v>
      </c>
      <c r="B4133" s="4">
        <v>45169</v>
      </c>
      <c r="C4133" s="3" t="s">
        <v>1175</v>
      </c>
      <c r="D4133" s="3" t="s">
        <v>1446</v>
      </c>
      <c r="E4133" s="3" t="s">
        <v>1447</v>
      </c>
      <c r="F4133" s="3">
        <v>0</v>
      </c>
      <c r="G4133" s="3">
        <v>-254.99</v>
      </c>
    </row>
    <row r="4134" spans="1:7" x14ac:dyDescent="0.2">
      <c r="A4134" s="3" t="s">
        <v>1069</v>
      </c>
      <c r="B4134" s="4">
        <v>45199</v>
      </c>
      <c r="C4134" s="3" t="s">
        <v>1210</v>
      </c>
      <c r="D4134" s="3" t="s">
        <v>1552</v>
      </c>
      <c r="E4134" s="3" t="s">
        <v>1553</v>
      </c>
      <c r="F4134" s="3">
        <v>0</v>
      </c>
      <c r="G4134" s="3">
        <v>-26852956.530000001</v>
      </c>
    </row>
    <row r="4135" spans="1:7" x14ac:dyDescent="0.2">
      <c r="A4135" s="3" t="s">
        <v>1074</v>
      </c>
      <c r="B4135" s="4">
        <v>45199</v>
      </c>
      <c r="C4135" s="3" t="s">
        <v>1210</v>
      </c>
      <c r="D4135" s="3" t="s">
        <v>1552</v>
      </c>
      <c r="E4135" s="3" t="s">
        <v>1700</v>
      </c>
      <c r="F4135" s="3">
        <v>-13012260.880000001</v>
      </c>
      <c r="G4135" s="3">
        <v>-19833565.239999998</v>
      </c>
    </row>
    <row r="4136" spans="1:7" x14ac:dyDescent="0.2">
      <c r="A4136" s="3" t="s">
        <v>1069</v>
      </c>
      <c r="B4136" s="4">
        <v>45199</v>
      </c>
      <c r="C4136" s="3" t="s">
        <v>1210</v>
      </c>
      <c r="D4136" s="3" t="s">
        <v>1554</v>
      </c>
      <c r="E4136" s="3" t="s">
        <v>1555</v>
      </c>
      <c r="F4136" s="3">
        <v>0</v>
      </c>
      <c r="G4136" s="3">
        <v>-102388.85</v>
      </c>
    </row>
    <row r="4137" spans="1:7" x14ac:dyDescent="0.2">
      <c r="A4137" s="3" t="s">
        <v>1074</v>
      </c>
      <c r="B4137" s="4">
        <v>45199</v>
      </c>
      <c r="C4137" s="3" t="s">
        <v>1210</v>
      </c>
      <c r="D4137" s="3" t="s">
        <v>1554</v>
      </c>
      <c r="E4137" s="3" t="s">
        <v>1701</v>
      </c>
      <c r="F4137" s="3">
        <v>-61019.35</v>
      </c>
      <c r="G4137" s="3">
        <v>-78825.8</v>
      </c>
    </row>
    <row r="4138" spans="1:7" x14ac:dyDescent="0.2">
      <c r="A4138" s="3" t="s">
        <v>1072</v>
      </c>
      <c r="B4138" s="4">
        <v>45199</v>
      </c>
      <c r="C4138" s="3" t="s">
        <v>1210</v>
      </c>
      <c r="D4138" s="3" t="s">
        <v>1448</v>
      </c>
      <c r="E4138" s="3" t="s">
        <v>1449</v>
      </c>
      <c r="F4138" s="3">
        <v>-4967306.7300000004</v>
      </c>
      <c r="G4138" s="3">
        <v>-28400206.469999999</v>
      </c>
    </row>
    <row r="4139" spans="1:7" x14ac:dyDescent="0.2">
      <c r="A4139" s="3" t="s">
        <v>1072</v>
      </c>
      <c r="B4139" s="4">
        <v>45199</v>
      </c>
      <c r="C4139" s="3" t="s">
        <v>1210</v>
      </c>
      <c r="D4139" s="3" t="s">
        <v>1273</v>
      </c>
      <c r="E4139" s="3" t="s">
        <v>1274</v>
      </c>
      <c r="F4139" s="3">
        <v>0</v>
      </c>
      <c r="G4139" s="3">
        <v>3490.94</v>
      </c>
    </row>
    <row r="4140" spans="1:7" x14ac:dyDescent="0.2">
      <c r="A4140" s="3" t="s">
        <v>1069</v>
      </c>
      <c r="B4140" s="4">
        <v>45199</v>
      </c>
      <c r="C4140" s="3" t="s">
        <v>1210</v>
      </c>
      <c r="D4140" s="3" t="s">
        <v>1685</v>
      </c>
      <c r="E4140" s="3" t="s">
        <v>1686</v>
      </c>
      <c r="F4140" s="3">
        <v>-14500</v>
      </c>
      <c r="G4140" s="3">
        <v>-82491.94</v>
      </c>
    </row>
    <row r="4141" spans="1:7" x14ac:dyDescent="0.2">
      <c r="A4141" s="3" t="s">
        <v>1069</v>
      </c>
      <c r="B4141" s="4">
        <v>45199</v>
      </c>
      <c r="C4141" s="3" t="s">
        <v>1168</v>
      </c>
      <c r="D4141" s="3" t="s">
        <v>1687</v>
      </c>
      <c r="E4141" s="3" t="s">
        <v>1688</v>
      </c>
      <c r="F4141" s="3">
        <v>0</v>
      </c>
      <c r="G4141" s="3">
        <v>45300.43</v>
      </c>
    </row>
    <row r="4142" spans="1:7" x14ac:dyDescent="0.2">
      <c r="A4142" s="3" t="s">
        <v>1074</v>
      </c>
      <c r="B4142" s="4">
        <v>45199</v>
      </c>
      <c r="C4142" s="3" t="s">
        <v>1168</v>
      </c>
      <c r="D4142" s="3" t="s">
        <v>1514</v>
      </c>
      <c r="E4142" s="3" t="s">
        <v>1676</v>
      </c>
      <c r="F4142" s="3">
        <v>0</v>
      </c>
      <c r="G4142" s="3">
        <v>237142.94</v>
      </c>
    </row>
    <row r="4143" spans="1:7" x14ac:dyDescent="0.2">
      <c r="A4143" s="3" t="s">
        <v>1069</v>
      </c>
      <c r="B4143" s="4">
        <v>45199</v>
      </c>
      <c r="C4143" s="3" t="s">
        <v>1168</v>
      </c>
      <c r="D4143" s="3" t="s">
        <v>1531</v>
      </c>
      <c r="E4143" s="3" t="s">
        <v>1532</v>
      </c>
      <c r="F4143" s="3">
        <v>0</v>
      </c>
      <c r="G4143" s="3">
        <v>648956.64</v>
      </c>
    </row>
    <row r="4144" spans="1:7" x14ac:dyDescent="0.2">
      <c r="A4144" s="3" t="s">
        <v>1074</v>
      </c>
      <c r="B4144" s="4">
        <v>45199</v>
      </c>
      <c r="C4144" s="3" t="s">
        <v>1168</v>
      </c>
      <c r="D4144" s="3" t="s">
        <v>1531</v>
      </c>
      <c r="E4144" s="3" t="s">
        <v>1532</v>
      </c>
      <c r="F4144" s="3">
        <v>316983.01</v>
      </c>
      <c r="G4144" s="3">
        <v>451248.55</v>
      </c>
    </row>
    <row r="4145" spans="1:7" x14ac:dyDescent="0.2">
      <c r="A4145" s="3" t="s">
        <v>1074</v>
      </c>
      <c r="B4145" s="4">
        <v>45199</v>
      </c>
      <c r="C4145" s="3" t="s">
        <v>1168</v>
      </c>
      <c r="D4145" s="3" t="s">
        <v>1638</v>
      </c>
      <c r="E4145" s="3" t="s">
        <v>1677</v>
      </c>
      <c r="F4145" s="3">
        <v>16847</v>
      </c>
      <c r="G4145" s="3">
        <v>61556.94</v>
      </c>
    </row>
    <row r="4146" spans="1:7" x14ac:dyDescent="0.2">
      <c r="A4146" s="3" t="s">
        <v>1069</v>
      </c>
      <c r="B4146" s="4">
        <v>45199</v>
      </c>
      <c r="C4146" s="3" t="s">
        <v>1168</v>
      </c>
      <c r="D4146" s="3" t="s">
        <v>1540</v>
      </c>
      <c r="E4146" s="3" t="s">
        <v>1541</v>
      </c>
      <c r="F4146" s="3">
        <v>0</v>
      </c>
      <c r="G4146" s="3">
        <v>25345.119999999999</v>
      </c>
    </row>
    <row r="4147" spans="1:7" x14ac:dyDescent="0.2">
      <c r="A4147" s="3" t="s">
        <v>1069</v>
      </c>
      <c r="B4147" s="4">
        <v>45199</v>
      </c>
      <c r="C4147" s="3" t="s">
        <v>1168</v>
      </c>
      <c r="D4147" s="3" t="s">
        <v>1556</v>
      </c>
      <c r="E4147" s="3" t="s">
        <v>1557</v>
      </c>
      <c r="F4147" s="3">
        <v>209891.04</v>
      </c>
      <c r="G4147" s="3">
        <v>381069.48</v>
      </c>
    </row>
    <row r="4148" spans="1:7" x14ac:dyDescent="0.2">
      <c r="A4148" s="3" t="s">
        <v>1069</v>
      </c>
      <c r="B4148" s="4">
        <v>45199</v>
      </c>
      <c r="C4148" s="3" t="s">
        <v>1168</v>
      </c>
      <c r="D4148" s="3" t="s">
        <v>1558</v>
      </c>
      <c r="E4148" s="3" t="s">
        <v>1559</v>
      </c>
      <c r="F4148" s="3">
        <v>0</v>
      </c>
      <c r="G4148" s="3">
        <v>1343517.4</v>
      </c>
    </row>
    <row r="4149" spans="1:7" x14ac:dyDescent="0.2">
      <c r="A4149" s="3" t="s">
        <v>1074</v>
      </c>
      <c r="B4149" s="4">
        <v>45199</v>
      </c>
      <c r="C4149" s="3" t="s">
        <v>1168</v>
      </c>
      <c r="D4149" s="3" t="s">
        <v>1558</v>
      </c>
      <c r="E4149" s="3" t="s">
        <v>1702</v>
      </c>
      <c r="F4149" s="3">
        <v>650395.63</v>
      </c>
      <c r="G4149" s="3">
        <v>993852.14</v>
      </c>
    </row>
    <row r="4150" spans="1:7" x14ac:dyDescent="0.2">
      <c r="A4150" s="3" t="s">
        <v>1069</v>
      </c>
      <c r="B4150" s="4">
        <v>45199</v>
      </c>
      <c r="C4150" s="3" t="s">
        <v>1168</v>
      </c>
      <c r="D4150" s="3" t="s">
        <v>1640</v>
      </c>
      <c r="E4150" s="3" t="s">
        <v>1641</v>
      </c>
      <c r="F4150" s="3">
        <v>0</v>
      </c>
      <c r="G4150" s="3">
        <v>1005.47</v>
      </c>
    </row>
    <row r="4151" spans="1:7" x14ac:dyDescent="0.2">
      <c r="A4151" s="3" t="s">
        <v>1074</v>
      </c>
      <c r="B4151" s="4">
        <v>45199</v>
      </c>
      <c r="C4151" s="3" t="s">
        <v>1168</v>
      </c>
      <c r="D4151" s="3" t="s">
        <v>1640</v>
      </c>
      <c r="E4151" s="3" t="s">
        <v>1689</v>
      </c>
      <c r="F4151" s="3">
        <v>0</v>
      </c>
      <c r="G4151" s="3">
        <v>6212.85</v>
      </c>
    </row>
    <row r="4152" spans="1:7" x14ac:dyDescent="0.2">
      <c r="A4152" s="3" t="s">
        <v>1069</v>
      </c>
      <c r="B4152" s="4">
        <v>45199</v>
      </c>
      <c r="C4152" s="3" t="s">
        <v>1168</v>
      </c>
      <c r="D4152" s="3" t="s">
        <v>1659</v>
      </c>
      <c r="E4152" s="3" t="s">
        <v>1660</v>
      </c>
      <c r="F4152" s="3">
        <v>0</v>
      </c>
      <c r="G4152" s="3">
        <v>250</v>
      </c>
    </row>
    <row r="4153" spans="1:7" x14ac:dyDescent="0.2">
      <c r="A4153" s="3" t="s">
        <v>1074</v>
      </c>
      <c r="B4153" s="4">
        <v>45199</v>
      </c>
      <c r="C4153" s="3" t="s">
        <v>1168</v>
      </c>
      <c r="D4153" s="3" t="s">
        <v>1659</v>
      </c>
      <c r="E4153" s="3" t="s">
        <v>1660</v>
      </c>
      <c r="F4153" s="3">
        <v>100</v>
      </c>
      <c r="G4153" s="3">
        <v>100</v>
      </c>
    </row>
    <row r="4154" spans="1:7" x14ac:dyDescent="0.2">
      <c r="A4154" s="3" t="s">
        <v>1069</v>
      </c>
      <c r="B4154" s="4">
        <v>45199</v>
      </c>
      <c r="C4154" s="3" t="s">
        <v>1168</v>
      </c>
      <c r="D4154" s="3" t="s">
        <v>1678</v>
      </c>
      <c r="E4154" s="3" t="s">
        <v>1679</v>
      </c>
      <c r="F4154" s="3">
        <v>0</v>
      </c>
      <c r="G4154" s="3">
        <v>31600</v>
      </c>
    </row>
    <row r="4155" spans="1:7" x14ac:dyDescent="0.2">
      <c r="A4155" s="3" t="s">
        <v>1072</v>
      </c>
      <c r="B4155" s="4">
        <v>45199</v>
      </c>
      <c r="C4155" s="3" t="s">
        <v>1168</v>
      </c>
      <c r="D4155" s="3" t="s">
        <v>1661</v>
      </c>
      <c r="E4155" s="3" t="s">
        <v>1662</v>
      </c>
      <c r="F4155" s="3">
        <v>0</v>
      </c>
      <c r="G4155" s="3">
        <v>286.95999999999998</v>
      </c>
    </row>
    <row r="4156" spans="1:7" x14ac:dyDescent="0.2">
      <c r="A4156" s="3" t="s">
        <v>1072</v>
      </c>
      <c r="B4156" s="4">
        <v>45199</v>
      </c>
      <c r="C4156" s="3" t="s">
        <v>1168</v>
      </c>
      <c r="D4156" s="3" t="s">
        <v>1680</v>
      </c>
      <c r="E4156" s="3" t="s">
        <v>1681</v>
      </c>
      <c r="F4156" s="3">
        <v>0</v>
      </c>
      <c r="G4156" s="3">
        <v>86.96</v>
      </c>
    </row>
    <row r="4157" spans="1:7" x14ac:dyDescent="0.2">
      <c r="A4157" s="3" t="s">
        <v>1072</v>
      </c>
      <c r="B4157" s="4">
        <v>45199</v>
      </c>
      <c r="C4157" s="3" t="s">
        <v>1168</v>
      </c>
      <c r="D4157" s="3" t="s">
        <v>1669</v>
      </c>
      <c r="E4157" s="3" t="s">
        <v>1670</v>
      </c>
      <c r="F4157" s="3">
        <v>7197</v>
      </c>
      <c r="G4157" s="3">
        <v>30620.97</v>
      </c>
    </row>
    <row r="4158" spans="1:7" x14ac:dyDescent="0.2">
      <c r="A4158" s="3" t="s">
        <v>1072</v>
      </c>
      <c r="B4158" s="4">
        <v>45199</v>
      </c>
      <c r="C4158" s="3" t="s">
        <v>1168</v>
      </c>
      <c r="D4158" s="3" t="s">
        <v>1703</v>
      </c>
      <c r="E4158" s="3" t="s">
        <v>1704</v>
      </c>
      <c r="F4158" s="3">
        <v>0</v>
      </c>
      <c r="G4158" s="3">
        <v>10516.44</v>
      </c>
    </row>
    <row r="4159" spans="1:7" x14ac:dyDescent="0.2">
      <c r="A4159" s="3" t="s">
        <v>1072</v>
      </c>
      <c r="B4159" s="4">
        <v>45199</v>
      </c>
      <c r="C4159" s="3" t="s">
        <v>1168</v>
      </c>
      <c r="D4159" s="3" t="s">
        <v>1682</v>
      </c>
      <c r="E4159" s="3" t="s">
        <v>1683</v>
      </c>
      <c r="F4159" s="3">
        <v>16000</v>
      </c>
      <c r="G4159" s="3">
        <v>57620.91</v>
      </c>
    </row>
    <row r="4160" spans="1:7" x14ac:dyDescent="0.2">
      <c r="A4160" s="3" t="s">
        <v>1072</v>
      </c>
      <c r="B4160" s="4">
        <v>45199</v>
      </c>
      <c r="C4160" s="3" t="s">
        <v>1168</v>
      </c>
      <c r="D4160" s="3" t="s">
        <v>1281</v>
      </c>
      <c r="E4160" s="3" t="s">
        <v>1282</v>
      </c>
      <c r="F4160" s="3">
        <v>5415.27</v>
      </c>
      <c r="G4160" s="3">
        <v>260475.4</v>
      </c>
    </row>
    <row r="4161" spans="1:7" x14ac:dyDescent="0.2">
      <c r="A4161" s="3" t="s">
        <v>1072</v>
      </c>
      <c r="B4161" s="4">
        <v>45199</v>
      </c>
      <c r="C4161" s="3" t="s">
        <v>1168</v>
      </c>
      <c r="D4161" s="3" t="s">
        <v>1283</v>
      </c>
      <c r="E4161" s="3" t="s">
        <v>1284</v>
      </c>
      <c r="F4161" s="3">
        <v>1175.6500000000001</v>
      </c>
      <c r="G4161" s="3">
        <v>149979.24</v>
      </c>
    </row>
    <row r="4162" spans="1:7" x14ac:dyDescent="0.2">
      <c r="A4162" s="3" t="s">
        <v>1072</v>
      </c>
      <c r="B4162" s="4">
        <v>45199</v>
      </c>
      <c r="C4162" s="3" t="s">
        <v>1168</v>
      </c>
      <c r="D4162" s="3" t="s">
        <v>1285</v>
      </c>
      <c r="E4162" s="3" t="s">
        <v>1286</v>
      </c>
      <c r="F4162" s="3">
        <v>37693.120000000003</v>
      </c>
      <c r="G4162" s="3">
        <v>19969.43</v>
      </c>
    </row>
    <row r="4163" spans="1:7" x14ac:dyDescent="0.2">
      <c r="A4163" s="3" t="s">
        <v>1072</v>
      </c>
      <c r="B4163" s="4">
        <v>45199</v>
      </c>
      <c r="C4163" s="3" t="s">
        <v>1168</v>
      </c>
      <c r="D4163" s="3" t="s">
        <v>1705</v>
      </c>
      <c r="E4163" s="3" t="s">
        <v>1706</v>
      </c>
      <c r="F4163" s="3">
        <v>0</v>
      </c>
      <c r="G4163" s="3">
        <v>26340.75</v>
      </c>
    </row>
    <row r="4164" spans="1:7" x14ac:dyDescent="0.2">
      <c r="A4164" s="3" t="s">
        <v>1072</v>
      </c>
      <c r="B4164" s="4">
        <v>45199</v>
      </c>
      <c r="C4164" s="3" t="s">
        <v>1168</v>
      </c>
      <c r="D4164" s="3" t="s">
        <v>1301</v>
      </c>
      <c r="E4164" s="3" t="s">
        <v>1302</v>
      </c>
      <c r="F4164" s="3">
        <v>0</v>
      </c>
      <c r="G4164" s="3">
        <v>760.87</v>
      </c>
    </row>
    <row r="4165" spans="1:7" x14ac:dyDescent="0.2">
      <c r="A4165" s="3" t="s">
        <v>1072</v>
      </c>
      <c r="B4165" s="4">
        <v>45199</v>
      </c>
      <c r="C4165" s="3" t="s">
        <v>1168</v>
      </c>
      <c r="D4165" s="3" t="s">
        <v>1305</v>
      </c>
      <c r="E4165" s="3" t="s">
        <v>1306</v>
      </c>
      <c r="F4165" s="3">
        <v>0</v>
      </c>
      <c r="G4165" s="3">
        <v>27752.22</v>
      </c>
    </row>
    <row r="4166" spans="1:7" x14ac:dyDescent="0.2">
      <c r="A4166" s="3" t="s">
        <v>1072</v>
      </c>
      <c r="B4166" s="4">
        <v>45199</v>
      </c>
      <c r="C4166" s="3" t="s">
        <v>1168</v>
      </c>
      <c r="D4166" s="3" t="s">
        <v>1690</v>
      </c>
      <c r="E4166" s="3" t="s">
        <v>1691</v>
      </c>
      <c r="F4166" s="3">
        <v>0</v>
      </c>
      <c r="G4166" s="3">
        <v>7565.57</v>
      </c>
    </row>
    <row r="4167" spans="1:7" x14ac:dyDescent="0.2">
      <c r="A4167" s="3" t="s">
        <v>1072</v>
      </c>
      <c r="B4167" s="4">
        <v>45199</v>
      </c>
      <c r="C4167" s="3" t="s">
        <v>1168</v>
      </c>
      <c r="D4167" s="3" t="s">
        <v>1315</v>
      </c>
      <c r="E4167" s="3" t="s">
        <v>1316</v>
      </c>
      <c r="F4167" s="3">
        <v>0</v>
      </c>
      <c r="G4167" s="3">
        <v>1129.57</v>
      </c>
    </row>
    <row r="4168" spans="1:7" x14ac:dyDescent="0.2">
      <c r="A4168" s="3" t="s">
        <v>1072</v>
      </c>
      <c r="B4168" s="4">
        <v>45199</v>
      </c>
      <c r="C4168" s="3" t="s">
        <v>1168</v>
      </c>
      <c r="D4168" s="3" t="s">
        <v>1450</v>
      </c>
      <c r="E4168" s="3" t="s">
        <v>1451</v>
      </c>
      <c r="F4168" s="3">
        <v>63191.31</v>
      </c>
      <c r="G4168" s="3">
        <v>1554146.65</v>
      </c>
    </row>
    <row r="4169" spans="1:7" x14ac:dyDescent="0.2">
      <c r="A4169" s="3" t="s">
        <v>1072</v>
      </c>
      <c r="B4169" s="4">
        <v>45199</v>
      </c>
      <c r="C4169" s="3" t="s">
        <v>1168</v>
      </c>
      <c r="D4169" s="3" t="s">
        <v>1452</v>
      </c>
      <c r="E4169" s="3" t="s">
        <v>1453</v>
      </c>
      <c r="F4169" s="3">
        <v>-2784.8</v>
      </c>
      <c r="G4169" s="3">
        <v>327212.64</v>
      </c>
    </row>
    <row r="4170" spans="1:7" x14ac:dyDescent="0.2">
      <c r="A4170" s="3" t="s">
        <v>1072</v>
      </c>
      <c r="B4170" s="4">
        <v>45199</v>
      </c>
      <c r="C4170" s="3" t="s">
        <v>1168</v>
      </c>
      <c r="D4170" s="3" t="s">
        <v>1454</v>
      </c>
      <c r="E4170" s="3" t="s">
        <v>1455</v>
      </c>
      <c r="F4170" s="3">
        <v>0</v>
      </c>
      <c r="G4170" s="3">
        <v>694.78</v>
      </c>
    </row>
    <row r="4171" spans="1:7" x14ac:dyDescent="0.2">
      <c r="A4171" s="3" t="s">
        <v>1072</v>
      </c>
      <c r="B4171" s="4">
        <v>45199</v>
      </c>
      <c r="C4171" s="3" t="s">
        <v>1168</v>
      </c>
      <c r="D4171" s="3" t="s">
        <v>1468</v>
      </c>
      <c r="E4171" s="3" t="s">
        <v>1469</v>
      </c>
      <c r="F4171" s="3">
        <v>1797.39</v>
      </c>
      <c r="G4171" s="3">
        <v>10087.5</v>
      </c>
    </row>
    <row r="4172" spans="1:7" x14ac:dyDescent="0.2">
      <c r="A4172" s="3" t="s">
        <v>1072</v>
      </c>
      <c r="B4172" s="4">
        <v>45199</v>
      </c>
      <c r="C4172" s="3" t="s">
        <v>1168</v>
      </c>
      <c r="D4172" s="3" t="s">
        <v>1620</v>
      </c>
      <c r="E4172" s="3" t="s">
        <v>1621</v>
      </c>
      <c r="F4172" s="3">
        <v>5743.47</v>
      </c>
      <c r="G4172" s="3">
        <v>20757.990000000002</v>
      </c>
    </row>
    <row r="4173" spans="1:7" x14ac:dyDescent="0.2">
      <c r="A4173" s="3" t="s">
        <v>1072</v>
      </c>
      <c r="B4173" s="4">
        <v>45199</v>
      </c>
      <c r="C4173" s="3" t="s">
        <v>1168</v>
      </c>
      <c r="D4173" s="3" t="s">
        <v>1542</v>
      </c>
      <c r="E4173" s="3" t="s">
        <v>1543</v>
      </c>
      <c r="F4173" s="3">
        <v>4150526.94</v>
      </c>
      <c r="G4173" s="3">
        <v>21537290.350000001</v>
      </c>
    </row>
    <row r="4174" spans="1:7" x14ac:dyDescent="0.2">
      <c r="A4174" s="3" t="s">
        <v>1072</v>
      </c>
      <c r="B4174" s="4">
        <v>45199</v>
      </c>
      <c r="C4174" s="3" t="s">
        <v>1168</v>
      </c>
      <c r="D4174" s="3" t="s">
        <v>1527</v>
      </c>
      <c r="E4174" s="3" t="s">
        <v>1528</v>
      </c>
      <c r="F4174" s="3">
        <v>10445.36</v>
      </c>
      <c r="G4174" s="3">
        <v>542917.29</v>
      </c>
    </row>
    <row r="4175" spans="1:7" x14ac:dyDescent="0.2">
      <c r="A4175" s="3" t="s">
        <v>1072</v>
      </c>
      <c r="B4175" s="4">
        <v>45199</v>
      </c>
      <c r="C4175" s="3" t="s">
        <v>1168</v>
      </c>
      <c r="D4175" s="3" t="s">
        <v>1560</v>
      </c>
      <c r="E4175" s="3" t="s">
        <v>1561</v>
      </c>
      <c r="F4175" s="3">
        <v>0</v>
      </c>
      <c r="G4175" s="3">
        <v>17292.48</v>
      </c>
    </row>
    <row r="4176" spans="1:7" x14ac:dyDescent="0.2">
      <c r="A4176" s="3" t="s">
        <v>1072</v>
      </c>
      <c r="B4176" s="4">
        <v>45199</v>
      </c>
      <c r="C4176" s="3" t="s">
        <v>1210</v>
      </c>
      <c r="D4176" s="3" t="s">
        <v>1509</v>
      </c>
      <c r="E4176" s="3" t="s">
        <v>1510</v>
      </c>
      <c r="F4176" s="3">
        <v>-88.36</v>
      </c>
      <c r="G4176" s="3">
        <v>-790.13</v>
      </c>
    </row>
    <row r="4177" spans="1:7" x14ac:dyDescent="0.2">
      <c r="A4177" s="3" t="s">
        <v>1072</v>
      </c>
      <c r="B4177" s="4">
        <v>45199</v>
      </c>
      <c r="C4177" s="3" t="s">
        <v>1210</v>
      </c>
      <c r="D4177" s="3" t="s">
        <v>1323</v>
      </c>
      <c r="E4177" s="3" t="s">
        <v>1324</v>
      </c>
      <c r="F4177" s="3">
        <v>-4</v>
      </c>
      <c r="G4177" s="3">
        <v>-30.09</v>
      </c>
    </row>
    <row r="4178" spans="1:7" x14ac:dyDescent="0.2">
      <c r="A4178" s="3" t="s">
        <v>1069</v>
      </c>
      <c r="B4178" s="4">
        <v>45199</v>
      </c>
      <c r="C4178" s="3" t="s">
        <v>1210</v>
      </c>
      <c r="D4178" s="3" t="s">
        <v>1249</v>
      </c>
      <c r="E4178" s="3" t="s">
        <v>1250</v>
      </c>
      <c r="F4178" s="3">
        <v>-291385.94</v>
      </c>
      <c r="G4178" s="3">
        <v>-1739285.15</v>
      </c>
    </row>
    <row r="4179" spans="1:7" x14ac:dyDescent="0.2">
      <c r="A4179" s="3" t="s">
        <v>1069</v>
      </c>
      <c r="B4179" s="4">
        <v>45199</v>
      </c>
      <c r="C4179" s="3" t="s">
        <v>1168</v>
      </c>
      <c r="D4179" s="3" t="s">
        <v>1692</v>
      </c>
      <c r="E4179" s="3" t="s">
        <v>1149</v>
      </c>
      <c r="F4179" s="3">
        <v>0</v>
      </c>
      <c r="G4179" s="3">
        <v>15024.96</v>
      </c>
    </row>
    <row r="4180" spans="1:7" x14ac:dyDescent="0.2">
      <c r="A4180" s="3" t="s">
        <v>1069</v>
      </c>
      <c r="B4180" s="4">
        <v>45199</v>
      </c>
      <c r="C4180" s="3" t="s">
        <v>1168</v>
      </c>
      <c r="D4180" s="3" t="s">
        <v>1226</v>
      </c>
      <c r="E4180" s="3" t="s">
        <v>1126</v>
      </c>
      <c r="F4180" s="3">
        <v>0</v>
      </c>
      <c r="G4180" s="3">
        <v>3050</v>
      </c>
    </row>
    <row r="4181" spans="1:7" x14ac:dyDescent="0.2">
      <c r="A4181" s="3" t="s">
        <v>1072</v>
      </c>
      <c r="B4181" s="4">
        <v>45199</v>
      </c>
      <c r="C4181" s="3" t="s">
        <v>1168</v>
      </c>
      <c r="D4181" s="3" t="s">
        <v>1325</v>
      </c>
      <c r="E4181" s="3" t="s">
        <v>1073</v>
      </c>
      <c r="F4181" s="3">
        <v>0</v>
      </c>
      <c r="G4181" s="3">
        <v>1280</v>
      </c>
    </row>
    <row r="4182" spans="1:7" x14ac:dyDescent="0.2">
      <c r="A4182" s="3" t="s">
        <v>1072</v>
      </c>
      <c r="B4182" s="4">
        <v>45199</v>
      </c>
      <c r="C4182" s="3" t="s">
        <v>1168</v>
      </c>
      <c r="D4182" s="3" t="s">
        <v>1326</v>
      </c>
      <c r="E4182" s="3" t="s">
        <v>1088</v>
      </c>
      <c r="F4182" s="3">
        <v>0</v>
      </c>
      <c r="G4182" s="3">
        <v>11170</v>
      </c>
    </row>
    <row r="4183" spans="1:7" x14ac:dyDescent="0.2">
      <c r="A4183" s="3" t="s">
        <v>1072</v>
      </c>
      <c r="B4183" s="4">
        <v>45199</v>
      </c>
      <c r="C4183" s="3" t="s">
        <v>1168</v>
      </c>
      <c r="D4183" s="3" t="s">
        <v>1169</v>
      </c>
      <c r="E4183" s="3" t="s">
        <v>1079</v>
      </c>
      <c r="F4183" s="3">
        <v>2300</v>
      </c>
      <c r="G4183" s="3">
        <v>10975</v>
      </c>
    </row>
    <row r="4184" spans="1:7" x14ac:dyDescent="0.2">
      <c r="A4184" s="3" t="s">
        <v>1069</v>
      </c>
      <c r="B4184" s="4">
        <v>45199</v>
      </c>
      <c r="C4184" s="3" t="s">
        <v>1168</v>
      </c>
      <c r="D4184" s="3" t="s">
        <v>1169</v>
      </c>
      <c r="E4184" s="3" t="s">
        <v>1079</v>
      </c>
      <c r="F4184" s="3">
        <v>500</v>
      </c>
      <c r="G4184" s="3">
        <v>169842.05</v>
      </c>
    </row>
    <row r="4185" spans="1:7" x14ac:dyDescent="0.2">
      <c r="A4185" s="3" t="s">
        <v>1074</v>
      </c>
      <c r="B4185" s="4">
        <v>45199</v>
      </c>
      <c r="C4185" s="3" t="s">
        <v>1168</v>
      </c>
      <c r="D4185" s="3" t="s">
        <v>1169</v>
      </c>
      <c r="E4185" s="3" t="s">
        <v>1079</v>
      </c>
      <c r="F4185" s="3">
        <v>9750</v>
      </c>
      <c r="G4185" s="3">
        <v>50926.47</v>
      </c>
    </row>
    <row r="4186" spans="1:7" x14ac:dyDescent="0.2">
      <c r="A4186" s="3" t="s">
        <v>1069</v>
      </c>
      <c r="B4186" s="4">
        <v>45199</v>
      </c>
      <c r="C4186" s="3" t="s">
        <v>1168</v>
      </c>
      <c r="D4186" s="3" t="s">
        <v>1261</v>
      </c>
      <c r="E4186" s="3" t="s">
        <v>1145</v>
      </c>
      <c r="F4186" s="3">
        <v>0</v>
      </c>
      <c r="G4186" s="3">
        <v>12480</v>
      </c>
    </row>
    <row r="4187" spans="1:7" x14ac:dyDescent="0.2">
      <c r="A4187" s="3" t="s">
        <v>1072</v>
      </c>
      <c r="B4187" s="4">
        <v>45199</v>
      </c>
      <c r="C4187" s="3" t="s">
        <v>1168</v>
      </c>
      <c r="D4187" s="3" t="s">
        <v>1648</v>
      </c>
      <c r="E4187" s="3" t="s">
        <v>1084</v>
      </c>
      <c r="F4187" s="3">
        <v>0</v>
      </c>
      <c r="G4187" s="3">
        <v>295</v>
      </c>
    </row>
    <row r="4188" spans="1:7" x14ac:dyDescent="0.2">
      <c r="A4188" s="3" t="s">
        <v>1069</v>
      </c>
      <c r="B4188" s="4">
        <v>45199</v>
      </c>
      <c r="C4188" s="3" t="s">
        <v>1168</v>
      </c>
      <c r="D4188" s="3" t="s">
        <v>1624</v>
      </c>
      <c r="E4188" s="3" t="s">
        <v>1118</v>
      </c>
      <c r="F4188" s="3">
        <v>0</v>
      </c>
      <c r="G4188" s="3">
        <v>10250</v>
      </c>
    </row>
    <row r="4189" spans="1:7" x14ac:dyDescent="0.2">
      <c r="A4189" s="3" t="s">
        <v>1074</v>
      </c>
      <c r="B4189" s="4">
        <v>45199</v>
      </c>
      <c r="C4189" s="3" t="s">
        <v>1168</v>
      </c>
      <c r="D4189" s="3" t="s">
        <v>1624</v>
      </c>
      <c r="E4189" s="3" t="s">
        <v>1160</v>
      </c>
      <c r="F4189" s="3">
        <v>745</v>
      </c>
      <c r="G4189" s="3">
        <v>745</v>
      </c>
    </row>
    <row r="4190" spans="1:7" x14ac:dyDescent="0.2">
      <c r="A4190" s="3" t="s">
        <v>1074</v>
      </c>
      <c r="B4190" s="4">
        <v>45199</v>
      </c>
      <c r="C4190" s="3" t="s">
        <v>1168</v>
      </c>
      <c r="D4190" s="3" t="s">
        <v>1649</v>
      </c>
      <c r="E4190" s="3" t="s">
        <v>1117</v>
      </c>
      <c r="F4190" s="3">
        <v>9967.1</v>
      </c>
      <c r="G4190" s="3">
        <v>14569.1</v>
      </c>
    </row>
    <row r="4191" spans="1:7" x14ac:dyDescent="0.2">
      <c r="A4191" s="3" t="s">
        <v>1072</v>
      </c>
      <c r="B4191" s="4">
        <v>45199</v>
      </c>
      <c r="C4191" s="3" t="s">
        <v>1168</v>
      </c>
      <c r="D4191" s="3" t="s">
        <v>1339</v>
      </c>
      <c r="E4191" s="3" t="s">
        <v>1087</v>
      </c>
      <c r="F4191" s="3">
        <v>0</v>
      </c>
      <c r="G4191" s="3">
        <v>1597</v>
      </c>
    </row>
    <row r="4192" spans="1:7" x14ac:dyDescent="0.2">
      <c r="A4192" s="3" t="s">
        <v>1074</v>
      </c>
      <c r="B4192" s="4">
        <v>45199</v>
      </c>
      <c r="C4192" s="3" t="s">
        <v>1168</v>
      </c>
      <c r="D4192" s="3" t="s">
        <v>1707</v>
      </c>
      <c r="E4192" s="3" t="s">
        <v>1118</v>
      </c>
      <c r="F4192" s="3">
        <v>0</v>
      </c>
      <c r="G4192" s="3">
        <v>18500</v>
      </c>
    </row>
    <row r="4193" spans="1:7" x14ac:dyDescent="0.2">
      <c r="A4193" s="3" t="s">
        <v>1072</v>
      </c>
      <c r="B4193" s="4">
        <v>45199</v>
      </c>
      <c r="C4193" s="3" t="s">
        <v>1168</v>
      </c>
      <c r="D4193" s="3" t="s">
        <v>1195</v>
      </c>
      <c r="E4193" s="3" t="s">
        <v>1085</v>
      </c>
      <c r="F4193" s="3">
        <v>1574.96</v>
      </c>
      <c r="G4193" s="3">
        <v>12967.5</v>
      </c>
    </row>
    <row r="4194" spans="1:7" x14ac:dyDescent="0.2">
      <c r="A4194" s="3" t="s">
        <v>1069</v>
      </c>
      <c r="B4194" s="4">
        <v>45199</v>
      </c>
      <c r="C4194" s="3" t="s">
        <v>1168</v>
      </c>
      <c r="D4194" s="3" t="s">
        <v>1195</v>
      </c>
      <c r="E4194" s="3" t="s">
        <v>1085</v>
      </c>
      <c r="F4194" s="3">
        <v>256.55</v>
      </c>
      <c r="G4194" s="3">
        <v>3214.34</v>
      </c>
    </row>
    <row r="4195" spans="1:7" x14ac:dyDescent="0.2">
      <c r="A4195" s="3" t="s">
        <v>1072</v>
      </c>
      <c r="B4195" s="4">
        <v>45199</v>
      </c>
      <c r="C4195" s="3" t="s">
        <v>1168</v>
      </c>
      <c r="D4195" s="3" t="s">
        <v>1340</v>
      </c>
      <c r="E4195" s="3" t="s">
        <v>1141</v>
      </c>
      <c r="F4195" s="3">
        <v>0</v>
      </c>
      <c r="G4195" s="3">
        <v>511.89</v>
      </c>
    </row>
    <row r="4196" spans="1:7" x14ac:dyDescent="0.2">
      <c r="A4196" s="3" t="s">
        <v>1072</v>
      </c>
      <c r="B4196" s="4">
        <v>45199</v>
      </c>
      <c r="C4196" s="3" t="s">
        <v>1168</v>
      </c>
      <c r="D4196" s="3" t="s">
        <v>1708</v>
      </c>
      <c r="E4196" s="3" t="s">
        <v>1140</v>
      </c>
      <c r="F4196" s="3">
        <v>0</v>
      </c>
      <c r="G4196" s="3">
        <v>4123</v>
      </c>
    </row>
    <row r="4197" spans="1:7" x14ac:dyDescent="0.2">
      <c r="A4197" s="3" t="s">
        <v>1072</v>
      </c>
      <c r="B4197" s="4">
        <v>45199</v>
      </c>
      <c r="C4197" s="3" t="s">
        <v>1168</v>
      </c>
      <c r="D4197" s="3" t="s">
        <v>1341</v>
      </c>
      <c r="E4197" s="3" t="s">
        <v>1135</v>
      </c>
      <c r="F4197" s="3">
        <v>0</v>
      </c>
      <c r="G4197" s="3">
        <v>26779.67</v>
      </c>
    </row>
    <row r="4198" spans="1:7" x14ac:dyDescent="0.2">
      <c r="A4198" s="3" t="s">
        <v>1072</v>
      </c>
      <c r="B4198" s="4">
        <v>45199</v>
      </c>
      <c r="C4198" s="3" t="s">
        <v>1168</v>
      </c>
      <c r="D4198" s="3" t="s">
        <v>1342</v>
      </c>
      <c r="E4198" s="3" t="s">
        <v>1080</v>
      </c>
      <c r="F4198" s="3">
        <v>0</v>
      </c>
      <c r="G4198" s="3">
        <v>4352.6499999999996</v>
      </c>
    </row>
    <row r="4199" spans="1:7" x14ac:dyDescent="0.2">
      <c r="A4199" s="3" t="s">
        <v>1072</v>
      </c>
      <c r="B4199" s="4">
        <v>45199</v>
      </c>
      <c r="C4199" s="3" t="s">
        <v>1168</v>
      </c>
      <c r="D4199" s="3" t="s">
        <v>1504</v>
      </c>
      <c r="E4199" s="3" t="s">
        <v>1142</v>
      </c>
      <c r="F4199" s="3">
        <v>6080</v>
      </c>
      <c r="G4199" s="3">
        <v>29409</v>
      </c>
    </row>
    <row r="4200" spans="1:7" x14ac:dyDescent="0.2">
      <c r="A4200" s="3" t="s">
        <v>1069</v>
      </c>
      <c r="B4200" s="4">
        <v>45199</v>
      </c>
      <c r="C4200" s="3" t="s">
        <v>1168</v>
      </c>
      <c r="D4200" s="3" t="s">
        <v>1251</v>
      </c>
      <c r="E4200" s="3" t="s">
        <v>1095</v>
      </c>
      <c r="F4200" s="3">
        <v>128833</v>
      </c>
      <c r="G4200" s="3">
        <v>823416.57</v>
      </c>
    </row>
    <row r="4201" spans="1:7" x14ac:dyDescent="0.2">
      <c r="A4201" s="3" t="s">
        <v>1072</v>
      </c>
      <c r="B4201" s="4">
        <v>45199</v>
      </c>
      <c r="C4201" s="3" t="s">
        <v>1168</v>
      </c>
      <c r="D4201" s="3" t="s">
        <v>1348</v>
      </c>
      <c r="E4201" s="3" t="s">
        <v>1095</v>
      </c>
      <c r="F4201" s="3">
        <v>125697</v>
      </c>
      <c r="G4201" s="3">
        <v>858443.7</v>
      </c>
    </row>
    <row r="4202" spans="1:7" x14ac:dyDescent="0.2">
      <c r="A4202" s="3" t="s">
        <v>1069</v>
      </c>
      <c r="B4202" s="4">
        <v>45199</v>
      </c>
      <c r="C4202" s="3" t="s">
        <v>1168</v>
      </c>
      <c r="D4202" s="3" t="s">
        <v>1252</v>
      </c>
      <c r="E4202" s="3" t="s">
        <v>1120</v>
      </c>
      <c r="F4202" s="3">
        <v>0</v>
      </c>
      <c r="G4202" s="3">
        <v>12200</v>
      </c>
    </row>
    <row r="4203" spans="1:7" x14ac:dyDescent="0.2">
      <c r="A4203" s="3" t="s">
        <v>1074</v>
      </c>
      <c r="B4203" s="4">
        <v>45199</v>
      </c>
      <c r="C4203" s="3" t="s">
        <v>1168</v>
      </c>
      <c r="D4203" s="3" t="s">
        <v>1252</v>
      </c>
      <c r="E4203" s="3" t="s">
        <v>1120</v>
      </c>
      <c r="F4203" s="3">
        <v>7250</v>
      </c>
      <c r="G4203" s="3">
        <v>29000</v>
      </c>
    </row>
    <row r="4204" spans="1:7" x14ac:dyDescent="0.2">
      <c r="A4204" s="3" t="s">
        <v>1072</v>
      </c>
      <c r="B4204" s="4">
        <v>45199</v>
      </c>
      <c r="C4204" s="3" t="s">
        <v>1168</v>
      </c>
      <c r="D4204" s="3" t="s">
        <v>1349</v>
      </c>
      <c r="E4204" s="3" t="s">
        <v>1089</v>
      </c>
      <c r="F4204" s="3">
        <v>245</v>
      </c>
      <c r="G4204" s="3">
        <v>331.09</v>
      </c>
    </row>
    <row r="4205" spans="1:7" x14ac:dyDescent="0.2">
      <c r="A4205" s="3" t="s">
        <v>1072</v>
      </c>
      <c r="B4205" s="4">
        <v>45199</v>
      </c>
      <c r="C4205" s="3" t="s">
        <v>1168</v>
      </c>
      <c r="D4205" s="3" t="s">
        <v>1350</v>
      </c>
      <c r="E4205" s="3" t="s">
        <v>1115</v>
      </c>
      <c r="F4205" s="3">
        <v>3631.27</v>
      </c>
      <c r="G4205" s="3">
        <v>23574.66</v>
      </c>
    </row>
    <row r="4206" spans="1:7" x14ac:dyDescent="0.2">
      <c r="A4206" s="3" t="s">
        <v>1072</v>
      </c>
      <c r="B4206" s="4">
        <v>45199</v>
      </c>
      <c r="C4206" s="3" t="s">
        <v>1168</v>
      </c>
      <c r="D4206" s="3" t="s">
        <v>1351</v>
      </c>
      <c r="E4206" s="3" t="s">
        <v>1096</v>
      </c>
      <c r="F4206" s="3">
        <v>1188.69</v>
      </c>
      <c r="G4206" s="3">
        <v>6330.16</v>
      </c>
    </row>
    <row r="4207" spans="1:7" x14ac:dyDescent="0.2">
      <c r="A4207" s="3" t="s">
        <v>1072</v>
      </c>
      <c r="B4207" s="4">
        <v>45199</v>
      </c>
      <c r="C4207" s="3" t="s">
        <v>1168</v>
      </c>
      <c r="D4207" s="3" t="s">
        <v>1474</v>
      </c>
      <c r="E4207" s="3" t="s">
        <v>1114</v>
      </c>
      <c r="F4207" s="3">
        <v>547.67999999999995</v>
      </c>
      <c r="G4207" s="3">
        <v>3833.74</v>
      </c>
    </row>
    <row r="4208" spans="1:7" x14ac:dyDescent="0.2">
      <c r="A4208" s="3" t="s">
        <v>1069</v>
      </c>
      <c r="B4208" s="4">
        <v>45199</v>
      </c>
      <c r="C4208" s="3" t="s">
        <v>1168</v>
      </c>
      <c r="D4208" s="3" t="s">
        <v>1229</v>
      </c>
      <c r="E4208" s="3" t="s">
        <v>1136</v>
      </c>
      <c r="F4208" s="3">
        <v>833.84</v>
      </c>
      <c r="G4208" s="3">
        <v>130916.84</v>
      </c>
    </row>
    <row r="4209" spans="1:7" x14ac:dyDescent="0.2">
      <c r="A4209" s="3" t="s">
        <v>1072</v>
      </c>
      <c r="B4209" s="4">
        <v>45199</v>
      </c>
      <c r="C4209" s="3" t="s">
        <v>1168</v>
      </c>
      <c r="D4209" s="3" t="s">
        <v>1229</v>
      </c>
      <c r="E4209" s="3" t="s">
        <v>1106</v>
      </c>
      <c r="F4209" s="3">
        <v>7040.33</v>
      </c>
      <c r="G4209" s="3">
        <v>46899.43</v>
      </c>
    </row>
    <row r="4210" spans="1:7" x14ac:dyDescent="0.2">
      <c r="A4210" s="3" t="s">
        <v>1069</v>
      </c>
      <c r="B4210" s="4">
        <v>45199</v>
      </c>
      <c r="C4210" s="3" t="s">
        <v>1168</v>
      </c>
      <c r="D4210" s="3" t="s">
        <v>1230</v>
      </c>
      <c r="E4210" s="3" t="s">
        <v>1109</v>
      </c>
      <c r="F4210" s="3">
        <v>1094.18</v>
      </c>
      <c r="G4210" s="3">
        <v>44973.61</v>
      </c>
    </row>
    <row r="4211" spans="1:7" x14ac:dyDescent="0.2">
      <c r="A4211" s="3" t="s">
        <v>1069</v>
      </c>
      <c r="B4211" s="4">
        <v>45199</v>
      </c>
      <c r="C4211" s="3" t="s">
        <v>1168</v>
      </c>
      <c r="D4211" s="3" t="s">
        <v>1564</v>
      </c>
      <c r="E4211" s="3" t="s">
        <v>1101</v>
      </c>
      <c r="F4211" s="3">
        <v>0</v>
      </c>
      <c r="G4211" s="3">
        <v>10690.2</v>
      </c>
    </row>
    <row r="4212" spans="1:7" x14ac:dyDescent="0.2">
      <c r="A4212" s="3" t="s">
        <v>1069</v>
      </c>
      <c r="B4212" s="4">
        <v>45199</v>
      </c>
      <c r="C4212" s="3" t="s">
        <v>1168</v>
      </c>
      <c r="D4212" s="3" t="s">
        <v>1196</v>
      </c>
      <c r="E4212" s="3" t="s">
        <v>1131</v>
      </c>
      <c r="F4212" s="3">
        <v>0</v>
      </c>
      <c r="G4212" s="3">
        <v>39.47</v>
      </c>
    </row>
    <row r="4213" spans="1:7" x14ac:dyDescent="0.2">
      <c r="A4213" s="3" t="s">
        <v>1069</v>
      </c>
      <c r="B4213" s="4">
        <v>45199</v>
      </c>
      <c r="C4213" s="3" t="s">
        <v>1168</v>
      </c>
      <c r="D4213" s="3" t="s">
        <v>1663</v>
      </c>
      <c r="E4213" s="3" t="s">
        <v>1082</v>
      </c>
      <c r="F4213" s="3">
        <v>0</v>
      </c>
      <c r="G4213" s="3">
        <v>199.99</v>
      </c>
    </row>
    <row r="4214" spans="1:7" x14ac:dyDescent="0.2">
      <c r="A4214" s="3" t="s">
        <v>1069</v>
      </c>
      <c r="B4214" s="4">
        <v>45199</v>
      </c>
      <c r="C4214" s="3" t="s">
        <v>1168</v>
      </c>
      <c r="D4214" s="3" t="s">
        <v>1544</v>
      </c>
      <c r="E4214" s="3" t="s">
        <v>1159</v>
      </c>
      <c r="F4214" s="3">
        <v>13224.43</v>
      </c>
      <c r="G4214" s="3">
        <v>61116.79</v>
      </c>
    </row>
    <row r="4215" spans="1:7" x14ac:dyDescent="0.2">
      <c r="A4215" s="3" t="s">
        <v>1072</v>
      </c>
      <c r="B4215" s="4">
        <v>45199</v>
      </c>
      <c r="C4215" s="3" t="s">
        <v>1168</v>
      </c>
      <c r="D4215" s="3" t="s">
        <v>1354</v>
      </c>
      <c r="E4215" s="3" t="s">
        <v>1078</v>
      </c>
      <c r="F4215" s="3">
        <v>4390.6000000000004</v>
      </c>
      <c r="G4215" s="3">
        <v>16363.81</v>
      </c>
    </row>
    <row r="4216" spans="1:7" x14ac:dyDescent="0.2">
      <c r="A4216" s="3" t="s">
        <v>1072</v>
      </c>
      <c r="B4216" s="4">
        <v>45199</v>
      </c>
      <c r="C4216" s="3" t="s">
        <v>1168</v>
      </c>
      <c r="D4216" s="3" t="s">
        <v>1709</v>
      </c>
      <c r="E4216" s="3" t="s">
        <v>1081</v>
      </c>
      <c r="F4216" s="3">
        <v>0</v>
      </c>
      <c r="G4216" s="3">
        <v>24242.76</v>
      </c>
    </row>
    <row r="4217" spans="1:7" x14ac:dyDescent="0.2">
      <c r="A4217" s="3" t="s">
        <v>1069</v>
      </c>
      <c r="B4217" s="4">
        <v>45199</v>
      </c>
      <c r="C4217" s="3" t="s">
        <v>1168</v>
      </c>
      <c r="D4217" s="3" t="s">
        <v>1456</v>
      </c>
      <c r="E4217" s="3" t="s">
        <v>1457</v>
      </c>
      <c r="F4217" s="3">
        <v>0</v>
      </c>
      <c r="G4217" s="3">
        <v>-533.79999999999995</v>
      </c>
    </row>
    <row r="4218" spans="1:7" x14ac:dyDescent="0.2">
      <c r="A4218" s="3" t="s">
        <v>1069</v>
      </c>
      <c r="B4218" s="4">
        <v>45199</v>
      </c>
      <c r="C4218" s="3" t="s">
        <v>1168</v>
      </c>
      <c r="D4218" s="3" t="s">
        <v>1565</v>
      </c>
      <c r="E4218" s="3" t="s">
        <v>1566</v>
      </c>
      <c r="F4218" s="3">
        <v>0</v>
      </c>
      <c r="G4218" s="3">
        <v>167246.17000000001</v>
      </c>
    </row>
    <row r="4219" spans="1:7" x14ac:dyDescent="0.2">
      <c r="A4219" s="3" t="s">
        <v>1069</v>
      </c>
      <c r="B4219" s="4">
        <v>45199</v>
      </c>
      <c r="C4219" s="3" t="s">
        <v>1168</v>
      </c>
      <c r="D4219" s="3" t="s">
        <v>1567</v>
      </c>
      <c r="E4219" s="3" t="s">
        <v>1568</v>
      </c>
      <c r="F4219" s="3">
        <v>0</v>
      </c>
      <c r="G4219" s="3">
        <v>72942.48</v>
      </c>
    </row>
    <row r="4220" spans="1:7" x14ac:dyDescent="0.2">
      <c r="A4220" s="3" t="s">
        <v>1069</v>
      </c>
      <c r="B4220" s="4">
        <v>45199</v>
      </c>
      <c r="C4220" s="3" t="s">
        <v>1168</v>
      </c>
      <c r="D4220" s="3" t="s">
        <v>1569</v>
      </c>
      <c r="E4220" s="3" t="s">
        <v>1570</v>
      </c>
      <c r="F4220" s="3">
        <v>0</v>
      </c>
      <c r="G4220" s="3">
        <v>44124.67</v>
      </c>
    </row>
    <row r="4221" spans="1:7" x14ac:dyDescent="0.2">
      <c r="A4221" s="3" t="s">
        <v>1069</v>
      </c>
      <c r="B4221" s="4">
        <v>45199</v>
      </c>
      <c r="C4221" s="3" t="s">
        <v>1168</v>
      </c>
      <c r="D4221" s="3" t="s">
        <v>1608</v>
      </c>
      <c r="E4221" s="3" t="s">
        <v>1609</v>
      </c>
      <c r="F4221" s="3">
        <v>0</v>
      </c>
      <c r="G4221" s="3">
        <v>11678.33</v>
      </c>
    </row>
    <row r="4222" spans="1:7" x14ac:dyDescent="0.2">
      <c r="A4222" s="3" t="s">
        <v>1074</v>
      </c>
      <c r="B4222" s="4">
        <v>45199</v>
      </c>
      <c r="C4222" s="3" t="s">
        <v>1168</v>
      </c>
      <c r="D4222" s="3" t="s">
        <v>1608</v>
      </c>
      <c r="E4222" s="3" t="s">
        <v>1609</v>
      </c>
      <c r="F4222" s="3">
        <v>932.4</v>
      </c>
      <c r="G4222" s="3">
        <v>1607.78</v>
      </c>
    </row>
    <row r="4223" spans="1:7" x14ac:dyDescent="0.2">
      <c r="A4223" s="3" t="s">
        <v>1069</v>
      </c>
      <c r="B4223" s="4">
        <v>45199</v>
      </c>
      <c r="C4223" s="3" t="s">
        <v>1168</v>
      </c>
      <c r="D4223" s="3" t="s">
        <v>1627</v>
      </c>
      <c r="E4223" s="3" t="s">
        <v>1628</v>
      </c>
      <c r="F4223" s="3">
        <v>0</v>
      </c>
      <c r="G4223" s="3">
        <v>1252.24</v>
      </c>
    </row>
    <row r="4224" spans="1:7" x14ac:dyDescent="0.2">
      <c r="A4224" s="3" t="s">
        <v>1074</v>
      </c>
      <c r="B4224" s="4">
        <v>45199</v>
      </c>
      <c r="C4224" s="3" t="s">
        <v>1168</v>
      </c>
      <c r="D4224" s="3" t="s">
        <v>1627</v>
      </c>
      <c r="E4224" s="3" t="s">
        <v>1628</v>
      </c>
      <c r="F4224" s="3">
        <v>82.19</v>
      </c>
      <c r="G4224" s="3">
        <v>1507.16</v>
      </c>
    </row>
    <row r="4225" spans="1:7" x14ac:dyDescent="0.2">
      <c r="A4225" s="3" t="s">
        <v>1069</v>
      </c>
      <c r="B4225" s="4">
        <v>45199</v>
      </c>
      <c r="C4225" s="3" t="s">
        <v>1168</v>
      </c>
      <c r="D4225" s="3" t="s">
        <v>1693</v>
      </c>
      <c r="E4225" s="3" t="s">
        <v>1694</v>
      </c>
      <c r="F4225" s="3">
        <v>0</v>
      </c>
      <c r="G4225" s="3">
        <v>5515.07</v>
      </c>
    </row>
    <row r="4226" spans="1:7" x14ac:dyDescent="0.2">
      <c r="A4226" s="3" t="s">
        <v>1074</v>
      </c>
      <c r="B4226" s="4">
        <v>45199</v>
      </c>
      <c r="C4226" s="3" t="s">
        <v>1168</v>
      </c>
      <c r="D4226" s="3" t="s">
        <v>1693</v>
      </c>
      <c r="E4226" s="3" t="s">
        <v>1694</v>
      </c>
      <c r="F4226" s="3">
        <v>26106.19</v>
      </c>
      <c r="G4226" s="3">
        <v>26106.19</v>
      </c>
    </row>
    <row r="4227" spans="1:7" x14ac:dyDescent="0.2">
      <c r="A4227" s="3" t="s">
        <v>1069</v>
      </c>
      <c r="B4227" s="4">
        <v>45199</v>
      </c>
      <c r="C4227" s="3" t="s">
        <v>1168</v>
      </c>
      <c r="D4227" s="3" t="s">
        <v>1695</v>
      </c>
      <c r="E4227" s="3" t="s">
        <v>1696</v>
      </c>
      <c r="F4227" s="3">
        <v>0</v>
      </c>
      <c r="G4227" s="3">
        <v>591.78</v>
      </c>
    </row>
    <row r="4228" spans="1:7" x14ac:dyDescent="0.2">
      <c r="A4228" s="3" t="s">
        <v>1074</v>
      </c>
      <c r="B4228" s="4">
        <v>45199</v>
      </c>
      <c r="C4228" s="3" t="s">
        <v>1168</v>
      </c>
      <c r="D4228" s="3" t="s">
        <v>1695</v>
      </c>
      <c r="E4228" s="3" t="s">
        <v>1696</v>
      </c>
      <c r="F4228" s="3">
        <v>34057.67</v>
      </c>
      <c r="G4228" s="3">
        <v>62238.37</v>
      </c>
    </row>
    <row r="4229" spans="1:7" x14ac:dyDescent="0.2">
      <c r="A4229" s="3" t="s">
        <v>1074</v>
      </c>
      <c r="B4229" s="4">
        <v>45199</v>
      </c>
      <c r="C4229" s="3" t="s">
        <v>1168</v>
      </c>
      <c r="D4229" s="3" t="s">
        <v>1650</v>
      </c>
      <c r="E4229" s="3" t="s">
        <v>1651</v>
      </c>
      <c r="F4229" s="3">
        <v>2537.9</v>
      </c>
      <c r="G4229" s="3">
        <v>2537.9</v>
      </c>
    </row>
    <row r="4230" spans="1:7" x14ac:dyDescent="0.2">
      <c r="A4230" s="3" t="s">
        <v>1074</v>
      </c>
      <c r="B4230" s="4">
        <v>45199</v>
      </c>
      <c r="C4230" s="3" t="s">
        <v>1168</v>
      </c>
      <c r="D4230" s="3" t="s">
        <v>1710</v>
      </c>
      <c r="E4230" s="3" t="s">
        <v>1711</v>
      </c>
      <c r="F4230" s="3">
        <v>4367.12</v>
      </c>
      <c r="G4230" s="3">
        <v>5709.59</v>
      </c>
    </row>
    <row r="4231" spans="1:7" x14ac:dyDescent="0.2">
      <c r="A4231" s="3" t="s">
        <v>1074</v>
      </c>
      <c r="B4231" s="4">
        <v>45199</v>
      </c>
      <c r="C4231" s="3" t="s">
        <v>1168</v>
      </c>
      <c r="D4231" s="3" t="s">
        <v>1712</v>
      </c>
      <c r="E4231" s="3" t="s">
        <v>1713</v>
      </c>
      <c r="F4231" s="3">
        <v>17723.419999999998</v>
      </c>
      <c r="G4231" s="3">
        <v>19334.38</v>
      </c>
    </row>
    <row r="4232" spans="1:7" x14ac:dyDescent="0.2">
      <c r="A4232" s="3" t="s">
        <v>1074</v>
      </c>
      <c r="B4232" s="4">
        <v>45199</v>
      </c>
      <c r="C4232" s="3" t="s">
        <v>1168</v>
      </c>
      <c r="D4232" s="3" t="s">
        <v>1719</v>
      </c>
      <c r="E4232" s="3" t="s">
        <v>1720</v>
      </c>
      <c r="F4232" s="3">
        <v>9131.51</v>
      </c>
      <c r="G4232" s="3">
        <v>9131.51</v>
      </c>
    </row>
    <row r="4233" spans="1:7" x14ac:dyDescent="0.2">
      <c r="A4233" s="3" t="s">
        <v>1069</v>
      </c>
      <c r="B4233" s="4">
        <v>45199</v>
      </c>
      <c r="C4233" s="3" t="s">
        <v>1168</v>
      </c>
      <c r="D4233" s="3" t="s">
        <v>1571</v>
      </c>
      <c r="E4233" s="3" t="s">
        <v>1572</v>
      </c>
      <c r="F4233" s="3">
        <v>0</v>
      </c>
      <c r="G4233" s="3">
        <v>400367.2</v>
      </c>
    </row>
    <row r="4234" spans="1:7" x14ac:dyDescent="0.2">
      <c r="A4234" s="3" t="s">
        <v>1074</v>
      </c>
      <c r="B4234" s="4">
        <v>45199</v>
      </c>
      <c r="C4234" s="3" t="s">
        <v>1168</v>
      </c>
      <c r="D4234" s="3" t="s">
        <v>1571</v>
      </c>
      <c r="E4234" s="3" t="s">
        <v>1572</v>
      </c>
      <c r="F4234" s="3">
        <v>274749.93</v>
      </c>
      <c r="G4234" s="3">
        <v>589744.15</v>
      </c>
    </row>
    <row r="4235" spans="1:7" x14ac:dyDescent="0.2">
      <c r="A4235" s="3" t="s">
        <v>1069</v>
      </c>
      <c r="B4235" s="4">
        <v>45199</v>
      </c>
      <c r="C4235" s="3" t="s">
        <v>1168</v>
      </c>
      <c r="D4235" s="3" t="s">
        <v>1573</v>
      </c>
      <c r="E4235" s="3" t="s">
        <v>1574</v>
      </c>
      <c r="F4235" s="3">
        <v>0</v>
      </c>
      <c r="G4235" s="3">
        <v>333349.31</v>
      </c>
    </row>
    <row r="4236" spans="1:7" x14ac:dyDescent="0.2">
      <c r="A4236" s="3" t="s">
        <v>1069</v>
      </c>
      <c r="B4236" s="4">
        <v>45199</v>
      </c>
      <c r="C4236" s="3" t="s">
        <v>1168</v>
      </c>
      <c r="D4236" s="3" t="s">
        <v>1629</v>
      </c>
      <c r="E4236" s="3" t="s">
        <v>1630</v>
      </c>
      <c r="F4236" s="3">
        <v>0</v>
      </c>
      <c r="G4236" s="3">
        <v>47473.98</v>
      </c>
    </row>
    <row r="4237" spans="1:7" x14ac:dyDescent="0.2">
      <c r="A4237" s="3" t="s">
        <v>1074</v>
      </c>
      <c r="B4237" s="4">
        <v>45199</v>
      </c>
      <c r="C4237" s="3" t="s">
        <v>1168</v>
      </c>
      <c r="D4237" s="3" t="s">
        <v>1629</v>
      </c>
      <c r="E4237" s="3" t="s">
        <v>1630</v>
      </c>
      <c r="F4237" s="3">
        <v>91616.44</v>
      </c>
      <c r="G4237" s="3">
        <v>128315.62</v>
      </c>
    </row>
    <row r="4238" spans="1:7" x14ac:dyDescent="0.2">
      <c r="A4238" s="3" t="s">
        <v>1069</v>
      </c>
      <c r="B4238" s="4">
        <v>45199</v>
      </c>
      <c r="C4238" s="3" t="s">
        <v>1168</v>
      </c>
      <c r="D4238" s="3" t="s">
        <v>1575</v>
      </c>
      <c r="E4238" s="3" t="s">
        <v>1576</v>
      </c>
      <c r="F4238" s="3">
        <v>0</v>
      </c>
      <c r="G4238" s="3">
        <v>3197167.68</v>
      </c>
    </row>
    <row r="4239" spans="1:7" x14ac:dyDescent="0.2">
      <c r="A4239" s="3" t="s">
        <v>1074</v>
      </c>
      <c r="B4239" s="4">
        <v>45199</v>
      </c>
      <c r="C4239" s="3" t="s">
        <v>1168</v>
      </c>
      <c r="D4239" s="3" t="s">
        <v>1575</v>
      </c>
      <c r="E4239" s="3" t="s">
        <v>1576</v>
      </c>
      <c r="F4239" s="3">
        <v>1025053.74</v>
      </c>
      <c r="G4239" s="3">
        <v>1428401.69</v>
      </c>
    </row>
    <row r="4240" spans="1:7" x14ac:dyDescent="0.2">
      <c r="A4240" s="3" t="s">
        <v>1072</v>
      </c>
      <c r="B4240" s="4">
        <v>45199</v>
      </c>
      <c r="C4240" s="3" t="s">
        <v>1168</v>
      </c>
      <c r="D4240" s="3" t="s">
        <v>1671</v>
      </c>
      <c r="E4240" s="3" t="s">
        <v>1119</v>
      </c>
      <c r="F4240" s="3">
        <v>0</v>
      </c>
      <c r="G4240" s="3">
        <v>5202.88</v>
      </c>
    </row>
    <row r="4241" spans="1:7" x14ac:dyDescent="0.2">
      <c r="A4241" s="3" t="s">
        <v>1074</v>
      </c>
      <c r="B4241" s="4">
        <v>45199</v>
      </c>
      <c r="C4241" s="3" t="s">
        <v>1168</v>
      </c>
      <c r="D4241" s="3" t="s">
        <v>1721</v>
      </c>
      <c r="E4241" s="3" t="s">
        <v>1152</v>
      </c>
      <c r="F4241" s="3">
        <v>95314.44</v>
      </c>
      <c r="G4241" s="3">
        <v>95314.44</v>
      </c>
    </row>
    <row r="4242" spans="1:7" x14ac:dyDescent="0.2">
      <c r="A4242" s="3" t="s">
        <v>1069</v>
      </c>
      <c r="B4242" s="4">
        <v>45199</v>
      </c>
      <c r="C4242" s="3" t="s">
        <v>1168</v>
      </c>
      <c r="D4242" s="3" t="s">
        <v>1684</v>
      </c>
      <c r="E4242" s="3" t="s">
        <v>1102</v>
      </c>
      <c r="F4242" s="3">
        <v>0</v>
      </c>
      <c r="G4242" s="3">
        <v>76865.83</v>
      </c>
    </row>
    <row r="4243" spans="1:7" x14ac:dyDescent="0.2">
      <c r="A4243" s="3" t="s">
        <v>1069</v>
      </c>
      <c r="B4243" s="4">
        <v>45199</v>
      </c>
      <c r="C4243" s="3" t="s">
        <v>1168</v>
      </c>
      <c r="D4243" s="3" t="s">
        <v>1722</v>
      </c>
      <c r="E4243" s="3" t="s">
        <v>1116</v>
      </c>
      <c r="F4243" s="3">
        <v>4142.54</v>
      </c>
      <c r="G4243" s="3">
        <v>4142.54</v>
      </c>
    </row>
    <row r="4244" spans="1:7" x14ac:dyDescent="0.2">
      <c r="A4244" s="3" t="s">
        <v>1074</v>
      </c>
      <c r="B4244" s="4">
        <v>45199</v>
      </c>
      <c r="C4244" s="3" t="s">
        <v>1168</v>
      </c>
      <c r="D4244" s="3" t="s">
        <v>1549</v>
      </c>
      <c r="E4244" s="3" t="s">
        <v>1154</v>
      </c>
      <c r="F4244" s="3">
        <v>0</v>
      </c>
      <c r="G4244" s="3">
        <v>400000</v>
      </c>
    </row>
    <row r="4245" spans="1:7" x14ac:dyDescent="0.2">
      <c r="A4245" s="3" t="s">
        <v>1069</v>
      </c>
      <c r="B4245" s="4">
        <v>45199</v>
      </c>
      <c r="C4245" s="3" t="s">
        <v>1168</v>
      </c>
      <c r="D4245" s="3" t="s">
        <v>1253</v>
      </c>
      <c r="E4245" s="3" t="s">
        <v>1103</v>
      </c>
      <c r="F4245" s="3">
        <v>15149.62</v>
      </c>
      <c r="G4245" s="3">
        <v>72656.570000000007</v>
      </c>
    </row>
    <row r="4246" spans="1:7" x14ac:dyDescent="0.2">
      <c r="A4246" s="3" t="s">
        <v>1072</v>
      </c>
      <c r="B4246" s="4">
        <v>45199</v>
      </c>
      <c r="C4246" s="3" t="s">
        <v>1168</v>
      </c>
      <c r="D4246" s="3" t="s">
        <v>1672</v>
      </c>
      <c r="E4246" s="3" t="s">
        <v>1097</v>
      </c>
      <c r="F4246" s="3">
        <v>0</v>
      </c>
      <c r="G4246" s="3">
        <v>362</v>
      </c>
    </row>
    <row r="4247" spans="1:7" x14ac:dyDescent="0.2">
      <c r="A4247" s="3" t="s">
        <v>1069</v>
      </c>
      <c r="B4247" s="4">
        <v>45199</v>
      </c>
      <c r="C4247" s="3" t="s">
        <v>1168</v>
      </c>
      <c r="D4247" s="3" t="s">
        <v>1672</v>
      </c>
      <c r="E4247" s="3" t="s">
        <v>1097</v>
      </c>
      <c r="F4247" s="3">
        <v>0</v>
      </c>
      <c r="G4247" s="3">
        <v>20</v>
      </c>
    </row>
    <row r="4248" spans="1:7" x14ac:dyDescent="0.2">
      <c r="A4248" s="3" t="s">
        <v>1072</v>
      </c>
      <c r="B4248" s="4">
        <v>45199</v>
      </c>
      <c r="C4248" s="3" t="s">
        <v>1168</v>
      </c>
      <c r="D4248" s="3" t="s">
        <v>1357</v>
      </c>
      <c r="E4248" s="3" t="s">
        <v>1157</v>
      </c>
      <c r="F4248" s="3">
        <v>5244.4</v>
      </c>
      <c r="G4248" s="3">
        <v>30048.43</v>
      </c>
    </row>
    <row r="4249" spans="1:7" x14ac:dyDescent="0.2">
      <c r="A4249" s="3" t="s">
        <v>1072</v>
      </c>
      <c r="B4249" s="4">
        <v>45199</v>
      </c>
      <c r="C4249" s="3" t="s">
        <v>1168</v>
      </c>
      <c r="D4249" s="3" t="s">
        <v>1358</v>
      </c>
      <c r="E4249" s="3" t="s">
        <v>1122</v>
      </c>
      <c r="F4249" s="3">
        <v>3637</v>
      </c>
      <c r="G4249" s="3">
        <v>3637</v>
      </c>
    </row>
    <row r="4250" spans="1:7" x14ac:dyDescent="0.2">
      <c r="A4250" s="3" t="s">
        <v>1072</v>
      </c>
      <c r="B4250" s="4">
        <v>45199</v>
      </c>
      <c r="C4250" s="3" t="s">
        <v>1168</v>
      </c>
      <c r="D4250" s="3" t="s">
        <v>1359</v>
      </c>
      <c r="E4250" s="3" t="s">
        <v>1086</v>
      </c>
      <c r="F4250" s="3">
        <v>0</v>
      </c>
      <c r="G4250" s="3">
        <v>1069</v>
      </c>
    </row>
    <row r="4251" spans="1:7" x14ac:dyDescent="0.2">
      <c r="A4251" s="3" t="s">
        <v>1072</v>
      </c>
      <c r="B4251" s="4">
        <v>45199</v>
      </c>
      <c r="C4251" s="3" t="s">
        <v>1168</v>
      </c>
      <c r="D4251" s="3" t="s">
        <v>1201</v>
      </c>
      <c r="E4251" s="3" t="s">
        <v>1112</v>
      </c>
      <c r="F4251" s="3">
        <v>7557.38</v>
      </c>
      <c r="G4251" s="3">
        <v>25896.3</v>
      </c>
    </row>
    <row r="4252" spans="1:7" x14ac:dyDescent="0.2">
      <c r="A4252" s="3" t="s">
        <v>1072</v>
      </c>
      <c r="B4252" s="4">
        <v>45199</v>
      </c>
      <c r="C4252" s="3" t="s">
        <v>1168</v>
      </c>
      <c r="D4252" s="3" t="s">
        <v>1360</v>
      </c>
      <c r="E4252" s="3" t="s">
        <v>1098</v>
      </c>
      <c r="F4252" s="3">
        <v>2745.32</v>
      </c>
      <c r="G4252" s="3">
        <v>14468.89</v>
      </c>
    </row>
    <row r="4253" spans="1:7" x14ac:dyDescent="0.2">
      <c r="A4253" s="3" t="s">
        <v>1072</v>
      </c>
      <c r="B4253" s="4">
        <v>45199</v>
      </c>
      <c r="C4253" s="3" t="s">
        <v>1168</v>
      </c>
      <c r="D4253" s="3" t="s">
        <v>1361</v>
      </c>
      <c r="E4253" s="3" t="s">
        <v>1121</v>
      </c>
      <c r="F4253" s="3">
        <v>29600</v>
      </c>
      <c r="G4253" s="3">
        <v>207200</v>
      </c>
    </row>
    <row r="4254" spans="1:7" x14ac:dyDescent="0.2">
      <c r="A4254" s="3" t="s">
        <v>1072</v>
      </c>
      <c r="B4254" s="4">
        <v>45199</v>
      </c>
      <c r="C4254" s="3" t="s">
        <v>1168</v>
      </c>
      <c r="D4254" s="3" t="s">
        <v>1231</v>
      </c>
      <c r="E4254" s="3" t="s">
        <v>1083</v>
      </c>
      <c r="F4254" s="3">
        <v>989.75</v>
      </c>
      <c r="G4254" s="3">
        <v>8078.79</v>
      </c>
    </row>
    <row r="4255" spans="1:7" x14ac:dyDescent="0.2">
      <c r="A4255" s="3" t="s">
        <v>1069</v>
      </c>
      <c r="B4255" s="4">
        <v>45199</v>
      </c>
      <c r="C4255" s="3" t="s">
        <v>1168</v>
      </c>
      <c r="D4255" s="3" t="s">
        <v>1231</v>
      </c>
      <c r="E4255" s="3" t="s">
        <v>1070</v>
      </c>
      <c r="F4255" s="3">
        <v>9078.59</v>
      </c>
      <c r="G4255" s="3">
        <v>-2317.84</v>
      </c>
    </row>
    <row r="4256" spans="1:7" x14ac:dyDescent="0.2">
      <c r="A4256" s="3" t="s">
        <v>1072</v>
      </c>
      <c r="B4256" s="4">
        <v>45199</v>
      </c>
      <c r="C4256" s="3" t="s">
        <v>1168</v>
      </c>
      <c r="D4256" s="3" t="s">
        <v>1254</v>
      </c>
      <c r="E4256" s="3" t="s">
        <v>1075</v>
      </c>
      <c r="F4256" s="3">
        <v>0</v>
      </c>
      <c r="G4256" s="3">
        <v>15462.01</v>
      </c>
    </row>
    <row r="4257" spans="1:7" x14ac:dyDescent="0.2">
      <c r="A4257" s="3" t="s">
        <v>1069</v>
      </c>
      <c r="B4257" s="4">
        <v>45199</v>
      </c>
      <c r="C4257" s="3" t="s">
        <v>1168</v>
      </c>
      <c r="D4257" s="3" t="s">
        <v>1254</v>
      </c>
      <c r="E4257" s="3" t="s">
        <v>1075</v>
      </c>
      <c r="F4257" s="3">
        <v>0</v>
      </c>
      <c r="G4257" s="3">
        <v>33647.279999999999</v>
      </c>
    </row>
    <row r="4258" spans="1:7" x14ac:dyDescent="0.2">
      <c r="A4258" s="3" t="s">
        <v>1074</v>
      </c>
      <c r="B4258" s="4">
        <v>45199</v>
      </c>
      <c r="C4258" s="3" t="s">
        <v>1168</v>
      </c>
      <c r="D4258" s="3" t="s">
        <v>1254</v>
      </c>
      <c r="E4258" s="3" t="s">
        <v>1075</v>
      </c>
      <c r="F4258" s="3">
        <v>16566.560000000001</v>
      </c>
      <c r="G4258" s="3">
        <v>16566.560000000001</v>
      </c>
    </row>
    <row r="4259" spans="1:7" x14ac:dyDescent="0.2">
      <c r="A4259" s="3" t="s">
        <v>1072</v>
      </c>
      <c r="B4259" s="4">
        <v>45199</v>
      </c>
      <c r="C4259" s="3" t="s">
        <v>1168</v>
      </c>
      <c r="D4259" s="3" t="s">
        <v>1362</v>
      </c>
      <c r="E4259" s="3" t="s">
        <v>1123</v>
      </c>
      <c r="F4259" s="3">
        <v>367762.35</v>
      </c>
      <c r="G4259" s="3">
        <v>2459557.83</v>
      </c>
    </row>
    <row r="4260" spans="1:7" x14ac:dyDescent="0.2">
      <c r="A4260" s="3" t="s">
        <v>1072</v>
      </c>
      <c r="B4260" s="4">
        <v>45199</v>
      </c>
      <c r="C4260" s="3" t="s">
        <v>1168</v>
      </c>
      <c r="D4260" s="3" t="s">
        <v>1365</v>
      </c>
      <c r="E4260" s="3" t="s">
        <v>1090</v>
      </c>
      <c r="F4260" s="3">
        <v>0</v>
      </c>
      <c r="G4260" s="3">
        <v>5192.13</v>
      </c>
    </row>
    <row r="4261" spans="1:7" x14ac:dyDescent="0.2">
      <c r="A4261" s="3" t="s">
        <v>1072</v>
      </c>
      <c r="B4261" s="4">
        <v>45199</v>
      </c>
      <c r="C4261" s="3" t="s">
        <v>1168</v>
      </c>
      <c r="D4261" s="3" t="s">
        <v>1511</v>
      </c>
      <c r="E4261" s="3" t="s">
        <v>1104</v>
      </c>
      <c r="F4261" s="3">
        <v>177.33</v>
      </c>
      <c r="G4261" s="3">
        <v>1241.31</v>
      </c>
    </row>
    <row r="4262" spans="1:7" x14ac:dyDescent="0.2">
      <c r="A4262" s="3" t="s">
        <v>1072</v>
      </c>
      <c r="B4262" s="4">
        <v>45199</v>
      </c>
      <c r="C4262" s="3" t="s">
        <v>1168</v>
      </c>
      <c r="D4262" s="3" t="s">
        <v>1366</v>
      </c>
      <c r="E4262" s="3" t="s">
        <v>1144</v>
      </c>
      <c r="F4262" s="3">
        <v>3800</v>
      </c>
      <c r="G4262" s="3">
        <v>23068.46</v>
      </c>
    </row>
    <row r="4263" spans="1:7" x14ac:dyDescent="0.2">
      <c r="A4263" s="3" t="s">
        <v>1069</v>
      </c>
      <c r="B4263" s="4">
        <v>45199</v>
      </c>
      <c r="C4263" s="3" t="s">
        <v>1168</v>
      </c>
      <c r="D4263" s="3" t="s">
        <v>1213</v>
      </c>
      <c r="E4263" s="3" t="s">
        <v>1150</v>
      </c>
      <c r="F4263" s="3">
        <v>366.14</v>
      </c>
      <c r="G4263" s="3">
        <v>2449.6999999999998</v>
      </c>
    </row>
    <row r="4264" spans="1:7" x14ac:dyDescent="0.2">
      <c r="A4264" s="3" t="s">
        <v>1072</v>
      </c>
      <c r="B4264" s="4">
        <v>45199</v>
      </c>
      <c r="C4264" s="3" t="s">
        <v>1168</v>
      </c>
      <c r="D4264" s="3" t="s">
        <v>1368</v>
      </c>
      <c r="E4264" s="3" t="s">
        <v>1124</v>
      </c>
      <c r="F4264" s="3">
        <v>3395.64</v>
      </c>
      <c r="G4264" s="3">
        <v>28480.15</v>
      </c>
    </row>
    <row r="4265" spans="1:7" x14ac:dyDescent="0.2">
      <c r="A4265" s="3" t="s">
        <v>1072</v>
      </c>
      <c r="B4265" s="4">
        <v>45199</v>
      </c>
      <c r="C4265" s="3" t="s">
        <v>1168</v>
      </c>
      <c r="D4265" s="3" t="s">
        <v>1369</v>
      </c>
      <c r="E4265" s="3" t="s">
        <v>1099</v>
      </c>
      <c r="F4265" s="3">
        <v>0</v>
      </c>
      <c r="G4265" s="3">
        <v>13527.97</v>
      </c>
    </row>
    <row r="4266" spans="1:7" x14ac:dyDescent="0.2">
      <c r="A4266" s="3" t="s">
        <v>1072</v>
      </c>
      <c r="B4266" s="4">
        <v>45199</v>
      </c>
      <c r="C4266" s="3" t="s">
        <v>1168</v>
      </c>
      <c r="D4266" s="3" t="s">
        <v>1370</v>
      </c>
      <c r="E4266" s="3" t="s">
        <v>1129</v>
      </c>
      <c r="F4266" s="3">
        <v>747</v>
      </c>
      <c r="G4266" s="3">
        <v>5229</v>
      </c>
    </row>
    <row r="4267" spans="1:7" x14ac:dyDescent="0.2">
      <c r="A4267" s="3" t="s">
        <v>1072</v>
      </c>
      <c r="B4267" s="4">
        <v>45199</v>
      </c>
      <c r="C4267" s="3" t="s">
        <v>1168</v>
      </c>
      <c r="D4267" s="3" t="s">
        <v>1371</v>
      </c>
      <c r="E4267" s="3" t="s">
        <v>1093</v>
      </c>
      <c r="F4267" s="3">
        <v>0</v>
      </c>
      <c r="G4267" s="3">
        <v>10825.49</v>
      </c>
    </row>
    <row r="4268" spans="1:7" x14ac:dyDescent="0.2">
      <c r="A4268" s="3" t="s">
        <v>1072</v>
      </c>
      <c r="B4268" s="4">
        <v>45199</v>
      </c>
      <c r="C4268" s="3" t="s">
        <v>1168</v>
      </c>
      <c r="D4268" s="3" t="s">
        <v>1372</v>
      </c>
      <c r="E4268" s="3" t="s">
        <v>1158</v>
      </c>
      <c r="F4268" s="3">
        <v>600</v>
      </c>
      <c r="G4268" s="3">
        <v>4200</v>
      </c>
    </row>
    <row r="4269" spans="1:7" x14ac:dyDescent="0.2">
      <c r="A4269" s="3" t="s">
        <v>1072</v>
      </c>
      <c r="B4269" s="4">
        <v>45199</v>
      </c>
      <c r="C4269" s="3" t="s">
        <v>1168</v>
      </c>
      <c r="D4269" s="3" t="s">
        <v>1373</v>
      </c>
      <c r="E4269" s="3" t="s">
        <v>1092</v>
      </c>
      <c r="F4269" s="3">
        <v>846.99</v>
      </c>
      <c r="G4269" s="3">
        <v>5733.72</v>
      </c>
    </row>
    <row r="4270" spans="1:7" x14ac:dyDescent="0.2">
      <c r="A4270" s="3" t="s">
        <v>1072</v>
      </c>
      <c r="B4270" s="4">
        <v>45199</v>
      </c>
      <c r="C4270" s="3" t="s">
        <v>1168</v>
      </c>
      <c r="D4270" s="3" t="s">
        <v>1714</v>
      </c>
      <c r="E4270" s="3" t="s">
        <v>1091</v>
      </c>
      <c r="F4270" s="3">
        <v>0</v>
      </c>
      <c r="G4270" s="3">
        <v>4498.72</v>
      </c>
    </row>
    <row r="4271" spans="1:7" x14ac:dyDescent="0.2">
      <c r="A4271" s="3" t="s">
        <v>1069</v>
      </c>
      <c r="B4271" s="4">
        <v>45199</v>
      </c>
      <c r="C4271" s="3" t="s">
        <v>1168</v>
      </c>
      <c r="D4271" s="3" t="s">
        <v>1232</v>
      </c>
      <c r="E4271" s="3" t="s">
        <v>1105</v>
      </c>
      <c r="F4271" s="3">
        <v>600</v>
      </c>
      <c r="G4271" s="3">
        <v>4200</v>
      </c>
    </row>
    <row r="4272" spans="1:7" x14ac:dyDescent="0.2">
      <c r="A4272" s="3" t="s">
        <v>1074</v>
      </c>
      <c r="B4272" s="4">
        <v>45199</v>
      </c>
      <c r="C4272" s="3" t="s">
        <v>1168</v>
      </c>
      <c r="D4272" s="3" t="s">
        <v>1232</v>
      </c>
      <c r="E4272" s="3" t="s">
        <v>1105</v>
      </c>
      <c r="F4272" s="3">
        <v>600</v>
      </c>
      <c r="G4272" s="3">
        <v>4200</v>
      </c>
    </row>
    <row r="4273" spans="1:7" x14ac:dyDescent="0.2">
      <c r="A4273" s="3" t="s">
        <v>1072</v>
      </c>
      <c r="B4273" s="4">
        <v>45199</v>
      </c>
      <c r="C4273" s="3" t="s">
        <v>1168</v>
      </c>
      <c r="D4273" s="3" t="s">
        <v>1374</v>
      </c>
      <c r="E4273" s="3" t="s">
        <v>1108</v>
      </c>
      <c r="F4273" s="3">
        <v>0</v>
      </c>
      <c r="G4273" s="3">
        <v>4000</v>
      </c>
    </row>
    <row r="4274" spans="1:7" x14ac:dyDescent="0.2">
      <c r="A4274" s="3" t="s">
        <v>1072</v>
      </c>
      <c r="B4274" s="4">
        <v>45199</v>
      </c>
      <c r="C4274" s="3" t="s">
        <v>1168</v>
      </c>
      <c r="D4274" s="3" t="s">
        <v>1375</v>
      </c>
      <c r="E4274" s="3" t="s">
        <v>1100</v>
      </c>
      <c r="F4274" s="3">
        <v>0</v>
      </c>
      <c r="G4274" s="3">
        <v>11566.33</v>
      </c>
    </row>
    <row r="4275" spans="1:7" x14ac:dyDescent="0.2">
      <c r="A4275" s="3" t="s">
        <v>1072</v>
      </c>
      <c r="B4275" s="4">
        <v>45199</v>
      </c>
      <c r="C4275" s="3" t="s">
        <v>1168</v>
      </c>
      <c r="D4275" s="3" t="s">
        <v>1378</v>
      </c>
      <c r="E4275" s="3" t="s">
        <v>1143</v>
      </c>
      <c r="F4275" s="3">
        <v>81838.63</v>
      </c>
      <c r="G4275" s="3">
        <v>558969.94999999995</v>
      </c>
    </row>
    <row r="4276" spans="1:7" x14ac:dyDescent="0.2">
      <c r="A4276" s="3" t="s">
        <v>1072</v>
      </c>
      <c r="B4276" s="4">
        <v>45199</v>
      </c>
      <c r="C4276" s="3" t="s">
        <v>1168</v>
      </c>
      <c r="D4276" s="3" t="s">
        <v>1379</v>
      </c>
      <c r="E4276" s="3" t="s">
        <v>1107</v>
      </c>
      <c r="F4276" s="3">
        <v>4371.3500000000004</v>
      </c>
      <c r="G4276" s="3">
        <v>29311.72</v>
      </c>
    </row>
    <row r="4277" spans="1:7" x14ac:dyDescent="0.2">
      <c r="A4277" s="3" t="s">
        <v>1072</v>
      </c>
      <c r="B4277" s="4">
        <v>45199</v>
      </c>
      <c r="C4277" s="3" t="s">
        <v>1168</v>
      </c>
      <c r="D4277" s="3" t="s">
        <v>1380</v>
      </c>
      <c r="E4277" s="3" t="s">
        <v>1125</v>
      </c>
      <c r="F4277" s="3">
        <v>2385.0700000000002</v>
      </c>
      <c r="G4277" s="3">
        <v>15701.95</v>
      </c>
    </row>
    <row r="4278" spans="1:7" x14ac:dyDescent="0.2">
      <c r="A4278" s="3" t="s">
        <v>1072</v>
      </c>
      <c r="B4278" s="4">
        <v>45199</v>
      </c>
      <c r="C4278" s="3" t="s">
        <v>1168</v>
      </c>
      <c r="D4278" s="3" t="s">
        <v>1381</v>
      </c>
      <c r="E4278" s="3" t="s">
        <v>1130</v>
      </c>
      <c r="F4278" s="3">
        <v>2385.0700000000002</v>
      </c>
      <c r="G4278" s="3">
        <v>15701.95</v>
      </c>
    </row>
    <row r="4279" spans="1:7" x14ac:dyDescent="0.2">
      <c r="A4279" s="3" t="s">
        <v>1072</v>
      </c>
      <c r="B4279" s="4">
        <v>45199</v>
      </c>
      <c r="C4279" s="3" t="s">
        <v>1168</v>
      </c>
      <c r="D4279" s="3" t="s">
        <v>1458</v>
      </c>
      <c r="E4279" s="3" t="s">
        <v>1113</v>
      </c>
      <c r="F4279" s="3">
        <v>0</v>
      </c>
      <c r="G4279" s="3">
        <v>15075.35</v>
      </c>
    </row>
    <row r="4280" spans="1:7" x14ac:dyDescent="0.2">
      <c r="A4280" s="3" t="s">
        <v>1072</v>
      </c>
      <c r="B4280" s="4">
        <v>45199</v>
      </c>
      <c r="C4280" s="3" t="s">
        <v>1168</v>
      </c>
      <c r="D4280" s="3" t="s">
        <v>1459</v>
      </c>
      <c r="E4280" s="3" t="s">
        <v>1139</v>
      </c>
      <c r="F4280" s="3">
        <v>0</v>
      </c>
      <c r="G4280" s="3">
        <v>4562.1000000000004</v>
      </c>
    </row>
    <row r="4281" spans="1:7" x14ac:dyDescent="0.2">
      <c r="A4281" s="3" t="s">
        <v>1069</v>
      </c>
      <c r="B4281" s="4">
        <v>45199</v>
      </c>
      <c r="C4281" s="3" t="s">
        <v>1172</v>
      </c>
      <c r="D4281" s="3" t="s">
        <v>1173</v>
      </c>
      <c r="E4281" s="3" t="s">
        <v>1174</v>
      </c>
      <c r="F4281" s="3">
        <v>0</v>
      </c>
      <c r="G4281" s="3">
        <v>-100</v>
      </c>
    </row>
    <row r="4282" spans="1:7" x14ac:dyDescent="0.2">
      <c r="A4282" s="3" t="s">
        <v>1072</v>
      </c>
      <c r="B4282" s="4">
        <v>45199</v>
      </c>
      <c r="C4282" s="3" t="s">
        <v>1172</v>
      </c>
      <c r="D4282" s="3" t="s">
        <v>1382</v>
      </c>
      <c r="E4282" s="3" t="s">
        <v>1383</v>
      </c>
      <c r="F4282" s="3">
        <v>0</v>
      </c>
      <c r="G4282" s="3">
        <v>-120</v>
      </c>
    </row>
    <row r="4283" spans="1:7" x14ac:dyDescent="0.2">
      <c r="A4283" s="3" t="s">
        <v>1072</v>
      </c>
      <c r="B4283" s="4">
        <v>45199</v>
      </c>
      <c r="C4283" s="3" t="s">
        <v>1172</v>
      </c>
      <c r="D4283" s="3" t="s">
        <v>1384</v>
      </c>
      <c r="E4283" s="3" t="s">
        <v>1385</v>
      </c>
      <c r="F4283" s="3">
        <v>0</v>
      </c>
      <c r="G4283" s="3">
        <v>-296075.58</v>
      </c>
    </row>
    <row r="4284" spans="1:7" x14ac:dyDescent="0.2">
      <c r="A4284" s="3" t="s">
        <v>1069</v>
      </c>
      <c r="B4284" s="4">
        <v>45199</v>
      </c>
      <c r="C4284" s="3" t="s">
        <v>1172</v>
      </c>
      <c r="D4284" s="3" t="s">
        <v>1384</v>
      </c>
      <c r="E4284" s="3" t="s">
        <v>1385</v>
      </c>
      <c r="F4284" s="3">
        <v>0</v>
      </c>
      <c r="G4284" s="3">
        <v>-17843179.579999998</v>
      </c>
    </row>
    <row r="4285" spans="1:7" x14ac:dyDescent="0.2">
      <c r="A4285" s="3" t="s">
        <v>1074</v>
      </c>
      <c r="B4285" s="4">
        <v>45199</v>
      </c>
      <c r="C4285" s="3" t="s">
        <v>1172</v>
      </c>
      <c r="D4285" s="3" t="s">
        <v>1384</v>
      </c>
      <c r="E4285" s="3" t="s">
        <v>1385</v>
      </c>
      <c r="F4285" s="3">
        <v>0</v>
      </c>
      <c r="G4285" s="3">
        <v>70398.12</v>
      </c>
    </row>
    <row r="4286" spans="1:7" x14ac:dyDescent="0.2">
      <c r="A4286" s="3" t="s">
        <v>1069</v>
      </c>
      <c r="B4286" s="4">
        <v>45199</v>
      </c>
      <c r="C4286" s="3" t="s">
        <v>1180</v>
      </c>
      <c r="D4286" s="3" t="s">
        <v>1241</v>
      </c>
      <c r="E4286" s="3" t="s">
        <v>1242</v>
      </c>
      <c r="F4286" s="3">
        <v>0</v>
      </c>
      <c r="G4286" s="3">
        <v>17562360.850000001</v>
      </c>
    </row>
    <row r="4287" spans="1:7" x14ac:dyDescent="0.2">
      <c r="A4287" s="3" t="s">
        <v>1072</v>
      </c>
      <c r="B4287" s="4">
        <v>45199</v>
      </c>
      <c r="C4287" s="3" t="s">
        <v>1180</v>
      </c>
      <c r="D4287" s="3" t="s">
        <v>1483</v>
      </c>
      <c r="E4287" s="3" t="s">
        <v>1177</v>
      </c>
      <c r="F4287" s="3">
        <v>165000</v>
      </c>
      <c r="G4287" s="3">
        <v>390000</v>
      </c>
    </row>
    <row r="4288" spans="1:7" x14ac:dyDescent="0.2">
      <c r="A4288" s="3" t="s">
        <v>1072</v>
      </c>
      <c r="B4288" s="4">
        <v>45199</v>
      </c>
      <c r="C4288" s="3" t="s">
        <v>1180</v>
      </c>
      <c r="D4288" s="3" t="s">
        <v>1388</v>
      </c>
      <c r="E4288" s="3" t="s">
        <v>1389</v>
      </c>
      <c r="F4288" s="3">
        <v>0</v>
      </c>
      <c r="G4288" s="3">
        <v>-4342.5</v>
      </c>
    </row>
    <row r="4289" spans="1:7" x14ac:dyDescent="0.2">
      <c r="A4289" s="3" t="s">
        <v>1072</v>
      </c>
      <c r="B4289" s="4">
        <v>45199</v>
      </c>
      <c r="C4289" s="3" t="s">
        <v>1180</v>
      </c>
      <c r="D4289" s="3" t="s">
        <v>1723</v>
      </c>
      <c r="E4289" s="3" t="s">
        <v>1724</v>
      </c>
      <c r="F4289" s="3">
        <v>4702.3500000000004</v>
      </c>
      <c r="G4289" s="3">
        <v>4702.3500000000004</v>
      </c>
    </row>
    <row r="4290" spans="1:7" x14ac:dyDescent="0.2">
      <c r="A4290" s="3" t="s">
        <v>1072</v>
      </c>
      <c r="B4290" s="4">
        <v>45199</v>
      </c>
      <c r="C4290" s="3" t="s">
        <v>1180</v>
      </c>
      <c r="D4290" s="3" t="s">
        <v>1390</v>
      </c>
      <c r="E4290" s="3" t="s">
        <v>1391</v>
      </c>
      <c r="F4290" s="3">
        <v>0</v>
      </c>
      <c r="G4290" s="3">
        <v>-2261000</v>
      </c>
    </row>
    <row r="4291" spans="1:7" x14ac:dyDescent="0.2">
      <c r="A4291" s="3" t="s">
        <v>1072</v>
      </c>
      <c r="B4291" s="4">
        <v>45199</v>
      </c>
      <c r="C4291" s="3" t="s">
        <v>1180</v>
      </c>
      <c r="D4291" s="3" t="s">
        <v>1392</v>
      </c>
      <c r="E4291" s="3" t="s">
        <v>1393</v>
      </c>
      <c r="F4291" s="3">
        <v>0</v>
      </c>
      <c r="G4291" s="3">
        <v>4342.5</v>
      </c>
    </row>
    <row r="4292" spans="1:7" x14ac:dyDescent="0.2">
      <c r="A4292" s="3" t="s">
        <v>1072</v>
      </c>
      <c r="B4292" s="4">
        <v>45199</v>
      </c>
      <c r="C4292" s="3" t="s">
        <v>1180</v>
      </c>
      <c r="D4292" s="3" t="s">
        <v>1394</v>
      </c>
      <c r="E4292" s="3" t="s">
        <v>1256</v>
      </c>
      <c r="F4292" s="3">
        <v>600</v>
      </c>
      <c r="G4292" s="3">
        <v>36800</v>
      </c>
    </row>
    <row r="4293" spans="1:7" x14ac:dyDescent="0.2">
      <c r="A4293" s="3" t="s">
        <v>1072</v>
      </c>
      <c r="B4293" s="4">
        <v>45199</v>
      </c>
      <c r="C4293" s="3" t="s">
        <v>1180</v>
      </c>
      <c r="D4293" s="3" t="s">
        <v>1395</v>
      </c>
      <c r="E4293" s="3" t="s">
        <v>1396</v>
      </c>
      <c r="F4293" s="3">
        <v>-3800000</v>
      </c>
      <c r="G4293" s="3">
        <v>-13914940.42</v>
      </c>
    </row>
    <row r="4294" spans="1:7" x14ac:dyDescent="0.2">
      <c r="A4294" s="3" t="s">
        <v>1072</v>
      </c>
      <c r="B4294" s="4">
        <v>45199</v>
      </c>
      <c r="C4294" s="3" t="s">
        <v>1180</v>
      </c>
      <c r="D4294" s="3" t="s">
        <v>1397</v>
      </c>
      <c r="E4294" s="3" t="s">
        <v>1398</v>
      </c>
      <c r="F4294" s="3">
        <v>10600</v>
      </c>
      <c r="G4294" s="3">
        <v>-105789.44</v>
      </c>
    </row>
    <row r="4295" spans="1:7" x14ac:dyDescent="0.2">
      <c r="A4295" s="3" t="s">
        <v>1072</v>
      </c>
      <c r="B4295" s="4">
        <v>45199</v>
      </c>
      <c r="C4295" s="3" t="s">
        <v>1180</v>
      </c>
      <c r="D4295" s="3" t="s">
        <v>1512</v>
      </c>
      <c r="E4295" s="3" t="s">
        <v>1513</v>
      </c>
      <c r="F4295" s="3">
        <v>3228000</v>
      </c>
      <c r="G4295" s="3">
        <v>25372187.399999999</v>
      </c>
    </row>
    <row r="4296" spans="1:7" x14ac:dyDescent="0.2">
      <c r="A4296" s="3" t="s">
        <v>1072</v>
      </c>
      <c r="B4296" s="4">
        <v>45199</v>
      </c>
      <c r="C4296" s="3" t="s">
        <v>1180</v>
      </c>
      <c r="D4296" s="3" t="s">
        <v>1399</v>
      </c>
      <c r="E4296" s="3" t="s">
        <v>1400</v>
      </c>
      <c r="F4296" s="3">
        <v>0</v>
      </c>
      <c r="G4296" s="3">
        <v>-22601</v>
      </c>
    </row>
    <row r="4297" spans="1:7" x14ac:dyDescent="0.2">
      <c r="A4297" s="3" t="s">
        <v>1074</v>
      </c>
      <c r="B4297" s="4">
        <v>45199</v>
      </c>
      <c r="C4297" s="3" t="s">
        <v>1175</v>
      </c>
      <c r="D4297" s="3" t="s">
        <v>1492</v>
      </c>
      <c r="E4297" s="3" t="s">
        <v>1493</v>
      </c>
      <c r="F4297" s="3">
        <v>6857185.7999999998</v>
      </c>
      <c r="G4297" s="3">
        <v>-40486034.409999996</v>
      </c>
    </row>
    <row r="4298" spans="1:7" x14ac:dyDescent="0.2">
      <c r="A4298" s="3" t="s">
        <v>1069</v>
      </c>
      <c r="B4298" s="4">
        <v>45199</v>
      </c>
      <c r="C4298" s="3" t="s">
        <v>1175</v>
      </c>
      <c r="D4298" s="3" t="s">
        <v>1178</v>
      </c>
      <c r="E4298" s="3" t="s">
        <v>1179</v>
      </c>
      <c r="F4298" s="3">
        <v>3800000</v>
      </c>
      <c r="G4298" s="3">
        <v>13914940.42</v>
      </c>
    </row>
    <row r="4299" spans="1:7" x14ac:dyDescent="0.2">
      <c r="A4299" s="3" t="s">
        <v>1069</v>
      </c>
      <c r="B4299" s="4">
        <v>45199</v>
      </c>
      <c r="C4299" s="3" t="s">
        <v>1175</v>
      </c>
      <c r="D4299" s="3" t="s">
        <v>1233</v>
      </c>
      <c r="E4299" s="3" t="s">
        <v>1234</v>
      </c>
      <c r="F4299" s="3">
        <v>72275</v>
      </c>
      <c r="G4299" s="3">
        <v>3774275</v>
      </c>
    </row>
    <row r="4300" spans="1:7" x14ac:dyDescent="0.2">
      <c r="A4300" s="3" t="s">
        <v>1069</v>
      </c>
      <c r="B4300" s="4">
        <v>45199</v>
      </c>
      <c r="C4300" s="3" t="s">
        <v>1175</v>
      </c>
      <c r="D4300" s="3" t="s">
        <v>1494</v>
      </c>
      <c r="E4300" s="3" t="s">
        <v>1495</v>
      </c>
      <c r="F4300" s="3">
        <v>-6857185.7999999998</v>
      </c>
      <c r="G4300" s="3">
        <v>40486034.409999996</v>
      </c>
    </row>
    <row r="4301" spans="1:7" x14ac:dyDescent="0.2">
      <c r="A4301" s="3" t="s">
        <v>1069</v>
      </c>
      <c r="B4301" s="4">
        <v>45199</v>
      </c>
      <c r="C4301" s="3" t="s">
        <v>1175</v>
      </c>
      <c r="D4301" s="3" t="s">
        <v>1516</v>
      </c>
      <c r="E4301" s="3" t="s">
        <v>1400</v>
      </c>
      <c r="F4301" s="3">
        <v>-20000</v>
      </c>
      <c r="G4301" s="3">
        <v>42100</v>
      </c>
    </row>
    <row r="4302" spans="1:7" x14ac:dyDescent="0.2">
      <c r="A4302" s="3" t="s">
        <v>1069</v>
      </c>
      <c r="B4302" s="4">
        <v>45199</v>
      </c>
      <c r="C4302" s="3" t="s">
        <v>1175</v>
      </c>
      <c r="D4302" s="3" t="s">
        <v>1517</v>
      </c>
      <c r="E4302" s="3" t="s">
        <v>1398</v>
      </c>
      <c r="F4302" s="3">
        <v>0</v>
      </c>
      <c r="G4302" s="3">
        <v>-20370.22</v>
      </c>
    </row>
    <row r="4303" spans="1:7" x14ac:dyDescent="0.2">
      <c r="A4303" s="3" t="s">
        <v>1072</v>
      </c>
      <c r="B4303" s="4">
        <v>45199</v>
      </c>
      <c r="C4303" s="3" t="s">
        <v>1180</v>
      </c>
      <c r="D4303" s="3" t="s">
        <v>1409</v>
      </c>
      <c r="E4303" s="3" t="s">
        <v>1410</v>
      </c>
      <c r="F4303" s="3">
        <v>0</v>
      </c>
      <c r="G4303" s="3">
        <v>216064.1</v>
      </c>
    </row>
    <row r="4304" spans="1:7" x14ac:dyDescent="0.2">
      <c r="A4304" s="3" t="s">
        <v>1072</v>
      </c>
      <c r="B4304" s="4">
        <v>45199</v>
      </c>
      <c r="C4304" s="3" t="s">
        <v>1180</v>
      </c>
      <c r="D4304" s="3" t="s">
        <v>1411</v>
      </c>
      <c r="E4304" s="3" t="s">
        <v>1412</v>
      </c>
      <c r="F4304" s="3">
        <v>0</v>
      </c>
      <c r="G4304" s="3">
        <v>-216063.1</v>
      </c>
    </row>
    <row r="4305" spans="1:7" x14ac:dyDescent="0.2">
      <c r="A4305" s="3" t="s">
        <v>1072</v>
      </c>
      <c r="B4305" s="4">
        <v>45199</v>
      </c>
      <c r="C4305" s="3" t="s">
        <v>1180</v>
      </c>
      <c r="D4305" s="3" t="s">
        <v>1413</v>
      </c>
      <c r="E4305" s="3" t="s">
        <v>1414</v>
      </c>
      <c r="F4305" s="3">
        <v>14673.75</v>
      </c>
      <c r="G4305" s="3">
        <v>148464.1</v>
      </c>
    </row>
    <row r="4306" spans="1:7" x14ac:dyDescent="0.2">
      <c r="A4306" s="3" t="s">
        <v>1072</v>
      </c>
      <c r="B4306" s="4">
        <v>45199</v>
      </c>
      <c r="C4306" s="3" t="s">
        <v>1180</v>
      </c>
      <c r="D4306" s="3" t="s">
        <v>1415</v>
      </c>
      <c r="E4306" s="3" t="s">
        <v>1416</v>
      </c>
      <c r="F4306" s="3">
        <v>-3631.27</v>
      </c>
      <c r="G4306" s="3">
        <v>-66497.649999999994</v>
      </c>
    </row>
    <row r="4307" spans="1:7" x14ac:dyDescent="0.2">
      <c r="A4307" s="3" t="s">
        <v>1072</v>
      </c>
      <c r="B4307" s="4">
        <v>45199</v>
      </c>
      <c r="C4307" s="3" t="s">
        <v>1180</v>
      </c>
      <c r="D4307" s="3" t="s">
        <v>1462</v>
      </c>
      <c r="E4307" s="3" t="s">
        <v>1463</v>
      </c>
      <c r="F4307" s="3">
        <v>0</v>
      </c>
      <c r="G4307" s="3">
        <v>37955.300000000003</v>
      </c>
    </row>
    <row r="4308" spans="1:7" x14ac:dyDescent="0.2">
      <c r="A4308" s="3" t="s">
        <v>1072</v>
      </c>
      <c r="B4308" s="4">
        <v>45199</v>
      </c>
      <c r="C4308" s="3" t="s">
        <v>1180</v>
      </c>
      <c r="D4308" s="3" t="s">
        <v>1484</v>
      </c>
      <c r="E4308" s="3" t="s">
        <v>1485</v>
      </c>
      <c r="F4308" s="3">
        <v>-547.67999999999995</v>
      </c>
      <c r="G4308" s="3">
        <v>-9728.2900000000009</v>
      </c>
    </row>
    <row r="4309" spans="1:7" x14ac:dyDescent="0.2">
      <c r="A4309" s="3" t="s">
        <v>1072</v>
      </c>
      <c r="B4309" s="4">
        <v>45199</v>
      </c>
      <c r="C4309" s="3" t="s">
        <v>1180</v>
      </c>
      <c r="D4309" s="3" t="s">
        <v>1417</v>
      </c>
      <c r="E4309" s="3" t="s">
        <v>1418</v>
      </c>
      <c r="F4309" s="3">
        <v>0</v>
      </c>
      <c r="G4309" s="3">
        <v>71322</v>
      </c>
    </row>
    <row r="4310" spans="1:7" x14ac:dyDescent="0.2">
      <c r="A4310" s="3" t="s">
        <v>1072</v>
      </c>
      <c r="B4310" s="4">
        <v>45199</v>
      </c>
      <c r="C4310" s="3" t="s">
        <v>1180</v>
      </c>
      <c r="D4310" s="3" t="s">
        <v>1419</v>
      </c>
      <c r="E4310" s="3" t="s">
        <v>1420</v>
      </c>
      <c r="F4310" s="3">
        <v>-1188.69</v>
      </c>
      <c r="G4310" s="3">
        <v>-9455.7199999999993</v>
      </c>
    </row>
    <row r="4311" spans="1:7" x14ac:dyDescent="0.2">
      <c r="A4311" s="3" t="s">
        <v>1069</v>
      </c>
      <c r="B4311" s="4">
        <v>45199</v>
      </c>
      <c r="C4311" s="3" t="s">
        <v>1180</v>
      </c>
      <c r="D4311" s="3" t="s">
        <v>1421</v>
      </c>
      <c r="E4311" s="3" t="s">
        <v>1422</v>
      </c>
      <c r="F4311" s="3">
        <v>0</v>
      </c>
      <c r="G4311" s="3">
        <v>874505.75</v>
      </c>
    </row>
    <row r="4312" spans="1:7" x14ac:dyDescent="0.2">
      <c r="A4312" s="3" t="s">
        <v>1074</v>
      </c>
      <c r="B4312" s="4">
        <v>45199</v>
      </c>
      <c r="C4312" s="3" t="s">
        <v>1180</v>
      </c>
      <c r="D4312" s="3" t="s">
        <v>1421</v>
      </c>
      <c r="E4312" s="3" t="s">
        <v>1533</v>
      </c>
      <c r="F4312" s="3">
        <v>573498</v>
      </c>
      <c r="G4312" s="3">
        <v>1885062.86</v>
      </c>
    </row>
    <row r="4313" spans="1:7" x14ac:dyDescent="0.2">
      <c r="A4313" s="3" t="s">
        <v>1069</v>
      </c>
      <c r="B4313" s="4">
        <v>45199</v>
      </c>
      <c r="C4313" s="3" t="s">
        <v>1180</v>
      </c>
      <c r="D4313" s="3" t="s">
        <v>1214</v>
      </c>
      <c r="E4313" s="3" t="s">
        <v>1215</v>
      </c>
      <c r="F4313" s="3">
        <v>0</v>
      </c>
      <c r="G4313" s="3">
        <v>26200000</v>
      </c>
    </row>
    <row r="4314" spans="1:7" x14ac:dyDescent="0.2">
      <c r="A4314" s="3" t="s">
        <v>1069</v>
      </c>
      <c r="B4314" s="4">
        <v>45199</v>
      </c>
      <c r="C4314" s="3" t="s">
        <v>1180</v>
      </c>
      <c r="D4314" s="3" t="s">
        <v>1216</v>
      </c>
      <c r="E4314" s="3" t="s">
        <v>1217</v>
      </c>
      <c r="F4314" s="3">
        <v>0</v>
      </c>
      <c r="G4314" s="3">
        <v>68427</v>
      </c>
    </row>
    <row r="4315" spans="1:7" x14ac:dyDescent="0.2">
      <c r="A4315" s="3" t="s">
        <v>1069</v>
      </c>
      <c r="B4315" s="4">
        <v>45199</v>
      </c>
      <c r="C4315" s="3" t="s">
        <v>1180</v>
      </c>
      <c r="D4315" s="3" t="s">
        <v>1218</v>
      </c>
      <c r="E4315" s="3" t="s">
        <v>1219</v>
      </c>
      <c r="F4315" s="3">
        <v>0</v>
      </c>
      <c r="G4315" s="3">
        <v>103812</v>
      </c>
    </row>
    <row r="4316" spans="1:7" x14ac:dyDescent="0.2">
      <c r="A4316" s="3" t="s">
        <v>1069</v>
      </c>
      <c r="B4316" s="4">
        <v>45199</v>
      </c>
      <c r="C4316" s="3" t="s">
        <v>1180</v>
      </c>
      <c r="D4316" s="3" t="s">
        <v>1197</v>
      </c>
      <c r="E4316" s="3" t="s">
        <v>1198</v>
      </c>
      <c r="F4316" s="3">
        <v>0</v>
      </c>
      <c r="G4316" s="3">
        <v>314087</v>
      </c>
    </row>
    <row r="4317" spans="1:7" x14ac:dyDescent="0.2">
      <c r="A4317" s="3" t="s">
        <v>1074</v>
      </c>
      <c r="B4317" s="4">
        <v>45199</v>
      </c>
      <c r="C4317" s="3" t="s">
        <v>1180</v>
      </c>
      <c r="D4317" s="3" t="s">
        <v>1197</v>
      </c>
      <c r="E4317" s="3" t="s">
        <v>1550</v>
      </c>
      <c r="F4317" s="3">
        <v>8000</v>
      </c>
      <c r="G4317" s="3">
        <v>758378.5</v>
      </c>
    </row>
    <row r="4318" spans="1:7" x14ac:dyDescent="0.2">
      <c r="A4318" s="3" t="s">
        <v>1069</v>
      </c>
      <c r="B4318" s="4">
        <v>45199</v>
      </c>
      <c r="C4318" s="3" t="s">
        <v>1180</v>
      </c>
      <c r="D4318" s="3" t="s">
        <v>1496</v>
      </c>
      <c r="E4318" s="3" t="s">
        <v>1497</v>
      </c>
      <c r="F4318" s="3">
        <v>0</v>
      </c>
      <c r="G4318" s="3">
        <v>139500</v>
      </c>
    </row>
    <row r="4319" spans="1:7" x14ac:dyDescent="0.2">
      <c r="A4319" s="3" t="s">
        <v>1069</v>
      </c>
      <c r="B4319" s="4">
        <v>45199</v>
      </c>
      <c r="C4319" s="3" t="s">
        <v>1180</v>
      </c>
      <c r="D4319" s="3" t="s">
        <v>1181</v>
      </c>
      <c r="E4319" s="3" t="s">
        <v>1182</v>
      </c>
      <c r="F4319" s="3">
        <v>0</v>
      </c>
      <c r="G4319" s="3">
        <v>8557641.8000000007</v>
      </c>
    </row>
    <row r="4320" spans="1:7" x14ac:dyDescent="0.2">
      <c r="A4320" s="3" t="s">
        <v>1069</v>
      </c>
      <c r="B4320" s="4">
        <v>45199</v>
      </c>
      <c r="C4320" s="3" t="s">
        <v>1180</v>
      </c>
      <c r="D4320" s="3" t="s">
        <v>1263</v>
      </c>
      <c r="E4320" s="3" t="s">
        <v>1264</v>
      </c>
      <c r="F4320" s="3">
        <v>0</v>
      </c>
      <c r="G4320" s="3">
        <v>13807.78</v>
      </c>
    </row>
    <row r="4321" spans="1:7" x14ac:dyDescent="0.2">
      <c r="A4321" s="3" t="s">
        <v>1069</v>
      </c>
      <c r="B4321" s="4">
        <v>45199</v>
      </c>
      <c r="C4321" s="3" t="s">
        <v>1180</v>
      </c>
      <c r="D4321" s="3" t="s">
        <v>1202</v>
      </c>
      <c r="E4321" s="3" t="s">
        <v>1203</v>
      </c>
      <c r="F4321" s="3">
        <v>0</v>
      </c>
      <c r="G4321" s="3">
        <v>197060.09</v>
      </c>
    </row>
    <row r="4322" spans="1:7" x14ac:dyDescent="0.2">
      <c r="A4322" s="3" t="s">
        <v>1074</v>
      </c>
      <c r="B4322" s="4">
        <v>45199</v>
      </c>
      <c r="C4322" s="3" t="s">
        <v>1180</v>
      </c>
      <c r="D4322" s="3" t="s">
        <v>1202</v>
      </c>
      <c r="E4322" s="3" t="s">
        <v>1577</v>
      </c>
      <c r="F4322" s="3">
        <v>0</v>
      </c>
      <c r="G4322" s="3">
        <v>186612.64</v>
      </c>
    </row>
    <row r="4323" spans="1:7" x14ac:dyDescent="0.2">
      <c r="A4323" s="3" t="s">
        <v>1069</v>
      </c>
      <c r="B4323" s="4">
        <v>45199</v>
      </c>
      <c r="C4323" s="3" t="s">
        <v>1180</v>
      </c>
      <c r="D4323" s="3" t="s">
        <v>1204</v>
      </c>
      <c r="E4323" s="3" t="s">
        <v>1205</v>
      </c>
      <c r="F4323" s="3">
        <v>0</v>
      </c>
      <c r="G4323" s="3">
        <v>7500</v>
      </c>
    </row>
    <row r="4324" spans="1:7" x14ac:dyDescent="0.2">
      <c r="A4324" s="3" t="s">
        <v>1074</v>
      </c>
      <c r="B4324" s="4">
        <v>45199</v>
      </c>
      <c r="C4324" s="3" t="s">
        <v>1180</v>
      </c>
      <c r="D4324" s="3" t="s">
        <v>1204</v>
      </c>
      <c r="E4324" s="3" t="s">
        <v>1673</v>
      </c>
      <c r="F4324" s="3">
        <v>0</v>
      </c>
      <c r="G4324" s="3">
        <v>114370.5</v>
      </c>
    </row>
    <row r="4325" spans="1:7" x14ac:dyDescent="0.2">
      <c r="A4325" s="3" t="s">
        <v>1069</v>
      </c>
      <c r="B4325" s="4">
        <v>45199</v>
      </c>
      <c r="C4325" s="3" t="s">
        <v>1180</v>
      </c>
      <c r="D4325" s="3" t="s">
        <v>1199</v>
      </c>
      <c r="E4325" s="3" t="s">
        <v>1200</v>
      </c>
      <c r="F4325" s="3">
        <v>0</v>
      </c>
      <c r="G4325" s="3">
        <v>146256.38</v>
      </c>
    </row>
    <row r="4326" spans="1:7" x14ac:dyDescent="0.2">
      <c r="A4326" s="3" t="s">
        <v>1069</v>
      </c>
      <c r="B4326" s="4">
        <v>45199</v>
      </c>
      <c r="C4326" s="3" t="s">
        <v>1180</v>
      </c>
      <c r="D4326" s="3" t="s">
        <v>1486</v>
      </c>
      <c r="E4326" s="3" t="s">
        <v>1487</v>
      </c>
      <c r="F4326" s="3">
        <v>0</v>
      </c>
      <c r="G4326" s="3">
        <v>20600</v>
      </c>
    </row>
    <row r="4327" spans="1:7" x14ac:dyDescent="0.2">
      <c r="A4327" s="3" t="s">
        <v>1069</v>
      </c>
      <c r="B4327" s="4">
        <v>45199</v>
      </c>
      <c r="C4327" s="3" t="s">
        <v>1180</v>
      </c>
      <c r="D4327" s="3" t="s">
        <v>1220</v>
      </c>
      <c r="E4327" s="3" t="s">
        <v>1221</v>
      </c>
      <c r="F4327" s="3">
        <v>0</v>
      </c>
      <c r="G4327" s="3">
        <v>15175</v>
      </c>
    </row>
    <row r="4328" spans="1:7" x14ac:dyDescent="0.2">
      <c r="A4328" s="3" t="s">
        <v>1069</v>
      </c>
      <c r="B4328" s="4">
        <v>45199</v>
      </c>
      <c r="C4328" s="3" t="s">
        <v>1180</v>
      </c>
      <c r="D4328" s="3" t="s">
        <v>1498</v>
      </c>
      <c r="E4328" s="3" t="s">
        <v>1499</v>
      </c>
      <c r="F4328" s="3">
        <v>0</v>
      </c>
      <c r="G4328" s="3">
        <v>570856.07999999996</v>
      </c>
    </row>
    <row r="4329" spans="1:7" x14ac:dyDescent="0.2">
      <c r="A4329" s="3" t="s">
        <v>1069</v>
      </c>
      <c r="B4329" s="4">
        <v>45199</v>
      </c>
      <c r="C4329" s="3" t="s">
        <v>1180</v>
      </c>
      <c r="D4329" s="3" t="s">
        <v>1183</v>
      </c>
      <c r="E4329" s="3" t="s">
        <v>1184</v>
      </c>
      <c r="F4329" s="3">
        <v>0</v>
      </c>
      <c r="G4329" s="3">
        <v>47748851.509999998</v>
      </c>
    </row>
    <row r="4330" spans="1:7" x14ac:dyDescent="0.2">
      <c r="A4330" s="3" t="s">
        <v>1074</v>
      </c>
      <c r="B4330" s="4">
        <v>45199</v>
      </c>
      <c r="C4330" s="3" t="s">
        <v>1180</v>
      </c>
      <c r="D4330" s="3" t="s">
        <v>1183</v>
      </c>
      <c r="E4330" s="3" t="s">
        <v>1631</v>
      </c>
      <c r="F4330" s="3">
        <v>4967306.7300000004</v>
      </c>
      <c r="G4330" s="3">
        <v>12836646.5</v>
      </c>
    </row>
    <row r="4331" spans="1:7" x14ac:dyDescent="0.2">
      <c r="A4331" s="3" t="s">
        <v>1069</v>
      </c>
      <c r="B4331" s="4">
        <v>45199</v>
      </c>
      <c r="C4331" s="3" t="s">
        <v>1180</v>
      </c>
      <c r="D4331" s="3" t="s">
        <v>1222</v>
      </c>
      <c r="E4331" s="3" t="s">
        <v>1223</v>
      </c>
      <c r="F4331" s="3">
        <v>0</v>
      </c>
      <c r="G4331" s="3">
        <v>3850818.04</v>
      </c>
    </row>
    <row r="4332" spans="1:7" x14ac:dyDescent="0.2">
      <c r="A4332" s="3" t="s">
        <v>1074</v>
      </c>
      <c r="B4332" s="4">
        <v>45199</v>
      </c>
      <c r="C4332" s="3" t="s">
        <v>1180</v>
      </c>
      <c r="D4332" s="3" t="s">
        <v>1222</v>
      </c>
      <c r="E4332" s="3" t="s">
        <v>1664</v>
      </c>
      <c r="F4332" s="3">
        <v>0</v>
      </c>
      <c r="G4332" s="3">
        <v>1826086.96</v>
      </c>
    </row>
    <row r="4333" spans="1:7" x14ac:dyDescent="0.2">
      <c r="A4333" s="3" t="s">
        <v>1069</v>
      </c>
      <c r="B4333" s="4">
        <v>45199</v>
      </c>
      <c r="C4333" s="3" t="s">
        <v>1180</v>
      </c>
      <c r="D4333" s="3" t="s">
        <v>1235</v>
      </c>
      <c r="E4333" s="3" t="s">
        <v>1236</v>
      </c>
      <c r="F4333" s="3">
        <v>0</v>
      </c>
      <c r="G4333" s="3">
        <v>782608.07</v>
      </c>
    </row>
    <row r="4334" spans="1:7" x14ac:dyDescent="0.2">
      <c r="A4334" s="3" t="s">
        <v>1074</v>
      </c>
      <c r="B4334" s="4">
        <v>45199</v>
      </c>
      <c r="C4334" s="3" t="s">
        <v>1180</v>
      </c>
      <c r="D4334" s="3" t="s">
        <v>1235</v>
      </c>
      <c r="E4334" s="3" t="s">
        <v>1715</v>
      </c>
      <c r="F4334" s="3">
        <v>0</v>
      </c>
      <c r="G4334" s="3">
        <v>217391.3</v>
      </c>
    </row>
    <row r="4335" spans="1:7" x14ac:dyDescent="0.2">
      <c r="A4335" s="3" t="s">
        <v>1069</v>
      </c>
      <c r="B4335" s="4">
        <v>45199</v>
      </c>
      <c r="C4335" s="3" t="s">
        <v>1180</v>
      </c>
      <c r="D4335" s="3" t="s">
        <v>1206</v>
      </c>
      <c r="E4335" s="3" t="s">
        <v>1207</v>
      </c>
      <c r="F4335" s="3">
        <v>0</v>
      </c>
      <c r="G4335" s="3">
        <v>166550</v>
      </c>
    </row>
    <row r="4336" spans="1:7" x14ac:dyDescent="0.2">
      <c r="A4336" s="3" t="s">
        <v>1074</v>
      </c>
      <c r="B4336" s="4">
        <v>45199</v>
      </c>
      <c r="C4336" s="3" t="s">
        <v>1180</v>
      </c>
      <c r="D4336" s="3" t="s">
        <v>1206</v>
      </c>
      <c r="E4336" s="3" t="s">
        <v>1697</v>
      </c>
      <c r="F4336" s="3">
        <v>0</v>
      </c>
      <c r="G4336" s="3">
        <v>2834.7</v>
      </c>
    </row>
    <row r="4337" spans="1:7" x14ac:dyDescent="0.2">
      <c r="A4337" s="3" t="s">
        <v>1069</v>
      </c>
      <c r="B4337" s="4">
        <v>45199</v>
      </c>
      <c r="C4337" s="3" t="s">
        <v>1180</v>
      </c>
      <c r="D4337" s="3" t="s">
        <v>1208</v>
      </c>
      <c r="E4337" s="3" t="s">
        <v>1209</v>
      </c>
      <c r="F4337" s="3">
        <v>0</v>
      </c>
      <c r="G4337" s="3">
        <v>45000</v>
      </c>
    </row>
    <row r="4338" spans="1:7" x14ac:dyDescent="0.2">
      <c r="A4338" s="3" t="s">
        <v>1069</v>
      </c>
      <c r="B4338" s="4">
        <v>45199</v>
      </c>
      <c r="C4338" s="3" t="s">
        <v>1180</v>
      </c>
      <c r="D4338" s="3" t="s">
        <v>1259</v>
      </c>
      <c r="E4338" s="3" t="s">
        <v>1260</v>
      </c>
      <c r="F4338" s="3">
        <v>6000</v>
      </c>
      <c r="G4338" s="3">
        <v>173000</v>
      </c>
    </row>
    <row r="4339" spans="1:7" x14ac:dyDescent="0.2">
      <c r="A4339" s="3" t="s">
        <v>1074</v>
      </c>
      <c r="B4339" s="4">
        <v>45199</v>
      </c>
      <c r="C4339" s="3" t="s">
        <v>1180</v>
      </c>
      <c r="D4339" s="3" t="s">
        <v>1674</v>
      </c>
      <c r="E4339" s="3" t="s">
        <v>1675</v>
      </c>
      <c r="F4339" s="3">
        <v>0</v>
      </c>
      <c r="G4339" s="3">
        <v>530452.14</v>
      </c>
    </row>
    <row r="4340" spans="1:7" x14ac:dyDescent="0.2">
      <c r="A4340" s="3" t="s">
        <v>1074</v>
      </c>
      <c r="B4340" s="4">
        <v>45199</v>
      </c>
      <c r="C4340" s="3" t="s">
        <v>1180</v>
      </c>
      <c r="D4340" s="3" t="s">
        <v>1578</v>
      </c>
      <c r="E4340" s="3" t="s">
        <v>1579</v>
      </c>
      <c r="F4340" s="3">
        <v>0</v>
      </c>
      <c r="G4340" s="3">
        <v>66190.11</v>
      </c>
    </row>
    <row r="4341" spans="1:7" x14ac:dyDescent="0.2">
      <c r="A4341" s="3" t="s">
        <v>1069</v>
      </c>
      <c r="B4341" s="4">
        <v>45199</v>
      </c>
      <c r="C4341" s="3" t="s">
        <v>1180</v>
      </c>
      <c r="D4341" s="3" t="s">
        <v>1265</v>
      </c>
      <c r="E4341" s="3" t="s">
        <v>1266</v>
      </c>
      <c r="F4341" s="3">
        <v>0</v>
      </c>
      <c r="G4341" s="3">
        <v>3252759.95</v>
      </c>
    </row>
    <row r="4342" spans="1:7" x14ac:dyDescent="0.2">
      <c r="A4342" s="3" t="s">
        <v>1074</v>
      </c>
      <c r="B4342" s="4">
        <v>45199</v>
      </c>
      <c r="C4342" s="3" t="s">
        <v>1180</v>
      </c>
      <c r="D4342" s="3" t="s">
        <v>1265</v>
      </c>
      <c r="E4342" s="3" t="s">
        <v>1518</v>
      </c>
      <c r="F4342" s="3">
        <v>84070.03</v>
      </c>
      <c r="G4342" s="3">
        <v>1612299.1</v>
      </c>
    </row>
    <row r="4343" spans="1:7" x14ac:dyDescent="0.2">
      <c r="A4343" s="3" t="s">
        <v>1069</v>
      </c>
      <c r="B4343" s="4">
        <v>45199</v>
      </c>
      <c r="C4343" s="3" t="s">
        <v>1180</v>
      </c>
      <c r="D4343" s="3" t="s">
        <v>1423</v>
      </c>
      <c r="E4343" s="3" t="s">
        <v>1424</v>
      </c>
      <c r="F4343" s="3">
        <v>0</v>
      </c>
      <c r="G4343" s="3">
        <v>622274.51</v>
      </c>
    </row>
    <row r="4344" spans="1:7" x14ac:dyDescent="0.2">
      <c r="A4344" s="3" t="s">
        <v>1074</v>
      </c>
      <c r="B4344" s="4">
        <v>45199</v>
      </c>
      <c r="C4344" s="3" t="s">
        <v>1180</v>
      </c>
      <c r="D4344" s="3" t="s">
        <v>1519</v>
      </c>
      <c r="E4344" s="3" t="s">
        <v>1551</v>
      </c>
      <c r="F4344" s="3">
        <v>0</v>
      </c>
      <c r="G4344" s="3">
        <v>76530</v>
      </c>
    </row>
    <row r="4345" spans="1:7" x14ac:dyDescent="0.2">
      <c r="A4345" s="3" t="s">
        <v>1069</v>
      </c>
      <c r="B4345" s="4">
        <v>45199</v>
      </c>
      <c r="C4345" s="3" t="s">
        <v>1180</v>
      </c>
      <c r="D4345" s="3" t="s">
        <v>1519</v>
      </c>
      <c r="E4345" s="3" t="s">
        <v>1520</v>
      </c>
      <c r="F4345" s="3">
        <v>0</v>
      </c>
      <c r="G4345" s="3">
        <v>985049.68</v>
      </c>
    </row>
    <row r="4346" spans="1:7" x14ac:dyDescent="0.2">
      <c r="A4346" s="3" t="s">
        <v>1074</v>
      </c>
      <c r="B4346" s="4">
        <v>45199</v>
      </c>
      <c r="C4346" s="3" t="s">
        <v>1180</v>
      </c>
      <c r="D4346" s="3" t="s">
        <v>1521</v>
      </c>
      <c r="E4346" s="3" t="s">
        <v>1522</v>
      </c>
      <c r="F4346" s="3">
        <v>1400</v>
      </c>
      <c r="G4346" s="3">
        <v>24400</v>
      </c>
    </row>
    <row r="4347" spans="1:7" x14ac:dyDescent="0.2">
      <c r="A4347" s="3" t="s">
        <v>1074</v>
      </c>
      <c r="B4347" s="4">
        <v>45199</v>
      </c>
      <c r="C4347" s="3" t="s">
        <v>1180</v>
      </c>
      <c r="D4347" s="3" t="s">
        <v>1534</v>
      </c>
      <c r="E4347" s="3" t="s">
        <v>1535</v>
      </c>
      <c r="F4347" s="3">
        <v>334782.61</v>
      </c>
      <c r="G4347" s="3">
        <v>1019565.21</v>
      </c>
    </row>
    <row r="4348" spans="1:7" x14ac:dyDescent="0.2">
      <c r="A4348" s="3" t="s">
        <v>1074</v>
      </c>
      <c r="B4348" s="4">
        <v>45199</v>
      </c>
      <c r="C4348" s="3" t="s">
        <v>1180</v>
      </c>
      <c r="D4348" s="3" t="s">
        <v>1610</v>
      </c>
      <c r="E4348" s="3" t="s">
        <v>1611</v>
      </c>
      <c r="F4348" s="3">
        <v>410402.17</v>
      </c>
      <c r="G4348" s="3">
        <v>1540502.11</v>
      </c>
    </row>
    <row r="4349" spans="1:7" x14ac:dyDescent="0.2">
      <c r="A4349" s="3" t="s">
        <v>1074</v>
      </c>
      <c r="B4349" s="4">
        <v>45199</v>
      </c>
      <c r="C4349" s="3" t="s">
        <v>1180</v>
      </c>
      <c r="D4349" s="3" t="s">
        <v>1653</v>
      </c>
      <c r="E4349" s="3" t="s">
        <v>1654</v>
      </c>
      <c r="F4349" s="3">
        <v>0</v>
      </c>
      <c r="G4349" s="3">
        <v>20707183.050000001</v>
      </c>
    </row>
    <row r="4350" spans="1:7" x14ac:dyDescent="0.2">
      <c r="A4350" s="3" t="s">
        <v>1069</v>
      </c>
      <c r="B4350" s="4">
        <v>45199</v>
      </c>
      <c r="C4350" s="3" t="s">
        <v>1180</v>
      </c>
      <c r="D4350" s="3" t="s">
        <v>1536</v>
      </c>
      <c r="E4350" s="3" t="s">
        <v>1537</v>
      </c>
      <c r="F4350" s="3">
        <v>0</v>
      </c>
      <c r="G4350" s="3">
        <v>2148883.15</v>
      </c>
    </row>
    <row r="4351" spans="1:7" x14ac:dyDescent="0.2">
      <c r="A4351" s="3" t="s">
        <v>1069</v>
      </c>
      <c r="B4351" s="4">
        <v>45199</v>
      </c>
      <c r="C4351" s="3" t="s">
        <v>1180</v>
      </c>
      <c r="D4351" s="3" t="s">
        <v>1665</v>
      </c>
      <c r="E4351" s="3" t="s">
        <v>1666</v>
      </c>
      <c r="F4351" s="3">
        <v>0</v>
      </c>
      <c r="G4351" s="3">
        <v>1068455</v>
      </c>
    </row>
    <row r="4352" spans="1:7" x14ac:dyDescent="0.2">
      <c r="A4352" s="3" t="s">
        <v>1074</v>
      </c>
      <c r="B4352" s="4">
        <v>45199</v>
      </c>
      <c r="C4352" s="3" t="s">
        <v>1180</v>
      </c>
      <c r="D4352" s="3" t="s">
        <v>1665</v>
      </c>
      <c r="E4352" s="3" t="s">
        <v>1716</v>
      </c>
      <c r="F4352" s="3">
        <v>694542.34</v>
      </c>
      <c r="G4352" s="3">
        <v>2188325.96</v>
      </c>
    </row>
    <row r="4353" spans="1:7" x14ac:dyDescent="0.2">
      <c r="A4353" s="3" t="s">
        <v>1069</v>
      </c>
      <c r="B4353" s="4">
        <v>45199</v>
      </c>
      <c r="C4353" s="3" t="s">
        <v>1180</v>
      </c>
      <c r="D4353" s="3" t="s">
        <v>1655</v>
      </c>
      <c r="E4353" s="3" t="s">
        <v>1656</v>
      </c>
      <c r="F4353" s="3">
        <v>0</v>
      </c>
      <c r="G4353" s="3">
        <v>-24427668.440000001</v>
      </c>
    </row>
    <row r="4354" spans="1:7" x14ac:dyDescent="0.2">
      <c r="A4354" s="3" t="s">
        <v>1072</v>
      </c>
      <c r="B4354" s="4">
        <v>45199</v>
      </c>
      <c r="C4354" s="3" t="s">
        <v>1180</v>
      </c>
      <c r="D4354" s="3" t="s">
        <v>1425</v>
      </c>
      <c r="E4354" s="3" t="s">
        <v>1426</v>
      </c>
      <c r="F4354" s="3">
        <v>0</v>
      </c>
      <c r="G4354" s="3">
        <v>29600</v>
      </c>
    </row>
    <row r="4355" spans="1:7" x14ac:dyDescent="0.2">
      <c r="A4355" s="3" t="s">
        <v>1072</v>
      </c>
      <c r="B4355" s="4">
        <v>45199</v>
      </c>
      <c r="C4355" s="3" t="s">
        <v>1180</v>
      </c>
      <c r="D4355" s="3" t="s">
        <v>1427</v>
      </c>
      <c r="E4355" s="3" t="s">
        <v>1428</v>
      </c>
      <c r="F4355" s="3">
        <v>1629402.74</v>
      </c>
      <c r="G4355" s="3">
        <v>-8909888.3399999999</v>
      </c>
    </row>
    <row r="4356" spans="1:7" x14ac:dyDescent="0.2">
      <c r="A4356" s="3" t="s">
        <v>1069</v>
      </c>
      <c r="B4356" s="4">
        <v>45199</v>
      </c>
      <c r="C4356" s="3" t="s">
        <v>1180</v>
      </c>
      <c r="D4356" s="3" t="s">
        <v>1427</v>
      </c>
      <c r="E4356" s="3" t="s">
        <v>1428</v>
      </c>
      <c r="F4356" s="3">
        <v>5661.98</v>
      </c>
      <c r="G4356" s="3">
        <v>361268.59</v>
      </c>
    </row>
    <row r="4357" spans="1:7" x14ac:dyDescent="0.2">
      <c r="A4357" s="3" t="s">
        <v>1072</v>
      </c>
      <c r="B4357" s="4">
        <v>45199</v>
      </c>
      <c r="C4357" s="3" t="s">
        <v>1180</v>
      </c>
      <c r="D4357" s="3" t="s">
        <v>1725</v>
      </c>
      <c r="E4357" s="3" t="s">
        <v>1726</v>
      </c>
      <c r="F4357" s="3">
        <v>-2314.2800000000002</v>
      </c>
      <c r="G4357" s="3">
        <v>-2314.2800000000002</v>
      </c>
    </row>
    <row r="4358" spans="1:7" x14ac:dyDescent="0.2">
      <c r="A4358" s="3" t="s">
        <v>1069</v>
      </c>
      <c r="B4358" s="4">
        <v>45199</v>
      </c>
      <c r="C4358" s="3" t="s">
        <v>1180</v>
      </c>
      <c r="D4358" s="3" t="s">
        <v>1187</v>
      </c>
      <c r="E4358" s="3" t="s">
        <v>1188</v>
      </c>
      <c r="F4358" s="3">
        <v>-965962.74</v>
      </c>
      <c r="G4358" s="3">
        <v>836600.07</v>
      </c>
    </row>
    <row r="4359" spans="1:7" x14ac:dyDescent="0.2">
      <c r="A4359" s="3" t="s">
        <v>1072</v>
      </c>
      <c r="B4359" s="4">
        <v>45199</v>
      </c>
      <c r="C4359" s="3" t="s">
        <v>1180</v>
      </c>
      <c r="D4359" s="3" t="s">
        <v>1187</v>
      </c>
      <c r="E4359" s="3" t="s">
        <v>1433</v>
      </c>
      <c r="F4359" s="3">
        <v>-356228.98</v>
      </c>
      <c r="G4359" s="3">
        <v>388313.23</v>
      </c>
    </row>
    <row r="4360" spans="1:7" x14ac:dyDescent="0.2">
      <c r="A4360" s="3" t="s">
        <v>1072</v>
      </c>
      <c r="B4360" s="4">
        <v>45199</v>
      </c>
      <c r="C4360" s="3" t="s">
        <v>1180</v>
      </c>
      <c r="D4360" s="3" t="s">
        <v>1189</v>
      </c>
      <c r="E4360" s="3" t="s">
        <v>1434</v>
      </c>
      <c r="F4360" s="3">
        <v>0</v>
      </c>
      <c r="G4360" s="3">
        <v>-1188</v>
      </c>
    </row>
    <row r="4361" spans="1:7" x14ac:dyDescent="0.2">
      <c r="A4361" s="3" t="s">
        <v>1072</v>
      </c>
      <c r="B4361" s="4">
        <v>45199</v>
      </c>
      <c r="C4361" s="3" t="s">
        <v>1180</v>
      </c>
      <c r="D4361" s="3" t="s">
        <v>1435</v>
      </c>
      <c r="E4361" s="3" t="s">
        <v>1436</v>
      </c>
      <c r="F4361" s="3">
        <v>4</v>
      </c>
      <c r="G4361" s="3">
        <v>567.41</v>
      </c>
    </row>
    <row r="4362" spans="1:7" x14ac:dyDescent="0.2">
      <c r="A4362" s="3" t="s">
        <v>1069</v>
      </c>
      <c r="B4362" s="4">
        <v>45199</v>
      </c>
      <c r="C4362" s="3" t="s">
        <v>1180</v>
      </c>
      <c r="D4362" s="3" t="s">
        <v>1435</v>
      </c>
      <c r="E4362" s="3" t="s">
        <v>1434</v>
      </c>
      <c r="F4362" s="3">
        <v>0</v>
      </c>
      <c r="G4362" s="3">
        <v>8620</v>
      </c>
    </row>
    <row r="4363" spans="1:7" x14ac:dyDescent="0.2">
      <c r="A4363" s="3" t="s">
        <v>1069</v>
      </c>
      <c r="B4363" s="4">
        <v>45199</v>
      </c>
      <c r="C4363" s="3" t="s">
        <v>1180</v>
      </c>
      <c r="D4363" s="3" t="s">
        <v>1243</v>
      </c>
      <c r="E4363" s="3" t="s">
        <v>1244</v>
      </c>
      <c r="F4363" s="3">
        <v>0</v>
      </c>
      <c r="G4363" s="3">
        <v>848.44</v>
      </c>
    </row>
    <row r="4364" spans="1:7" x14ac:dyDescent="0.2">
      <c r="A4364" s="3" t="s">
        <v>1069</v>
      </c>
      <c r="B4364" s="4">
        <v>45199</v>
      </c>
      <c r="C4364" s="3" t="s">
        <v>1180</v>
      </c>
      <c r="D4364" s="3" t="s">
        <v>1245</v>
      </c>
      <c r="E4364" s="3" t="s">
        <v>1246</v>
      </c>
      <c r="F4364" s="3">
        <v>13963529.43</v>
      </c>
      <c r="G4364" s="3">
        <v>47558692.450000003</v>
      </c>
    </row>
    <row r="4365" spans="1:7" x14ac:dyDescent="0.2">
      <c r="A4365" s="3" t="s">
        <v>1069</v>
      </c>
      <c r="B4365" s="4">
        <v>45199</v>
      </c>
      <c r="C4365" s="3" t="s">
        <v>1180</v>
      </c>
      <c r="D4365" s="3" t="s">
        <v>1727</v>
      </c>
      <c r="E4365" s="3" t="s">
        <v>1728</v>
      </c>
      <c r="F4365" s="3">
        <v>500</v>
      </c>
      <c r="G4365" s="3">
        <v>500</v>
      </c>
    </row>
    <row r="4366" spans="1:7" x14ac:dyDescent="0.2">
      <c r="A4366" s="3" t="s">
        <v>1072</v>
      </c>
      <c r="B4366" s="4">
        <v>45199</v>
      </c>
      <c r="C4366" s="3" t="s">
        <v>1175</v>
      </c>
      <c r="D4366" s="3" t="s">
        <v>1437</v>
      </c>
      <c r="E4366" s="3" t="s">
        <v>1438</v>
      </c>
      <c r="F4366" s="3">
        <v>-0.65</v>
      </c>
      <c r="G4366" s="3">
        <v>-29.67</v>
      </c>
    </row>
    <row r="4367" spans="1:7" x14ac:dyDescent="0.2">
      <c r="A4367" s="3" t="s">
        <v>1069</v>
      </c>
      <c r="B4367" s="4">
        <v>45199</v>
      </c>
      <c r="C4367" s="3" t="s">
        <v>1175</v>
      </c>
      <c r="D4367" s="3" t="s">
        <v>1437</v>
      </c>
      <c r="E4367" s="3" t="s">
        <v>1438</v>
      </c>
      <c r="F4367" s="3">
        <v>0</v>
      </c>
      <c r="G4367" s="3">
        <v>0.13</v>
      </c>
    </row>
    <row r="4368" spans="1:7" x14ac:dyDescent="0.2">
      <c r="A4368" s="3" t="s">
        <v>1074</v>
      </c>
      <c r="B4368" s="4">
        <v>45199</v>
      </c>
      <c r="C4368" s="3" t="s">
        <v>1175</v>
      </c>
      <c r="D4368" s="3" t="s">
        <v>1437</v>
      </c>
      <c r="E4368" s="3" t="s">
        <v>1438</v>
      </c>
      <c r="F4368" s="3">
        <v>-0.06</v>
      </c>
      <c r="G4368" s="3">
        <v>-0.06</v>
      </c>
    </row>
    <row r="4369" spans="1:7" x14ac:dyDescent="0.2">
      <c r="A4369" s="3" t="s">
        <v>1072</v>
      </c>
      <c r="B4369" s="4">
        <v>45199</v>
      </c>
      <c r="C4369" s="3" t="s">
        <v>1175</v>
      </c>
      <c r="D4369" s="3" t="s">
        <v>1191</v>
      </c>
      <c r="E4369" s="3" t="s">
        <v>1192</v>
      </c>
      <c r="F4369" s="3">
        <v>-893800.79</v>
      </c>
      <c r="G4369" s="3">
        <v>-1615893.59</v>
      </c>
    </row>
    <row r="4370" spans="1:7" x14ac:dyDescent="0.2">
      <c r="A4370" s="3" t="s">
        <v>1069</v>
      </c>
      <c r="B4370" s="4">
        <v>45199</v>
      </c>
      <c r="C4370" s="3" t="s">
        <v>1175</v>
      </c>
      <c r="D4370" s="3" t="s">
        <v>1191</v>
      </c>
      <c r="E4370" s="3" t="s">
        <v>1192</v>
      </c>
      <c r="F4370" s="3">
        <v>-10833411.199999999</v>
      </c>
      <c r="G4370" s="3">
        <v>-156661116.37</v>
      </c>
    </row>
    <row r="4371" spans="1:7" x14ac:dyDescent="0.2">
      <c r="A4371" s="3" t="s">
        <v>1074</v>
      </c>
      <c r="B4371" s="4">
        <v>45199</v>
      </c>
      <c r="C4371" s="3" t="s">
        <v>1175</v>
      </c>
      <c r="D4371" s="3" t="s">
        <v>1191</v>
      </c>
      <c r="E4371" s="3" t="s">
        <v>1192</v>
      </c>
      <c r="F4371" s="3">
        <v>-2530321.73</v>
      </c>
      <c r="G4371" s="3">
        <v>6564113.8600000003</v>
      </c>
    </row>
    <row r="4372" spans="1:7" x14ac:dyDescent="0.2">
      <c r="A4372" s="3" t="s">
        <v>1072</v>
      </c>
      <c r="B4372" s="4">
        <v>45199</v>
      </c>
      <c r="C4372" s="3" t="s">
        <v>1175</v>
      </c>
      <c r="D4372" s="3" t="s">
        <v>1488</v>
      </c>
      <c r="E4372" s="3" t="s">
        <v>1489</v>
      </c>
      <c r="F4372" s="3">
        <v>0</v>
      </c>
      <c r="G4372" s="3">
        <v>1309</v>
      </c>
    </row>
    <row r="4373" spans="1:7" x14ac:dyDescent="0.2">
      <c r="A4373" s="3" t="s">
        <v>1072</v>
      </c>
      <c r="B4373" s="4">
        <v>45199</v>
      </c>
      <c r="C4373" s="3" t="s">
        <v>1175</v>
      </c>
      <c r="D4373" s="3" t="s">
        <v>1439</v>
      </c>
      <c r="E4373" s="3" t="s">
        <v>1440</v>
      </c>
      <c r="F4373" s="3">
        <v>-0.01</v>
      </c>
      <c r="G4373" s="3">
        <v>-0.02</v>
      </c>
    </row>
    <row r="4374" spans="1:7" x14ac:dyDescent="0.2">
      <c r="A4374" s="3" t="s">
        <v>1072</v>
      </c>
      <c r="B4374" s="4">
        <v>45199</v>
      </c>
      <c r="C4374" s="3" t="s">
        <v>1175</v>
      </c>
      <c r="D4374" s="3" t="s">
        <v>1441</v>
      </c>
      <c r="E4374" s="3" t="s">
        <v>1442</v>
      </c>
      <c r="F4374" s="3">
        <v>-27.46</v>
      </c>
      <c r="G4374" s="3">
        <v>-90980.12</v>
      </c>
    </row>
    <row r="4375" spans="1:7" x14ac:dyDescent="0.2">
      <c r="A4375" s="3" t="s">
        <v>1072</v>
      </c>
      <c r="B4375" s="4">
        <v>45199</v>
      </c>
      <c r="C4375" s="3" t="s">
        <v>1175</v>
      </c>
      <c r="D4375" s="3" t="s">
        <v>1464</v>
      </c>
      <c r="E4375" s="3" t="s">
        <v>1465</v>
      </c>
      <c r="F4375" s="3">
        <v>0</v>
      </c>
      <c r="G4375" s="3">
        <v>-49413.95</v>
      </c>
    </row>
    <row r="4376" spans="1:7" x14ac:dyDescent="0.2">
      <c r="A4376" s="3" t="s">
        <v>1072</v>
      </c>
      <c r="B4376" s="4">
        <v>45199</v>
      </c>
      <c r="C4376" s="3" t="s">
        <v>1175</v>
      </c>
      <c r="D4376" s="3" t="s">
        <v>1729</v>
      </c>
      <c r="E4376" s="3" t="s">
        <v>1730</v>
      </c>
      <c r="F4376" s="3">
        <v>130000</v>
      </c>
      <c r="G4376" s="3">
        <v>130000</v>
      </c>
    </row>
    <row r="4377" spans="1:7" x14ac:dyDescent="0.2">
      <c r="A4377" s="3" t="s">
        <v>1072</v>
      </c>
      <c r="B4377" s="4">
        <v>45199</v>
      </c>
      <c r="C4377" s="3" t="s">
        <v>1175</v>
      </c>
      <c r="D4377" s="3" t="s">
        <v>1193</v>
      </c>
      <c r="E4377" s="3" t="s">
        <v>1443</v>
      </c>
      <c r="F4377" s="3">
        <v>-123153.66</v>
      </c>
      <c r="G4377" s="3">
        <v>-72369.440000000002</v>
      </c>
    </row>
    <row r="4378" spans="1:7" x14ac:dyDescent="0.2">
      <c r="A4378" s="3" t="s">
        <v>1069</v>
      </c>
      <c r="B4378" s="4">
        <v>45199</v>
      </c>
      <c r="C4378" s="3" t="s">
        <v>1175</v>
      </c>
      <c r="D4378" s="3" t="s">
        <v>1193</v>
      </c>
      <c r="E4378" s="3" t="s">
        <v>1194</v>
      </c>
      <c r="F4378" s="3">
        <v>750509.34</v>
      </c>
      <c r="G4378" s="3">
        <v>-3196500.55</v>
      </c>
    </row>
    <row r="4379" spans="1:7" x14ac:dyDescent="0.2">
      <c r="A4379" s="3" t="s">
        <v>1074</v>
      </c>
      <c r="B4379" s="4">
        <v>45199</v>
      </c>
      <c r="C4379" s="3" t="s">
        <v>1175</v>
      </c>
      <c r="D4379" s="3" t="s">
        <v>1193</v>
      </c>
      <c r="E4379" s="3" t="s">
        <v>1194</v>
      </c>
      <c r="F4379" s="3">
        <v>-938462.91</v>
      </c>
      <c r="G4379" s="3">
        <v>3516512.96</v>
      </c>
    </row>
    <row r="4380" spans="1:7" x14ac:dyDescent="0.2">
      <c r="A4380" s="3" t="s">
        <v>1072</v>
      </c>
      <c r="B4380" s="4">
        <v>45199</v>
      </c>
      <c r="C4380" s="3" t="s">
        <v>1175</v>
      </c>
      <c r="D4380" s="3" t="s">
        <v>1731</v>
      </c>
      <c r="E4380" s="3" t="s">
        <v>1732</v>
      </c>
      <c r="F4380" s="3">
        <v>-1869.8</v>
      </c>
      <c r="G4380" s="3">
        <v>-1869.8</v>
      </c>
    </row>
    <row r="4381" spans="1:7" x14ac:dyDescent="0.2">
      <c r="A4381" s="3" t="s">
        <v>1069</v>
      </c>
      <c r="B4381" s="4">
        <v>45199</v>
      </c>
      <c r="C4381" s="3" t="s">
        <v>1175</v>
      </c>
      <c r="D4381" s="3" t="s">
        <v>1657</v>
      </c>
      <c r="E4381" s="3" t="s">
        <v>1658</v>
      </c>
      <c r="F4381" s="3">
        <v>0</v>
      </c>
      <c r="G4381" s="3">
        <v>59039.93</v>
      </c>
    </row>
    <row r="4382" spans="1:7" x14ac:dyDescent="0.2">
      <c r="A4382" s="3" t="s">
        <v>1074</v>
      </c>
      <c r="B4382" s="4">
        <v>45199</v>
      </c>
      <c r="C4382" s="3" t="s">
        <v>1175</v>
      </c>
      <c r="D4382" s="3" t="s">
        <v>1717</v>
      </c>
      <c r="E4382" s="3" t="s">
        <v>1718</v>
      </c>
      <c r="F4382" s="3">
        <v>0</v>
      </c>
      <c r="G4382" s="3">
        <v>-0.4</v>
      </c>
    </row>
    <row r="4383" spans="1:7" x14ac:dyDescent="0.2">
      <c r="A4383" s="3" t="s">
        <v>1072</v>
      </c>
      <c r="B4383" s="4">
        <v>45199</v>
      </c>
      <c r="C4383" s="3" t="s">
        <v>1175</v>
      </c>
      <c r="D4383" s="3" t="s">
        <v>1444</v>
      </c>
      <c r="E4383" s="3" t="s">
        <v>1445</v>
      </c>
      <c r="F4383" s="3">
        <v>0</v>
      </c>
      <c r="G4383" s="3">
        <v>1869.8</v>
      </c>
    </row>
    <row r="4384" spans="1:7" x14ac:dyDescent="0.2">
      <c r="A4384" s="3" t="s">
        <v>1072</v>
      </c>
      <c r="B4384" s="4">
        <v>45199</v>
      </c>
      <c r="C4384" s="3" t="s">
        <v>1175</v>
      </c>
      <c r="D4384" s="3" t="s">
        <v>1446</v>
      </c>
      <c r="E4384" s="3" t="s">
        <v>1447</v>
      </c>
      <c r="F4384" s="3">
        <v>0</v>
      </c>
      <c r="G4384" s="3">
        <v>-254.99</v>
      </c>
    </row>
    <row r="4385" spans="1:7" x14ac:dyDescent="0.2">
      <c r="A4385" s="3" t="s">
        <v>1069</v>
      </c>
      <c r="B4385" s="4">
        <v>45230</v>
      </c>
      <c r="C4385" s="3" t="s">
        <v>1210</v>
      </c>
      <c r="D4385" s="3" t="s">
        <v>1552</v>
      </c>
      <c r="E4385" s="3" t="s">
        <v>1553</v>
      </c>
      <c r="F4385" s="3">
        <v>-1243391.3</v>
      </c>
      <c r="G4385" s="3">
        <v>-28096347.829999998</v>
      </c>
    </row>
    <row r="4386" spans="1:7" x14ac:dyDescent="0.2">
      <c r="A4386" s="3" t="s">
        <v>1074</v>
      </c>
      <c r="B4386" s="4">
        <v>45230</v>
      </c>
      <c r="C4386" s="3" t="s">
        <v>1210</v>
      </c>
      <c r="D4386" s="3" t="s">
        <v>1552</v>
      </c>
      <c r="E4386" s="3" t="s">
        <v>1700</v>
      </c>
      <c r="F4386" s="3">
        <v>0</v>
      </c>
      <c r="G4386" s="3">
        <v>-19833565.239999998</v>
      </c>
    </row>
    <row r="4387" spans="1:7" x14ac:dyDescent="0.2">
      <c r="A4387" s="3" t="s">
        <v>1069</v>
      </c>
      <c r="B4387" s="4">
        <v>45230</v>
      </c>
      <c r="C4387" s="3" t="s">
        <v>1210</v>
      </c>
      <c r="D4387" s="3" t="s">
        <v>1554</v>
      </c>
      <c r="E4387" s="3" t="s">
        <v>1555</v>
      </c>
      <c r="F4387" s="3">
        <v>0</v>
      </c>
      <c r="G4387" s="3">
        <v>-102388.85</v>
      </c>
    </row>
    <row r="4388" spans="1:7" x14ac:dyDescent="0.2">
      <c r="A4388" s="3" t="s">
        <v>1074</v>
      </c>
      <c r="B4388" s="4">
        <v>45230</v>
      </c>
      <c r="C4388" s="3" t="s">
        <v>1210</v>
      </c>
      <c r="D4388" s="3" t="s">
        <v>1554</v>
      </c>
      <c r="E4388" s="3" t="s">
        <v>1701</v>
      </c>
      <c r="F4388" s="3">
        <v>0</v>
      </c>
      <c r="G4388" s="3">
        <v>-78825.8</v>
      </c>
    </row>
    <row r="4389" spans="1:7" x14ac:dyDescent="0.2">
      <c r="A4389" s="3" t="s">
        <v>1072</v>
      </c>
      <c r="B4389" s="4">
        <v>45230</v>
      </c>
      <c r="C4389" s="3" t="s">
        <v>1210</v>
      </c>
      <c r="D4389" s="3" t="s">
        <v>1448</v>
      </c>
      <c r="E4389" s="3" t="s">
        <v>1449</v>
      </c>
      <c r="F4389" s="3">
        <v>-6737030.6699999999</v>
      </c>
      <c r="G4389" s="3">
        <v>-35137237.140000001</v>
      </c>
    </row>
    <row r="4390" spans="1:7" x14ac:dyDescent="0.2">
      <c r="A4390" s="3" t="s">
        <v>1072</v>
      </c>
      <c r="B4390" s="4">
        <v>45230</v>
      </c>
      <c r="C4390" s="3" t="s">
        <v>1210</v>
      </c>
      <c r="D4390" s="3" t="s">
        <v>1273</v>
      </c>
      <c r="E4390" s="3" t="s">
        <v>1274</v>
      </c>
      <c r="F4390" s="3">
        <v>0</v>
      </c>
      <c r="G4390" s="3">
        <v>3490.94</v>
      </c>
    </row>
    <row r="4391" spans="1:7" x14ac:dyDescent="0.2">
      <c r="A4391" s="3" t="s">
        <v>1069</v>
      </c>
      <c r="B4391" s="4">
        <v>45230</v>
      </c>
      <c r="C4391" s="3" t="s">
        <v>1210</v>
      </c>
      <c r="D4391" s="3" t="s">
        <v>1685</v>
      </c>
      <c r="E4391" s="3" t="s">
        <v>1686</v>
      </c>
      <c r="F4391" s="3">
        <v>-32138.13</v>
      </c>
      <c r="G4391" s="3">
        <v>-114630.07</v>
      </c>
    </row>
    <row r="4392" spans="1:7" x14ac:dyDescent="0.2">
      <c r="A4392" s="3" t="s">
        <v>1074</v>
      </c>
      <c r="B4392" s="4">
        <v>45230</v>
      </c>
      <c r="C4392" s="3" t="s">
        <v>1210</v>
      </c>
      <c r="D4392" s="3" t="s">
        <v>1685</v>
      </c>
      <c r="E4392" s="3" t="s">
        <v>1686</v>
      </c>
      <c r="F4392" s="3">
        <v>-13883</v>
      </c>
      <c r="G4392" s="3">
        <v>-13883</v>
      </c>
    </row>
    <row r="4393" spans="1:7" x14ac:dyDescent="0.2">
      <c r="A4393" s="3" t="s">
        <v>1069</v>
      </c>
      <c r="B4393" s="4">
        <v>45230</v>
      </c>
      <c r="C4393" s="3" t="s">
        <v>1168</v>
      </c>
      <c r="D4393" s="3" t="s">
        <v>1687</v>
      </c>
      <c r="E4393" s="3" t="s">
        <v>1688</v>
      </c>
      <c r="F4393" s="3">
        <v>0</v>
      </c>
      <c r="G4393" s="3">
        <v>45300.43</v>
      </c>
    </row>
    <row r="4394" spans="1:7" x14ac:dyDescent="0.2">
      <c r="A4394" s="3" t="s">
        <v>1074</v>
      </c>
      <c r="B4394" s="4">
        <v>45230</v>
      </c>
      <c r="C4394" s="3" t="s">
        <v>1168</v>
      </c>
      <c r="D4394" s="3" t="s">
        <v>1514</v>
      </c>
      <c r="E4394" s="3" t="s">
        <v>1676</v>
      </c>
      <c r="F4394" s="3">
        <v>0</v>
      </c>
      <c r="G4394" s="3">
        <v>237142.94</v>
      </c>
    </row>
    <row r="4395" spans="1:7" x14ac:dyDescent="0.2">
      <c r="A4395" s="3" t="s">
        <v>1069</v>
      </c>
      <c r="B4395" s="4">
        <v>45230</v>
      </c>
      <c r="C4395" s="3" t="s">
        <v>1168</v>
      </c>
      <c r="D4395" s="3" t="s">
        <v>1531</v>
      </c>
      <c r="E4395" s="3" t="s">
        <v>1532</v>
      </c>
      <c r="F4395" s="3">
        <v>36756.85</v>
      </c>
      <c r="G4395" s="3">
        <v>685713.49</v>
      </c>
    </row>
    <row r="4396" spans="1:7" x14ac:dyDescent="0.2">
      <c r="A4396" s="3" t="s">
        <v>1074</v>
      </c>
      <c r="B4396" s="4">
        <v>45230</v>
      </c>
      <c r="C4396" s="3" t="s">
        <v>1168</v>
      </c>
      <c r="D4396" s="3" t="s">
        <v>1531</v>
      </c>
      <c r="E4396" s="3" t="s">
        <v>1532</v>
      </c>
      <c r="F4396" s="3">
        <v>0</v>
      </c>
      <c r="G4396" s="3">
        <v>451248.55</v>
      </c>
    </row>
    <row r="4397" spans="1:7" x14ac:dyDescent="0.2">
      <c r="A4397" s="3" t="s">
        <v>1074</v>
      </c>
      <c r="B4397" s="4">
        <v>45230</v>
      </c>
      <c r="C4397" s="3" t="s">
        <v>1168</v>
      </c>
      <c r="D4397" s="3" t="s">
        <v>1638</v>
      </c>
      <c r="E4397" s="3" t="s">
        <v>1677</v>
      </c>
      <c r="F4397" s="3">
        <v>0</v>
      </c>
      <c r="G4397" s="3">
        <v>61556.94</v>
      </c>
    </row>
    <row r="4398" spans="1:7" x14ac:dyDescent="0.2">
      <c r="A4398" s="3" t="s">
        <v>1069</v>
      </c>
      <c r="B4398" s="4">
        <v>45230</v>
      </c>
      <c r="C4398" s="3" t="s">
        <v>1168</v>
      </c>
      <c r="D4398" s="3" t="s">
        <v>1638</v>
      </c>
      <c r="E4398" s="3" t="s">
        <v>1639</v>
      </c>
      <c r="F4398" s="3">
        <v>10540</v>
      </c>
      <c r="G4398" s="3">
        <v>10540</v>
      </c>
    </row>
    <row r="4399" spans="1:7" x14ac:dyDescent="0.2">
      <c r="A4399" s="3" t="s">
        <v>1069</v>
      </c>
      <c r="B4399" s="4">
        <v>45230</v>
      </c>
      <c r="C4399" s="3" t="s">
        <v>1168</v>
      </c>
      <c r="D4399" s="3" t="s">
        <v>1540</v>
      </c>
      <c r="E4399" s="3" t="s">
        <v>1541</v>
      </c>
      <c r="F4399" s="3">
        <v>19519.47</v>
      </c>
      <c r="G4399" s="3">
        <v>44864.59</v>
      </c>
    </row>
    <row r="4400" spans="1:7" x14ac:dyDescent="0.2">
      <c r="A4400" s="3" t="s">
        <v>1069</v>
      </c>
      <c r="B4400" s="4">
        <v>45230</v>
      </c>
      <c r="C4400" s="3" t="s">
        <v>1168</v>
      </c>
      <c r="D4400" s="3" t="s">
        <v>1556</v>
      </c>
      <c r="E4400" s="3" t="s">
        <v>1557</v>
      </c>
      <c r="F4400" s="3">
        <v>0</v>
      </c>
      <c r="G4400" s="3">
        <v>381069.48</v>
      </c>
    </row>
    <row r="4401" spans="1:7" x14ac:dyDescent="0.2">
      <c r="A4401" s="3" t="s">
        <v>1069</v>
      </c>
      <c r="B4401" s="4">
        <v>45230</v>
      </c>
      <c r="C4401" s="3" t="s">
        <v>1168</v>
      </c>
      <c r="D4401" s="3" t="s">
        <v>1558</v>
      </c>
      <c r="E4401" s="3" t="s">
        <v>1559</v>
      </c>
      <c r="F4401" s="3">
        <v>62169.57</v>
      </c>
      <c r="G4401" s="3">
        <v>1405686.97</v>
      </c>
    </row>
    <row r="4402" spans="1:7" x14ac:dyDescent="0.2">
      <c r="A4402" s="3" t="s">
        <v>1074</v>
      </c>
      <c r="B4402" s="4">
        <v>45230</v>
      </c>
      <c r="C4402" s="3" t="s">
        <v>1168</v>
      </c>
      <c r="D4402" s="3" t="s">
        <v>1558</v>
      </c>
      <c r="E4402" s="3" t="s">
        <v>1702</v>
      </c>
      <c r="F4402" s="3">
        <v>0</v>
      </c>
      <c r="G4402" s="3">
        <v>993852.14</v>
      </c>
    </row>
    <row r="4403" spans="1:7" x14ac:dyDescent="0.2">
      <c r="A4403" s="3" t="s">
        <v>1069</v>
      </c>
      <c r="B4403" s="4">
        <v>45230</v>
      </c>
      <c r="C4403" s="3" t="s">
        <v>1168</v>
      </c>
      <c r="D4403" s="3" t="s">
        <v>1640</v>
      </c>
      <c r="E4403" s="3" t="s">
        <v>1641</v>
      </c>
      <c r="F4403" s="3">
        <v>0</v>
      </c>
      <c r="G4403" s="3">
        <v>1005.47</v>
      </c>
    </row>
    <row r="4404" spans="1:7" x14ac:dyDescent="0.2">
      <c r="A4404" s="3" t="s">
        <v>1074</v>
      </c>
      <c r="B4404" s="4">
        <v>45230</v>
      </c>
      <c r="C4404" s="3" t="s">
        <v>1168</v>
      </c>
      <c r="D4404" s="3" t="s">
        <v>1640</v>
      </c>
      <c r="E4404" s="3" t="s">
        <v>1689</v>
      </c>
      <c r="F4404" s="3">
        <v>0</v>
      </c>
      <c r="G4404" s="3">
        <v>6212.85</v>
      </c>
    </row>
    <row r="4405" spans="1:7" x14ac:dyDescent="0.2">
      <c r="A4405" s="3" t="s">
        <v>1069</v>
      </c>
      <c r="B4405" s="4">
        <v>45230</v>
      </c>
      <c r="C4405" s="3" t="s">
        <v>1168</v>
      </c>
      <c r="D4405" s="3" t="s">
        <v>1659</v>
      </c>
      <c r="E4405" s="3" t="s">
        <v>1660</v>
      </c>
      <c r="F4405" s="3">
        <v>0</v>
      </c>
      <c r="G4405" s="3">
        <v>250</v>
      </c>
    </row>
    <row r="4406" spans="1:7" x14ac:dyDescent="0.2">
      <c r="A4406" s="3" t="s">
        <v>1074</v>
      </c>
      <c r="B4406" s="4">
        <v>45230</v>
      </c>
      <c r="C4406" s="3" t="s">
        <v>1168</v>
      </c>
      <c r="D4406" s="3" t="s">
        <v>1659</v>
      </c>
      <c r="E4406" s="3" t="s">
        <v>1660</v>
      </c>
      <c r="F4406" s="3">
        <v>86.96</v>
      </c>
      <c r="G4406" s="3">
        <v>186.96</v>
      </c>
    </row>
    <row r="4407" spans="1:7" x14ac:dyDescent="0.2">
      <c r="A4407" s="3" t="s">
        <v>1069</v>
      </c>
      <c r="B4407" s="4">
        <v>45230</v>
      </c>
      <c r="C4407" s="3" t="s">
        <v>1168</v>
      </c>
      <c r="D4407" s="3" t="s">
        <v>1678</v>
      </c>
      <c r="E4407" s="3" t="s">
        <v>1679</v>
      </c>
      <c r="F4407" s="3">
        <v>0</v>
      </c>
      <c r="G4407" s="3">
        <v>31600</v>
      </c>
    </row>
    <row r="4408" spans="1:7" x14ac:dyDescent="0.2">
      <c r="A4408" s="3" t="s">
        <v>1072</v>
      </c>
      <c r="B4408" s="4">
        <v>45230</v>
      </c>
      <c r="C4408" s="3" t="s">
        <v>1168</v>
      </c>
      <c r="D4408" s="3" t="s">
        <v>1661</v>
      </c>
      <c r="E4408" s="3" t="s">
        <v>1662</v>
      </c>
      <c r="F4408" s="3">
        <v>0</v>
      </c>
      <c r="G4408" s="3">
        <v>286.95999999999998</v>
      </c>
    </row>
    <row r="4409" spans="1:7" x14ac:dyDescent="0.2">
      <c r="A4409" s="3" t="s">
        <v>1072</v>
      </c>
      <c r="B4409" s="4">
        <v>45230</v>
      </c>
      <c r="C4409" s="3" t="s">
        <v>1168</v>
      </c>
      <c r="D4409" s="3" t="s">
        <v>1680</v>
      </c>
      <c r="E4409" s="3" t="s">
        <v>1681</v>
      </c>
      <c r="F4409" s="3">
        <v>0</v>
      </c>
      <c r="G4409" s="3">
        <v>86.96</v>
      </c>
    </row>
    <row r="4410" spans="1:7" x14ac:dyDescent="0.2">
      <c r="A4410" s="3" t="s">
        <v>1072</v>
      </c>
      <c r="B4410" s="4">
        <v>45230</v>
      </c>
      <c r="C4410" s="3" t="s">
        <v>1168</v>
      </c>
      <c r="D4410" s="3" t="s">
        <v>1669</v>
      </c>
      <c r="E4410" s="3" t="s">
        <v>1670</v>
      </c>
      <c r="F4410" s="3">
        <v>0</v>
      </c>
      <c r="G4410" s="3">
        <v>30620.97</v>
      </c>
    </row>
    <row r="4411" spans="1:7" x14ac:dyDescent="0.2">
      <c r="A4411" s="3" t="s">
        <v>1072</v>
      </c>
      <c r="B4411" s="4">
        <v>45230</v>
      </c>
      <c r="C4411" s="3" t="s">
        <v>1168</v>
      </c>
      <c r="D4411" s="3" t="s">
        <v>1703</v>
      </c>
      <c r="E4411" s="3" t="s">
        <v>1704</v>
      </c>
      <c r="F4411" s="3">
        <v>0</v>
      </c>
      <c r="G4411" s="3">
        <v>10516.44</v>
      </c>
    </row>
    <row r="4412" spans="1:7" x14ac:dyDescent="0.2">
      <c r="A4412" s="3" t="s">
        <v>1072</v>
      </c>
      <c r="B4412" s="4">
        <v>45230</v>
      </c>
      <c r="C4412" s="3" t="s">
        <v>1168</v>
      </c>
      <c r="D4412" s="3" t="s">
        <v>1682</v>
      </c>
      <c r="E4412" s="3" t="s">
        <v>1683</v>
      </c>
      <c r="F4412" s="3">
        <v>16000</v>
      </c>
      <c r="G4412" s="3">
        <v>73620.91</v>
      </c>
    </row>
    <row r="4413" spans="1:7" x14ac:dyDescent="0.2">
      <c r="A4413" s="3" t="s">
        <v>1072</v>
      </c>
      <c r="B4413" s="4">
        <v>45230</v>
      </c>
      <c r="C4413" s="3" t="s">
        <v>1168</v>
      </c>
      <c r="D4413" s="3" t="s">
        <v>1281</v>
      </c>
      <c r="E4413" s="3" t="s">
        <v>1282</v>
      </c>
      <c r="F4413" s="3">
        <v>21190.94</v>
      </c>
      <c r="G4413" s="3">
        <v>281666.34000000003</v>
      </c>
    </row>
    <row r="4414" spans="1:7" x14ac:dyDescent="0.2">
      <c r="A4414" s="3" t="s">
        <v>1072</v>
      </c>
      <c r="B4414" s="4">
        <v>45230</v>
      </c>
      <c r="C4414" s="3" t="s">
        <v>1168</v>
      </c>
      <c r="D4414" s="3" t="s">
        <v>1283</v>
      </c>
      <c r="E4414" s="3" t="s">
        <v>1284</v>
      </c>
      <c r="F4414" s="3">
        <v>7918.34</v>
      </c>
      <c r="G4414" s="3">
        <v>157897.57999999999</v>
      </c>
    </row>
    <row r="4415" spans="1:7" x14ac:dyDescent="0.2">
      <c r="A4415" s="3" t="s">
        <v>1072</v>
      </c>
      <c r="B4415" s="4">
        <v>45230</v>
      </c>
      <c r="C4415" s="3" t="s">
        <v>1168</v>
      </c>
      <c r="D4415" s="3" t="s">
        <v>1285</v>
      </c>
      <c r="E4415" s="3" t="s">
        <v>1286</v>
      </c>
      <c r="F4415" s="3">
        <v>0</v>
      </c>
      <c r="G4415" s="3">
        <v>19969.43</v>
      </c>
    </row>
    <row r="4416" spans="1:7" x14ac:dyDescent="0.2">
      <c r="A4416" s="3" t="s">
        <v>1072</v>
      </c>
      <c r="B4416" s="4">
        <v>45230</v>
      </c>
      <c r="C4416" s="3" t="s">
        <v>1168</v>
      </c>
      <c r="D4416" s="3" t="s">
        <v>1705</v>
      </c>
      <c r="E4416" s="3" t="s">
        <v>1706</v>
      </c>
      <c r="F4416" s="3">
        <v>0</v>
      </c>
      <c r="G4416" s="3">
        <v>26340.75</v>
      </c>
    </row>
    <row r="4417" spans="1:7" x14ac:dyDescent="0.2">
      <c r="A4417" s="3" t="s">
        <v>1072</v>
      </c>
      <c r="B4417" s="4">
        <v>45230</v>
      </c>
      <c r="C4417" s="3" t="s">
        <v>1168</v>
      </c>
      <c r="D4417" s="3" t="s">
        <v>1301</v>
      </c>
      <c r="E4417" s="3" t="s">
        <v>1302</v>
      </c>
      <c r="F4417" s="3">
        <v>0</v>
      </c>
      <c r="G4417" s="3">
        <v>760.87</v>
      </c>
    </row>
    <row r="4418" spans="1:7" x14ac:dyDescent="0.2">
      <c r="A4418" s="3" t="s">
        <v>1072</v>
      </c>
      <c r="B4418" s="4">
        <v>45230</v>
      </c>
      <c r="C4418" s="3" t="s">
        <v>1168</v>
      </c>
      <c r="D4418" s="3" t="s">
        <v>1305</v>
      </c>
      <c r="E4418" s="3" t="s">
        <v>1306</v>
      </c>
      <c r="F4418" s="3">
        <v>0</v>
      </c>
      <c r="G4418" s="3">
        <v>27752.22</v>
      </c>
    </row>
    <row r="4419" spans="1:7" x14ac:dyDescent="0.2">
      <c r="A4419" s="3" t="s">
        <v>1072</v>
      </c>
      <c r="B4419" s="4">
        <v>45230</v>
      </c>
      <c r="C4419" s="3" t="s">
        <v>1168</v>
      </c>
      <c r="D4419" s="3" t="s">
        <v>1690</v>
      </c>
      <c r="E4419" s="3" t="s">
        <v>1691</v>
      </c>
      <c r="F4419" s="3">
        <v>0</v>
      </c>
      <c r="G4419" s="3">
        <v>7565.57</v>
      </c>
    </row>
    <row r="4420" spans="1:7" x14ac:dyDescent="0.2">
      <c r="A4420" s="3" t="s">
        <v>1072</v>
      </c>
      <c r="B4420" s="4">
        <v>45230</v>
      </c>
      <c r="C4420" s="3" t="s">
        <v>1168</v>
      </c>
      <c r="D4420" s="3" t="s">
        <v>1315</v>
      </c>
      <c r="E4420" s="3" t="s">
        <v>1316</v>
      </c>
      <c r="F4420" s="3">
        <v>0</v>
      </c>
      <c r="G4420" s="3">
        <v>1129.57</v>
      </c>
    </row>
    <row r="4421" spans="1:7" x14ac:dyDescent="0.2">
      <c r="A4421" s="3" t="s">
        <v>1072</v>
      </c>
      <c r="B4421" s="4">
        <v>45230</v>
      </c>
      <c r="C4421" s="3" t="s">
        <v>1168</v>
      </c>
      <c r="D4421" s="3" t="s">
        <v>1450</v>
      </c>
      <c r="E4421" s="3" t="s">
        <v>1451</v>
      </c>
      <c r="F4421" s="3">
        <v>44920.98</v>
      </c>
      <c r="G4421" s="3">
        <v>1599067.63</v>
      </c>
    </row>
    <row r="4422" spans="1:7" x14ac:dyDescent="0.2">
      <c r="A4422" s="3" t="s">
        <v>1072</v>
      </c>
      <c r="B4422" s="4">
        <v>45230</v>
      </c>
      <c r="C4422" s="3" t="s">
        <v>1168</v>
      </c>
      <c r="D4422" s="3" t="s">
        <v>1452</v>
      </c>
      <c r="E4422" s="3" t="s">
        <v>1453</v>
      </c>
      <c r="F4422" s="3">
        <v>4396.05</v>
      </c>
      <c r="G4422" s="3">
        <v>331608.69</v>
      </c>
    </row>
    <row r="4423" spans="1:7" x14ac:dyDescent="0.2">
      <c r="A4423" s="3" t="s">
        <v>1072</v>
      </c>
      <c r="B4423" s="4">
        <v>45230</v>
      </c>
      <c r="C4423" s="3" t="s">
        <v>1168</v>
      </c>
      <c r="D4423" s="3" t="s">
        <v>1454</v>
      </c>
      <c r="E4423" s="3" t="s">
        <v>1455</v>
      </c>
      <c r="F4423" s="3">
        <v>0</v>
      </c>
      <c r="G4423" s="3">
        <v>694.78</v>
      </c>
    </row>
    <row r="4424" spans="1:7" x14ac:dyDescent="0.2">
      <c r="A4424" s="3" t="s">
        <v>1072</v>
      </c>
      <c r="B4424" s="4">
        <v>45230</v>
      </c>
      <c r="C4424" s="3" t="s">
        <v>1168</v>
      </c>
      <c r="D4424" s="3" t="s">
        <v>1468</v>
      </c>
      <c r="E4424" s="3" t="s">
        <v>1469</v>
      </c>
      <c r="F4424" s="3">
        <v>1797.39</v>
      </c>
      <c r="G4424" s="3">
        <v>11884.89</v>
      </c>
    </row>
    <row r="4425" spans="1:7" x14ac:dyDescent="0.2">
      <c r="A4425" s="3" t="s">
        <v>1072</v>
      </c>
      <c r="B4425" s="4">
        <v>45230</v>
      </c>
      <c r="C4425" s="3" t="s">
        <v>1168</v>
      </c>
      <c r="D4425" s="3" t="s">
        <v>1620</v>
      </c>
      <c r="E4425" s="3" t="s">
        <v>1621</v>
      </c>
      <c r="F4425" s="3">
        <v>1652.17</v>
      </c>
      <c r="G4425" s="3">
        <v>22410.16</v>
      </c>
    </row>
    <row r="4426" spans="1:7" x14ac:dyDescent="0.2">
      <c r="A4426" s="3" t="s">
        <v>1072</v>
      </c>
      <c r="B4426" s="4">
        <v>45230</v>
      </c>
      <c r="C4426" s="3" t="s">
        <v>1168</v>
      </c>
      <c r="D4426" s="3" t="s">
        <v>1542</v>
      </c>
      <c r="E4426" s="3" t="s">
        <v>1543</v>
      </c>
      <c r="F4426" s="3">
        <v>5221094.5199999996</v>
      </c>
      <c r="G4426" s="3">
        <v>26758384.870000001</v>
      </c>
    </row>
    <row r="4427" spans="1:7" x14ac:dyDescent="0.2">
      <c r="A4427" s="3" t="s">
        <v>1072</v>
      </c>
      <c r="B4427" s="4">
        <v>45230</v>
      </c>
      <c r="C4427" s="3" t="s">
        <v>1168</v>
      </c>
      <c r="D4427" s="3" t="s">
        <v>1527</v>
      </c>
      <c r="E4427" s="3" t="s">
        <v>1528</v>
      </c>
      <c r="F4427" s="3">
        <v>2652.6</v>
      </c>
      <c r="G4427" s="3">
        <v>545569.89</v>
      </c>
    </row>
    <row r="4428" spans="1:7" x14ac:dyDescent="0.2">
      <c r="A4428" s="3" t="s">
        <v>1072</v>
      </c>
      <c r="B4428" s="4">
        <v>45230</v>
      </c>
      <c r="C4428" s="3" t="s">
        <v>1168</v>
      </c>
      <c r="D4428" s="3" t="s">
        <v>1560</v>
      </c>
      <c r="E4428" s="3" t="s">
        <v>1561</v>
      </c>
      <c r="F4428" s="3">
        <v>0</v>
      </c>
      <c r="G4428" s="3">
        <v>17292.48</v>
      </c>
    </row>
    <row r="4429" spans="1:7" x14ac:dyDescent="0.2">
      <c r="A4429" s="3" t="s">
        <v>1072</v>
      </c>
      <c r="B4429" s="4">
        <v>45230</v>
      </c>
      <c r="C4429" s="3" t="s">
        <v>1210</v>
      </c>
      <c r="D4429" s="3" t="s">
        <v>1509</v>
      </c>
      <c r="E4429" s="3" t="s">
        <v>1510</v>
      </c>
      <c r="F4429" s="3">
        <v>0</v>
      </c>
      <c r="G4429" s="3">
        <v>-790.13</v>
      </c>
    </row>
    <row r="4430" spans="1:7" x14ac:dyDescent="0.2">
      <c r="A4430" s="3" t="s">
        <v>1072</v>
      </c>
      <c r="B4430" s="4">
        <v>45230</v>
      </c>
      <c r="C4430" s="3" t="s">
        <v>1210</v>
      </c>
      <c r="D4430" s="3" t="s">
        <v>1323</v>
      </c>
      <c r="E4430" s="3" t="s">
        <v>1324</v>
      </c>
      <c r="F4430" s="3">
        <v>-4.1399999999999997</v>
      </c>
      <c r="G4430" s="3">
        <v>-34.229999999999997</v>
      </c>
    </row>
    <row r="4431" spans="1:7" x14ac:dyDescent="0.2">
      <c r="A4431" s="3" t="s">
        <v>1069</v>
      </c>
      <c r="B4431" s="4">
        <v>45230</v>
      </c>
      <c r="C4431" s="3" t="s">
        <v>1210</v>
      </c>
      <c r="D4431" s="3" t="s">
        <v>1249</v>
      </c>
      <c r="E4431" s="3" t="s">
        <v>1250</v>
      </c>
      <c r="F4431" s="3">
        <v>-342091.9</v>
      </c>
      <c r="G4431" s="3">
        <v>-2081377.05</v>
      </c>
    </row>
    <row r="4432" spans="1:7" x14ac:dyDescent="0.2">
      <c r="A4432" s="3" t="s">
        <v>1069</v>
      </c>
      <c r="B4432" s="4">
        <v>45230</v>
      </c>
      <c r="C4432" s="3" t="s">
        <v>1168</v>
      </c>
      <c r="D4432" s="3" t="s">
        <v>1692</v>
      </c>
      <c r="E4432" s="3" t="s">
        <v>1149</v>
      </c>
      <c r="F4432" s="3">
        <v>0</v>
      </c>
      <c r="G4432" s="3">
        <v>15024.96</v>
      </c>
    </row>
    <row r="4433" spans="1:7" x14ac:dyDescent="0.2">
      <c r="A4433" s="3" t="s">
        <v>1069</v>
      </c>
      <c r="B4433" s="4">
        <v>45230</v>
      </c>
      <c r="C4433" s="3" t="s">
        <v>1168</v>
      </c>
      <c r="D4433" s="3" t="s">
        <v>1226</v>
      </c>
      <c r="E4433" s="3" t="s">
        <v>1126</v>
      </c>
      <c r="F4433" s="3">
        <v>0</v>
      </c>
      <c r="G4433" s="3">
        <v>3050</v>
      </c>
    </row>
    <row r="4434" spans="1:7" x14ac:dyDescent="0.2">
      <c r="A4434" s="3" t="s">
        <v>1072</v>
      </c>
      <c r="B4434" s="4">
        <v>45230</v>
      </c>
      <c r="C4434" s="3" t="s">
        <v>1168</v>
      </c>
      <c r="D4434" s="3" t="s">
        <v>1325</v>
      </c>
      <c r="E4434" s="3" t="s">
        <v>1073</v>
      </c>
      <c r="F4434" s="3">
        <v>0</v>
      </c>
      <c r="G4434" s="3">
        <v>1280</v>
      </c>
    </row>
    <row r="4435" spans="1:7" x14ac:dyDescent="0.2">
      <c r="A4435" s="3" t="s">
        <v>1072</v>
      </c>
      <c r="B4435" s="4">
        <v>45230</v>
      </c>
      <c r="C4435" s="3" t="s">
        <v>1168</v>
      </c>
      <c r="D4435" s="3" t="s">
        <v>1326</v>
      </c>
      <c r="E4435" s="3" t="s">
        <v>1088</v>
      </c>
      <c r="F4435" s="3">
        <v>0</v>
      </c>
      <c r="G4435" s="3">
        <v>11170</v>
      </c>
    </row>
    <row r="4436" spans="1:7" x14ac:dyDescent="0.2">
      <c r="A4436" s="3" t="s">
        <v>1072</v>
      </c>
      <c r="B4436" s="4">
        <v>45230</v>
      </c>
      <c r="C4436" s="3" t="s">
        <v>1168</v>
      </c>
      <c r="D4436" s="3" t="s">
        <v>1169</v>
      </c>
      <c r="E4436" s="3" t="s">
        <v>1079</v>
      </c>
      <c r="F4436" s="3">
        <v>0</v>
      </c>
      <c r="G4436" s="3">
        <v>10975</v>
      </c>
    </row>
    <row r="4437" spans="1:7" x14ac:dyDescent="0.2">
      <c r="A4437" s="3" t="s">
        <v>1069</v>
      </c>
      <c r="B4437" s="4">
        <v>45230</v>
      </c>
      <c r="C4437" s="3" t="s">
        <v>1168</v>
      </c>
      <c r="D4437" s="3" t="s">
        <v>1169</v>
      </c>
      <c r="E4437" s="3" t="s">
        <v>1079</v>
      </c>
      <c r="F4437" s="3">
        <v>500</v>
      </c>
      <c r="G4437" s="3">
        <v>170342.05</v>
      </c>
    </row>
    <row r="4438" spans="1:7" x14ac:dyDescent="0.2">
      <c r="A4438" s="3" t="s">
        <v>1074</v>
      </c>
      <c r="B4438" s="4">
        <v>45230</v>
      </c>
      <c r="C4438" s="3" t="s">
        <v>1168</v>
      </c>
      <c r="D4438" s="3" t="s">
        <v>1169</v>
      </c>
      <c r="E4438" s="3" t="s">
        <v>1079</v>
      </c>
      <c r="F4438" s="3">
        <v>1500</v>
      </c>
      <c r="G4438" s="3">
        <v>52426.47</v>
      </c>
    </row>
    <row r="4439" spans="1:7" x14ac:dyDescent="0.2">
      <c r="A4439" s="3" t="s">
        <v>1069</v>
      </c>
      <c r="B4439" s="4">
        <v>45230</v>
      </c>
      <c r="C4439" s="3" t="s">
        <v>1168</v>
      </c>
      <c r="D4439" s="3" t="s">
        <v>1261</v>
      </c>
      <c r="E4439" s="3" t="s">
        <v>1145</v>
      </c>
      <c r="F4439" s="3">
        <v>0</v>
      </c>
      <c r="G4439" s="3">
        <v>12480</v>
      </c>
    </row>
    <row r="4440" spans="1:7" x14ac:dyDescent="0.2">
      <c r="A4440" s="3" t="s">
        <v>1072</v>
      </c>
      <c r="B4440" s="4">
        <v>45230</v>
      </c>
      <c r="C4440" s="3" t="s">
        <v>1168</v>
      </c>
      <c r="D4440" s="3" t="s">
        <v>1648</v>
      </c>
      <c r="E4440" s="3" t="s">
        <v>1084</v>
      </c>
      <c r="F4440" s="3">
        <v>0</v>
      </c>
      <c r="G4440" s="3">
        <v>295</v>
      </c>
    </row>
    <row r="4441" spans="1:7" x14ac:dyDescent="0.2">
      <c r="A4441" s="3" t="s">
        <v>1069</v>
      </c>
      <c r="B4441" s="4">
        <v>45230</v>
      </c>
      <c r="C4441" s="3" t="s">
        <v>1168</v>
      </c>
      <c r="D4441" s="3" t="s">
        <v>1624</v>
      </c>
      <c r="E4441" s="3" t="s">
        <v>1118</v>
      </c>
      <c r="F4441" s="3">
        <v>0</v>
      </c>
      <c r="G4441" s="3">
        <v>10250</v>
      </c>
    </row>
    <row r="4442" spans="1:7" x14ac:dyDescent="0.2">
      <c r="A4442" s="3" t="s">
        <v>1074</v>
      </c>
      <c r="B4442" s="4">
        <v>45230</v>
      </c>
      <c r="C4442" s="3" t="s">
        <v>1168</v>
      </c>
      <c r="D4442" s="3" t="s">
        <v>1624</v>
      </c>
      <c r="E4442" s="3" t="s">
        <v>1160</v>
      </c>
      <c r="F4442" s="3">
        <v>17110</v>
      </c>
      <c r="G4442" s="3">
        <v>17855</v>
      </c>
    </row>
    <row r="4443" spans="1:7" x14ac:dyDescent="0.2">
      <c r="A4443" s="3" t="s">
        <v>1074</v>
      </c>
      <c r="B4443" s="4">
        <v>45230</v>
      </c>
      <c r="C4443" s="3" t="s">
        <v>1168</v>
      </c>
      <c r="D4443" s="3" t="s">
        <v>1649</v>
      </c>
      <c r="E4443" s="3" t="s">
        <v>1117</v>
      </c>
      <c r="F4443" s="3">
        <v>0</v>
      </c>
      <c r="G4443" s="3">
        <v>14569.1</v>
      </c>
    </row>
    <row r="4444" spans="1:7" x14ac:dyDescent="0.2">
      <c r="A4444" s="3" t="s">
        <v>1072</v>
      </c>
      <c r="B4444" s="4">
        <v>45230</v>
      </c>
      <c r="C4444" s="3" t="s">
        <v>1168</v>
      </c>
      <c r="D4444" s="3" t="s">
        <v>1339</v>
      </c>
      <c r="E4444" s="3" t="s">
        <v>1087</v>
      </c>
      <c r="F4444" s="3">
        <v>0</v>
      </c>
      <c r="G4444" s="3">
        <v>1597</v>
      </c>
    </row>
    <row r="4445" spans="1:7" x14ac:dyDescent="0.2">
      <c r="A4445" s="3" t="s">
        <v>1074</v>
      </c>
      <c r="B4445" s="4">
        <v>45230</v>
      </c>
      <c r="C4445" s="3" t="s">
        <v>1168</v>
      </c>
      <c r="D4445" s="3" t="s">
        <v>1707</v>
      </c>
      <c r="E4445" s="3" t="s">
        <v>1118</v>
      </c>
      <c r="F4445" s="3">
        <v>0</v>
      </c>
      <c r="G4445" s="3">
        <v>18500</v>
      </c>
    </row>
    <row r="4446" spans="1:7" x14ac:dyDescent="0.2">
      <c r="A4446" s="3" t="s">
        <v>1072</v>
      </c>
      <c r="B4446" s="4">
        <v>45230</v>
      </c>
      <c r="C4446" s="3" t="s">
        <v>1168</v>
      </c>
      <c r="D4446" s="3" t="s">
        <v>1195</v>
      </c>
      <c r="E4446" s="3" t="s">
        <v>1085</v>
      </c>
      <c r="F4446" s="3">
        <v>1734.61</v>
      </c>
      <c r="G4446" s="3">
        <v>14702.11</v>
      </c>
    </row>
    <row r="4447" spans="1:7" x14ac:dyDescent="0.2">
      <c r="A4447" s="3" t="s">
        <v>1069</v>
      </c>
      <c r="B4447" s="4">
        <v>45230</v>
      </c>
      <c r="C4447" s="3" t="s">
        <v>1168</v>
      </c>
      <c r="D4447" s="3" t="s">
        <v>1195</v>
      </c>
      <c r="E4447" s="3" t="s">
        <v>1085</v>
      </c>
      <c r="F4447" s="3">
        <v>369.15</v>
      </c>
      <c r="G4447" s="3">
        <v>3583.49</v>
      </c>
    </row>
    <row r="4448" spans="1:7" x14ac:dyDescent="0.2">
      <c r="A4448" s="3" t="s">
        <v>1072</v>
      </c>
      <c r="B4448" s="4">
        <v>45230</v>
      </c>
      <c r="C4448" s="3" t="s">
        <v>1168</v>
      </c>
      <c r="D4448" s="3" t="s">
        <v>1340</v>
      </c>
      <c r="E4448" s="3" t="s">
        <v>1141</v>
      </c>
      <c r="F4448" s="3">
        <v>0</v>
      </c>
      <c r="G4448" s="3">
        <v>511.89</v>
      </c>
    </row>
    <row r="4449" spans="1:7" x14ac:dyDescent="0.2">
      <c r="A4449" s="3" t="s">
        <v>1072</v>
      </c>
      <c r="B4449" s="4">
        <v>45230</v>
      </c>
      <c r="C4449" s="3" t="s">
        <v>1168</v>
      </c>
      <c r="D4449" s="3" t="s">
        <v>1708</v>
      </c>
      <c r="E4449" s="3" t="s">
        <v>1140</v>
      </c>
      <c r="F4449" s="3">
        <v>0</v>
      </c>
      <c r="G4449" s="3">
        <v>4123</v>
      </c>
    </row>
    <row r="4450" spans="1:7" x14ac:dyDescent="0.2">
      <c r="A4450" s="3" t="s">
        <v>1072</v>
      </c>
      <c r="B4450" s="4">
        <v>45230</v>
      </c>
      <c r="C4450" s="3" t="s">
        <v>1168</v>
      </c>
      <c r="D4450" s="3" t="s">
        <v>1341</v>
      </c>
      <c r="E4450" s="3" t="s">
        <v>1135</v>
      </c>
      <c r="F4450" s="3">
        <v>0</v>
      </c>
      <c r="G4450" s="3">
        <v>26779.67</v>
      </c>
    </row>
    <row r="4451" spans="1:7" x14ac:dyDescent="0.2">
      <c r="A4451" s="3" t="s">
        <v>1072</v>
      </c>
      <c r="B4451" s="4">
        <v>45230</v>
      </c>
      <c r="C4451" s="3" t="s">
        <v>1168</v>
      </c>
      <c r="D4451" s="3" t="s">
        <v>1342</v>
      </c>
      <c r="E4451" s="3" t="s">
        <v>1080</v>
      </c>
      <c r="F4451" s="3">
        <v>950</v>
      </c>
      <c r="G4451" s="3">
        <v>5302.65</v>
      </c>
    </row>
    <row r="4452" spans="1:7" x14ac:dyDescent="0.2">
      <c r="A4452" s="3" t="s">
        <v>1072</v>
      </c>
      <c r="B4452" s="4">
        <v>45230</v>
      </c>
      <c r="C4452" s="3" t="s">
        <v>1168</v>
      </c>
      <c r="D4452" s="3" t="s">
        <v>1504</v>
      </c>
      <c r="E4452" s="3" t="s">
        <v>1142</v>
      </c>
      <c r="F4452" s="3">
        <v>3230</v>
      </c>
      <c r="G4452" s="3">
        <v>32639</v>
      </c>
    </row>
    <row r="4453" spans="1:7" x14ac:dyDescent="0.2">
      <c r="A4453" s="3" t="s">
        <v>1069</v>
      </c>
      <c r="B4453" s="4">
        <v>45230</v>
      </c>
      <c r="C4453" s="3" t="s">
        <v>1168</v>
      </c>
      <c r="D4453" s="3" t="s">
        <v>1251</v>
      </c>
      <c r="E4453" s="3" t="s">
        <v>1095</v>
      </c>
      <c r="F4453" s="3">
        <v>115333</v>
      </c>
      <c r="G4453" s="3">
        <v>938749.57</v>
      </c>
    </row>
    <row r="4454" spans="1:7" x14ac:dyDescent="0.2">
      <c r="A4454" s="3" t="s">
        <v>1072</v>
      </c>
      <c r="B4454" s="4">
        <v>45230</v>
      </c>
      <c r="C4454" s="3" t="s">
        <v>1168</v>
      </c>
      <c r="D4454" s="3" t="s">
        <v>1348</v>
      </c>
      <c r="E4454" s="3" t="s">
        <v>1095</v>
      </c>
      <c r="F4454" s="3">
        <v>124297</v>
      </c>
      <c r="G4454" s="3">
        <v>982740.7</v>
      </c>
    </row>
    <row r="4455" spans="1:7" x14ac:dyDescent="0.2">
      <c r="A4455" s="3" t="s">
        <v>1069</v>
      </c>
      <c r="B4455" s="4">
        <v>45230</v>
      </c>
      <c r="C4455" s="3" t="s">
        <v>1168</v>
      </c>
      <c r="D4455" s="3" t="s">
        <v>1252</v>
      </c>
      <c r="E4455" s="3" t="s">
        <v>1120</v>
      </c>
      <c r="F4455" s="3">
        <v>5700</v>
      </c>
      <c r="G4455" s="3">
        <v>17900</v>
      </c>
    </row>
    <row r="4456" spans="1:7" x14ac:dyDescent="0.2">
      <c r="A4456" s="3" t="s">
        <v>1074</v>
      </c>
      <c r="B4456" s="4">
        <v>45230</v>
      </c>
      <c r="C4456" s="3" t="s">
        <v>1168</v>
      </c>
      <c r="D4456" s="3" t="s">
        <v>1252</v>
      </c>
      <c r="E4456" s="3" t="s">
        <v>1120</v>
      </c>
      <c r="F4456" s="3">
        <v>11750</v>
      </c>
      <c r="G4456" s="3">
        <v>40750</v>
      </c>
    </row>
    <row r="4457" spans="1:7" x14ac:dyDescent="0.2">
      <c r="A4457" s="3" t="s">
        <v>1072</v>
      </c>
      <c r="B4457" s="4">
        <v>45230</v>
      </c>
      <c r="C4457" s="3" t="s">
        <v>1168</v>
      </c>
      <c r="D4457" s="3" t="s">
        <v>1349</v>
      </c>
      <c r="E4457" s="3" t="s">
        <v>1089</v>
      </c>
      <c r="F4457" s="3">
        <v>0</v>
      </c>
      <c r="G4457" s="3">
        <v>331.09</v>
      </c>
    </row>
    <row r="4458" spans="1:7" x14ac:dyDescent="0.2">
      <c r="A4458" s="3" t="s">
        <v>1072</v>
      </c>
      <c r="B4458" s="4">
        <v>45230</v>
      </c>
      <c r="C4458" s="3" t="s">
        <v>1168</v>
      </c>
      <c r="D4458" s="3" t="s">
        <v>1350</v>
      </c>
      <c r="E4458" s="3" t="s">
        <v>1115</v>
      </c>
      <c r="F4458" s="3">
        <v>4562.8599999999997</v>
      </c>
      <c r="G4458" s="3">
        <v>28137.52</v>
      </c>
    </row>
    <row r="4459" spans="1:7" x14ac:dyDescent="0.2">
      <c r="A4459" s="3" t="s">
        <v>1072</v>
      </c>
      <c r="B4459" s="4">
        <v>45230</v>
      </c>
      <c r="C4459" s="3" t="s">
        <v>1168</v>
      </c>
      <c r="D4459" s="3" t="s">
        <v>1351</v>
      </c>
      <c r="E4459" s="3" t="s">
        <v>1096</v>
      </c>
      <c r="F4459" s="3">
        <v>1188.71</v>
      </c>
      <c r="G4459" s="3">
        <v>7518.87</v>
      </c>
    </row>
    <row r="4460" spans="1:7" x14ac:dyDescent="0.2">
      <c r="A4460" s="3" t="s">
        <v>1072</v>
      </c>
      <c r="B4460" s="4">
        <v>45230</v>
      </c>
      <c r="C4460" s="3" t="s">
        <v>1168</v>
      </c>
      <c r="D4460" s="3" t="s">
        <v>1474</v>
      </c>
      <c r="E4460" s="3" t="s">
        <v>1114</v>
      </c>
      <c r="F4460" s="3">
        <v>547.67999999999995</v>
      </c>
      <c r="G4460" s="3">
        <v>4381.42</v>
      </c>
    </row>
    <row r="4461" spans="1:7" x14ac:dyDescent="0.2">
      <c r="A4461" s="3" t="s">
        <v>1069</v>
      </c>
      <c r="B4461" s="4">
        <v>45230</v>
      </c>
      <c r="C4461" s="3" t="s">
        <v>1168</v>
      </c>
      <c r="D4461" s="3" t="s">
        <v>1229</v>
      </c>
      <c r="E4461" s="3" t="s">
        <v>1136</v>
      </c>
      <c r="F4461" s="3">
        <v>93347.01</v>
      </c>
      <c r="G4461" s="3">
        <v>224263.85</v>
      </c>
    </row>
    <row r="4462" spans="1:7" x14ac:dyDescent="0.2">
      <c r="A4462" s="3" t="s">
        <v>1072</v>
      </c>
      <c r="B4462" s="4">
        <v>45230</v>
      </c>
      <c r="C4462" s="3" t="s">
        <v>1168</v>
      </c>
      <c r="D4462" s="3" t="s">
        <v>1229</v>
      </c>
      <c r="E4462" s="3" t="s">
        <v>1106</v>
      </c>
      <c r="F4462" s="3">
        <v>6675.2</v>
      </c>
      <c r="G4462" s="3">
        <v>53574.63</v>
      </c>
    </row>
    <row r="4463" spans="1:7" x14ac:dyDescent="0.2">
      <c r="A4463" s="3" t="s">
        <v>1069</v>
      </c>
      <c r="B4463" s="4">
        <v>45230</v>
      </c>
      <c r="C4463" s="3" t="s">
        <v>1168</v>
      </c>
      <c r="D4463" s="3" t="s">
        <v>1230</v>
      </c>
      <c r="E4463" s="3" t="s">
        <v>1109</v>
      </c>
      <c r="F4463" s="3">
        <v>47156.78</v>
      </c>
      <c r="G4463" s="3">
        <v>92130.39</v>
      </c>
    </row>
    <row r="4464" spans="1:7" x14ac:dyDescent="0.2">
      <c r="A4464" s="3" t="s">
        <v>1069</v>
      </c>
      <c r="B4464" s="4">
        <v>45230</v>
      </c>
      <c r="C4464" s="3" t="s">
        <v>1168</v>
      </c>
      <c r="D4464" s="3" t="s">
        <v>1564</v>
      </c>
      <c r="E4464" s="3" t="s">
        <v>1101</v>
      </c>
      <c r="F4464" s="3">
        <v>36288.17</v>
      </c>
      <c r="G4464" s="3">
        <v>46978.37</v>
      </c>
    </row>
    <row r="4465" spans="1:7" x14ac:dyDescent="0.2">
      <c r="A4465" s="3" t="s">
        <v>1069</v>
      </c>
      <c r="B4465" s="4">
        <v>45230</v>
      </c>
      <c r="C4465" s="3" t="s">
        <v>1168</v>
      </c>
      <c r="D4465" s="3" t="s">
        <v>1196</v>
      </c>
      <c r="E4465" s="3" t="s">
        <v>1131</v>
      </c>
      <c r="F4465" s="3">
        <v>0</v>
      </c>
      <c r="G4465" s="3">
        <v>39.47</v>
      </c>
    </row>
    <row r="4466" spans="1:7" x14ac:dyDescent="0.2">
      <c r="A4466" s="3" t="s">
        <v>1069</v>
      </c>
      <c r="B4466" s="4">
        <v>45230</v>
      </c>
      <c r="C4466" s="3" t="s">
        <v>1168</v>
      </c>
      <c r="D4466" s="3" t="s">
        <v>1663</v>
      </c>
      <c r="E4466" s="3" t="s">
        <v>1082</v>
      </c>
      <c r="F4466" s="3">
        <v>0</v>
      </c>
      <c r="G4466" s="3">
        <v>199.99</v>
      </c>
    </row>
    <row r="4467" spans="1:7" x14ac:dyDescent="0.2">
      <c r="A4467" s="3" t="s">
        <v>1069</v>
      </c>
      <c r="B4467" s="4">
        <v>45230</v>
      </c>
      <c r="C4467" s="3" t="s">
        <v>1168</v>
      </c>
      <c r="D4467" s="3" t="s">
        <v>1544</v>
      </c>
      <c r="E4467" s="3" t="s">
        <v>1159</v>
      </c>
      <c r="F4467" s="3">
        <v>12147.19</v>
      </c>
      <c r="G4467" s="3">
        <v>73263.98</v>
      </c>
    </row>
    <row r="4468" spans="1:7" x14ac:dyDescent="0.2">
      <c r="A4468" s="3" t="s">
        <v>1072</v>
      </c>
      <c r="B4468" s="4">
        <v>45230</v>
      </c>
      <c r="C4468" s="3" t="s">
        <v>1168</v>
      </c>
      <c r="D4468" s="3" t="s">
        <v>1354</v>
      </c>
      <c r="E4468" s="3" t="s">
        <v>1078</v>
      </c>
      <c r="F4468" s="3">
        <v>0</v>
      </c>
      <c r="G4468" s="3">
        <v>16363.81</v>
      </c>
    </row>
    <row r="4469" spans="1:7" x14ac:dyDescent="0.2">
      <c r="A4469" s="3" t="s">
        <v>1072</v>
      </c>
      <c r="B4469" s="4">
        <v>45230</v>
      </c>
      <c r="C4469" s="3" t="s">
        <v>1168</v>
      </c>
      <c r="D4469" s="3" t="s">
        <v>1709</v>
      </c>
      <c r="E4469" s="3" t="s">
        <v>1081</v>
      </c>
      <c r="F4469" s="3">
        <v>0</v>
      </c>
      <c r="G4469" s="3">
        <v>24242.76</v>
      </c>
    </row>
    <row r="4470" spans="1:7" x14ac:dyDescent="0.2">
      <c r="A4470" s="3" t="s">
        <v>1069</v>
      </c>
      <c r="B4470" s="4">
        <v>45230</v>
      </c>
      <c r="C4470" s="3" t="s">
        <v>1168</v>
      </c>
      <c r="D4470" s="3" t="s">
        <v>1456</v>
      </c>
      <c r="E4470" s="3" t="s">
        <v>1457</v>
      </c>
      <c r="F4470" s="3">
        <v>0</v>
      </c>
      <c r="G4470" s="3">
        <v>-533.79999999999995</v>
      </c>
    </row>
    <row r="4471" spans="1:7" x14ac:dyDescent="0.2">
      <c r="A4471" s="3" t="s">
        <v>1069</v>
      </c>
      <c r="B4471" s="4">
        <v>45230</v>
      </c>
      <c r="C4471" s="3" t="s">
        <v>1168</v>
      </c>
      <c r="D4471" s="3" t="s">
        <v>1565</v>
      </c>
      <c r="E4471" s="3" t="s">
        <v>1566</v>
      </c>
      <c r="F4471" s="3">
        <v>0</v>
      </c>
      <c r="G4471" s="3">
        <v>167246.17000000001</v>
      </c>
    </row>
    <row r="4472" spans="1:7" x14ac:dyDescent="0.2">
      <c r="A4472" s="3" t="s">
        <v>1069</v>
      </c>
      <c r="B4472" s="4">
        <v>45230</v>
      </c>
      <c r="C4472" s="3" t="s">
        <v>1168</v>
      </c>
      <c r="D4472" s="3" t="s">
        <v>1567</v>
      </c>
      <c r="E4472" s="3" t="s">
        <v>1568</v>
      </c>
      <c r="F4472" s="3">
        <v>0</v>
      </c>
      <c r="G4472" s="3">
        <v>72942.48</v>
      </c>
    </row>
    <row r="4473" spans="1:7" x14ac:dyDescent="0.2">
      <c r="A4473" s="3" t="s">
        <v>1069</v>
      </c>
      <c r="B4473" s="4">
        <v>45230</v>
      </c>
      <c r="C4473" s="3" t="s">
        <v>1168</v>
      </c>
      <c r="D4473" s="3" t="s">
        <v>1569</v>
      </c>
      <c r="E4473" s="3" t="s">
        <v>1570</v>
      </c>
      <c r="F4473" s="3">
        <v>0</v>
      </c>
      <c r="G4473" s="3">
        <v>44124.67</v>
      </c>
    </row>
    <row r="4474" spans="1:7" x14ac:dyDescent="0.2">
      <c r="A4474" s="3" t="s">
        <v>1069</v>
      </c>
      <c r="B4474" s="4">
        <v>45230</v>
      </c>
      <c r="C4474" s="3" t="s">
        <v>1168</v>
      </c>
      <c r="D4474" s="3" t="s">
        <v>1608</v>
      </c>
      <c r="E4474" s="3" t="s">
        <v>1609</v>
      </c>
      <c r="F4474" s="3">
        <v>0</v>
      </c>
      <c r="G4474" s="3">
        <v>11678.33</v>
      </c>
    </row>
    <row r="4475" spans="1:7" x14ac:dyDescent="0.2">
      <c r="A4475" s="3" t="s">
        <v>1074</v>
      </c>
      <c r="B4475" s="4">
        <v>45230</v>
      </c>
      <c r="C4475" s="3" t="s">
        <v>1168</v>
      </c>
      <c r="D4475" s="3" t="s">
        <v>1608</v>
      </c>
      <c r="E4475" s="3" t="s">
        <v>1609</v>
      </c>
      <c r="F4475" s="3">
        <v>0</v>
      </c>
      <c r="G4475" s="3">
        <v>1607.78</v>
      </c>
    </row>
    <row r="4476" spans="1:7" x14ac:dyDescent="0.2">
      <c r="A4476" s="3" t="s">
        <v>1069</v>
      </c>
      <c r="B4476" s="4">
        <v>45230</v>
      </c>
      <c r="C4476" s="3" t="s">
        <v>1168</v>
      </c>
      <c r="D4476" s="3" t="s">
        <v>1627</v>
      </c>
      <c r="E4476" s="3" t="s">
        <v>1628</v>
      </c>
      <c r="F4476" s="3">
        <v>0</v>
      </c>
      <c r="G4476" s="3">
        <v>1252.24</v>
      </c>
    </row>
    <row r="4477" spans="1:7" x14ac:dyDescent="0.2">
      <c r="A4477" s="3" t="s">
        <v>1074</v>
      </c>
      <c r="B4477" s="4">
        <v>45230</v>
      </c>
      <c r="C4477" s="3" t="s">
        <v>1168</v>
      </c>
      <c r="D4477" s="3" t="s">
        <v>1627</v>
      </c>
      <c r="E4477" s="3" t="s">
        <v>1628</v>
      </c>
      <c r="F4477" s="3">
        <v>0</v>
      </c>
      <c r="G4477" s="3">
        <v>1507.16</v>
      </c>
    </row>
    <row r="4478" spans="1:7" x14ac:dyDescent="0.2">
      <c r="A4478" s="3" t="s">
        <v>1069</v>
      </c>
      <c r="B4478" s="4">
        <v>45230</v>
      </c>
      <c r="C4478" s="3" t="s">
        <v>1168</v>
      </c>
      <c r="D4478" s="3" t="s">
        <v>1693</v>
      </c>
      <c r="E4478" s="3" t="s">
        <v>1694</v>
      </c>
      <c r="F4478" s="3">
        <v>0</v>
      </c>
      <c r="G4478" s="3">
        <v>5515.07</v>
      </c>
    </row>
    <row r="4479" spans="1:7" x14ac:dyDescent="0.2">
      <c r="A4479" s="3" t="s">
        <v>1074</v>
      </c>
      <c r="B4479" s="4">
        <v>45230</v>
      </c>
      <c r="C4479" s="3" t="s">
        <v>1168</v>
      </c>
      <c r="D4479" s="3" t="s">
        <v>1693</v>
      </c>
      <c r="E4479" s="3" t="s">
        <v>1694</v>
      </c>
      <c r="F4479" s="3">
        <v>0</v>
      </c>
      <c r="G4479" s="3">
        <v>26106.19</v>
      </c>
    </row>
    <row r="4480" spans="1:7" x14ac:dyDescent="0.2">
      <c r="A4480" s="3" t="s">
        <v>1069</v>
      </c>
      <c r="B4480" s="4">
        <v>45230</v>
      </c>
      <c r="C4480" s="3" t="s">
        <v>1168</v>
      </c>
      <c r="D4480" s="3" t="s">
        <v>1695</v>
      </c>
      <c r="E4480" s="3" t="s">
        <v>1696</v>
      </c>
      <c r="F4480" s="3">
        <v>0</v>
      </c>
      <c r="G4480" s="3">
        <v>591.78</v>
      </c>
    </row>
    <row r="4481" spans="1:7" x14ac:dyDescent="0.2">
      <c r="A4481" s="3" t="s">
        <v>1074</v>
      </c>
      <c r="B4481" s="4">
        <v>45230</v>
      </c>
      <c r="C4481" s="3" t="s">
        <v>1168</v>
      </c>
      <c r="D4481" s="3" t="s">
        <v>1695</v>
      </c>
      <c r="E4481" s="3" t="s">
        <v>1696</v>
      </c>
      <c r="F4481" s="3">
        <v>0</v>
      </c>
      <c r="G4481" s="3">
        <v>62238.37</v>
      </c>
    </row>
    <row r="4482" spans="1:7" x14ac:dyDescent="0.2">
      <c r="A4482" s="3" t="s">
        <v>1074</v>
      </c>
      <c r="B4482" s="4">
        <v>45230</v>
      </c>
      <c r="C4482" s="3" t="s">
        <v>1168</v>
      </c>
      <c r="D4482" s="3" t="s">
        <v>1650</v>
      </c>
      <c r="E4482" s="3" t="s">
        <v>1651</v>
      </c>
      <c r="F4482" s="3">
        <v>0</v>
      </c>
      <c r="G4482" s="3">
        <v>2537.9</v>
      </c>
    </row>
    <row r="4483" spans="1:7" x14ac:dyDescent="0.2">
      <c r="A4483" s="3" t="s">
        <v>1074</v>
      </c>
      <c r="B4483" s="4">
        <v>45230</v>
      </c>
      <c r="C4483" s="3" t="s">
        <v>1168</v>
      </c>
      <c r="D4483" s="3" t="s">
        <v>1710</v>
      </c>
      <c r="E4483" s="3" t="s">
        <v>1711</v>
      </c>
      <c r="F4483" s="3">
        <v>0</v>
      </c>
      <c r="G4483" s="3">
        <v>5709.59</v>
      </c>
    </row>
    <row r="4484" spans="1:7" x14ac:dyDescent="0.2">
      <c r="A4484" s="3" t="s">
        <v>1074</v>
      </c>
      <c r="B4484" s="4">
        <v>45230</v>
      </c>
      <c r="C4484" s="3" t="s">
        <v>1168</v>
      </c>
      <c r="D4484" s="3" t="s">
        <v>1712</v>
      </c>
      <c r="E4484" s="3" t="s">
        <v>1713</v>
      </c>
      <c r="F4484" s="3">
        <v>0</v>
      </c>
      <c r="G4484" s="3">
        <v>19334.38</v>
      </c>
    </row>
    <row r="4485" spans="1:7" x14ac:dyDescent="0.2">
      <c r="A4485" s="3" t="s">
        <v>1074</v>
      </c>
      <c r="B4485" s="4">
        <v>45230</v>
      </c>
      <c r="C4485" s="3" t="s">
        <v>1168</v>
      </c>
      <c r="D4485" s="3" t="s">
        <v>1719</v>
      </c>
      <c r="E4485" s="3" t="s">
        <v>1720</v>
      </c>
      <c r="F4485" s="3">
        <v>0</v>
      </c>
      <c r="G4485" s="3">
        <v>9131.51</v>
      </c>
    </row>
    <row r="4486" spans="1:7" x14ac:dyDescent="0.2">
      <c r="A4486" s="3" t="s">
        <v>1069</v>
      </c>
      <c r="B4486" s="4">
        <v>45230</v>
      </c>
      <c r="C4486" s="3" t="s">
        <v>1168</v>
      </c>
      <c r="D4486" s="3" t="s">
        <v>1571</v>
      </c>
      <c r="E4486" s="3" t="s">
        <v>1572</v>
      </c>
      <c r="F4486" s="3">
        <v>0</v>
      </c>
      <c r="G4486" s="3">
        <v>400367.2</v>
      </c>
    </row>
    <row r="4487" spans="1:7" x14ac:dyDescent="0.2">
      <c r="A4487" s="3" t="s">
        <v>1074</v>
      </c>
      <c r="B4487" s="4">
        <v>45230</v>
      </c>
      <c r="C4487" s="3" t="s">
        <v>1168</v>
      </c>
      <c r="D4487" s="3" t="s">
        <v>1571</v>
      </c>
      <c r="E4487" s="3" t="s">
        <v>1572</v>
      </c>
      <c r="F4487" s="3">
        <v>0</v>
      </c>
      <c r="G4487" s="3">
        <v>589744.15</v>
      </c>
    </row>
    <row r="4488" spans="1:7" x14ac:dyDescent="0.2">
      <c r="A4488" s="3" t="s">
        <v>1069</v>
      </c>
      <c r="B4488" s="4">
        <v>45230</v>
      </c>
      <c r="C4488" s="3" t="s">
        <v>1168</v>
      </c>
      <c r="D4488" s="3" t="s">
        <v>1573</v>
      </c>
      <c r="E4488" s="3" t="s">
        <v>1574</v>
      </c>
      <c r="F4488" s="3">
        <v>0</v>
      </c>
      <c r="G4488" s="3">
        <v>333349.31</v>
      </c>
    </row>
    <row r="4489" spans="1:7" x14ac:dyDescent="0.2">
      <c r="A4489" s="3" t="s">
        <v>1069</v>
      </c>
      <c r="B4489" s="4">
        <v>45230</v>
      </c>
      <c r="C4489" s="3" t="s">
        <v>1168</v>
      </c>
      <c r="D4489" s="3" t="s">
        <v>1629</v>
      </c>
      <c r="E4489" s="3" t="s">
        <v>1630</v>
      </c>
      <c r="F4489" s="3">
        <v>0</v>
      </c>
      <c r="G4489" s="3">
        <v>47473.98</v>
      </c>
    </row>
    <row r="4490" spans="1:7" x14ac:dyDescent="0.2">
      <c r="A4490" s="3" t="s">
        <v>1074</v>
      </c>
      <c r="B4490" s="4">
        <v>45230</v>
      </c>
      <c r="C4490" s="3" t="s">
        <v>1168</v>
      </c>
      <c r="D4490" s="3" t="s">
        <v>1629</v>
      </c>
      <c r="E4490" s="3" t="s">
        <v>1630</v>
      </c>
      <c r="F4490" s="3">
        <v>0</v>
      </c>
      <c r="G4490" s="3">
        <v>128315.62</v>
      </c>
    </row>
    <row r="4491" spans="1:7" x14ac:dyDescent="0.2">
      <c r="A4491" s="3" t="s">
        <v>1069</v>
      </c>
      <c r="B4491" s="4">
        <v>45230</v>
      </c>
      <c r="C4491" s="3" t="s">
        <v>1168</v>
      </c>
      <c r="D4491" s="3" t="s">
        <v>1575</v>
      </c>
      <c r="E4491" s="3" t="s">
        <v>1576</v>
      </c>
      <c r="F4491" s="3">
        <v>0</v>
      </c>
      <c r="G4491" s="3">
        <v>3197167.68</v>
      </c>
    </row>
    <row r="4492" spans="1:7" x14ac:dyDescent="0.2">
      <c r="A4492" s="3" t="s">
        <v>1074</v>
      </c>
      <c r="B4492" s="4">
        <v>45230</v>
      </c>
      <c r="C4492" s="3" t="s">
        <v>1168</v>
      </c>
      <c r="D4492" s="3" t="s">
        <v>1575</v>
      </c>
      <c r="E4492" s="3" t="s">
        <v>1576</v>
      </c>
      <c r="F4492" s="3">
        <v>0</v>
      </c>
      <c r="G4492" s="3">
        <v>1428401.69</v>
      </c>
    </row>
    <row r="4493" spans="1:7" x14ac:dyDescent="0.2">
      <c r="A4493" s="3" t="s">
        <v>1072</v>
      </c>
      <c r="B4493" s="4">
        <v>45230</v>
      </c>
      <c r="C4493" s="3" t="s">
        <v>1168</v>
      </c>
      <c r="D4493" s="3" t="s">
        <v>1671</v>
      </c>
      <c r="E4493" s="3" t="s">
        <v>1119</v>
      </c>
      <c r="F4493" s="3">
        <v>0</v>
      </c>
      <c r="G4493" s="3">
        <v>5202.88</v>
      </c>
    </row>
    <row r="4494" spans="1:7" x14ac:dyDescent="0.2">
      <c r="A4494" s="3" t="s">
        <v>1074</v>
      </c>
      <c r="B4494" s="4">
        <v>45230</v>
      </c>
      <c r="C4494" s="3" t="s">
        <v>1168</v>
      </c>
      <c r="D4494" s="3" t="s">
        <v>1721</v>
      </c>
      <c r="E4494" s="3" t="s">
        <v>1152</v>
      </c>
      <c r="F4494" s="3">
        <v>0</v>
      </c>
      <c r="G4494" s="3">
        <v>95314.44</v>
      </c>
    </row>
    <row r="4495" spans="1:7" x14ac:dyDescent="0.2">
      <c r="A4495" s="3" t="s">
        <v>1069</v>
      </c>
      <c r="B4495" s="4">
        <v>45230</v>
      </c>
      <c r="C4495" s="3" t="s">
        <v>1168</v>
      </c>
      <c r="D4495" s="3" t="s">
        <v>1684</v>
      </c>
      <c r="E4495" s="3" t="s">
        <v>1102</v>
      </c>
      <c r="F4495" s="3">
        <v>0</v>
      </c>
      <c r="G4495" s="3">
        <v>76865.83</v>
      </c>
    </row>
    <row r="4496" spans="1:7" x14ac:dyDescent="0.2">
      <c r="A4496" s="3" t="s">
        <v>1069</v>
      </c>
      <c r="B4496" s="4">
        <v>45230</v>
      </c>
      <c r="C4496" s="3" t="s">
        <v>1168</v>
      </c>
      <c r="D4496" s="3" t="s">
        <v>1722</v>
      </c>
      <c r="E4496" s="3" t="s">
        <v>1116</v>
      </c>
      <c r="F4496" s="3">
        <v>9670.93</v>
      </c>
      <c r="G4496" s="3">
        <v>13813.47</v>
      </c>
    </row>
    <row r="4497" spans="1:7" x14ac:dyDescent="0.2">
      <c r="A4497" s="3" t="s">
        <v>1074</v>
      </c>
      <c r="B4497" s="4">
        <v>45230</v>
      </c>
      <c r="C4497" s="3" t="s">
        <v>1168</v>
      </c>
      <c r="D4497" s="3" t="s">
        <v>1549</v>
      </c>
      <c r="E4497" s="3" t="s">
        <v>1154</v>
      </c>
      <c r="F4497" s="3">
        <v>0</v>
      </c>
      <c r="G4497" s="3">
        <v>400000</v>
      </c>
    </row>
    <row r="4498" spans="1:7" x14ac:dyDescent="0.2">
      <c r="A4498" s="3" t="s">
        <v>1069</v>
      </c>
      <c r="B4498" s="4">
        <v>45230</v>
      </c>
      <c r="C4498" s="3" t="s">
        <v>1168</v>
      </c>
      <c r="D4498" s="3" t="s">
        <v>1253</v>
      </c>
      <c r="E4498" s="3" t="s">
        <v>1103</v>
      </c>
      <c r="F4498" s="3">
        <v>19033.8</v>
      </c>
      <c r="G4498" s="3">
        <v>91690.37</v>
      </c>
    </row>
    <row r="4499" spans="1:7" x14ac:dyDescent="0.2">
      <c r="A4499" s="3" t="s">
        <v>1072</v>
      </c>
      <c r="B4499" s="4">
        <v>45230</v>
      </c>
      <c r="C4499" s="3" t="s">
        <v>1168</v>
      </c>
      <c r="D4499" s="3" t="s">
        <v>1672</v>
      </c>
      <c r="E4499" s="3" t="s">
        <v>1097</v>
      </c>
      <c r="F4499" s="3">
        <v>0</v>
      </c>
      <c r="G4499" s="3">
        <v>362</v>
      </c>
    </row>
    <row r="4500" spans="1:7" x14ac:dyDescent="0.2">
      <c r="A4500" s="3" t="s">
        <v>1069</v>
      </c>
      <c r="B4500" s="4">
        <v>45230</v>
      </c>
      <c r="C4500" s="3" t="s">
        <v>1168</v>
      </c>
      <c r="D4500" s="3" t="s">
        <v>1672</v>
      </c>
      <c r="E4500" s="3" t="s">
        <v>1097</v>
      </c>
      <c r="F4500" s="3">
        <v>0</v>
      </c>
      <c r="G4500" s="3">
        <v>20</v>
      </c>
    </row>
    <row r="4501" spans="1:7" x14ac:dyDescent="0.2">
      <c r="A4501" s="3" t="s">
        <v>1072</v>
      </c>
      <c r="B4501" s="4">
        <v>45230</v>
      </c>
      <c r="C4501" s="3" t="s">
        <v>1168</v>
      </c>
      <c r="D4501" s="3" t="s">
        <v>1357</v>
      </c>
      <c r="E4501" s="3" t="s">
        <v>1157</v>
      </c>
      <c r="F4501" s="3">
        <v>1789.91</v>
      </c>
      <c r="G4501" s="3">
        <v>31838.34</v>
      </c>
    </row>
    <row r="4502" spans="1:7" x14ac:dyDescent="0.2">
      <c r="A4502" s="3" t="s">
        <v>1072</v>
      </c>
      <c r="B4502" s="4">
        <v>45230</v>
      </c>
      <c r="C4502" s="3" t="s">
        <v>1168</v>
      </c>
      <c r="D4502" s="3" t="s">
        <v>1358</v>
      </c>
      <c r="E4502" s="3" t="s">
        <v>1122</v>
      </c>
      <c r="F4502" s="3">
        <v>31.3</v>
      </c>
      <c r="G4502" s="3">
        <v>3668.3</v>
      </c>
    </row>
    <row r="4503" spans="1:7" x14ac:dyDescent="0.2">
      <c r="A4503" s="3" t="s">
        <v>1072</v>
      </c>
      <c r="B4503" s="4">
        <v>45230</v>
      </c>
      <c r="C4503" s="3" t="s">
        <v>1168</v>
      </c>
      <c r="D4503" s="3" t="s">
        <v>1359</v>
      </c>
      <c r="E4503" s="3" t="s">
        <v>1086</v>
      </c>
      <c r="F4503" s="3">
        <v>0</v>
      </c>
      <c r="G4503" s="3">
        <v>1069</v>
      </c>
    </row>
    <row r="4504" spans="1:7" x14ac:dyDescent="0.2">
      <c r="A4504" s="3" t="s">
        <v>1072</v>
      </c>
      <c r="B4504" s="4">
        <v>45230</v>
      </c>
      <c r="C4504" s="3" t="s">
        <v>1168</v>
      </c>
      <c r="D4504" s="3" t="s">
        <v>1201</v>
      </c>
      <c r="E4504" s="3" t="s">
        <v>1112</v>
      </c>
      <c r="F4504" s="3">
        <v>5021.88</v>
      </c>
      <c r="G4504" s="3">
        <v>30918.18</v>
      </c>
    </row>
    <row r="4505" spans="1:7" x14ac:dyDescent="0.2">
      <c r="A4505" s="3" t="s">
        <v>1072</v>
      </c>
      <c r="B4505" s="4">
        <v>45230</v>
      </c>
      <c r="C4505" s="3" t="s">
        <v>1168</v>
      </c>
      <c r="D4505" s="3" t="s">
        <v>1360</v>
      </c>
      <c r="E4505" s="3" t="s">
        <v>1098</v>
      </c>
      <c r="F4505" s="3">
        <v>2304.8200000000002</v>
      </c>
      <c r="G4505" s="3">
        <v>16773.71</v>
      </c>
    </row>
    <row r="4506" spans="1:7" x14ac:dyDescent="0.2">
      <c r="A4506" s="3" t="s">
        <v>1072</v>
      </c>
      <c r="B4506" s="4">
        <v>45230</v>
      </c>
      <c r="C4506" s="3" t="s">
        <v>1168</v>
      </c>
      <c r="D4506" s="3" t="s">
        <v>1361</v>
      </c>
      <c r="E4506" s="3" t="s">
        <v>1121</v>
      </c>
      <c r="F4506" s="3">
        <v>29600</v>
      </c>
      <c r="G4506" s="3">
        <v>236800</v>
      </c>
    </row>
    <row r="4507" spans="1:7" x14ac:dyDescent="0.2">
      <c r="A4507" s="3" t="s">
        <v>1072</v>
      </c>
      <c r="B4507" s="4">
        <v>45230</v>
      </c>
      <c r="C4507" s="3" t="s">
        <v>1168</v>
      </c>
      <c r="D4507" s="3" t="s">
        <v>1231</v>
      </c>
      <c r="E4507" s="3" t="s">
        <v>1083</v>
      </c>
      <c r="F4507" s="3">
        <v>989.75</v>
      </c>
      <c r="G4507" s="3">
        <v>9068.5400000000009</v>
      </c>
    </row>
    <row r="4508" spans="1:7" x14ac:dyDescent="0.2">
      <c r="A4508" s="3" t="s">
        <v>1069</v>
      </c>
      <c r="B4508" s="4">
        <v>45230</v>
      </c>
      <c r="C4508" s="3" t="s">
        <v>1168</v>
      </c>
      <c r="D4508" s="3" t="s">
        <v>1231</v>
      </c>
      <c r="E4508" s="3" t="s">
        <v>1070</v>
      </c>
      <c r="F4508" s="3">
        <v>0</v>
      </c>
      <c r="G4508" s="3">
        <v>-2317.84</v>
      </c>
    </row>
    <row r="4509" spans="1:7" x14ac:dyDescent="0.2">
      <c r="A4509" s="3" t="s">
        <v>1072</v>
      </c>
      <c r="B4509" s="4">
        <v>45230</v>
      </c>
      <c r="C4509" s="3" t="s">
        <v>1168</v>
      </c>
      <c r="D4509" s="3" t="s">
        <v>1254</v>
      </c>
      <c r="E4509" s="3" t="s">
        <v>1075</v>
      </c>
      <c r="F4509" s="3">
        <v>63.04</v>
      </c>
      <c r="G4509" s="3">
        <v>15525.05</v>
      </c>
    </row>
    <row r="4510" spans="1:7" x14ac:dyDescent="0.2">
      <c r="A4510" s="3" t="s">
        <v>1069</v>
      </c>
      <c r="B4510" s="4">
        <v>45230</v>
      </c>
      <c r="C4510" s="3" t="s">
        <v>1168</v>
      </c>
      <c r="D4510" s="3" t="s">
        <v>1254</v>
      </c>
      <c r="E4510" s="3" t="s">
        <v>1075</v>
      </c>
      <c r="F4510" s="3">
        <v>900</v>
      </c>
      <c r="G4510" s="3">
        <v>34547.279999999999</v>
      </c>
    </row>
    <row r="4511" spans="1:7" x14ac:dyDescent="0.2">
      <c r="A4511" s="3" t="s">
        <v>1074</v>
      </c>
      <c r="B4511" s="4">
        <v>45230</v>
      </c>
      <c r="C4511" s="3" t="s">
        <v>1168</v>
      </c>
      <c r="D4511" s="3" t="s">
        <v>1254</v>
      </c>
      <c r="E4511" s="3" t="s">
        <v>1075</v>
      </c>
      <c r="F4511" s="3">
        <v>-1003.07</v>
      </c>
      <c r="G4511" s="3">
        <v>15563.49</v>
      </c>
    </row>
    <row r="4512" spans="1:7" x14ac:dyDescent="0.2">
      <c r="A4512" s="3" t="s">
        <v>1072</v>
      </c>
      <c r="B4512" s="4">
        <v>45230</v>
      </c>
      <c r="C4512" s="3" t="s">
        <v>1168</v>
      </c>
      <c r="D4512" s="3" t="s">
        <v>1362</v>
      </c>
      <c r="E4512" s="3" t="s">
        <v>1123</v>
      </c>
      <c r="F4512" s="3">
        <v>424105.1</v>
      </c>
      <c r="G4512" s="3">
        <v>2883662.93</v>
      </c>
    </row>
    <row r="4513" spans="1:7" x14ac:dyDescent="0.2">
      <c r="A4513" s="3" t="s">
        <v>1072</v>
      </c>
      <c r="B4513" s="4">
        <v>45230</v>
      </c>
      <c r="C4513" s="3" t="s">
        <v>1168</v>
      </c>
      <c r="D4513" s="3" t="s">
        <v>1365</v>
      </c>
      <c r="E4513" s="3" t="s">
        <v>1090</v>
      </c>
      <c r="F4513" s="3">
        <v>0</v>
      </c>
      <c r="G4513" s="3">
        <v>5192.13</v>
      </c>
    </row>
    <row r="4514" spans="1:7" x14ac:dyDescent="0.2">
      <c r="A4514" s="3" t="s">
        <v>1072</v>
      </c>
      <c r="B4514" s="4">
        <v>45230</v>
      </c>
      <c r="C4514" s="3" t="s">
        <v>1168</v>
      </c>
      <c r="D4514" s="3" t="s">
        <v>1511</v>
      </c>
      <c r="E4514" s="3" t="s">
        <v>1104</v>
      </c>
      <c r="F4514" s="3">
        <v>191.17</v>
      </c>
      <c r="G4514" s="3">
        <v>1432.48</v>
      </c>
    </row>
    <row r="4515" spans="1:7" x14ac:dyDescent="0.2">
      <c r="A4515" s="3" t="s">
        <v>1072</v>
      </c>
      <c r="B4515" s="4">
        <v>45230</v>
      </c>
      <c r="C4515" s="3" t="s">
        <v>1168</v>
      </c>
      <c r="D4515" s="3" t="s">
        <v>1366</v>
      </c>
      <c r="E4515" s="3" t="s">
        <v>1144</v>
      </c>
      <c r="F4515" s="3">
        <v>7942.28</v>
      </c>
      <c r="G4515" s="3">
        <v>31010.74</v>
      </c>
    </row>
    <row r="4516" spans="1:7" x14ac:dyDescent="0.2">
      <c r="A4516" s="3" t="s">
        <v>1069</v>
      </c>
      <c r="B4516" s="4">
        <v>45230</v>
      </c>
      <c r="C4516" s="3" t="s">
        <v>1168</v>
      </c>
      <c r="D4516" s="3" t="s">
        <v>1213</v>
      </c>
      <c r="E4516" s="3" t="s">
        <v>1150</v>
      </c>
      <c r="F4516" s="3">
        <v>366.14</v>
      </c>
      <c r="G4516" s="3">
        <v>2815.84</v>
      </c>
    </row>
    <row r="4517" spans="1:7" x14ac:dyDescent="0.2">
      <c r="A4517" s="3" t="s">
        <v>1072</v>
      </c>
      <c r="B4517" s="4">
        <v>45230</v>
      </c>
      <c r="C4517" s="3" t="s">
        <v>1168</v>
      </c>
      <c r="D4517" s="3" t="s">
        <v>1367</v>
      </c>
      <c r="E4517" s="3" t="s">
        <v>1147</v>
      </c>
      <c r="F4517" s="3">
        <v>2262.6</v>
      </c>
      <c r="G4517" s="3">
        <v>2262.6</v>
      </c>
    </row>
    <row r="4518" spans="1:7" x14ac:dyDescent="0.2">
      <c r="A4518" s="3" t="s">
        <v>1072</v>
      </c>
      <c r="B4518" s="4">
        <v>45230</v>
      </c>
      <c r="C4518" s="3" t="s">
        <v>1168</v>
      </c>
      <c r="D4518" s="3" t="s">
        <v>1368</v>
      </c>
      <c r="E4518" s="3" t="s">
        <v>1124</v>
      </c>
      <c r="F4518" s="3">
        <v>2655.98</v>
      </c>
      <c r="G4518" s="3">
        <v>31136.13</v>
      </c>
    </row>
    <row r="4519" spans="1:7" x14ac:dyDescent="0.2">
      <c r="A4519" s="3" t="s">
        <v>1072</v>
      </c>
      <c r="B4519" s="4">
        <v>45230</v>
      </c>
      <c r="C4519" s="3" t="s">
        <v>1168</v>
      </c>
      <c r="D4519" s="3" t="s">
        <v>1369</v>
      </c>
      <c r="E4519" s="3" t="s">
        <v>1099</v>
      </c>
      <c r="F4519" s="3">
        <v>0</v>
      </c>
      <c r="G4519" s="3">
        <v>13527.97</v>
      </c>
    </row>
    <row r="4520" spans="1:7" x14ac:dyDescent="0.2">
      <c r="A4520" s="3" t="s">
        <v>1072</v>
      </c>
      <c r="B4520" s="4">
        <v>45230</v>
      </c>
      <c r="C4520" s="3" t="s">
        <v>1168</v>
      </c>
      <c r="D4520" s="3" t="s">
        <v>1370</v>
      </c>
      <c r="E4520" s="3" t="s">
        <v>1129</v>
      </c>
      <c r="F4520" s="3">
        <v>747</v>
      </c>
      <c r="G4520" s="3">
        <v>5976</v>
      </c>
    </row>
    <row r="4521" spans="1:7" x14ac:dyDescent="0.2">
      <c r="A4521" s="3" t="s">
        <v>1072</v>
      </c>
      <c r="B4521" s="4">
        <v>45230</v>
      </c>
      <c r="C4521" s="3" t="s">
        <v>1168</v>
      </c>
      <c r="D4521" s="3" t="s">
        <v>1371</v>
      </c>
      <c r="E4521" s="3" t="s">
        <v>1093</v>
      </c>
      <c r="F4521" s="3">
        <v>0</v>
      </c>
      <c r="G4521" s="3">
        <v>10825.49</v>
      </c>
    </row>
    <row r="4522" spans="1:7" x14ac:dyDescent="0.2">
      <c r="A4522" s="3" t="s">
        <v>1072</v>
      </c>
      <c r="B4522" s="4">
        <v>45230</v>
      </c>
      <c r="C4522" s="3" t="s">
        <v>1168</v>
      </c>
      <c r="D4522" s="3" t="s">
        <v>1372</v>
      </c>
      <c r="E4522" s="3" t="s">
        <v>1158</v>
      </c>
      <c r="F4522" s="3">
        <v>600</v>
      </c>
      <c r="G4522" s="3">
        <v>4800</v>
      </c>
    </row>
    <row r="4523" spans="1:7" x14ac:dyDescent="0.2">
      <c r="A4523" s="3" t="s">
        <v>1072</v>
      </c>
      <c r="B4523" s="4">
        <v>45230</v>
      </c>
      <c r="C4523" s="3" t="s">
        <v>1168</v>
      </c>
      <c r="D4523" s="3" t="s">
        <v>1373</v>
      </c>
      <c r="E4523" s="3" t="s">
        <v>1092</v>
      </c>
      <c r="F4523" s="3">
        <v>847</v>
      </c>
      <c r="G4523" s="3">
        <v>6580.72</v>
      </c>
    </row>
    <row r="4524" spans="1:7" x14ac:dyDescent="0.2">
      <c r="A4524" s="3" t="s">
        <v>1072</v>
      </c>
      <c r="B4524" s="4">
        <v>45230</v>
      </c>
      <c r="C4524" s="3" t="s">
        <v>1168</v>
      </c>
      <c r="D4524" s="3" t="s">
        <v>1714</v>
      </c>
      <c r="E4524" s="3" t="s">
        <v>1091</v>
      </c>
      <c r="F4524" s="3">
        <v>0</v>
      </c>
      <c r="G4524" s="3">
        <v>4498.72</v>
      </c>
    </row>
    <row r="4525" spans="1:7" x14ac:dyDescent="0.2">
      <c r="A4525" s="3" t="s">
        <v>1069</v>
      </c>
      <c r="B4525" s="4">
        <v>45230</v>
      </c>
      <c r="C4525" s="3" t="s">
        <v>1168</v>
      </c>
      <c r="D4525" s="3" t="s">
        <v>1232</v>
      </c>
      <c r="E4525" s="3" t="s">
        <v>1105</v>
      </c>
      <c r="F4525" s="3">
        <v>600</v>
      </c>
      <c r="G4525" s="3">
        <v>4800</v>
      </c>
    </row>
    <row r="4526" spans="1:7" x14ac:dyDescent="0.2">
      <c r="A4526" s="3" t="s">
        <v>1074</v>
      </c>
      <c r="B4526" s="4">
        <v>45230</v>
      </c>
      <c r="C4526" s="3" t="s">
        <v>1168</v>
      </c>
      <c r="D4526" s="3" t="s">
        <v>1232</v>
      </c>
      <c r="E4526" s="3" t="s">
        <v>1105</v>
      </c>
      <c r="F4526" s="3">
        <v>600</v>
      </c>
      <c r="G4526" s="3">
        <v>4800</v>
      </c>
    </row>
    <row r="4527" spans="1:7" x14ac:dyDescent="0.2">
      <c r="A4527" s="3" t="s">
        <v>1069</v>
      </c>
      <c r="B4527" s="4">
        <v>45230</v>
      </c>
      <c r="C4527" s="3" t="s">
        <v>1168</v>
      </c>
      <c r="D4527" s="3" t="s">
        <v>1262</v>
      </c>
      <c r="E4527" s="3" t="s">
        <v>1127</v>
      </c>
      <c r="F4527" s="3">
        <v>526.32000000000005</v>
      </c>
      <c r="G4527" s="3">
        <v>526.32000000000005</v>
      </c>
    </row>
    <row r="4528" spans="1:7" x14ac:dyDescent="0.2">
      <c r="A4528" s="3" t="s">
        <v>1072</v>
      </c>
      <c r="B4528" s="4">
        <v>45230</v>
      </c>
      <c r="C4528" s="3" t="s">
        <v>1168</v>
      </c>
      <c r="D4528" s="3" t="s">
        <v>1374</v>
      </c>
      <c r="E4528" s="3" t="s">
        <v>1108</v>
      </c>
      <c r="F4528" s="3">
        <v>0</v>
      </c>
      <c r="G4528" s="3">
        <v>4000</v>
      </c>
    </row>
    <row r="4529" spans="1:7" x14ac:dyDescent="0.2">
      <c r="A4529" s="3" t="s">
        <v>1072</v>
      </c>
      <c r="B4529" s="4">
        <v>45230</v>
      </c>
      <c r="C4529" s="3" t="s">
        <v>1168</v>
      </c>
      <c r="D4529" s="3" t="s">
        <v>1375</v>
      </c>
      <c r="E4529" s="3" t="s">
        <v>1100</v>
      </c>
      <c r="F4529" s="3">
        <v>0</v>
      </c>
      <c r="G4529" s="3">
        <v>11566.33</v>
      </c>
    </row>
    <row r="4530" spans="1:7" x14ac:dyDescent="0.2">
      <c r="A4530" s="3" t="s">
        <v>1072</v>
      </c>
      <c r="B4530" s="4">
        <v>45230</v>
      </c>
      <c r="C4530" s="3" t="s">
        <v>1168</v>
      </c>
      <c r="D4530" s="3" t="s">
        <v>1378</v>
      </c>
      <c r="E4530" s="3" t="s">
        <v>1143</v>
      </c>
      <c r="F4530" s="3">
        <v>89188.15</v>
      </c>
      <c r="G4530" s="3">
        <v>648158.1</v>
      </c>
    </row>
    <row r="4531" spans="1:7" x14ac:dyDescent="0.2">
      <c r="A4531" s="3" t="s">
        <v>1072</v>
      </c>
      <c r="B4531" s="4">
        <v>45230</v>
      </c>
      <c r="C4531" s="3" t="s">
        <v>1168</v>
      </c>
      <c r="D4531" s="3" t="s">
        <v>1379</v>
      </c>
      <c r="E4531" s="3" t="s">
        <v>1107</v>
      </c>
      <c r="F4531" s="3">
        <v>5014.74</v>
      </c>
      <c r="G4531" s="3">
        <v>34326.46</v>
      </c>
    </row>
    <row r="4532" spans="1:7" x14ac:dyDescent="0.2">
      <c r="A4532" s="3" t="s">
        <v>1072</v>
      </c>
      <c r="B4532" s="4">
        <v>45230</v>
      </c>
      <c r="C4532" s="3" t="s">
        <v>1168</v>
      </c>
      <c r="D4532" s="3" t="s">
        <v>1380</v>
      </c>
      <c r="E4532" s="3" t="s">
        <v>1125</v>
      </c>
      <c r="F4532" s="3">
        <v>3028.4</v>
      </c>
      <c r="G4532" s="3">
        <v>18730.349999999999</v>
      </c>
    </row>
    <row r="4533" spans="1:7" x14ac:dyDescent="0.2">
      <c r="A4533" s="3" t="s">
        <v>1072</v>
      </c>
      <c r="B4533" s="4">
        <v>45230</v>
      </c>
      <c r="C4533" s="3" t="s">
        <v>1168</v>
      </c>
      <c r="D4533" s="3" t="s">
        <v>1381</v>
      </c>
      <c r="E4533" s="3" t="s">
        <v>1130</v>
      </c>
      <c r="F4533" s="3">
        <v>3028.4</v>
      </c>
      <c r="G4533" s="3">
        <v>18730.349999999999</v>
      </c>
    </row>
    <row r="4534" spans="1:7" x14ac:dyDescent="0.2">
      <c r="A4534" s="3" t="s">
        <v>1072</v>
      </c>
      <c r="B4534" s="4">
        <v>45230</v>
      </c>
      <c r="C4534" s="3" t="s">
        <v>1168</v>
      </c>
      <c r="D4534" s="3" t="s">
        <v>1458</v>
      </c>
      <c r="E4534" s="3" t="s">
        <v>1113</v>
      </c>
      <c r="F4534" s="3">
        <v>0</v>
      </c>
      <c r="G4534" s="3">
        <v>15075.35</v>
      </c>
    </row>
    <row r="4535" spans="1:7" x14ac:dyDescent="0.2">
      <c r="A4535" s="3" t="s">
        <v>1072</v>
      </c>
      <c r="B4535" s="4">
        <v>45230</v>
      </c>
      <c r="C4535" s="3" t="s">
        <v>1168</v>
      </c>
      <c r="D4535" s="3" t="s">
        <v>1459</v>
      </c>
      <c r="E4535" s="3" t="s">
        <v>1139</v>
      </c>
      <c r="F4535" s="3">
        <v>0</v>
      </c>
      <c r="G4535" s="3">
        <v>4562.1000000000004</v>
      </c>
    </row>
    <row r="4536" spans="1:7" x14ac:dyDescent="0.2">
      <c r="A4536" s="3" t="s">
        <v>1069</v>
      </c>
      <c r="B4536" s="4">
        <v>45230</v>
      </c>
      <c r="C4536" s="3" t="s">
        <v>1172</v>
      </c>
      <c r="D4536" s="3" t="s">
        <v>1173</v>
      </c>
      <c r="E4536" s="3" t="s">
        <v>1174</v>
      </c>
      <c r="F4536" s="3">
        <v>0</v>
      </c>
      <c r="G4536" s="3">
        <v>-100</v>
      </c>
    </row>
    <row r="4537" spans="1:7" x14ac:dyDescent="0.2">
      <c r="A4537" s="3" t="s">
        <v>1072</v>
      </c>
      <c r="B4537" s="4">
        <v>45230</v>
      </c>
      <c r="C4537" s="3" t="s">
        <v>1172</v>
      </c>
      <c r="D4537" s="3" t="s">
        <v>1382</v>
      </c>
      <c r="E4537" s="3" t="s">
        <v>1383</v>
      </c>
      <c r="F4537" s="3">
        <v>0</v>
      </c>
      <c r="G4537" s="3">
        <v>-120</v>
      </c>
    </row>
    <row r="4538" spans="1:7" x14ac:dyDescent="0.2">
      <c r="A4538" s="3" t="s">
        <v>1072</v>
      </c>
      <c r="B4538" s="4">
        <v>45230</v>
      </c>
      <c r="C4538" s="3" t="s">
        <v>1172</v>
      </c>
      <c r="D4538" s="3" t="s">
        <v>1384</v>
      </c>
      <c r="E4538" s="3" t="s">
        <v>1385</v>
      </c>
      <c r="F4538" s="3">
        <v>0</v>
      </c>
      <c r="G4538" s="3">
        <v>-296075.58</v>
      </c>
    </row>
    <row r="4539" spans="1:7" x14ac:dyDescent="0.2">
      <c r="A4539" s="3" t="s">
        <v>1069</v>
      </c>
      <c r="B4539" s="4">
        <v>45230</v>
      </c>
      <c r="C4539" s="3" t="s">
        <v>1172</v>
      </c>
      <c r="D4539" s="3" t="s">
        <v>1384</v>
      </c>
      <c r="E4539" s="3" t="s">
        <v>1385</v>
      </c>
      <c r="F4539" s="3">
        <v>0</v>
      </c>
      <c r="G4539" s="3">
        <v>-17843179.579999998</v>
      </c>
    </row>
    <row r="4540" spans="1:7" x14ac:dyDescent="0.2">
      <c r="A4540" s="3" t="s">
        <v>1074</v>
      </c>
      <c r="B4540" s="4">
        <v>45230</v>
      </c>
      <c r="C4540" s="3" t="s">
        <v>1172</v>
      </c>
      <c r="D4540" s="3" t="s">
        <v>1384</v>
      </c>
      <c r="E4540" s="3" t="s">
        <v>1385</v>
      </c>
      <c r="F4540" s="3">
        <v>0</v>
      </c>
      <c r="G4540" s="3">
        <v>70398.12</v>
      </c>
    </row>
    <row r="4541" spans="1:7" x14ac:dyDescent="0.2">
      <c r="A4541" s="3" t="s">
        <v>1069</v>
      </c>
      <c r="B4541" s="4">
        <v>45230</v>
      </c>
      <c r="C4541" s="3" t="s">
        <v>1180</v>
      </c>
      <c r="D4541" s="3" t="s">
        <v>1241</v>
      </c>
      <c r="E4541" s="3" t="s">
        <v>1242</v>
      </c>
      <c r="F4541" s="3">
        <v>0</v>
      </c>
      <c r="G4541" s="3">
        <v>17562360.850000001</v>
      </c>
    </row>
    <row r="4542" spans="1:7" x14ac:dyDescent="0.2">
      <c r="A4542" s="3" t="s">
        <v>1069</v>
      </c>
      <c r="B4542" s="4">
        <v>45230</v>
      </c>
      <c r="C4542" s="3" t="s">
        <v>1180</v>
      </c>
      <c r="D4542" s="3" t="s">
        <v>1733</v>
      </c>
      <c r="E4542" s="3" t="s">
        <v>1734</v>
      </c>
      <c r="F4542" s="3">
        <v>3150000</v>
      </c>
      <c r="G4542" s="3">
        <v>3150000</v>
      </c>
    </row>
    <row r="4543" spans="1:7" x14ac:dyDescent="0.2">
      <c r="A4543" s="3" t="s">
        <v>1072</v>
      </c>
      <c r="B4543" s="4">
        <v>45230</v>
      </c>
      <c r="C4543" s="3" t="s">
        <v>1180</v>
      </c>
      <c r="D4543" s="3" t="s">
        <v>1483</v>
      </c>
      <c r="E4543" s="3" t="s">
        <v>1177</v>
      </c>
      <c r="F4543" s="3">
        <v>-280000</v>
      </c>
      <c r="G4543" s="3">
        <v>110000</v>
      </c>
    </row>
    <row r="4544" spans="1:7" x14ac:dyDescent="0.2">
      <c r="A4544" s="3" t="s">
        <v>1072</v>
      </c>
      <c r="B4544" s="4">
        <v>45230</v>
      </c>
      <c r="C4544" s="3" t="s">
        <v>1180</v>
      </c>
      <c r="D4544" s="3" t="s">
        <v>1388</v>
      </c>
      <c r="E4544" s="3" t="s">
        <v>1389</v>
      </c>
      <c r="F4544" s="3">
        <v>0</v>
      </c>
      <c r="G4544" s="3">
        <v>-4342.5</v>
      </c>
    </row>
    <row r="4545" spans="1:7" x14ac:dyDescent="0.2">
      <c r="A4545" s="3" t="s">
        <v>1072</v>
      </c>
      <c r="B4545" s="4">
        <v>45230</v>
      </c>
      <c r="C4545" s="3" t="s">
        <v>1180</v>
      </c>
      <c r="D4545" s="3" t="s">
        <v>1723</v>
      </c>
      <c r="E4545" s="3" t="s">
        <v>1724</v>
      </c>
      <c r="F4545" s="3">
        <v>0</v>
      </c>
      <c r="G4545" s="3">
        <v>4702.3500000000004</v>
      </c>
    </row>
    <row r="4546" spans="1:7" x14ac:dyDescent="0.2">
      <c r="A4546" s="3" t="s">
        <v>1072</v>
      </c>
      <c r="B4546" s="4">
        <v>45230</v>
      </c>
      <c r="C4546" s="3" t="s">
        <v>1180</v>
      </c>
      <c r="D4546" s="3" t="s">
        <v>1390</v>
      </c>
      <c r="E4546" s="3" t="s">
        <v>1391</v>
      </c>
      <c r="F4546" s="3">
        <v>60000</v>
      </c>
      <c r="G4546" s="3">
        <v>-2201000</v>
      </c>
    </row>
    <row r="4547" spans="1:7" x14ac:dyDescent="0.2">
      <c r="A4547" s="3" t="s">
        <v>1072</v>
      </c>
      <c r="B4547" s="4">
        <v>45230</v>
      </c>
      <c r="C4547" s="3" t="s">
        <v>1180</v>
      </c>
      <c r="D4547" s="3" t="s">
        <v>1392</v>
      </c>
      <c r="E4547" s="3" t="s">
        <v>1393</v>
      </c>
      <c r="F4547" s="3">
        <v>0</v>
      </c>
      <c r="G4547" s="3">
        <v>4342.5</v>
      </c>
    </row>
    <row r="4548" spans="1:7" x14ac:dyDescent="0.2">
      <c r="A4548" s="3" t="s">
        <v>1072</v>
      </c>
      <c r="B4548" s="4">
        <v>45230</v>
      </c>
      <c r="C4548" s="3" t="s">
        <v>1180</v>
      </c>
      <c r="D4548" s="3" t="s">
        <v>1394</v>
      </c>
      <c r="E4548" s="3" t="s">
        <v>1256</v>
      </c>
      <c r="F4548" s="3">
        <v>600</v>
      </c>
      <c r="G4548" s="3">
        <v>37400</v>
      </c>
    </row>
    <row r="4549" spans="1:7" x14ac:dyDescent="0.2">
      <c r="A4549" s="3" t="s">
        <v>1072</v>
      </c>
      <c r="B4549" s="4">
        <v>45230</v>
      </c>
      <c r="C4549" s="3" t="s">
        <v>1180</v>
      </c>
      <c r="D4549" s="3" t="s">
        <v>1395</v>
      </c>
      <c r="E4549" s="3" t="s">
        <v>1396</v>
      </c>
      <c r="F4549" s="3">
        <v>-4650000</v>
      </c>
      <c r="G4549" s="3">
        <v>-18564940.420000002</v>
      </c>
    </row>
    <row r="4550" spans="1:7" x14ac:dyDescent="0.2">
      <c r="A4550" s="3" t="s">
        <v>1072</v>
      </c>
      <c r="B4550" s="4">
        <v>45230</v>
      </c>
      <c r="C4550" s="3" t="s">
        <v>1180</v>
      </c>
      <c r="D4550" s="3" t="s">
        <v>1397</v>
      </c>
      <c r="E4550" s="3" t="s">
        <v>1398</v>
      </c>
      <c r="F4550" s="3">
        <v>600</v>
      </c>
      <c r="G4550" s="3">
        <v>-105189.44</v>
      </c>
    </row>
    <row r="4551" spans="1:7" x14ac:dyDescent="0.2">
      <c r="A4551" s="3" t="s">
        <v>1072</v>
      </c>
      <c r="B4551" s="4">
        <v>45230</v>
      </c>
      <c r="C4551" s="3" t="s">
        <v>1180</v>
      </c>
      <c r="D4551" s="3" t="s">
        <v>1512</v>
      </c>
      <c r="E4551" s="3" t="s">
        <v>1513</v>
      </c>
      <c r="F4551" s="3">
        <v>30000</v>
      </c>
      <c r="G4551" s="3">
        <v>25402187.399999999</v>
      </c>
    </row>
    <row r="4552" spans="1:7" x14ac:dyDescent="0.2">
      <c r="A4552" s="3" t="s">
        <v>1072</v>
      </c>
      <c r="B4552" s="4">
        <v>45230</v>
      </c>
      <c r="C4552" s="3" t="s">
        <v>1180</v>
      </c>
      <c r="D4552" s="3" t="s">
        <v>1399</v>
      </c>
      <c r="E4552" s="3" t="s">
        <v>1400</v>
      </c>
      <c r="F4552" s="3">
        <v>100000</v>
      </c>
      <c r="G4552" s="3">
        <v>77399</v>
      </c>
    </row>
    <row r="4553" spans="1:7" x14ac:dyDescent="0.2">
      <c r="A4553" s="3" t="s">
        <v>1074</v>
      </c>
      <c r="B4553" s="4">
        <v>45230</v>
      </c>
      <c r="C4553" s="3" t="s">
        <v>1175</v>
      </c>
      <c r="D4553" s="3" t="s">
        <v>1492</v>
      </c>
      <c r="E4553" s="3" t="s">
        <v>1493</v>
      </c>
      <c r="F4553" s="3">
        <v>-2946586.39</v>
      </c>
      <c r="G4553" s="3">
        <v>-43432620.799999997</v>
      </c>
    </row>
    <row r="4554" spans="1:7" x14ac:dyDescent="0.2">
      <c r="A4554" s="3" t="s">
        <v>1069</v>
      </c>
      <c r="B4554" s="4">
        <v>45230</v>
      </c>
      <c r="C4554" s="3" t="s">
        <v>1175</v>
      </c>
      <c r="D4554" s="3" t="s">
        <v>1178</v>
      </c>
      <c r="E4554" s="3" t="s">
        <v>1179</v>
      </c>
      <c r="F4554" s="3">
        <v>4650000</v>
      </c>
      <c r="G4554" s="3">
        <v>18564940.420000002</v>
      </c>
    </row>
    <row r="4555" spans="1:7" x14ac:dyDescent="0.2">
      <c r="A4555" s="3" t="s">
        <v>1069</v>
      </c>
      <c r="B4555" s="4">
        <v>45230</v>
      </c>
      <c r="C4555" s="3" t="s">
        <v>1175</v>
      </c>
      <c r="D4555" s="3" t="s">
        <v>1233</v>
      </c>
      <c r="E4555" s="3" t="s">
        <v>1234</v>
      </c>
      <c r="F4555" s="3">
        <v>270000</v>
      </c>
      <c r="G4555" s="3">
        <v>4044275</v>
      </c>
    </row>
    <row r="4556" spans="1:7" x14ac:dyDescent="0.2">
      <c r="A4556" s="3" t="s">
        <v>1069</v>
      </c>
      <c r="B4556" s="4">
        <v>45230</v>
      </c>
      <c r="C4556" s="3" t="s">
        <v>1175</v>
      </c>
      <c r="D4556" s="3" t="s">
        <v>1494</v>
      </c>
      <c r="E4556" s="3" t="s">
        <v>1495</v>
      </c>
      <c r="F4556" s="3">
        <v>2946586.39</v>
      </c>
      <c r="G4556" s="3">
        <v>43432620.799999997</v>
      </c>
    </row>
    <row r="4557" spans="1:7" x14ac:dyDescent="0.2">
      <c r="A4557" s="3" t="s">
        <v>1069</v>
      </c>
      <c r="B4557" s="4">
        <v>45230</v>
      </c>
      <c r="C4557" s="3" t="s">
        <v>1175</v>
      </c>
      <c r="D4557" s="3" t="s">
        <v>1516</v>
      </c>
      <c r="E4557" s="3" t="s">
        <v>1400</v>
      </c>
      <c r="F4557" s="3">
        <v>0</v>
      </c>
      <c r="G4557" s="3">
        <v>42100</v>
      </c>
    </row>
    <row r="4558" spans="1:7" x14ac:dyDescent="0.2">
      <c r="A4558" s="3" t="s">
        <v>1069</v>
      </c>
      <c r="B4558" s="4">
        <v>45230</v>
      </c>
      <c r="C4558" s="3" t="s">
        <v>1175</v>
      </c>
      <c r="D4558" s="3" t="s">
        <v>1517</v>
      </c>
      <c r="E4558" s="3" t="s">
        <v>1398</v>
      </c>
      <c r="F4558" s="3">
        <v>0</v>
      </c>
      <c r="G4558" s="3">
        <v>-20370.22</v>
      </c>
    </row>
    <row r="4559" spans="1:7" x14ac:dyDescent="0.2">
      <c r="A4559" s="3" t="s">
        <v>1072</v>
      </c>
      <c r="B4559" s="4">
        <v>45230</v>
      </c>
      <c r="C4559" s="3" t="s">
        <v>1180</v>
      </c>
      <c r="D4559" s="3" t="s">
        <v>1409</v>
      </c>
      <c r="E4559" s="3" t="s">
        <v>1410</v>
      </c>
      <c r="F4559" s="3">
        <v>0</v>
      </c>
      <c r="G4559" s="3">
        <v>216064.1</v>
      </c>
    </row>
    <row r="4560" spans="1:7" x14ac:dyDescent="0.2">
      <c r="A4560" s="3" t="s">
        <v>1072</v>
      </c>
      <c r="B4560" s="4">
        <v>45230</v>
      </c>
      <c r="C4560" s="3" t="s">
        <v>1180</v>
      </c>
      <c r="D4560" s="3" t="s">
        <v>1411</v>
      </c>
      <c r="E4560" s="3" t="s">
        <v>1412</v>
      </c>
      <c r="F4560" s="3">
        <v>0</v>
      </c>
      <c r="G4560" s="3">
        <v>-216063.1</v>
      </c>
    </row>
    <row r="4561" spans="1:7" x14ac:dyDescent="0.2">
      <c r="A4561" s="3" t="s">
        <v>1072</v>
      </c>
      <c r="B4561" s="4">
        <v>45230</v>
      </c>
      <c r="C4561" s="3" t="s">
        <v>1180</v>
      </c>
      <c r="D4561" s="3" t="s">
        <v>1413</v>
      </c>
      <c r="E4561" s="3" t="s">
        <v>1414</v>
      </c>
      <c r="F4561" s="3">
        <v>29688.38</v>
      </c>
      <c r="G4561" s="3">
        <v>178152.48</v>
      </c>
    </row>
    <row r="4562" spans="1:7" x14ac:dyDescent="0.2">
      <c r="A4562" s="3" t="s">
        <v>1072</v>
      </c>
      <c r="B4562" s="4">
        <v>45230</v>
      </c>
      <c r="C4562" s="3" t="s">
        <v>1180</v>
      </c>
      <c r="D4562" s="3" t="s">
        <v>1415</v>
      </c>
      <c r="E4562" s="3" t="s">
        <v>1416</v>
      </c>
      <c r="F4562" s="3">
        <v>-4562.8599999999997</v>
      </c>
      <c r="G4562" s="3">
        <v>-71060.509999999995</v>
      </c>
    </row>
    <row r="4563" spans="1:7" x14ac:dyDescent="0.2">
      <c r="A4563" s="3" t="s">
        <v>1072</v>
      </c>
      <c r="B4563" s="4">
        <v>45230</v>
      </c>
      <c r="C4563" s="3" t="s">
        <v>1180</v>
      </c>
      <c r="D4563" s="3" t="s">
        <v>1462</v>
      </c>
      <c r="E4563" s="3" t="s">
        <v>1463</v>
      </c>
      <c r="F4563" s="3">
        <v>0</v>
      </c>
      <c r="G4563" s="3">
        <v>37955.300000000003</v>
      </c>
    </row>
    <row r="4564" spans="1:7" x14ac:dyDescent="0.2">
      <c r="A4564" s="3" t="s">
        <v>1072</v>
      </c>
      <c r="B4564" s="4">
        <v>45230</v>
      </c>
      <c r="C4564" s="3" t="s">
        <v>1180</v>
      </c>
      <c r="D4564" s="3" t="s">
        <v>1484</v>
      </c>
      <c r="E4564" s="3" t="s">
        <v>1485</v>
      </c>
      <c r="F4564" s="3">
        <v>-547.67999999999995</v>
      </c>
      <c r="G4564" s="3">
        <v>-10275.969999999999</v>
      </c>
    </row>
    <row r="4565" spans="1:7" x14ac:dyDescent="0.2">
      <c r="A4565" s="3" t="s">
        <v>1072</v>
      </c>
      <c r="B4565" s="4">
        <v>45230</v>
      </c>
      <c r="C4565" s="3" t="s">
        <v>1180</v>
      </c>
      <c r="D4565" s="3" t="s">
        <v>1417</v>
      </c>
      <c r="E4565" s="3" t="s">
        <v>1418</v>
      </c>
      <c r="F4565" s="3">
        <v>0</v>
      </c>
      <c r="G4565" s="3">
        <v>71322</v>
      </c>
    </row>
    <row r="4566" spans="1:7" x14ac:dyDescent="0.2">
      <c r="A4566" s="3" t="s">
        <v>1072</v>
      </c>
      <c r="B4566" s="4">
        <v>45230</v>
      </c>
      <c r="C4566" s="3" t="s">
        <v>1180</v>
      </c>
      <c r="D4566" s="3" t="s">
        <v>1419</v>
      </c>
      <c r="E4566" s="3" t="s">
        <v>1420</v>
      </c>
      <c r="F4566" s="3">
        <v>-1188.71</v>
      </c>
      <c r="G4566" s="3">
        <v>-10644.43</v>
      </c>
    </row>
    <row r="4567" spans="1:7" x14ac:dyDescent="0.2">
      <c r="A4567" s="3" t="s">
        <v>1069</v>
      </c>
      <c r="B4567" s="4">
        <v>45230</v>
      </c>
      <c r="C4567" s="3" t="s">
        <v>1180</v>
      </c>
      <c r="D4567" s="3" t="s">
        <v>1421</v>
      </c>
      <c r="E4567" s="3" t="s">
        <v>1422</v>
      </c>
      <c r="F4567" s="3">
        <v>0</v>
      </c>
      <c r="G4567" s="3">
        <v>874505.75</v>
      </c>
    </row>
    <row r="4568" spans="1:7" x14ac:dyDescent="0.2">
      <c r="A4568" s="3" t="s">
        <v>1074</v>
      </c>
      <c r="B4568" s="4">
        <v>45230</v>
      </c>
      <c r="C4568" s="3" t="s">
        <v>1180</v>
      </c>
      <c r="D4568" s="3" t="s">
        <v>1421</v>
      </c>
      <c r="E4568" s="3" t="s">
        <v>1533</v>
      </c>
      <c r="F4568" s="3">
        <v>253288</v>
      </c>
      <c r="G4568" s="3">
        <v>2138350.86</v>
      </c>
    </row>
    <row r="4569" spans="1:7" x14ac:dyDescent="0.2">
      <c r="A4569" s="3" t="s">
        <v>1069</v>
      </c>
      <c r="B4569" s="4">
        <v>45230</v>
      </c>
      <c r="C4569" s="3" t="s">
        <v>1180</v>
      </c>
      <c r="D4569" s="3" t="s">
        <v>1214</v>
      </c>
      <c r="E4569" s="3" t="s">
        <v>1215</v>
      </c>
      <c r="F4569" s="3">
        <v>0</v>
      </c>
      <c r="G4569" s="3">
        <v>26200000</v>
      </c>
    </row>
    <row r="4570" spans="1:7" x14ac:dyDescent="0.2">
      <c r="A4570" s="3" t="s">
        <v>1069</v>
      </c>
      <c r="B4570" s="4">
        <v>45230</v>
      </c>
      <c r="C4570" s="3" t="s">
        <v>1180</v>
      </c>
      <c r="D4570" s="3" t="s">
        <v>1216</v>
      </c>
      <c r="E4570" s="3" t="s">
        <v>1217</v>
      </c>
      <c r="F4570" s="3">
        <v>0</v>
      </c>
      <c r="G4570" s="3">
        <v>68427</v>
      </c>
    </row>
    <row r="4571" spans="1:7" x14ac:dyDescent="0.2">
      <c r="A4571" s="3" t="s">
        <v>1069</v>
      </c>
      <c r="B4571" s="4">
        <v>45230</v>
      </c>
      <c r="C4571" s="3" t="s">
        <v>1180</v>
      </c>
      <c r="D4571" s="3" t="s">
        <v>1218</v>
      </c>
      <c r="E4571" s="3" t="s">
        <v>1219</v>
      </c>
      <c r="F4571" s="3">
        <v>0</v>
      </c>
      <c r="G4571" s="3">
        <v>103812</v>
      </c>
    </row>
    <row r="4572" spans="1:7" x14ac:dyDescent="0.2">
      <c r="A4572" s="3" t="s">
        <v>1069</v>
      </c>
      <c r="B4572" s="4">
        <v>45230</v>
      </c>
      <c r="C4572" s="3" t="s">
        <v>1180</v>
      </c>
      <c r="D4572" s="3" t="s">
        <v>1197</v>
      </c>
      <c r="E4572" s="3" t="s">
        <v>1198</v>
      </c>
      <c r="F4572" s="3">
        <v>0</v>
      </c>
      <c r="G4572" s="3">
        <v>314087</v>
      </c>
    </row>
    <row r="4573" spans="1:7" x14ac:dyDescent="0.2">
      <c r="A4573" s="3" t="s">
        <v>1074</v>
      </c>
      <c r="B4573" s="4">
        <v>45230</v>
      </c>
      <c r="C4573" s="3" t="s">
        <v>1180</v>
      </c>
      <c r="D4573" s="3" t="s">
        <v>1197</v>
      </c>
      <c r="E4573" s="3" t="s">
        <v>1550</v>
      </c>
      <c r="F4573" s="3">
        <v>7600</v>
      </c>
      <c r="G4573" s="3">
        <v>765978.5</v>
      </c>
    </row>
    <row r="4574" spans="1:7" x14ac:dyDescent="0.2">
      <c r="A4574" s="3" t="s">
        <v>1069</v>
      </c>
      <c r="B4574" s="4">
        <v>45230</v>
      </c>
      <c r="C4574" s="3" t="s">
        <v>1180</v>
      </c>
      <c r="D4574" s="3" t="s">
        <v>1496</v>
      </c>
      <c r="E4574" s="3" t="s">
        <v>1497</v>
      </c>
      <c r="F4574" s="3">
        <v>0</v>
      </c>
      <c r="G4574" s="3">
        <v>139500</v>
      </c>
    </row>
    <row r="4575" spans="1:7" x14ac:dyDescent="0.2">
      <c r="A4575" s="3" t="s">
        <v>1069</v>
      </c>
      <c r="B4575" s="4">
        <v>45230</v>
      </c>
      <c r="C4575" s="3" t="s">
        <v>1180</v>
      </c>
      <c r="D4575" s="3" t="s">
        <v>1181</v>
      </c>
      <c r="E4575" s="3" t="s">
        <v>1182</v>
      </c>
      <c r="F4575" s="3">
        <v>0</v>
      </c>
      <c r="G4575" s="3">
        <v>8557641.8000000007</v>
      </c>
    </row>
    <row r="4576" spans="1:7" x14ac:dyDescent="0.2">
      <c r="A4576" s="3" t="s">
        <v>1069</v>
      </c>
      <c r="B4576" s="4">
        <v>45230</v>
      </c>
      <c r="C4576" s="3" t="s">
        <v>1180</v>
      </c>
      <c r="D4576" s="3" t="s">
        <v>1263</v>
      </c>
      <c r="E4576" s="3" t="s">
        <v>1264</v>
      </c>
      <c r="F4576" s="3">
        <v>0</v>
      </c>
      <c r="G4576" s="3">
        <v>13807.78</v>
      </c>
    </row>
    <row r="4577" spans="1:7" x14ac:dyDescent="0.2">
      <c r="A4577" s="3" t="s">
        <v>1069</v>
      </c>
      <c r="B4577" s="4">
        <v>45230</v>
      </c>
      <c r="C4577" s="3" t="s">
        <v>1180</v>
      </c>
      <c r="D4577" s="3" t="s">
        <v>1202</v>
      </c>
      <c r="E4577" s="3" t="s">
        <v>1203</v>
      </c>
      <c r="F4577" s="3">
        <v>0</v>
      </c>
      <c r="G4577" s="3">
        <v>197060.09</v>
      </c>
    </row>
    <row r="4578" spans="1:7" x14ac:dyDescent="0.2">
      <c r="A4578" s="3" t="s">
        <v>1074</v>
      </c>
      <c r="B4578" s="4">
        <v>45230</v>
      </c>
      <c r="C4578" s="3" t="s">
        <v>1180</v>
      </c>
      <c r="D4578" s="3" t="s">
        <v>1202</v>
      </c>
      <c r="E4578" s="3" t="s">
        <v>1577</v>
      </c>
      <c r="F4578" s="3">
        <v>64138.83</v>
      </c>
      <c r="G4578" s="3">
        <v>250751.47</v>
      </c>
    </row>
    <row r="4579" spans="1:7" x14ac:dyDescent="0.2">
      <c r="A4579" s="3" t="s">
        <v>1069</v>
      </c>
      <c r="B4579" s="4">
        <v>45230</v>
      </c>
      <c r="C4579" s="3" t="s">
        <v>1180</v>
      </c>
      <c r="D4579" s="3" t="s">
        <v>1204</v>
      </c>
      <c r="E4579" s="3" t="s">
        <v>1205</v>
      </c>
      <c r="F4579" s="3">
        <v>0</v>
      </c>
      <c r="G4579" s="3">
        <v>7500</v>
      </c>
    </row>
    <row r="4580" spans="1:7" x14ac:dyDescent="0.2">
      <c r="A4580" s="3" t="s">
        <v>1074</v>
      </c>
      <c r="B4580" s="4">
        <v>45230</v>
      </c>
      <c r="C4580" s="3" t="s">
        <v>1180</v>
      </c>
      <c r="D4580" s="3" t="s">
        <v>1204</v>
      </c>
      <c r="E4580" s="3" t="s">
        <v>1673</v>
      </c>
      <c r="F4580" s="3">
        <v>0</v>
      </c>
      <c r="G4580" s="3">
        <v>114370.5</v>
      </c>
    </row>
    <row r="4581" spans="1:7" x14ac:dyDescent="0.2">
      <c r="A4581" s="3" t="s">
        <v>1069</v>
      </c>
      <c r="B4581" s="4">
        <v>45230</v>
      </c>
      <c r="C4581" s="3" t="s">
        <v>1180</v>
      </c>
      <c r="D4581" s="3" t="s">
        <v>1199</v>
      </c>
      <c r="E4581" s="3" t="s">
        <v>1200</v>
      </c>
      <c r="F4581" s="3">
        <v>0</v>
      </c>
      <c r="G4581" s="3">
        <v>146256.38</v>
      </c>
    </row>
    <row r="4582" spans="1:7" x14ac:dyDescent="0.2">
      <c r="A4582" s="3" t="s">
        <v>1069</v>
      </c>
      <c r="B4582" s="4">
        <v>45230</v>
      </c>
      <c r="C4582" s="3" t="s">
        <v>1180</v>
      </c>
      <c r="D4582" s="3" t="s">
        <v>1486</v>
      </c>
      <c r="E4582" s="3" t="s">
        <v>1487</v>
      </c>
      <c r="F4582" s="3">
        <v>0</v>
      </c>
      <c r="G4582" s="3">
        <v>20600</v>
      </c>
    </row>
    <row r="4583" spans="1:7" x14ac:dyDescent="0.2">
      <c r="A4583" s="3" t="s">
        <v>1069</v>
      </c>
      <c r="B4583" s="4">
        <v>45230</v>
      </c>
      <c r="C4583" s="3" t="s">
        <v>1180</v>
      </c>
      <c r="D4583" s="3" t="s">
        <v>1220</v>
      </c>
      <c r="E4583" s="3" t="s">
        <v>1221</v>
      </c>
      <c r="F4583" s="3">
        <v>0</v>
      </c>
      <c r="G4583" s="3">
        <v>15175</v>
      </c>
    </row>
    <row r="4584" spans="1:7" x14ac:dyDescent="0.2">
      <c r="A4584" s="3" t="s">
        <v>1069</v>
      </c>
      <c r="B4584" s="4">
        <v>45230</v>
      </c>
      <c r="C4584" s="3" t="s">
        <v>1180</v>
      </c>
      <c r="D4584" s="3" t="s">
        <v>1498</v>
      </c>
      <c r="E4584" s="3" t="s">
        <v>1499</v>
      </c>
      <c r="F4584" s="3">
        <v>0</v>
      </c>
      <c r="G4584" s="3">
        <v>570856.07999999996</v>
      </c>
    </row>
    <row r="4585" spans="1:7" x14ac:dyDescent="0.2">
      <c r="A4585" s="3" t="s">
        <v>1069</v>
      </c>
      <c r="B4585" s="4">
        <v>45230</v>
      </c>
      <c r="C4585" s="3" t="s">
        <v>1180</v>
      </c>
      <c r="D4585" s="3" t="s">
        <v>1183</v>
      </c>
      <c r="E4585" s="3" t="s">
        <v>1184</v>
      </c>
      <c r="F4585" s="3">
        <v>0</v>
      </c>
      <c r="G4585" s="3">
        <v>47748851.509999998</v>
      </c>
    </row>
    <row r="4586" spans="1:7" x14ac:dyDescent="0.2">
      <c r="A4586" s="3" t="s">
        <v>1074</v>
      </c>
      <c r="B4586" s="4">
        <v>45230</v>
      </c>
      <c r="C4586" s="3" t="s">
        <v>1180</v>
      </c>
      <c r="D4586" s="3" t="s">
        <v>1183</v>
      </c>
      <c r="E4586" s="3" t="s">
        <v>1631</v>
      </c>
      <c r="F4586" s="3">
        <v>6737049.5700000003</v>
      </c>
      <c r="G4586" s="3">
        <v>19573696.07</v>
      </c>
    </row>
    <row r="4587" spans="1:7" x14ac:dyDescent="0.2">
      <c r="A4587" s="3" t="s">
        <v>1069</v>
      </c>
      <c r="B4587" s="4">
        <v>45230</v>
      </c>
      <c r="C4587" s="3" t="s">
        <v>1180</v>
      </c>
      <c r="D4587" s="3" t="s">
        <v>1222</v>
      </c>
      <c r="E4587" s="3" t="s">
        <v>1223</v>
      </c>
      <c r="F4587" s="3">
        <v>0</v>
      </c>
      <c r="G4587" s="3">
        <v>3850818.04</v>
      </c>
    </row>
    <row r="4588" spans="1:7" x14ac:dyDescent="0.2">
      <c r="A4588" s="3" t="s">
        <v>1074</v>
      </c>
      <c r="B4588" s="4">
        <v>45230</v>
      </c>
      <c r="C4588" s="3" t="s">
        <v>1180</v>
      </c>
      <c r="D4588" s="3" t="s">
        <v>1222</v>
      </c>
      <c r="E4588" s="3" t="s">
        <v>1664</v>
      </c>
      <c r="F4588" s="3">
        <v>0</v>
      </c>
      <c r="G4588" s="3">
        <v>1826086.96</v>
      </c>
    </row>
    <row r="4589" spans="1:7" x14ac:dyDescent="0.2">
      <c r="A4589" s="3" t="s">
        <v>1069</v>
      </c>
      <c r="B4589" s="4">
        <v>45230</v>
      </c>
      <c r="C4589" s="3" t="s">
        <v>1180</v>
      </c>
      <c r="D4589" s="3" t="s">
        <v>1235</v>
      </c>
      <c r="E4589" s="3" t="s">
        <v>1236</v>
      </c>
      <c r="F4589" s="3">
        <v>0</v>
      </c>
      <c r="G4589" s="3">
        <v>782608.07</v>
      </c>
    </row>
    <row r="4590" spans="1:7" x14ac:dyDescent="0.2">
      <c r="A4590" s="3" t="s">
        <v>1074</v>
      </c>
      <c r="B4590" s="4">
        <v>45230</v>
      </c>
      <c r="C4590" s="3" t="s">
        <v>1180</v>
      </c>
      <c r="D4590" s="3" t="s">
        <v>1235</v>
      </c>
      <c r="E4590" s="3" t="s">
        <v>1715</v>
      </c>
      <c r="F4590" s="3">
        <v>0</v>
      </c>
      <c r="G4590" s="3">
        <v>217391.3</v>
      </c>
    </row>
    <row r="4591" spans="1:7" x14ac:dyDescent="0.2">
      <c r="A4591" s="3" t="s">
        <v>1069</v>
      </c>
      <c r="B4591" s="4">
        <v>45230</v>
      </c>
      <c r="C4591" s="3" t="s">
        <v>1180</v>
      </c>
      <c r="D4591" s="3" t="s">
        <v>1206</v>
      </c>
      <c r="E4591" s="3" t="s">
        <v>1207</v>
      </c>
      <c r="F4591" s="3">
        <v>0</v>
      </c>
      <c r="G4591" s="3">
        <v>166550</v>
      </c>
    </row>
    <row r="4592" spans="1:7" x14ac:dyDescent="0.2">
      <c r="A4592" s="3" t="s">
        <v>1074</v>
      </c>
      <c r="B4592" s="4">
        <v>45230</v>
      </c>
      <c r="C4592" s="3" t="s">
        <v>1180</v>
      </c>
      <c r="D4592" s="3" t="s">
        <v>1206</v>
      </c>
      <c r="E4592" s="3" t="s">
        <v>1697</v>
      </c>
      <c r="F4592" s="3">
        <v>0</v>
      </c>
      <c r="G4592" s="3">
        <v>2834.7</v>
      </c>
    </row>
    <row r="4593" spans="1:7" x14ac:dyDescent="0.2">
      <c r="A4593" s="3" t="s">
        <v>1069</v>
      </c>
      <c r="B4593" s="4">
        <v>45230</v>
      </c>
      <c r="C4593" s="3" t="s">
        <v>1180</v>
      </c>
      <c r="D4593" s="3" t="s">
        <v>1208</v>
      </c>
      <c r="E4593" s="3" t="s">
        <v>1209</v>
      </c>
      <c r="F4593" s="3">
        <v>0</v>
      </c>
      <c r="G4593" s="3">
        <v>45000</v>
      </c>
    </row>
    <row r="4594" spans="1:7" x14ac:dyDescent="0.2">
      <c r="A4594" s="3" t="s">
        <v>1069</v>
      </c>
      <c r="B4594" s="4">
        <v>45230</v>
      </c>
      <c r="C4594" s="3" t="s">
        <v>1180</v>
      </c>
      <c r="D4594" s="3" t="s">
        <v>1259</v>
      </c>
      <c r="E4594" s="3" t="s">
        <v>1260</v>
      </c>
      <c r="F4594" s="3">
        <v>6000</v>
      </c>
      <c r="G4594" s="3">
        <v>179000</v>
      </c>
    </row>
    <row r="4595" spans="1:7" x14ac:dyDescent="0.2">
      <c r="A4595" s="3" t="s">
        <v>1074</v>
      </c>
      <c r="B4595" s="4">
        <v>45230</v>
      </c>
      <c r="C4595" s="3" t="s">
        <v>1180</v>
      </c>
      <c r="D4595" s="3" t="s">
        <v>1674</v>
      </c>
      <c r="E4595" s="3" t="s">
        <v>1675</v>
      </c>
      <c r="F4595" s="3">
        <v>118925</v>
      </c>
      <c r="G4595" s="3">
        <v>649377.14</v>
      </c>
    </row>
    <row r="4596" spans="1:7" x14ac:dyDescent="0.2">
      <c r="A4596" s="3" t="s">
        <v>1074</v>
      </c>
      <c r="B4596" s="4">
        <v>45230</v>
      </c>
      <c r="C4596" s="3" t="s">
        <v>1180</v>
      </c>
      <c r="D4596" s="3" t="s">
        <v>1578</v>
      </c>
      <c r="E4596" s="3" t="s">
        <v>1579</v>
      </c>
      <c r="F4596" s="3">
        <v>0</v>
      </c>
      <c r="G4596" s="3">
        <v>66190.11</v>
      </c>
    </row>
    <row r="4597" spans="1:7" x14ac:dyDescent="0.2">
      <c r="A4597" s="3" t="s">
        <v>1069</v>
      </c>
      <c r="B4597" s="4">
        <v>45230</v>
      </c>
      <c r="C4597" s="3" t="s">
        <v>1180</v>
      </c>
      <c r="D4597" s="3" t="s">
        <v>1265</v>
      </c>
      <c r="E4597" s="3" t="s">
        <v>1266</v>
      </c>
      <c r="F4597" s="3">
        <v>0</v>
      </c>
      <c r="G4597" s="3">
        <v>3252759.95</v>
      </c>
    </row>
    <row r="4598" spans="1:7" x14ac:dyDescent="0.2">
      <c r="A4598" s="3" t="s">
        <v>1074</v>
      </c>
      <c r="B4598" s="4">
        <v>45230</v>
      </c>
      <c r="C4598" s="3" t="s">
        <v>1180</v>
      </c>
      <c r="D4598" s="3" t="s">
        <v>1265</v>
      </c>
      <c r="E4598" s="3" t="s">
        <v>1518</v>
      </c>
      <c r="F4598" s="3">
        <v>60401.74</v>
      </c>
      <c r="G4598" s="3">
        <v>1672700.84</v>
      </c>
    </row>
    <row r="4599" spans="1:7" x14ac:dyDescent="0.2">
      <c r="A4599" s="3" t="s">
        <v>1069</v>
      </c>
      <c r="B4599" s="4">
        <v>45230</v>
      </c>
      <c r="C4599" s="3" t="s">
        <v>1180</v>
      </c>
      <c r="D4599" s="3" t="s">
        <v>1423</v>
      </c>
      <c r="E4599" s="3" t="s">
        <v>1424</v>
      </c>
      <c r="F4599" s="3">
        <v>0</v>
      </c>
      <c r="G4599" s="3">
        <v>622274.51</v>
      </c>
    </row>
    <row r="4600" spans="1:7" x14ac:dyDescent="0.2">
      <c r="A4600" s="3" t="s">
        <v>1074</v>
      </c>
      <c r="B4600" s="4">
        <v>45230</v>
      </c>
      <c r="C4600" s="3" t="s">
        <v>1180</v>
      </c>
      <c r="D4600" s="3" t="s">
        <v>1519</v>
      </c>
      <c r="E4600" s="3" t="s">
        <v>1551</v>
      </c>
      <c r="F4600" s="3">
        <v>0</v>
      </c>
      <c r="G4600" s="3">
        <v>76530</v>
      </c>
    </row>
    <row r="4601" spans="1:7" x14ac:dyDescent="0.2">
      <c r="A4601" s="3" t="s">
        <v>1069</v>
      </c>
      <c r="B4601" s="4">
        <v>45230</v>
      </c>
      <c r="C4601" s="3" t="s">
        <v>1180</v>
      </c>
      <c r="D4601" s="3" t="s">
        <v>1519</v>
      </c>
      <c r="E4601" s="3" t="s">
        <v>1520</v>
      </c>
      <c r="F4601" s="3">
        <v>0</v>
      </c>
      <c r="G4601" s="3">
        <v>985049.68</v>
      </c>
    </row>
    <row r="4602" spans="1:7" x14ac:dyDescent="0.2">
      <c r="A4602" s="3" t="s">
        <v>1074</v>
      </c>
      <c r="B4602" s="4">
        <v>45230</v>
      </c>
      <c r="C4602" s="3" t="s">
        <v>1180</v>
      </c>
      <c r="D4602" s="3" t="s">
        <v>1521</v>
      </c>
      <c r="E4602" s="3" t="s">
        <v>1522</v>
      </c>
      <c r="F4602" s="3">
        <v>1400</v>
      </c>
      <c r="G4602" s="3">
        <v>25800</v>
      </c>
    </row>
    <row r="4603" spans="1:7" x14ac:dyDescent="0.2">
      <c r="A4603" s="3" t="s">
        <v>1074</v>
      </c>
      <c r="B4603" s="4">
        <v>45230</v>
      </c>
      <c r="C4603" s="3" t="s">
        <v>1180</v>
      </c>
      <c r="D4603" s="3" t="s">
        <v>1534</v>
      </c>
      <c r="E4603" s="3" t="s">
        <v>1535</v>
      </c>
      <c r="F4603" s="3">
        <v>334782.61</v>
      </c>
      <c r="G4603" s="3">
        <v>1354347.82</v>
      </c>
    </row>
    <row r="4604" spans="1:7" x14ac:dyDescent="0.2">
      <c r="A4604" s="3" t="s">
        <v>1074</v>
      </c>
      <c r="B4604" s="4">
        <v>45230</v>
      </c>
      <c r="C4604" s="3" t="s">
        <v>1180</v>
      </c>
      <c r="D4604" s="3" t="s">
        <v>1610</v>
      </c>
      <c r="E4604" s="3" t="s">
        <v>1611</v>
      </c>
      <c r="F4604" s="3">
        <v>0</v>
      </c>
      <c r="G4604" s="3">
        <v>1540502.11</v>
      </c>
    </row>
    <row r="4605" spans="1:7" x14ac:dyDescent="0.2">
      <c r="A4605" s="3" t="s">
        <v>1074</v>
      </c>
      <c r="B4605" s="4">
        <v>45230</v>
      </c>
      <c r="C4605" s="3" t="s">
        <v>1180</v>
      </c>
      <c r="D4605" s="3" t="s">
        <v>1653</v>
      </c>
      <c r="E4605" s="3" t="s">
        <v>1654</v>
      </c>
      <c r="F4605" s="3">
        <v>0</v>
      </c>
      <c r="G4605" s="3">
        <v>20707183.050000001</v>
      </c>
    </row>
    <row r="4606" spans="1:7" x14ac:dyDescent="0.2">
      <c r="A4606" s="3" t="s">
        <v>1069</v>
      </c>
      <c r="B4606" s="4">
        <v>45230</v>
      </c>
      <c r="C4606" s="3" t="s">
        <v>1180</v>
      </c>
      <c r="D4606" s="3" t="s">
        <v>1536</v>
      </c>
      <c r="E4606" s="3" t="s">
        <v>1537</v>
      </c>
      <c r="F4606" s="3">
        <v>0</v>
      </c>
      <c r="G4606" s="3">
        <v>2148883.15</v>
      </c>
    </row>
    <row r="4607" spans="1:7" x14ac:dyDescent="0.2">
      <c r="A4607" s="3" t="s">
        <v>1069</v>
      </c>
      <c r="B4607" s="4">
        <v>45230</v>
      </c>
      <c r="C4607" s="3" t="s">
        <v>1180</v>
      </c>
      <c r="D4607" s="3" t="s">
        <v>1665</v>
      </c>
      <c r="E4607" s="3" t="s">
        <v>1666</v>
      </c>
      <c r="F4607" s="3">
        <v>0</v>
      </c>
      <c r="G4607" s="3">
        <v>1068455</v>
      </c>
    </row>
    <row r="4608" spans="1:7" x14ac:dyDescent="0.2">
      <c r="A4608" s="3" t="s">
        <v>1074</v>
      </c>
      <c r="B4608" s="4">
        <v>45230</v>
      </c>
      <c r="C4608" s="3" t="s">
        <v>1180</v>
      </c>
      <c r="D4608" s="3" t="s">
        <v>1665</v>
      </c>
      <c r="E4608" s="3" t="s">
        <v>1716</v>
      </c>
      <c r="F4608" s="3">
        <v>0</v>
      </c>
      <c r="G4608" s="3">
        <v>2188325.96</v>
      </c>
    </row>
    <row r="4609" spans="1:7" x14ac:dyDescent="0.2">
      <c r="A4609" s="3" t="s">
        <v>1069</v>
      </c>
      <c r="B4609" s="4">
        <v>45230</v>
      </c>
      <c r="C4609" s="3" t="s">
        <v>1180</v>
      </c>
      <c r="D4609" s="3" t="s">
        <v>1655</v>
      </c>
      <c r="E4609" s="3" t="s">
        <v>1656</v>
      </c>
      <c r="F4609" s="3">
        <v>0</v>
      </c>
      <c r="G4609" s="3">
        <v>-24427668.440000001</v>
      </c>
    </row>
    <row r="4610" spans="1:7" x14ac:dyDescent="0.2">
      <c r="A4610" s="3" t="s">
        <v>1072</v>
      </c>
      <c r="B4610" s="4">
        <v>45230</v>
      </c>
      <c r="C4610" s="3" t="s">
        <v>1180</v>
      </c>
      <c r="D4610" s="3" t="s">
        <v>1425</v>
      </c>
      <c r="E4610" s="3" t="s">
        <v>1426</v>
      </c>
      <c r="F4610" s="3">
        <v>0</v>
      </c>
      <c r="G4610" s="3">
        <v>29600</v>
      </c>
    </row>
    <row r="4611" spans="1:7" x14ac:dyDescent="0.2">
      <c r="A4611" s="3" t="s">
        <v>1072</v>
      </c>
      <c r="B4611" s="4">
        <v>45230</v>
      </c>
      <c r="C4611" s="3" t="s">
        <v>1180</v>
      </c>
      <c r="D4611" s="3" t="s">
        <v>1427</v>
      </c>
      <c r="E4611" s="3" t="s">
        <v>1428</v>
      </c>
      <c r="F4611" s="3">
        <v>6747607.0099999998</v>
      </c>
      <c r="G4611" s="3">
        <v>-2162281.33</v>
      </c>
    </row>
    <row r="4612" spans="1:7" x14ac:dyDescent="0.2">
      <c r="A4612" s="3" t="s">
        <v>1069</v>
      </c>
      <c r="B4612" s="4">
        <v>45230</v>
      </c>
      <c r="C4612" s="3" t="s">
        <v>1180</v>
      </c>
      <c r="D4612" s="3" t="s">
        <v>1427</v>
      </c>
      <c r="E4612" s="3" t="s">
        <v>1428</v>
      </c>
      <c r="F4612" s="3">
        <v>4965.58</v>
      </c>
      <c r="G4612" s="3">
        <v>366234.17</v>
      </c>
    </row>
    <row r="4613" spans="1:7" x14ac:dyDescent="0.2">
      <c r="A4613" s="3" t="s">
        <v>1072</v>
      </c>
      <c r="B4613" s="4">
        <v>45230</v>
      </c>
      <c r="C4613" s="3" t="s">
        <v>1180</v>
      </c>
      <c r="D4613" s="3" t="s">
        <v>1725</v>
      </c>
      <c r="E4613" s="3" t="s">
        <v>1726</v>
      </c>
      <c r="F4613" s="3">
        <v>8019.13</v>
      </c>
      <c r="G4613" s="3">
        <v>5704.85</v>
      </c>
    </row>
    <row r="4614" spans="1:7" x14ac:dyDescent="0.2">
      <c r="A4614" s="3" t="s">
        <v>1069</v>
      </c>
      <c r="B4614" s="4">
        <v>45230</v>
      </c>
      <c r="C4614" s="3" t="s">
        <v>1180</v>
      </c>
      <c r="D4614" s="3" t="s">
        <v>1187</v>
      </c>
      <c r="E4614" s="3" t="s">
        <v>1188</v>
      </c>
      <c r="F4614" s="3">
        <v>1489399.76</v>
      </c>
      <c r="G4614" s="3">
        <v>2325999.83</v>
      </c>
    </row>
    <row r="4615" spans="1:7" x14ac:dyDescent="0.2">
      <c r="A4615" s="3" t="s">
        <v>1072</v>
      </c>
      <c r="B4615" s="4">
        <v>45230</v>
      </c>
      <c r="C4615" s="3" t="s">
        <v>1180</v>
      </c>
      <c r="D4615" s="3" t="s">
        <v>1187</v>
      </c>
      <c r="E4615" s="3" t="s">
        <v>1433</v>
      </c>
      <c r="F4615" s="3">
        <v>-214893.22</v>
      </c>
      <c r="G4615" s="3">
        <v>173420.01</v>
      </c>
    </row>
    <row r="4616" spans="1:7" x14ac:dyDescent="0.2">
      <c r="A4616" s="3" t="s">
        <v>1072</v>
      </c>
      <c r="B4616" s="4">
        <v>45230</v>
      </c>
      <c r="C4616" s="3" t="s">
        <v>1180</v>
      </c>
      <c r="D4616" s="3" t="s">
        <v>1189</v>
      </c>
      <c r="E4616" s="3" t="s">
        <v>1434</v>
      </c>
      <c r="F4616" s="3">
        <v>0</v>
      </c>
      <c r="G4616" s="3">
        <v>-1188</v>
      </c>
    </row>
    <row r="4617" spans="1:7" x14ac:dyDescent="0.2">
      <c r="A4617" s="3" t="s">
        <v>1072</v>
      </c>
      <c r="B4617" s="4">
        <v>45230</v>
      </c>
      <c r="C4617" s="3" t="s">
        <v>1180</v>
      </c>
      <c r="D4617" s="3" t="s">
        <v>1435</v>
      </c>
      <c r="E4617" s="3" t="s">
        <v>1436</v>
      </c>
      <c r="F4617" s="3">
        <v>4.1399999999999997</v>
      </c>
      <c r="G4617" s="3">
        <v>571.54999999999995</v>
      </c>
    </row>
    <row r="4618" spans="1:7" x14ac:dyDescent="0.2">
      <c r="A4618" s="3" t="s">
        <v>1069</v>
      </c>
      <c r="B4618" s="4">
        <v>45230</v>
      </c>
      <c r="C4618" s="3" t="s">
        <v>1180</v>
      </c>
      <c r="D4618" s="3" t="s">
        <v>1435</v>
      </c>
      <c r="E4618" s="3" t="s">
        <v>1434</v>
      </c>
      <c r="F4618" s="3">
        <v>0</v>
      </c>
      <c r="G4618" s="3">
        <v>8620</v>
      </c>
    </row>
    <row r="4619" spans="1:7" x14ac:dyDescent="0.2">
      <c r="A4619" s="3" t="s">
        <v>1069</v>
      </c>
      <c r="B4619" s="4">
        <v>45230</v>
      </c>
      <c r="C4619" s="3" t="s">
        <v>1180</v>
      </c>
      <c r="D4619" s="3" t="s">
        <v>1243</v>
      </c>
      <c r="E4619" s="3" t="s">
        <v>1244</v>
      </c>
      <c r="F4619" s="3">
        <v>23.47</v>
      </c>
      <c r="G4619" s="3">
        <v>871.91</v>
      </c>
    </row>
    <row r="4620" spans="1:7" x14ac:dyDescent="0.2">
      <c r="A4620" s="3" t="s">
        <v>1069</v>
      </c>
      <c r="B4620" s="4">
        <v>45230</v>
      </c>
      <c r="C4620" s="3" t="s">
        <v>1180</v>
      </c>
      <c r="D4620" s="3" t="s">
        <v>1245</v>
      </c>
      <c r="E4620" s="3" t="s">
        <v>1246</v>
      </c>
      <c r="F4620" s="3">
        <v>-5922489.8399999999</v>
      </c>
      <c r="G4620" s="3">
        <v>41636202.609999999</v>
      </c>
    </row>
    <row r="4621" spans="1:7" x14ac:dyDescent="0.2">
      <c r="A4621" s="3" t="s">
        <v>1069</v>
      </c>
      <c r="B4621" s="4">
        <v>45230</v>
      </c>
      <c r="C4621" s="3" t="s">
        <v>1180</v>
      </c>
      <c r="D4621" s="3" t="s">
        <v>1727</v>
      </c>
      <c r="E4621" s="3" t="s">
        <v>1728</v>
      </c>
      <c r="F4621" s="3">
        <v>0</v>
      </c>
      <c r="G4621" s="3">
        <v>500</v>
      </c>
    </row>
    <row r="4622" spans="1:7" x14ac:dyDescent="0.2">
      <c r="A4622" s="3" t="s">
        <v>1072</v>
      </c>
      <c r="B4622" s="4">
        <v>45230</v>
      </c>
      <c r="C4622" s="3" t="s">
        <v>1175</v>
      </c>
      <c r="D4622" s="3" t="s">
        <v>1437</v>
      </c>
      <c r="E4622" s="3" t="s">
        <v>1438</v>
      </c>
      <c r="F4622" s="3">
        <v>-0.08</v>
      </c>
      <c r="G4622" s="3">
        <v>-29.75</v>
      </c>
    </row>
    <row r="4623" spans="1:7" x14ac:dyDescent="0.2">
      <c r="A4623" s="3" t="s">
        <v>1069</v>
      </c>
      <c r="B4623" s="4">
        <v>45230</v>
      </c>
      <c r="C4623" s="3" t="s">
        <v>1175</v>
      </c>
      <c r="D4623" s="3" t="s">
        <v>1437</v>
      </c>
      <c r="E4623" s="3" t="s">
        <v>1438</v>
      </c>
      <c r="F4623" s="3">
        <v>0.01</v>
      </c>
      <c r="G4623" s="3">
        <v>0.14000000000000001</v>
      </c>
    </row>
    <row r="4624" spans="1:7" x14ac:dyDescent="0.2">
      <c r="A4624" s="3" t="s">
        <v>1074</v>
      </c>
      <c r="B4624" s="4">
        <v>45230</v>
      </c>
      <c r="C4624" s="3" t="s">
        <v>1175</v>
      </c>
      <c r="D4624" s="3" t="s">
        <v>1437</v>
      </c>
      <c r="E4624" s="3" t="s">
        <v>1438</v>
      </c>
      <c r="F4624" s="3">
        <v>0</v>
      </c>
      <c r="G4624" s="3">
        <v>-0.06</v>
      </c>
    </row>
    <row r="4625" spans="1:7" x14ac:dyDescent="0.2">
      <c r="A4625" s="3" t="s">
        <v>1072</v>
      </c>
      <c r="B4625" s="4">
        <v>45230</v>
      </c>
      <c r="C4625" s="3" t="s">
        <v>1175</v>
      </c>
      <c r="D4625" s="3" t="s">
        <v>1191</v>
      </c>
      <c r="E4625" s="3" t="s">
        <v>1192</v>
      </c>
      <c r="F4625" s="3">
        <v>-1080910.7</v>
      </c>
      <c r="G4625" s="3">
        <v>-2696804.29</v>
      </c>
    </row>
    <row r="4626" spans="1:7" x14ac:dyDescent="0.2">
      <c r="A4626" s="3" t="s">
        <v>1069</v>
      </c>
      <c r="B4626" s="4">
        <v>45230</v>
      </c>
      <c r="C4626" s="3" t="s">
        <v>1175</v>
      </c>
      <c r="D4626" s="3" t="s">
        <v>1191</v>
      </c>
      <c r="E4626" s="3" t="s">
        <v>1192</v>
      </c>
      <c r="F4626" s="3">
        <v>-4159998.49</v>
      </c>
      <c r="G4626" s="3">
        <v>-160821114.86000001</v>
      </c>
    </row>
    <row r="4627" spans="1:7" x14ac:dyDescent="0.2">
      <c r="A4627" s="3" t="s">
        <v>1074</v>
      </c>
      <c r="B4627" s="4">
        <v>45230</v>
      </c>
      <c r="C4627" s="3" t="s">
        <v>1175</v>
      </c>
      <c r="D4627" s="3" t="s">
        <v>1191</v>
      </c>
      <c r="E4627" s="3" t="s">
        <v>1192</v>
      </c>
      <c r="F4627" s="3">
        <v>-5747108.9900000002</v>
      </c>
      <c r="G4627" s="3">
        <v>817004.87</v>
      </c>
    </row>
    <row r="4628" spans="1:7" x14ac:dyDescent="0.2">
      <c r="A4628" s="3" t="s">
        <v>1072</v>
      </c>
      <c r="B4628" s="4">
        <v>45230</v>
      </c>
      <c r="C4628" s="3" t="s">
        <v>1175</v>
      </c>
      <c r="D4628" s="3" t="s">
        <v>1488</v>
      </c>
      <c r="E4628" s="3" t="s">
        <v>1489</v>
      </c>
      <c r="F4628" s="3">
        <v>0</v>
      </c>
      <c r="G4628" s="3">
        <v>1309</v>
      </c>
    </row>
    <row r="4629" spans="1:7" x14ac:dyDescent="0.2">
      <c r="A4629" s="3" t="s">
        <v>1072</v>
      </c>
      <c r="B4629" s="4">
        <v>45230</v>
      </c>
      <c r="C4629" s="3" t="s">
        <v>1175</v>
      </c>
      <c r="D4629" s="3" t="s">
        <v>1439</v>
      </c>
      <c r="E4629" s="3" t="s">
        <v>1440</v>
      </c>
      <c r="F4629" s="3">
        <v>0.02</v>
      </c>
      <c r="G4629" s="3">
        <v>0</v>
      </c>
    </row>
    <row r="4630" spans="1:7" x14ac:dyDescent="0.2">
      <c r="A4630" s="3" t="s">
        <v>1072</v>
      </c>
      <c r="B4630" s="4">
        <v>45230</v>
      </c>
      <c r="C4630" s="3" t="s">
        <v>1175</v>
      </c>
      <c r="D4630" s="3" t="s">
        <v>1441</v>
      </c>
      <c r="E4630" s="3" t="s">
        <v>1442</v>
      </c>
      <c r="F4630" s="3">
        <v>-9279.57</v>
      </c>
      <c r="G4630" s="3">
        <v>-100259.69</v>
      </c>
    </row>
    <row r="4631" spans="1:7" x14ac:dyDescent="0.2">
      <c r="A4631" s="3" t="s">
        <v>1072</v>
      </c>
      <c r="B4631" s="4">
        <v>45230</v>
      </c>
      <c r="C4631" s="3" t="s">
        <v>1175</v>
      </c>
      <c r="D4631" s="3" t="s">
        <v>1464</v>
      </c>
      <c r="E4631" s="3" t="s">
        <v>1465</v>
      </c>
      <c r="F4631" s="3">
        <v>0</v>
      </c>
      <c r="G4631" s="3">
        <v>-49413.95</v>
      </c>
    </row>
    <row r="4632" spans="1:7" x14ac:dyDescent="0.2">
      <c r="A4632" s="3" t="s">
        <v>1072</v>
      </c>
      <c r="B4632" s="4">
        <v>45230</v>
      </c>
      <c r="C4632" s="3" t="s">
        <v>1175</v>
      </c>
      <c r="D4632" s="3" t="s">
        <v>1729</v>
      </c>
      <c r="E4632" s="3" t="s">
        <v>1730</v>
      </c>
      <c r="F4632" s="3">
        <v>0</v>
      </c>
      <c r="G4632" s="3">
        <v>130000</v>
      </c>
    </row>
    <row r="4633" spans="1:7" x14ac:dyDescent="0.2">
      <c r="A4633" s="3" t="s">
        <v>1072</v>
      </c>
      <c r="B4633" s="4">
        <v>45230</v>
      </c>
      <c r="C4633" s="3" t="s">
        <v>1175</v>
      </c>
      <c r="D4633" s="3" t="s">
        <v>1193</v>
      </c>
      <c r="E4633" s="3" t="s">
        <v>1443</v>
      </c>
      <c r="F4633" s="3">
        <v>-42321.62</v>
      </c>
      <c r="G4633" s="3">
        <v>-114691.06</v>
      </c>
    </row>
    <row r="4634" spans="1:7" x14ac:dyDescent="0.2">
      <c r="A4634" s="3" t="s">
        <v>1069</v>
      </c>
      <c r="B4634" s="4">
        <v>45230</v>
      </c>
      <c r="C4634" s="3" t="s">
        <v>1175</v>
      </c>
      <c r="D4634" s="3" t="s">
        <v>1193</v>
      </c>
      <c r="E4634" s="3" t="s">
        <v>1194</v>
      </c>
      <c r="F4634" s="3">
        <v>-1287789.93</v>
      </c>
      <c r="G4634" s="3">
        <v>-4484290.4800000004</v>
      </c>
    </row>
    <row r="4635" spans="1:7" x14ac:dyDescent="0.2">
      <c r="A4635" s="3" t="s">
        <v>1074</v>
      </c>
      <c r="B4635" s="4">
        <v>45230</v>
      </c>
      <c r="C4635" s="3" t="s">
        <v>1175</v>
      </c>
      <c r="D4635" s="3" t="s">
        <v>1193</v>
      </c>
      <c r="E4635" s="3" t="s">
        <v>1194</v>
      </c>
      <c r="F4635" s="3">
        <v>1099948.74</v>
      </c>
      <c r="G4635" s="3">
        <v>4616461.7</v>
      </c>
    </row>
    <row r="4636" spans="1:7" x14ac:dyDescent="0.2">
      <c r="A4636" s="3" t="s">
        <v>1072</v>
      </c>
      <c r="B4636" s="4">
        <v>45230</v>
      </c>
      <c r="C4636" s="3" t="s">
        <v>1175</v>
      </c>
      <c r="D4636" s="3" t="s">
        <v>1731</v>
      </c>
      <c r="E4636" s="3" t="s">
        <v>1732</v>
      </c>
      <c r="F4636" s="3">
        <v>0</v>
      </c>
      <c r="G4636" s="3">
        <v>-1869.8</v>
      </c>
    </row>
    <row r="4637" spans="1:7" x14ac:dyDescent="0.2">
      <c r="A4637" s="3" t="s">
        <v>1069</v>
      </c>
      <c r="B4637" s="4">
        <v>45230</v>
      </c>
      <c r="C4637" s="3" t="s">
        <v>1175</v>
      </c>
      <c r="D4637" s="3" t="s">
        <v>1657</v>
      </c>
      <c r="E4637" s="3" t="s">
        <v>1658</v>
      </c>
      <c r="F4637" s="3">
        <v>0</v>
      </c>
      <c r="G4637" s="3">
        <v>59039.93</v>
      </c>
    </row>
    <row r="4638" spans="1:7" x14ac:dyDescent="0.2">
      <c r="A4638" s="3" t="s">
        <v>1074</v>
      </c>
      <c r="B4638" s="4">
        <v>45230</v>
      </c>
      <c r="C4638" s="3" t="s">
        <v>1175</v>
      </c>
      <c r="D4638" s="3" t="s">
        <v>1717</v>
      </c>
      <c r="E4638" s="3" t="s">
        <v>1718</v>
      </c>
      <c r="F4638" s="3">
        <v>0</v>
      </c>
      <c r="G4638" s="3">
        <v>-0.4</v>
      </c>
    </row>
    <row r="4639" spans="1:7" x14ac:dyDescent="0.2">
      <c r="A4639" s="3" t="s">
        <v>1072</v>
      </c>
      <c r="B4639" s="4">
        <v>45230</v>
      </c>
      <c r="C4639" s="3" t="s">
        <v>1175</v>
      </c>
      <c r="D4639" s="3" t="s">
        <v>1444</v>
      </c>
      <c r="E4639" s="3" t="s">
        <v>1445</v>
      </c>
      <c r="F4639" s="3">
        <v>0</v>
      </c>
      <c r="G4639" s="3">
        <v>1869.8</v>
      </c>
    </row>
    <row r="4640" spans="1:7" x14ac:dyDescent="0.2">
      <c r="A4640" s="3" t="s">
        <v>1072</v>
      </c>
      <c r="B4640" s="4">
        <v>45230</v>
      </c>
      <c r="C4640" s="3" t="s">
        <v>1175</v>
      </c>
      <c r="D4640" s="3" t="s">
        <v>1446</v>
      </c>
      <c r="E4640" s="3" t="s">
        <v>1447</v>
      </c>
      <c r="F4640" s="3">
        <v>0</v>
      </c>
      <c r="G4640" s="3">
        <v>-254.99</v>
      </c>
    </row>
    <row r="4641" spans="1:7" x14ac:dyDescent="0.2">
      <c r="A4641" s="3" t="s">
        <v>1069</v>
      </c>
      <c r="B4641" s="4">
        <v>45260</v>
      </c>
      <c r="C4641" s="3" t="s">
        <v>1210</v>
      </c>
      <c r="D4641" s="3" t="s">
        <v>1552</v>
      </c>
      <c r="E4641" s="3" t="s">
        <v>1553</v>
      </c>
      <c r="F4641" s="3">
        <v>0</v>
      </c>
      <c r="G4641" s="3">
        <v>-28096347.829999998</v>
      </c>
    </row>
    <row r="4642" spans="1:7" x14ac:dyDescent="0.2">
      <c r="A4642" s="3" t="s">
        <v>1074</v>
      </c>
      <c r="B4642" s="4">
        <v>45260</v>
      </c>
      <c r="C4642" s="3" t="s">
        <v>1210</v>
      </c>
      <c r="D4642" s="3" t="s">
        <v>1552</v>
      </c>
      <c r="E4642" s="3" t="s">
        <v>1700</v>
      </c>
      <c r="F4642" s="3">
        <v>-1517304.35</v>
      </c>
      <c r="G4642" s="3">
        <v>-21350869.59</v>
      </c>
    </row>
    <row r="4643" spans="1:7" x14ac:dyDescent="0.2">
      <c r="A4643" s="3" t="s">
        <v>1069</v>
      </c>
      <c r="B4643" s="4">
        <v>45260</v>
      </c>
      <c r="C4643" s="3" t="s">
        <v>1210</v>
      </c>
      <c r="D4643" s="3" t="s">
        <v>1554</v>
      </c>
      <c r="E4643" s="3" t="s">
        <v>1555</v>
      </c>
      <c r="F4643" s="3">
        <v>0</v>
      </c>
      <c r="G4643" s="3">
        <v>-102388.85</v>
      </c>
    </row>
    <row r="4644" spans="1:7" x14ac:dyDescent="0.2">
      <c r="A4644" s="3" t="s">
        <v>1074</v>
      </c>
      <c r="B4644" s="4">
        <v>45260</v>
      </c>
      <c r="C4644" s="3" t="s">
        <v>1210</v>
      </c>
      <c r="D4644" s="3" t="s">
        <v>1554</v>
      </c>
      <c r="E4644" s="3" t="s">
        <v>1701</v>
      </c>
      <c r="F4644" s="3">
        <v>0</v>
      </c>
      <c r="G4644" s="3">
        <v>-78825.8</v>
      </c>
    </row>
    <row r="4645" spans="1:7" x14ac:dyDescent="0.2">
      <c r="A4645" s="3" t="s">
        <v>1072</v>
      </c>
      <c r="B4645" s="4">
        <v>45260</v>
      </c>
      <c r="C4645" s="3" t="s">
        <v>1210</v>
      </c>
      <c r="D4645" s="3" t="s">
        <v>1448</v>
      </c>
      <c r="E4645" s="3" t="s">
        <v>1449</v>
      </c>
      <c r="F4645" s="3">
        <v>-11562012.710000001</v>
      </c>
      <c r="G4645" s="3">
        <v>-46699249.850000001</v>
      </c>
    </row>
    <row r="4646" spans="1:7" x14ac:dyDescent="0.2">
      <c r="A4646" s="3" t="s">
        <v>1072</v>
      </c>
      <c r="B4646" s="4">
        <v>45260</v>
      </c>
      <c r="C4646" s="3" t="s">
        <v>1210</v>
      </c>
      <c r="D4646" s="3" t="s">
        <v>1273</v>
      </c>
      <c r="E4646" s="3" t="s">
        <v>1274</v>
      </c>
      <c r="F4646" s="3">
        <v>0</v>
      </c>
      <c r="G4646" s="3">
        <v>3490.94</v>
      </c>
    </row>
    <row r="4647" spans="1:7" x14ac:dyDescent="0.2">
      <c r="A4647" s="3" t="s">
        <v>1069</v>
      </c>
      <c r="B4647" s="4">
        <v>45260</v>
      </c>
      <c r="C4647" s="3" t="s">
        <v>1210</v>
      </c>
      <c r="D4647" s="3" t="s">
        <v>1685</v>
      </c>
      <c r="E4647" s="3" t="s">
        <v>1686</v>
      </c>
      <c r="F4647" s="3">
        <v>-34500</v>
      </c>
      <c r="G4647" s="3">
        <v>-149130.07</v>
      </c>
    </row>
    <row r="4648" spans="1:7" x14ac:dyDescent="0.2">
      <c r="A4648" s="3" t="s">
        <v>1074</v>
      </c>
      <c r="B4648" s="4">
        <v>45260</v>
      </c>
      <c r="C4648" s="3" t="s">
        <v>1210</v>
      </c>
      <c r="D4648" s="3" t="s">
        <v>1685</v>
      </c>
      <c r="E4648" s="3" t="s">
        <v>1686</v>
      </c>
      <c r="F4648" s="3">
        <v>0</v>
      </c>
      <c r="G4648" s="3">
        <v>-13883</v>
      </c>
    </row>
    <row r="4649" spans="1:7" x14ac:dyDescent="0.2">
      <c r="A4649" s="3" t="s">
        <v>1069</v>
      </c>
      <c r="B4649" s="4">
        <v>45260</v>
      </c>
      <c r="C4649" s="3" t="s">
        <v>1168</v>
      </c>
      <c r="D4649" s="3" t="s">
        <v>1687</v>
      </c>
      <c r="E4649" s="3" t="s">
        <v>1688</v>
      </c>
      <c r="F4649" s="3">
        <v>0</v>
      </c>
      <c r="G4649" s="3">
        <v>45300.43</v>
      </c>
    </row>
    <row r="4650" spans="1:7" x14ac:dyDescent="0.2">
      <c r="A4650" s="3" t="s">
        <v>1074</v>
      </c>
      <c r="B4650" s="4">
        <v>45260</v>
      </c>
      <c r="C4650" s="3" t="s">
        <v>1168</v>
      </c>
      <c r="D4650" s="3" t="s">
        <v>1514</v>
      </c>
      <c r="E4650" s="3" t="s">
        <v>1676</v>
      </c>
      <c r="F4650" s="3">
        <v>0</v>
      </c>
      <c r="G4650" s="3">
        <v>237142.94</v>
      </c>
    </row>
    <row r="4651" spans="1:7" x14ac:dyDescent="0.2">
      <c r="A4651" s="3" t="s">
        <v>1069</v>
      </c>
      <c r="B4651" s="4">
        <v>45260</v>
      </c>
      <c r="C4651" s="3" t="s">
        <v>1168</v>
      </c>
      <c r="D4651" s="3" t="s">
        <v>1531</v>
      </c>
      <c r="E4651" s="3" t="s">
        <v>1532</v>
      </c>
      <c r="F4651" s="3">
        <v>0</v>
      </c>
      <c r="G4651" s="3">
        <v>685713.49</v>
      </c>
    </row>
    <row r="4652" spans="1:7" x14ac:dyDescent="0.2">
      <c r="A4652" s="3" t="s">
        <v>1074</v>
      </c>
      <c r="B4652" s="4">
        <v>45260</v>
      </c>
      <c r="C4652" s="3" t="s">
        <v>1168</v>
      </c>
      <c r="D4652" s="3" t="s">
        <v>1531</v>
      </c>
      <c r="E4652" s="3" t="s">
        <v>1532</v>
      </c>
      <c r="F4652" s="3">
        <v>23865.75</v>
      </c>
      <c r="G4652" s="3">
        <v>475114.3</v>
      </c>
    </row>
    <row r="4653" spans="1:7" x14ac:dyDescent="0.2">
      <c r="A4653" s="3" t="s">
        <v>1074</v>
      </c>
      <c r="B4653" s="4">
        <v>45260</v>
      </c>
      <c r="C4653" s="3" t="s">
        <v>1168</v>
      </c>
      <c r="D4653" s="3" t="s">
        <v>1638</v>
      </c>
      <c r="E4653" s="3" t="s">
        <v>1677</v>
      </c>
      <c r="F4653" s="3">
        <v>17618</v>
      </c>
      <c r="G4653" s="3">
        <v>79174.94</v>
      </c>
    </row>
    <row r="4654" spans="1:7" x14ac:dyDescent="0.2">
      <c r="A4654" s="3" t="s">
        <v>1069</v>
      </c>
      <c r="B4654" s="4">
        <v>45260</v>
      </c>
      <c r="C4654" s="3" t="s">
        <v>1168</v>
      </c>
      <c r="D4654" s="3" t="s">
        <v>1638</v>
      </c>
      <c r="E4654" s="3" t="s">
        <v>1639</v>
      </c>
      <c r="F4654" s="3">
        <v>0</v>
      </c>
      <c r="G4654" s="3">
        <v>10540</v>
      </c>
    </row>
    <row r="4655" spans="1:7" x14ac:dyDescent="0.2">
      <c r="A4655" s="3" t="s">
        <v>1069</v>
      </c>
      <c r="B4655" s="4">
        <v>45260</v>
      </c>
      <c r="C4655" s="3" t="s">
        <v>1168</v>
      </c>
      <c r="D4655" s="3" t="s">
        <v>1540</v>
      </c>
      <c r="E4655" s="3" t="s">
        <v>1541</v>
      </c>
      <c r="F4655" s="3">
        <v>0</v>
      </c>
      <c r="G4655" s="3">
        <v>44864.59</v>
      </c>
    </row>
    <row r="4656" spans="1:7" x14ac:dyDescent="0.2">
      <c r="A4656" s="3" t="s">
        <v>1069</v>
      </c>
      <c r="B4656" s="4">
        <v>45260</v>
      </c>
      <c r="C4656" s="3" t="s">
        <v>1168</v>
      </c>
      <c r="D4656" s="3" t="s">
        <v>1556</v>
      </c>
      <c r="E4656" s="3" t="s">
        <v>1557</v>
      </c>
      <c r="F4656" s="3">
        <v>0</v>
      </c>
      <c r="G4656" s="3">
        <v>381069.48</v>
      </c>
    </row>
    <row r="4657" spans="1:7" x14ac:dyDescent="0.2">
      <c r="A4657" s="3" t="s">
        <v>1069</v>
      </c>
      <c r="B4657" s="4">
        <v>45260</v>
      </c>
      <c r="C4657" s="3" t="s">
        <v>1168</v>
      </c>
      <c r="D4657" s="3" t="s">
        <v>1558</v>
      </c>
      <c r="E4657" s="3" t="s">
        <v>1559</v>
      </c>
      <c r="F4657" s="3">
        <v>0</v>
      </c>
      <c r="G4657" s="3">
        <v>1405686.97</v>
      </c>
    </row>
    <row r="4658" spans="1:7" x14ac:dyDescent="0.2">
      <c r="A4658" s="3" t="s">
        <v>1074</v>
      </c>
      <c r="B4658" s="4">
        <v>45260</v>
      </c>
      <c r="C4658" s="3" t="s">
        <v>1168</v>
      </c>
      <c r="D4658" s="3" t="s">
        <v>1558</v>
      </c>
      <c r="E4658" s="3" t="s">
        <v>1702</v>
      </c>
      <c r="F4658" s="3">
        <v>74778.259999999995</v>
      </c>
      <c r="G4658" s="3">
        <v>1068630.3999999999</v>
      </c>
    </row>
    <row r="4659" spans="1:7" x14ac:dyDescent="0.2">
      <c r="A4659" s="3" t="s">
        <v>1069</v>
      </c>
      <c r="B4659" s="4">
        <v>45260</v>
      </c>
      <c r="C4659" s="3" t="s">
        <v>1168</v>
      </c>
      <c r="D4659" s="3" t="s">
        <v>1640</v>
      </c>
      <c r="E4659" s="3" t="s">
        <v>1641</v>
      </c>
      <c r="F4659" s="3">
        <v>0</v>
      </c>
      <c r="G4659" s="3">
        <v>1005.47</v>
      </c>
    </row>
    <row r="4660" spans="1:7" x14ac:dyDescent="0.2">
      <c r="A4660" s="3" t="s">
        <v>1074</v>
      </c>
      <c r="B4660" s="4">
        <v>45260</v>
      </c>
      <c r="C4660" s="3" t="s">
        <v>1168</v>
      </c>
      <c r="D4660" s="3" t="s">
        <v>1640</v>
      </c>
      <c r="E4660" s="3" t="s">
        <v>1689</v>
      </c>
      <c r="F4660" s="3">
        <v>0</v>
      </c>
      <c r="G4660" s="3">
        <v>6212.85</v>
      </c>
    </row>
    <row r="4661" spans="1:7" x14ac:dyDescent="0.2">
      <c r="A4661" s="3" t="s">
        <v>1069</v>
      </c>
      <c r="B4661" s="4">
        <v>45260</v>
      </c>
      <c r="C4661" s="3" t="s">
        <v>1168</v>
      </c>
      <c r="D4661" s="3" t="s">
        <v>1659</v>
      </c>
      <c r="E4661" s="3" t="s">
        <v>1660</v>
      </c>
      <c r="F4661" s="3">
        <v>0</v>
      </c>
      <c r="G4661" s="3">
        <v>250</v>
      </c>
    </row>
    <row r="4662" spans="1:7" x14ac:dyDescent="0.2">
      <c r="A4662" s="3" t="s">
        <v>1074</v>
      </c>
      <c r="B4662" s="4">
        <v>45260</v>
      </c>
      <c r="C4662" s="3" t="s">
        <v>1168</v>
      </c>
      <c r="D4662" s="3" t="s">
        <v>1659</v>
      </c>
      <c r="E4662" s="3" t="s">
        <v>1660</v>
      </c>
      <c r="F4662" s="3">
        <v>86.96</v>
      </c>
      <c r="G4662" s="3">
        <v>273.92</v>
      </c>
    </row>
    <row r="4663" spans="1:7" x14ac:dyDescent="0.2">
      <c r="A4663" s="3" t="s">
        <v>1069</v>
      </c>
      <c r="B4663" s="4">
        <v>45260</v>
      </c>
      <c r="C4663" s="3" t="s">
        <v>1168</v>
      </c>
      <c r="D4663" s="3" t="s">
        <v>1678</v>
      </c>
      <c r="E4663" s="3" t="s">
        <v>1679</v>
      </c>
      <c r="F4663" s="3">
        <v>0</v>
      </c>
      <c r="G4663" s="3">
        <v>31600</v>
      </c>
    </row>
    <row r="4664" spans="1:7" x14ac:dyDescent="0.2">
      <c r="A4664" s="3" t="s">
        <v>1072</v>
      </c>
      <c r="B4664" s="4">
        <v>45260</v>
      </c>
      <c r="C4664" s="3" t="s">
        <v>1168</v>
      </c>
      <c r="D4664" s="3" t="s">
        <v>1661</v>
      </c>
      <c r="E4664" s="3" t="s">
        <v>1662</v>
      </c>
      <c r="F4664" s="3">
        <v>0</v>
      </c>
      <c r="G4664" s="3">
        <v>286.95999999999998</v>
      </c>
    </row>
    <row r="4665" spans="1:7" x14ac:dyDescent="0.2">
      <c r="A4665" s="3" t="s">
        <v>1072</v>
      </c>
      <c r="B4665" s="4">
        <v>45260</v>
      </c>
      <c r="C4665" s="3" t="s">
        <v>1168</v>
      </c>
      <c r="D4665" s="3" t="s">
        <v>1680</v>
      </c>
      <c r="E4665" s="3" t="s">
        <v>1681</v>
      </c>
      <c r="F4665" s="3">
        <v>0</v>
      </c>
      <c r="G4665" s="3">
        <v>86.96</v>
      </c>
    </row>
    <row r="4666" spans="1:7" x14ac:dyDescent="0.2">
      <c r="A4666" s="3" t="s">
        <v>1072</v>
      </c>
      <c r="B4666" s="4">
        <v>45260</v>
      </c>
      <c r="C4666" s="3" t="s">
        <v>1168</v>
      </c>
      <c r="D4666" s="3" t="s">
        <v>1669</v>
      </c>
      <c r="E4666" s="3" t="s">
        <v>1670</v>
      </c>
      <c r="F4666" s="3">
        <v>0</v>
      </c>
      <c r="G4666" s="3">
        <v>30620.97</v>
      </c>
    </row>
    <row r="4667" spans="1:7" x14ac:dyDescent="0.2">
      <c r="A4667" s="3" t="s">
        <v>1072</v>
      </c>
      <c r="B4667" s="4">
        <v>45260</v>
      </c>
      <c r="C4667" s="3" t="s">
        <v>1168</v>
      </c>
      <c r="D4667" s="3" t="s">
        <v>1735</v>
      </c>
      <c r="E4667" s="3" t="s">
        <v>1736</v>
      </c>
      <c r="F4667" s="3">
        <v>7408.46</v>
      </c>
      <c r="G4667" s="3">
        <v>7408.46</v>
      </c>
    </row>
    <row r="4668" spans="1:7" x14ac:dyDescent="0.2">
      <c r="A4668" s="3" t="s">
        <v>1072</v>
      </c>
      <c r="B4668" s="4">
        <v>45260</v>
      </c>
      <c r="C4668" s="3" t="s">
        <v>1168</v>
      </c>
      <c r="D4668" s="3" t="s">
        <v>1703</v>
      </c>
      <c r="E4668" s="3" t="s">
        <v>1704</v>
      </c>
      <c r="F4668" s="3">
        <v>0</v>
      </c>
      <c r="G4668" s="3">
        <v>10516.44</v>
      </c>
    </row>
    <row r="4669" spans="1:7" x14ac:dyDescent="0.2">
      <c r="A4669" s="3" t="s">
        <v>1072</v>
      </c>
      <c r="B4669" s="4">
        <v>45260</v>
      </c>
      <c r="C4669" s="3" t="s">
        <v>1168</v>
      </c>
      <c r="D4669" s="3" t="s">
        <v>1682</v>
      </c>
      <c r="E4669" s="3" t="s">
        <v>1683</v>
      </c>
      <c r="F4669" s="3">
        <v>16000</v>
      </c>
      <c r="G4669" s="3">
        <v>89620.91</v>
      </c>
    </row>
    <row r="4670" spans="1:7" x14ac:dyDescent="0.2">
      <c r="A4670" s="3" t="s">
        <v>1072</v>
      </c>
      <c r="B4670" s="4">
        <v>45260</v>
      </c>
      <c r="C4670" s="3" t="s">
        <v>1168</v>
      </c>
      <c r="D4670" s="3" t="s">
        <v>1281</v>
      </c>
      <c r="E4670" s="3" t="s">
        <v>1282</v>
      </c>
      <c r="F4670" s="3">
        <v>58881.4</v>
      </c>
      <c r="G4670" s="3">
        <v>340547.74</v>
      </c>
    </row>
    <row r="4671" spans="1:7" x14ac:dyDescent="0.2">
      <c r="A4671" s="3" t="s">
        <v>1072</v>
      </c>
      <c r="B4671" s="4">
        <v>45260</v>
      </c>
      <c r="C4671" s="3" t="s">
        <v>1168</v>
      </c>
      <c r="D4671" s="3" t="s">
        <v>1283</v>
      </c>
      <c r="E4671" s="3" t="s">
        <v>1284</v>
      </c>
      <c r="F4671" s="3">
        <v>2263.7800000000002</v>
      </c>
      <c r="G4671" s="3">
        <v>160161.35999999999</v>
      </c>
    </row>
    <row r="4672" spans="1:7" x14ac:dyDescent="0.2">
      <c r="A4672" s="3" t="s">
        <v>1072</v>
      </c>
      <c r="B4672" s="4">
        <v>45260</v>
      </c>
      <c r="C4672" s="3" t="s">
        <v>1168</v>
      </c>
      <c r="D4672" s="3" t="s">
        <v>1285</v>
      </c>
      <c r="E4672" s="3" t="s">
        <v>1286</v>
      </c>
      <c r="F4672" s="3">
        <v>0</v>
      </c>
      <c r="G4672" s="3">
        <v>19969.43</v>
      </c>
    </row>
    <row r="4673" spans="1:7" x14ac:dyDescent="0.2">
      <c r="A4673" s="3" t="s">
        <v>1072</v>
      </c>
      <c r="B4673" s="4">
        <v>45260</v>
      </c>
      <c r="C4673" s="3" t="s">
        <v>1168</v>
      </c>
      <c r="D4673" s="3" t="s">
        <v>1705</v>
      </c>
      <c r="E4673" s="3" t="s">
        <v>1706</v>
      </c>
      <c r="F4673" s="3">
        <v>0</v>
      </c>
      <c r="G4673" s="3">
        <v>26340.75</v>
      </c>
    </row>
    <row r="4674" spans="1:7" x14ac:dyDescent="0.2">
      <c r="A4674" s="3" t="s">
        <v>1072</v>
      </c>
      <c r="B4674" s="4">
        <v>45260</v>
      </c>
      <c r="C4674" s="3" t="s">
        <v>1168</v>
      </c>
      <c r="D4674" s="3" t="s">
        <v>1301</v>
      </c>
      <c r="E4674" s="3" t="s">
        <v>1302</v>
      </c>
      <c r="F4674" s="3">
        <v>0</v>
      </c>
      <c r="G4674" s="3">
        <v>760.87</v>
      </c>
    </row>
    <row r="4675" spans="1:7" x14ac:dyDescent="0.2">
      <c r="A4675" s="3" t="s">
        <v>1072</v>
      </c>
      <c r="B4675" s="4">
        <v>45260</v>
      </c>
      <c r="C4675" s="3" t="s">
        <v>1168</v>
      </c>
      <c r="D4675" s="3" t="s">
        <v>1305</v>
      </c>
      <c r="E4675" s="3" t="s">
        <v>1306</v>
      </c>
      <c r="F4675" s="3">
        <v>0</v>
      </c>
      <c r="G4675" s="3">
        <v>27752.22</v>
      </c>
    </row>
    <row r="4676" spans="1:7" x14ac:dyDescent="0.2">
      <c r="A4676" s="3" t="s">
        <v>1072</v>
      </c>
      <c r="B4676" s="4">
        <v>45260</v>
      </c>
      <c r="C4676" s="3" t="s">
        <v>1168</v>
      </c>
      <c r="D4676" s="3" t="s">
        <v>1690</v>
      </c>
      <c r="E4676" s="3" t="s">
        <v>1691</v>
      </c>
      <c r="F4676" s="3">
        <v>0</v>
      </c>
      <c r="G4676" s="3">
        <v>7565.57</v>
      </c>
    </row>
    <row r="4677" spans="1:7" x14ac:dyDescent="0.2">
      <c r="A4677" s="3" t="s">
        <v>1072</v>
      </c>
      <c r="B4677" s="4">
        <v>45260</v>
      </c>
      <c r="C4677" s="3" t="s">
        <v>1168</v>
      </c>
      <c r="D4677" s="3" t="s">
        <v>1315</v>
      </c>
      <c r="E4677" s="3" t="s">
        <v>1316</v>
      </c>
      <c r="F4677" s="3">
        <v>0</v>
      </c>
      <c r="G4677" s="3">
        <v>1129.57</v>
      </c>
    </row>
    <row r="4678" spans="1:7" x14ac:dyDescent="0.2">
      <c r="A4678" s="3" t="s">
        <v>1072</v>
      </c>
      <c r="B4678" s="4">
        <v>45260</v>
      </c>
      <c r="C4678" s="3" t="s">
        <v>1168</v>
      </c>
      <c r="D4678" s="3" t="s">
        <v>1450</v>
      </c>
      <c r="E4678" s="3" t="s">
        <v>1451</v>
      </c>
      <c r="F4678" s="3">
        <v>34156.449999999997</v>
      </c>
      <c r="G4678" s="3">
        <v>1633224.08</v>
      </c>
    </row>
    <row r="4679" spans="1:7" x14ac:dyDescent="0.2">
      <c r="A4679" s="3" t="s">
        <v>1072</v>
      </c>
      <c r="B4679" s="4">
        <v>45260</v>
      </c>
      <c r="C4679" s="3" t="s">
        <v>1168</v>
      </c>
      <c r="D4679" s="3" t="s">
        <v>1452</v>
      </c>
      <c r="E4679" s="3" t="s">
        <v>1453</v>
      </c>
      <c r="F4679" s="3">
        <v>4110.17</v>
      </c>
      <c r="G4679" s="3">
        <v>335718.86</v>
      </c>
    </row>
    <row r="4680" spans="1:7" x14ac:dyDescent="0.2">
      <c r="A4680" s="3" t="s">
        <v>1072</v>
      </c>
      <c r="B4680" s="4">
        <v>45260</v>
      </c>
      <c r="C4680" s="3" t="s">
        <v>1168</v>
      </c>
      <c r="D4680" s="3" t="s">
        <v>1454</v>
      </c>
      <c r="E4680" s="3" t="s">
        <v>1455</v>
      </c>
      <c r="F4680" s="3">
        <v>0</v>
      </c>
      <c r="G4680" s="3">
        <v>694.78</v>
      </c>
    </row>
    <row r="4681" spans="1:7" x14ac:dyDescent="0.2">
      <c r="A4681" s="3" t="s">
        <v>1072</v>
      </c>
      <c r="B4681" s="4">
        <v>45260</v>
      </c>
      <c r="C4681" s="3" t="s">
        <v>1168</v>
      </c>
      <c r="D4681" s="3" t="s">
        <v>1468</v>
      </c>
      <c r="E4681" s="3" t="s">
        <v>1469</v>
      </c>
      <c r="F4681" s="3">
        <v>1797.39</v>
      </c>
      <c r="G4681" s="3">
        <v>13682.28</v>
      </c>
    </row>
    <row r="4682" spans="1:7" x14ac:dyDescent="0.2">
      <c r="A4682" s="3" t="s">
        <v>1072</v>
      </c>
      <c r="B4682" s="4">
        <v>45260</v>
      </c>
      <c r="C4682" s="3" t="s">
        <v>1168</v>
      </c>
      <c r="D4682" s="3" t="s">
        <v>1620</v>
      </c>
      <c r="E4682" s="3" t="s">
        <v>1621</v>
      </c>
      <c r="F4682" s="3">
        <v>5843.48</v>
      </c>
      <c r="G4682" s="3">
        <v>28253.64</v>
      </c>
    </row>
    <row r="4683" spans="1:7" x14ac:dyDescent="0.2">
      <c r="A4683" s="3" t="s">
        <v>1072</v>
      </c>
      <c r="B4683" s="4">
        <v>45260</v>
      </c>
      <c r="C4683" s="3" t="s">
        <v>1168</v>
      </c>
      <c r="D4683" s="3" t="s">
        <v>1542</v>
      </c>
      <c r="E4683" s="3" t="s">
        <v>1543</v>
      </c>
      <c r="F4683" s="3">
        <v>10559669.02</v>
      </c>
      <c r="G4683" s="3">
        <v>37318053.890000001</v>
      </c>
    </row>
    <row r="4684" spans="1:7" x14ac:dyDescent="0.2">
      <c r="A4684" s="3" t="s">
        <v>1072</v>
      </c>
      <c r="B4684" s="4">
        <v>45260</v>
      </c>
      <c r="C4684" s="3" t="s">
        <v>1168</v>
      </c>
      <c r="D4684" s="3" t="s">
        <v>1527</v>
      </c>
      <c r="E4684" s="3" t="s">
        <v>1528</v>
      </c>
      <c r="F4684" s="3">
        <v>1665.25</v>
      </c>
      <c r="G4684" s="3">
        <v>547235.14</v>
      </c>
    </row>
    <row r="4685" spans="1:7" x14ac:dyDescent="0.2">
      <c r="A4685" s="3" t="s">
        <v>1072</v>
      </c>
      <c r="B4685" s="4">
        <v>45260</v>
      </c>
      <c r="C4685" s="3" t="s">
        <v>1168</v>
      </c>
      <c r="D4685" s="3" t="s">
        <v>1560</v>
      </c>
      <c r="E4685" s="3" t="s">
        <v>1561</v>
      </c>
      <c r="F4685" s="3">
        <v>0</v>
      </c>
      <c r="G4685" s="3">
        <v>17292.48</v>
      </c>
    </row>
    <row r="4686" spans="1:7" x14ac:dyDescent="0.2">
      <c r="A4686" s="3" t="s">
        <v>1072</v>
      </c>
      <c r="B4686" s="4">
        <v>45260</v>
      </c>
      <c r="C4686" s="3" t="s">
        <v>1210</v>
      </c>
      <c r="D4686" s="3" t="s">
        <v>1509</v>
      </c>
      <c r="E4686" s="3" t="s">
        <v>1510</v>
      </c>
      <c r="F4686" s="3">
        <v>-699.89</v>
      </c>
      <c r="G4686" s="3">
        <v>-1490.02</v>
      </c>
    </row>
    <row r="4687" spans="1:7" x14ac:dyDescent="0.2">
      <c r="A4687" s="3" t="s">
        <v>1072</v>
      </c>
      <c r="B4687" s="4">
        <v>45260</v>
      </c>
      <c r="C4687" s="3" t="s">
        <v>1210</v>
      </c>
      <c r="D4687" s="3" t="s">
        <v>1323</v>
      </c>
      <c r="E4687" s="3" t="s">
        <v>1324</v>
      </c>
      <c r="F4687" s="3">
        <v>0</v>
      </c>
      <c r="G4687" s="3">
        <v>-34.229999999999997</v>
      </c>
    </row>
    <row r="4688" spans="1:7" x14ac:dyDescent="0.2">
      <c r="A4688" s="3" t="s">
        <v>1069</v>
      </c>
      <c r="B4688" s="4">
        <v>45260</v>
      </c>
      <c r="C4688" s="3" t="s">
        <v>1210</v>
      </c>
      <c r="D4688" s="3" t="s">
        <v>1249</v>
      </c>
      <c r="E4688" s="3" t="s">
        <v>1250</v>
      </c>
      <c r="F4688" s="3">
        <v>-289283.88</v>
      </c>
      <c r="G4688" s="3">
        <v>-2370660.9300000002</v>
      </c>
    </row>
    <row r="4689" spans="1:7" x14ac:dyDescent="0.2">
      <c r="A4689" s="3" t="s">
        <v>1069</v>
      </c>
      <c r="B4689" s="4">
        <v>45260</v>
      </c>
      <c r="C4689" s="3" t="s">
        <v>1168</v>
      </c>
      <c r="D4689" s="3" t="s">
        <v>1692</v>
      </c>
      <c r="E4689" s="3" t="s">
        <v>1149</v>
      </c>
      <c r="F4689" s="3">
        <v>0</v>
      </c>
      <c r="G4689" s="3">
        <v>15024.96</v>
      </c>
    </row>
    <row r="4690" spans="1:7" x14ac:dyDescent="0.2">
      <c r="A4690" s="3" t="s">
        <v>1069</v>
      </c>
      <c r="B4690" s="4">
        <v>45260</v>
      </c>
      <c r="C4690" s="3" t="s">
        <v>1168</v>
      </c>
      <c r="D4690" s="3" t="s">
        <v>1226</v>
      </c>
      <c r="E4690" s="3" t="s">
        <v>1126</v>
      </c>
      <c r="F4690" s="3">
        <v>0</v>
      </c>
      <c r="G4690" s="3">
        <v>3050</v>
      </c>
    </row>
    <row r="4691" spans="1:7" x14ac:dyDescent="0.2">
      <c r="A4691" s="3" t="s">
        <v>1072</v>
      </c>
      <c r="B4691" s="4">
        <v>45260</v>
      </c>
      <c r="C4691" s="3" t="s">
        <v>1168</v>
      </c>
      <c r="D4691" s="3" t="s">
        <v>1325</v>
      </c>
      <c r="E4691" s="3" t="s">
        <v>1073</v>
      </c>
      <c r="F4691" s="3">
        <v>0</v>
      </c>
      <c r="G4691" s="3">
        <v>1280</v>
      </c>
    </row>
    <row r="4692" spans="1:7" x14ac:dyDescent="0.2">
      <c r="A4692" s="3" t="s">
        <v>1072</v>
      </c>
      <c r="B4692" s="4">
        <v>45260</v>
      </c>
      <c r="C4692" s="3" t="s">
        <v>1168</v>
      </c>
      <c r="D4692" s="3" t="s">
        <v>1326</v>
      </c>
      <c r="E4692" s="3" t="s">
        <v>1088</v>
      </c>
      <c r="F4692" s="3">
        <v>0</v>
      </c>
      <c r="G4692" s="3">
        <v>11170</v>
      </c>
    </row>
    <row r="4693" spans="1:7" x14ac:dyDescent="0.2">
      <c r="A4693" s="3" t="s">
        <v>1072</v>
      </c>
      <c r="B4693" s="4">
        <v>45260</v>
      </c>
      <c r="C4693" s="3" t="s">
        <v>1168</v>
      </c>
      <c r="D4693" s="3" t="s">
        <v>1169</v>
      </c>
      <c r="E4693" s="3" t="s">
        <v>1079</v>
      </c>
      <c r="F4693" s="3">
        <v>0</v>
      </c>
      <c r="G4693" s="3">
        <v>10975</v>
      </c>
    </row>
    <row r="4694" spans="1:7" x14ac:dyDescent="0.2">
      <c r="A4694" s="3" t="s">
        <v>1069</v>
      </c>
      <c r="B4694" s="4">
        <v>45260</v>
      </c>
      <c r="C4694" s="3" t="s">
        <v>1168</v>
      </c>
      <c r="D4694" s="3" t="s">
        <v>1169</v>
      </c>
      <c r="E4694" s="3" t="s">
        <v>1079</v>
      </c>
      <c r="F4694" s="3">
        <v>7641.04</v>
      </c>
      <c r="G4694" s="3">
        <v>177983.09</v>
      </c>
    </row>
    <row r="4695" spans="1:7" x14ac:dyDescent="0.2">
      <c r="A4695" s="3" t="s">
        <v>1074</v>
      </c>
      <c r="B4695" s="4">
        <v>45260</v>
      </c>
      <c r="C4695" s="3" t="s">
        <v>1168</v>
      </c>
      <c r="D4695" s="3" t="s">
        <v>1169</v>
      </c>
      <c r="E4695" s="3" t="s">
        <v>1079</v>
      </c>
      <c r="F4695" s="3">
        <v>0</v>
      </c>
      <c r="G4695" s="3">
        <v>52426.47</v>
      </c>
    </row>
    <row r="4696" spans="1:7" x14ac:dyDescent="0.2">
      <c r="A4696" s="3" t="s">
        <v>1069</v>
      </c>
      <c r="B4696" s="4">
        <v>45260</v>
      </c>
      <c r="C4696" s="3" t="s">
        <v>1168</v>
      </c>
      <c r="D4696" s="3" t="s">
        <v>1261</v>
      </c>
      <c r="E4696" s="3" t="s">
        <v>1145</v>
      </c>
      <c r="F4696" s="3">
        <v>0</v>
      </c>
      <c r="G4696" s="3">
        <v>12480</v>
      </c>
    </row>
    <row r="4697" spans="1:7" x14ac:dyDescent="0.2">
      <c r="A4697" s="3" t="s">
        <v>1072</v>
      </c>
      <c r="B4697" s="4">
        <v>45260</v>
      </c>
      <c r="C4697" s="3" t="s">
        <v>1168</v>
      </c>
      <c r="D4697" s="3" t="s">
        <v>1648</v>
      </c>
      <c r="E4697" s="3" t="s">
        <v>1084</v>
      </c>
      <c r="F4697" s="3">
        <v>0</v>
      </c>
      <c r="G4697" s="3">
        <v>295</v>
      </c>
    </row>
    <row r="4698" spans="1:7" x14ac:dyDescent="0.2">
      <c r="A4698" s="3" t="s">
        <v>1069</v>
      </c>
      <c r="B4698" s="4">
        <v>45260</v>
      </c>
      <c r="C4698" s="3" t="s">
        <v>1168</v>
      </c>
      <c r="D4698" s="3" t="s">
        <v>1624</v>
      </c>
      <c r="E4698" s="3" t="s">
        <v>1118</v>
      </c>
      <c r="F4698" s="3">
        <v>0</v>
      </c>
      <c r="G4698" s="3">
        <v>10250</v>
      </c>
    </row>
    <row r="4699" spans="1:7" x14ac:dyDescent="0.2">
      <c r="A4699" s="3" t="s">
        <v>1074</v>
      </c>
      <c r="B4699" s="4">
        <v>45260</v>
      </c>
      <c r="C4699" s="3" t="s">
        <v>1168</v>
      </c>
      <c r="D4699" s="3" t="s">
        <v>1624</v>
      </c>
      <c r="E4699" s="3" t="s">
        <v>1160</v>
      </c>
      <c r="F4699" s="3">
        <v>0</v>
      </c>
      <c r="G4699" s="3">
        <v>17855</v>
      </c>
    </row>
    <row r="4700" spans="1:7" x14ac:dyDescent="0.2">
      <c r="A4700" s="3" t="s">
        <v>1074</v>
      </c>
      <c r="B4700" s="4">
        <v>45260</v>
      </c>
      <c r="C4700" s="3" t="s">
        <v>1168</v>
      </c>
      <c r="D4700" s="3" t="s">
        <v>1649</v>
      </c>
      <c r="E4700" s="3" t="s">
        <v>1117</v>
      </c>
      <c r="F4700" s="3">
        <v>0</v>
      </c>
      <c r="G4700" s="3">
        <v>14569.1</v>
      </c>
    </row>
    <row r="4701" spans="1:7" x14ac:dyDescent="0.2">
      <c r="A4701" s="3" t="s">
        <v>1072</v>
      </c>
      <c r="B4701" s="4">
        <v>45260</v>
      </c>
      <c r="C4701" s="3" t="s">
        <v>1168</v>
      </c>
      <c r="D4701" s="3" t="s">
        <v>1339</v>
      </c>
      <c r="E4701" s="3" t="s">
        <v>1087</v>
      </c>
      <c r="F4701" s="3">
        <v>0</v>
      </c>
      <c r="G4701" s="3">
        <v>1597</v>
      </c>
    </row>
    <row r="4702" spans="1:7" x14ac:dyDescent="0.2">
      <c r="A4702" s="3" t="s">
        <v>1074</v>
      </c>
      <c r="B4702" s="4">
        <v>45260</v>
      </c>
      <c r="C4702" s="3" t="s">
        <v>1168</v>
      </c>
      <c r="D4702" s="3" t="s">
        <v>1707</v>
      </c>
      <c r="E4702" s="3" t="s">
        <v>1118</v>
      </c>
      <c r="F4702" s="3">
        <v>0</v>
      </c>
      <c r="G4702" s="3">
        <v>18500</v>
      </c>
    </row>
    <row r="4703" spans="1:7" x14ac:dyDescent="0.2">
      <c r="A4703" s="3" t="s">
        <v>1072</v>
      </c>
      <c r="B4703" s="4">
        <v>45260</v>
      </c>
      <c r="C4703" s="3" t="s">
        <v>1168</v>
      </c>
      <c r="D4703" s="3" t="s">
        <v>1195</v>
      </c>
      <c r="E4703" s="3" t="s">
        <v>1085</v>
      </c>
      <c r="F4703" s="3">
        <v>1423.87</v>
      </c>
      <c r="G4703" s="3">
        <v>16125.98</v>
      </c>
    </row>
    <row r="4704" spans="1:7" x14ac:dyDescent="0.2">
      <c r="A4704" s="3" t="s">
        <v>1069</v>
      </c>
      <c r="B4704" s="4">
        <v>45260</v>
      </c>
      <c r="C4704" s="3" t="s">
        <v>1168</v>
      </c>
      <c r="D4704" s="3" t="s">
        <v>1195</v>
      </c>
      <c r="E4704" s="3" t="s">
        <v>1085</v>
      </c>
      <c r="F4704" s="3">
        <v>398.2</v>
      </c>
      <c r="G4704" s="3">
        <v>3981.69</v>
      </c>
    </row>
    <row r="4705" spans="1:7" x14ac:dyDescent="0.2">
      <c r="A4705" s="3" t="s">
        <v>1072</v>
      </c>
      <c r="B4705" s="4">
        <v>45260</v>
      </c>
      <c r="C4705" s="3" t="s">
        <v>1168</v>
      </c>
      <c r="D4705" s="3" t="s">
        <v>1340</v>
      </c>
      <c r="E4705" s="3" t="s">
        <v>1141</v>
      </c>
      <c r="F4705" s="3">
        <v>216.48</v>
      </c>
      <c r="G4705" s="3">
        <v>728.37</v>
      </c>
    </row>
    <row r="4706" spans="1:7" x14ac:dyDescent="0.2">
      <c r="A4706" s="3" t="s">
        <v>1072</v>
      </c>
      <c r="B4706" s="4">
        <v>45260</v>
      </c>
      <c r="C4706" s="3" t="s">
        <v>1168</v>
      </c>
      <c r="D4706" s="3" t="s">
        <v>1708</v>
      </c>
      <c r="E4706" s="3" t="s">
        <v>1140</v>
      </c>
      <c r="F4706" s="3">
        <v>0</v>
      </c>
      <c r="G4706" s="3">
        <v>4123</v>
      </c>
    </row>
    <row r="4707" spans="1:7" x14ac:dyDescent="0.2">
      <c r="A4707" s="3" t="s">
        <v>1072</v>
      </c>
      <c r="B4707" s="4">
        <v>45260</v>
      </c>
      <c r="C4707" s="3" t="s">
        <v>1168</v>
      </c>
      <c r="D4707" s="3" t="s">
        <v>1341</v>
      </c>
      <c r="E4707" s="3" t="s">
        <v>1135</v>
      </c>
      <c r="F4707" s="3">
        <v>0</v>
      </c>
      <c r="G4707" s="3">
        <v>26779.67</v>
      </c>
    </row>
    <row r="4708" spans="1:7" x14ac:dyDescent="0.2">
      <c r="A4708" s="3" t="s">
        <v>1072</v>
      </c>
      <c r="B4708" s="4">
        <v>45260</v>
      </c>
      <c r="C4708" s="3" t="s">
        <v>1168</v>
      </c>
      <c r="D4708" s="3" t="s">
        <v>1342</v>
      </c>
      <c r="E4708" s="3" t="s">
        <v>1080</v>
      </c>
      <c r="F4708" s="3">
        <v>1100</v>
      </c>
      <c r="G4708" s="3">
        <v>6402.65</v>
      </c>
    </row>
    <row r="4709" spans="1:7" x14ac:dyDescent="0.2">
      <c r="A4709" s="3" t="s">
        <v>1072</v>
      </c>
      <c r="B4709" s="4">
        <v>45260</v>
      </c>
      <c r="C4709" s="3" t="s">
        <v>1168</v>
      </c>
      <c r="D4709" s="3" t="s">
        <v>1504</v>
      </c>
      <c r="E4709" s="3" t="s">
        <v>1142</v>
      </c>
      <c r="F4709" s="3">
        <v>3230</v>
      </c>
      <c r="G4709" s="3">
        <v>35869</v>
      </c>
    </row>
    <row r="4710" spans="1:7" x14ac:dyDescent="0.2">
      <c r="A4710" s="3" t="s">
        <v>1069</v>
      </c>
      <c r="B4710" s="4">
        <v>45260</v>
      </c>
      <c r="C4710" s="3" t="s">
        <v>1168</v>
      </c>
      <c r="D4710" s="3" t="s">
        <v>1251</v>
      </c>
      <c r="E4710" s="3" t="s">
        <v>1095</v>
      </c>
      <c r="F4710" s="3">
        <v>115333</v>
      </c>
      <c r="G4710" s="3">
        <v>1054082.57</v>
      </c>
    </row>
    <row r="4711" spans="1:7" x14ac:dyDescent="0.2">
      <c r="A4711" s="3" t="s">
        <v>1072</v>
      </c>
      <c r="B4711" s="4">
        <v>45260</v>
      </c>
      <c r="C4711" s="3" t="s">
        <v>1168</v>
      </c>
      <c r="D4711" s="3" t="s">
        <v>1348</v>
      </c>
      <c r="E4711" s="3" t="s">
        <v>1095</v>
      </c>
      <c r="F4711" s="3">
        <v>124297</v>
      </c>
      <c r="G4711" s="3">
        <v>1107037.7</v>
      </c>
    </row>
    <row r="4712" spans="1:7" x14ac:dyDescent="0.2">
      <c r="A4712" s="3" t="s">
        <v>1069</v>
      </c>
      <c r="B4712" s="4">
        <v>45260</v>
      </c>
      <c r="C4712" s="3" t="s">
        <v>1168</v>
      </c>
      <c r="D4712" s="3" t="s">
        <v>1252</v>
      </c>
      <c r="E4712" s="3" t="s">
        <v>1120</v>
      </c>
      <c r="F4712" s="3">
        <v>4200</v>
      </c>
      <c r="G4712" s="3">
        <v>22100</v>
      </c>
    </row>
    <row r="4713" spans="1:7" x14ac:dyDescent="0.2">
      <c r="A4713" s="3" t="s">
        <v>1074</v>
      </c>
      <c r="B4713" s="4">
        <v>45260</v>
      </c>
      <c r="C4713" s="3" t="s">
        <v>1168</v>
      </c>
      <c r="D4713" s="3" t="s">
        <v>1252</v>
      </c>
      <c r="E4713" s="3" t="s">
        <v>1120</v>
      </c>
      <c r="F4713" s="3">
        <v>11250</v>
      </c>
      <c r="G4713" s="3">
        <v>52000</v>
      </c>
    </row>
    <row r="4714" spans="1:7" x14ac:dyDescent="0.2">
      <c r="A4714" s="3" t="s">
        <v>1072</v>
      </c>
      <c r="B4714" s="4">
        <v>45260</v>
      </c>
      <c r="C4714" s="3" t="s">
        <v>1168</v>
      </c>
      <c r="D4714" s="3" t="s">
        <v>1349</v>
      </c>
      <c r="E4714" s="3" t="s">
        <v>1089</v>
      </c>
      <c r="F4714" s="3">
        <v>0</v>
      </c>
      <c r="G4714" s="3">
        <v>331.09</v>
      </c>
    </row>
    <row r="4715" spans="1:7" x14ac:dyDescent="0.2">
      <c r="A4715" s="3" t="s">
        <v>1072</v>
      </c>
      <c r="B4715" s="4">
        <v>45260</v>
      </c>
      <c r="C4715" s="3" t="s">
        <v>1168</v>
      </c>
      <c r="D4715" s="3" t="s">
        <v>1350</v>
      </c>
      <c r="E4715" s="3" t="s">
        <v>1115</v>
      </c>
      <c r="F4715" s="3">
        <v>4549.49</v>
      </c>
      <c r="G4715" s="3">
        <v>32687.01</v>
      </c>
    </row>
    <row r="4716" spans="1:7" x14ac:dyDescent="0.2">
      <c r="A4716" s="3" t="s">
        <v>1072</v>
      </c>
      <c r="B4716" s="4">
        <v>45260</v>
      </c>
      <c r="C4716" s="3" t="s">
        <v>1168</v>
      </c>
      <c r="D4716" s="3" t="s">
        <v>1351</v>
      </c>
      <c r="E4716" s="3" t="s">
        <v>1096</v>
      </c>
      <c r="F4716" s="3">
        <v>1188.7</v>
      </c>
      <c r="G4716" s="3">
        <v>8707.57</v>
      </c>
    </row>
    <row r="4717" spans="1:7" x14ac:dyDescent="0.2">
      <c r="A4717" s="3" t="s">
        <v>1072</v>
      </c>
      <c r="B4717" s="4">
        <v>45260</v>
      </c>
      <c r="C4717" s="3" t="s">
        <v>1168</v>
      </c>
      <c r="D4717" s="3" t="s">
        <v>1474</v>
      </c>
      <c r="E4717" s="3" t="s">
        <v>1114</v>
      </c>
      <c r="F4717" s="3">
        <v>547.66999999999996</v>
      </c>
      <c r="G4717" s="3">
        <v>4929.09</v>
      </c>
    </row>
    <row r="4718" spans="1:7" x14ac:dyDescent="0.2">
      <c r="A4718" s="3" t="s">
        <v>1069</v>
      </c>
      <c r="B4718" s="4">
        <v>45260</v>
      </c>
      <c r="C4718" s="3" t="s">
        <v>1168</v>
      </c>
      <c r="D4718" s="3" t="s">
        <v>1229</v>
      </c>
      <c r="E4718" s="3" t="s">
        <v>1136</v>
      </c>
      <c r="F4718" s="3">
        <v>498.69</v>
      </c>
      <c r="G4718" s="3">
        <v>224762.54</v>
      </c>
    </row>
    <row r="4719" spans="1:7" x14ac:dyDescent="0.2">
      <c r="A4719" s="3" t="s">
        <v>1072</v>
      </c>
      <c r="B4719" s="4">
        <v>45260</v>
      </c>
      <c r="C4719" s="3" t="s">
        <v>1168</v>
      </c>
      <c r="D4719" s="3" t="s">
        <v>1229</v>
      </c>
      <c r="E4719" s="3" t="s">
        <v>1106</v>
      </c>
      <c r="F4719" s="3">
        <v>7400.09</v>
      </c>
      <c r="G4719" s="3">
        <v>60974.720000000001</v>
      </c>
    </row>
    <row r="4720" spans="1:7" x14ac:dyDescent="0.2">
      <c r="A4720" s="3" t="s">
        <v>1069</v>
      </c>
      <c r="B4720" s="4">
        <v>45260</v>
      </c>
      <c r="C4720" s="3" t="s">
        <v>1168</v>
      </c>
      <c r="D4720" s="3" t="s">
        <v>1230</v>
      </c>
      <c r="E4720" s="3" t="s">
        <v>1109</v>
      </c>
      <c r="F4720" s="3">
        <v>1058.21</v>
      </c>
      <c r="G4720" s="3">
        <v>93188.6</v>
      </c>
    </row>
    <row r="4721" spans="1:7" x14ac:dyDescent="0.2">
      <c r="A4721" s="3" t="s">
        <v>1069</v>
      </c>
      <c r="B4721" s="4">
        <v>45260</v>
      </c>
      <c r="C4721" s="3" t="s">
        <v>1168</v>
      </c>
      <c r="D4721" s="3" t="s">
        <v>1564</v>
      </c>
      <c r="E4721" s="3" t="s">
        <v>1101</v>
      </c>
      <c r="F4721" s="3">
        <v>0</v>
      </c>
      <c r="G4721" s="3">
        <v>46978.37</v>
      </c>
    </row>
    <row r="4722" spans="1:7" x14ac:dyDescent="0.2">
      <c r="A4722" s="3" t="s">
        <v>1069</v>
      </c>
      <c r="B4722" s="4">
        <v>45260</v>
      </c>
      <c r="C4722" s="3" t="s">
        <v>1168</v>
      </c>
      <c r="D4722" s="3" t="s">
        <v>1196</v>
      </c>
      <c r="E4722" s="3" t="s">
        <v>1131</v>
      </c>
      <c r="F4722" s="3">
        <v>0</v>
      </c>
      <c r="G4722" s="3">
        <v>39.47</v>
      </c>
    </row>
    <row r="4723" spans="1:7" x14ac:dyDescent="0.2">
      <c r="A4723" s="3" t="s">
        <v>1069</v>
      </c>
      <c r="B4723" s="4">
        <v>45260</v>
      </c>
      <c r="C4723" s="3" t="s">
        <v>1168</v>
      </c>
      <c r="D4723" s="3" t="s">
        <v>1663</v>
      </c>
      <c r="E4723" s="3" t="s">
        <v>1082</v>
      </c>
      <c r="F4723" s="3">
        <v>0</v>
      </c>
      <c r="G4723" s="3">
        <v>199.99</v>
      </c>
    </row>
    <row r="4724" spans="1:7" x14ac:dyDescent="0.2">
      <c r="A4724" s="3" t="s">
        <v>1069</v>
      </c>
      <c r="B4724" s="4">
        <v>45260</v>
      </c>
      <c r="C4724" s="3" t="s">
        <v>1168</v>
      </c>
      <c r="D4724" s="3" t="s">
        <v>1544</v>
      </c>
      <c r="E4724" s="3" t="s">
        <v>1159</v>
      </c>
      <c r="F4724" s="3">
        <v>12118.18</v>
      </c>
      <c r="G4724" s="3">
        <v>85382.16</v>
      </c>
    </row>
    <row r="4725" spans="1:7" x14ac:dyDescent="0.2">
      <c r="A4725" s="3" t="s">
        <v>1072</v>
      </c>
      <c r="B4725" s="4">
        <v>45260</v>
      </c>
      <c r="C4725" s="3" t="s">
        <v>1168</v>
      </c>
      <c r="D4725" s="3" t="s">
        <v>1354</v>
      </c>
      <c r="E4725" s="3" t="s">
        <v>1078</v>
      </c>
      <c r="F4725" s="3">
        <v>2211.15</v>
      </c>
      <c r="G4725" s="3">
        <v>18574.96</v>
      </c>
    </row>
    <row r="4726" spans="1:7" x14ac:dyDescent="0.2">
      <c r="A4726" s="3" t="s">
        <v>1072</v>
      </c>
      <c r="B4726" s="4">
        <v>45260</v>
      </c>
      <c r="C4726" s="3" t="s">
        <v>1168</v>
      </c>
      <c r="D4726" s="3" t="s">
        <v>1709</v>
      </c>
      <c r="E4726" s="3" t="s">
        <v>1081</v>
      </c>
      <c r="F4726" s="3">
        <v>0</v>
      </c>
      <c r="G4726" s="3">
        <v>24242.76</v>
      </c>
    </row>
    <row r="4727" spans="1:7" x14ac:dyDescent="0.2">
      <c r="A4727" s="3" t="s">
        <v>1069</v>
      </c>
      <c r="B4727" s="4">
        <v>45260</v>
      </c>
      <c r="C4727" s="3" t="s">
        <v>1168</v>
      </c>
      <c r="D4727" s="3" t="s">
        <v>1456</v>
      </c>
      <c r="E4727" s="3" t="s">
        <v>1457</v>
      </c>
      <c r="F4727" s="3">
        <v>0</v>
      </c>
      <c r="G4727" s="3">
        <v>-533.79999999999995</v>
      </c>
    </row>
    <row r="4728" spans="1:7" x14ac:dyDescent="0.2">
      <c r="A4728" s="3" t="s">
        <v>1069</v>
      </c>
      <c r="B4728" s="4">
        <v>45260</v>
      </c>
      <c r="C4728" s="3" t="s">
        <v>1168</v>
      </c>
      <c r="D4728" s="3" t="s">
        <v>1565</v>
      </c>
      <c r="E4728" s="3" t="s">
        <v>1566</v>
      </c>
      <c r="F4728" s="3">
        <v>0</v>
      </c>
      <c r="G4728" s="3">
        <v>167246.17000000001</v>
      </c>
    </row>
    <row r="4729" spans="1:7" x14ac:dyDescent="0.2">
      <c r="A4729" s="3" t="s">
        <v>1069</v>
      </c>
      <c r="B4729" s="4">
        <v>45260</v>
      </c>
      <c r="C4729" s="3" t="s">
        <v>1168</v>
      </c>
      <c r="D4729" s="3" t="s">
        <v>1567</v>
      </c>
      <c r="E4729" s="3" t="s">
        <v>1568</v>
      </c>
      <c r="F4729" s="3">
        <v>0</v>
      </c>
      <c r="G4729" s="3">
        <v>72942.48</v>
      </c>
    </row>
    <row r="4730" spans="1:7" x14ac:dyDescent="0.2">
      <c r="A4730" s="3" t="s">
        <v>1069</v>
      </c>
      <c r="B4730" s="4">
        <v>45260</v>
      </c>
      <c r="C4730" s="3" t="s">
        <v>1168</v>
      </c>
      <c r="D4730" s="3" t="s">
        <v>1569</v>
      </c>
      <c r="E4730" s="3" t="s">
        <v>1570</v>
      </c>
      <c r="F4730" s="3">
        <v>0</v>
      </c>
      <c r="G4730" s="3">
        <v>44124.67</v>
      </c>
    </row>
    <row r="4731" spans="1:7" x14ac:dyDescent="0.2">
      <c r="A4731" s="3" t="s">
        <v>1069</v>
      </c>
      <c r="B4731" s="4">
        <v>45260</v>
      </c>
      <c r="C4731" s="3" t="s">
        <v>1168</v>
      </c>
      <c r="D4731" s="3" t="s">
        <v>1608</v>
      </c>
      <c r="E4731" s="3" t="s">
        <v>1609</v>
      </c>
      <c r="F4731" s="3">
        <v>0</v>
      </c>
      <c r="G4731" s="3">
        <v>11678.33</v>
      </c>
    </row>
    <row r="4732" spans="1:7" x14ac:dyDescent="0.2">
      <c r="A4732" s="3" t="s">
        <v>1074</v>
      </c>
      <c r="B4732" s="4">
        <v>45260</v>
      </c>
      <c r="C4732" s="3" t="s">
        <v>1168</v>
      </c>
      <c r="D4732" s="3" t="s">
        <v>1608</v>
      </c>
      <c r="E4732" s="3" t="s">
        <v>1609</v>
      </c>
      <c r="F4732" s="3">
        <v>0</v>
      </c>
      <c r="G4732" s="3">
        <v>1607.78</v>
      </c>
    </row>
    <row r="4733" spans="1:7" x14ac:dyDescent="0.2">
      <c r="A4733" s="3" t="s">
        <v>1069</v>
      </c>
      <c r="B4733" s="4">
        <v>45260</v>
      </c>
      <c r="C4733" s="3" t="s">
        <v>1168</v>
      </c>
      <c r="D4733" s="3" t="s">
        <v>1627</v>
      </c>
      <c r="E4733" s="3" t="s">
        <v>1628</v>
      </c>
      <c r="F4733" s="3">
        <v>0</v>
      </c>
      <c r="G4733" s="3">
        <v>1252.24</v>
      </c>
    </row>
    <row r="4734" spans="1:7" x14ac:dyDescent="0.2">
      <c r="A4734" s="3" t="s">
        <v>1074</v>
      </c>
      <c r="B4734" s="4">
        <v>45260</v>
      </c>
      <c r="C4734" s="3" t="s">
        <v>1168</v>
      </c>
      <c r="D4734" s="3" t="s">
        <v>1627</v>
      </c>
      <c r="E4734" s="3" t="s">
        <v>1628</v>
      </c>
      <c r="F4734" s="3">
        <v>0</v>
      </c>
      <c r="G4734" s="3">
        <v>1507.16</v>
      </c>
    </row>
    <row r="4735" spans="1:7" x14ac:dyDescent="0.2">
      <c r="A4735" s="3" t="s">
        <v>1069</v>
      </c>
      <c r="B4735" s="4">
        <v>45260</v>
      </c>
      <c r="C4735" s="3" t="s">
        <v>1168</v>
      </c>
      <c r="D4735" s="3" t="s">
        <v>1693</v>
      </c>
      <c r="E4735" s="3" t="s">
        <v>1694</v>
      </c>
      <c r="F4735" s="3">
        <v>0</v>
      </c>
      <c r="G4735" s="3">
        <v>5515.07</v>
      </c>
    </row>
    <row r="4736" spans="1:7" x14ac:dyDescent="0.2">
      <c r="A4736" s="3" t="s">
        <v>1074</v>
      </c>
      <c r="B4736" s="4">
        <v>45260</v>
      </c>
      <c r="C4736" s="3" t="s">
        <v>1168</v>
      </c>
      <c r="D4736" s="3" t="s">
        <v>1693</v>
      </c>
      <c r="E4736" s="3" t="s">
        <v>1694</v>
      </c>
      <c r="F4736" s="3">
        <v>4972.6000000000004</v>
      </c>
      <c r="G4736" s="3">
        <v>31078.79</v>
      </c>
    </row>
    <row r="4737" spans="1:7" x14ac:dyDescent="0.2">
      <c r="A4737" s="3" t="s">
        <v>1069</v>
      </c>
      <c r="B4737" s="4">
        <v>45260</v>
      </c>
      <c r="C4737" s="3" t="s">
        <v>1168</v>
      </c>
      <c r="D4737" s="3" t="s">
        <v>1695</v>
      </c>
      <c r="E4737" s="3" t="s">
        <v>1696</v>
      </c>
      <c r="F4737" s="3">
        <v>0</v>
      </c>
      <c r="G4737" s="3">
        <v>591.78</v>
      </c>
    </row>
    <row r="4738" spans="1:7" x14ac:dyDescent="0.2">
      <c r="A4738" s="3" t="s">
        <v>1074</v>
      </c>
      <c r="B4738" s="4">
        <v>45260</v>
      </c>
      <c r="C4738" s="3" t="s">
        <v>1168</v>
      </c>
      <c r="D4738" s="3" t="s">
        <v>1695</v>
      </c>
      <c r="E4738" s="3" t="s">
        <v>1696</v>
      </c>
      <c r="F4738" s="3">
        <v>577.21</v>
      </c>
      <c r="G4738" s="3">
        <v>62815.58</v>
      </c>
    </row>
    <row r="4739" spans="1:7" x14ac:dyDescent="0.2">
      <c r="A4739" s="3" t="s">
        <v>1074</v>
      </c>
      <c r="B4739" s="4">
        <v>45260</v>
      </c>
      <c r="C4739" s="3" t="s">
        <v>1168</v>
      </c>
      <c r="D4739" s="3" t="s">
        <v>1650</v>
      </c>
      <c r="E4739" s="3" t="s">
        <v>1651</v>
      </c>
      <c r="F4739" s="3">
        <v>0</v>
      </c>
      <c r="G4739" s="3">
        <v>2537.9</v>
      </c>
    </row>
    <row r="4740" spans="1:7" x14ac:dyDescent="0.2">
      <c r="A4740" s="3" t="s">
        <v>1074</v>
      </c>
      <c r="B4740" s="4">
        <v>45260</v>
      </c>
      <c r="C4740" s="3" t="s">
        <v>1168</v>
      </c>
      <c r="D4740" s="3" t="s">
        <v>1710</v>
      </c>
      <c r="E4740" s="3" t="s">
        <v>1711</v>
      </c>
      <c r="F4740" s="3">
        <v>0</v>
      </c>
      <c r="G4740" s="3">
        <v>5709.59</v>
      </c>
    </row>
    <row r="4741" spans="1:7" x14ac:dyDescent="0.2">
      <c r="A4741" s="3" t="s">
        <v>1074</v>
      </c>
      <c r="B4741" s="4">
        <v>45260</v>
      </c>
      <c r="C4741" s="3" t="s">
        <v>1168</v>
      </c>
      <c r="D4741" s="3" t="s">
        <v>1712</v>
      </c>
      <c r="E4741" s="3" t="s">
        <v>1713</v>
      </c>
      <c r="F4741" s="3">
        <v>0</v>
      </c>
      <c r="G4741" s="3">
        <v>19334.38</v>
      </c>
    </row>
    <row r="4742" spans="1:7" x14ac:dyDescent="0.2">
      <c r="A4742" s="3" t="s">
        <v>1074</v>
      </c>
      <c r="B4742" s="4">
        <v>45260</v>
      </c>
      <c r="C4742" s="3" t="s">
        <v>1168</v>
      </c>
      <c r="D4742" s="3" t="s">
        <v>1719</v>
      </c>
      <c r="E4742" s="3" t="s">
        <v>1720</v>
      </c>
      <c r="F4742" s="3">
        <v>0</v>
      </c>
      <c r="G4742" s="3">
        <v>9131.51</v>
      </c>
    </row>
    <row r="4743" spans="1:7" x14ac:dyDescent="0.2">
      <c r="A4743" s="3" t="s">
        <v>1069</v>
      </c>
      <c r="B4743" s="4">
        <v>45260</v>
      </c>
      <c r="C4743" s="3" t="s">
        <v>1168</v>
      </c>
      <c r="D4743" s="3" t="s">
        <v>1571</v>
      </c>
      <c r="E4743" s="3" t="s">
        <v>1572</v>
      </c>
      <c r="F4743" s="3">
        <v>0</v>
      </c>
      <c r="G4743" s="3">
        <v>400367.2</v>
      </c>
    </row>
    <row r="4744" spans="1:7" x14ac:dyDescent="0.2">
      <c r="A4744" s="3" t="s">
        <v>1074</v>
      </c>
      <c r="B4744" s="4">
        <v>45260</v>
      </c>
      <c r="C4744" s="3" t="s">
        <v>1168</v>
      </c>
      <c r="D4744" s="3" t="s">
        <v>1571</v>
      </c>
      <c r="E4744" s="3" t="s">
        <v>1572</v>
      </c>
      <c r="F4744" s="3">
        <v>15468.15</v>
      </c>
      <c r="G4744" s="3">
        <v>605212.30000000005</v>
      </c>
    </row>
    <row r="4745" spans="1:7" x14ac:dyDescent="0.2">
      <c r="A4745" s="3" t="s">
        <v>1069</v>
      </c>
      <c r="B4745" s="4">
        <v>45260</v>
      </c>
      <c r="C4745" s="3" t="s">
        <v>1168</v>
      </c>
      <c r="D4745" s="3" t="s">
        <v>1573</v>
      </c>
      <c r="E4745" s="3" t="s">
        <v>1574</v>
      </c>
      <c r="F4745" s="3">
        <v>0</v>
      </c>
      <c r="G4745" s="3">
        <v>333349.31</v>
      </c>
    </row>
    <row r="4746" spans="1:7" x14ac:dyDescent="0.2">
      <c r="A4746" s="3" t="s">
        <v>1069</v>
      </c>
      <c r="B4746" s="4">
        <v>45260</v>
      </c>
      <c r="C4746" s="3" t="s">
        <v>1168</v>
      </c>
      <c r="D4746" s="3" t="s">
        <v>1629</v>
      </c>
      <c r="E4746" s="3" t="s">
        <v>1630</v>
      </c>
      <c r="F4746" s="3">
        <v>0</v>
      </c>
      <c r="G4746" s="3">
        <v>47473.98</v>
      </c>
    </row>
    <row r="4747" spans="1:7" x14ac:dyDescent="0.2">
      <c r="A4747" s="3" t="s">
        <v>1074</v>
      </c>
      <c r="B4747" s="4">
        <v>45260</v>
      </c>
      <c r="C4747" s="3" t="s">
        <v>1168</v>
      </c>
      <c r="D4747" s="3" t="s">
        <v>1629</v>
      </c>
      <c r="E4747" s="3" t="s">
        <v>1630</v>
      </c>
      <c r="F4747" s="3">
        <v>0</v>
      </c>
      <c r="G4747" s="3">
        <v>128315.62</v>
      </c>
    </row>
    <row r="4748" spans="1:7" x14ac:dyDescent="0.2">
      <c r="A4748" s="3" t="s">
        <v>1069</v>
      </c>
      <c r="B4748" s="4">
        <v>45260</v>
      </c>
      <c r="C4748" s="3" t="s">
        <v>1168</v>
      </c>
      <c r="D4748" s="3" t="s">
        <v>1575</v>
      </c>
      <c r="E4748" s="3" t="s">
        <v>1576</v>
      </c>
      <c r="F4748" s="3">
        <v>0</v>
      </c>
      <c r="G4748" s="3">
        <v>3197167.68</v>
      </c>
    </row>
    <row r="4749" spans="1:7" x14ac:dyDescent="0.2">
      <c r="A4749" s="3" t="s">
        <v>1074</v>
      </c>
      <c r="B4749" s="4">
        <v>45260</v>
      </c>
      <c r="C4749" s="3" t="s">
        <v>1168</v>
      </c>
      <c r="D4749" s="3" t="s">
        <v>1575</v>
      </c>
      <c r="E4749" s="3" t="s">
        <v>1576</v>
      </c>
      <c r="F4749" s="3">
        <v>204164.39</v>
      </c>
      <c r="G4749" s="3">
        <v>1632566.08</v>
      </c>
    </row>
    <row r="4750" spans="1:7" x14ac:dyDescent="0.2">
      <c r="A4750" s="3" t="s">
        <v>1072</v>
      </c>
      <c r="B4750" s="4">
        <v>45260</v>
      </c>
      <c r="C4750" s="3" t="s">
        <v>1168</v>
      </c>
      <c r="D4750" s="3" t="s">
        <v>1671</v>
      </c>
      <c r="E4750" s="3" t="s">
        <v>1119</v>
      </c>
      <c r="F4750" s="3">
        <v>0</v>
      </c>
      <c r="G4750" s="3">
        <v>5202.88</v>
      </c>
    </row>
    <row r="4751" spans="1:7" x14ac:dyDescent="0.2">
      <c r="A4751" s="3" t="s">
        <v>1074</v>
      </c>
      <c r="B4751" s="4">
        <v>45260</v>
      </c>
      <c r="C4751" s="3" t="s">
        <v>1168</v>
      </c>
      <c r="D4751" s="3" t="s">
        <v>1721</v>
      </c>
      <c r="E4751" s="3" t="s">
        <v>1152</v>
      </c>
      <c r="F4751" s="3">
        <v>0</v>
      </c>
      <c r="G4751" s="3">
        <v>95314.44</v>
      </c>
    </row>
    <row r="4752" spans="1:7" x14ac:dyDescent="0.2">
      <c r="A4752" s="3" t="s">
        <v>1069</v>
      </c>
      <c r="B4752" s="4">
        <v>45260</v>
      </c>
      <c r="C4752" s="3" t="s">
        <v>1168</v>
      </c>
      <c r="D4752" s="3" t="s">
        <v>1684</v>
      </c>
      <c r="E4752" s="3" t="s">
        <v>1102</v>
      </c>
      <c r="F4752" s="3">
        <v>0</v>
      </c>
      <c r="G4752" s="3">
        <v>76865.83</v>
      </c>
    </row>
    <row r="4753" spans="1:7" x14ac:dyDescent="0.2">
      <c r="A4753" s="3" t="s">
        <v>1069</v>
      </c>
      <c r="B4753" s="4">
        <v>45260</v>
      </c>
      <c r="C4753" s="3" t="s">
        <v>1168</v>
      </c>
      <c r="D4753" s="3" t="s">
        <v>1722</v>
      </c>
      <c r="E4753" s="3" t="s">
        <v>1116</v>
      </c>
      <c r="F4753" s="3">
        <v>5862.1</v>
      </c>
      <c r="G4753" s="3">
        <v>19675.57</v>
      </c>
    </row>
    <row r="4754" spans="1:7" x14ac:dyDescent="0.2">
      <c r="A4754" s="3" t="s">
        <v>1074</v>
      </c>
      <c r="B4754" s="4">
        <v>45260</v>
      </c>
      <c r="C4754" s="3" t="s">
        <v>1168</v>
      </c>
      <c r="D4754" s="3" t="s">
        <v>1549</v>
      </c>
      <c r="E4754" s="3" t="s">
        <v>1154</v>
      </c>
      <c r="F4754" s="3">
        <v>0</v>
      </c>
      <c r="G4754" s="3">
        <v>400000</v>
      </c>
    </row>
    <row r="4755" spans="1:7" x14ac:dyDescent="0.2">
      <c r="A4755" s="3" t="s">
        <v>1069</v>
      </c>
      <c r="B4755" s="4">
        <v>45260</v>
      </c>
      <c r="C4755" s="3" t="s">
        <v>1168</v>
      </c>
      <c r="D4755" s="3" t="s">
        <v>1253</v>
      </c>
      <c r="E4755" s="3" t="s">
        <v>1103</v>
      </c>
      <c r="F4755" s="3">
        <v>17979.75</v>
      </c>
      <c r="G4755" s="3">
        <v>109670.12</v>
      </c>
    </row>
    <row r="4756" spans="1:7" x14ac:dyDescent="0.2">
      <c r="A4756" s="3" t="s">
        <v>1072</v>
      </c>
      <c r="B4756" s="4">
        <v>45260</v>
      </c>
      <c r="C4756" s="3" t="s">
        <v>1168</v>
      </c>
      <c r="D4756" s="3" t="s">
        <v>1672</v>
      </c>
      <c r="E4756" s="3" t="s">
        <v>1097</v>
      </c>
      <c r="F4756" s="3">
        <v>0</v>
      </c>
      <c r="G4756" s="3">
        <v>362</v>
      </c>
    </row>
    <row r="4757" spans="1:7" x14ac:dyDescent="0.2">
      <c r="A4757" s="3" t="s">
        <v>1069</v>
      </c>
      <c r="B4757" s="4">
        <v>45260</v>
      </c>
      <c r="C4757" s="3" t="s">
        <v>1168</v>
      </c>
      <c r="D4757" s="3" t="s">
        <v>1672</v>
      </c>
      <c r="E4757" s="3" t="s">
        <v>1097</v>
      </c>
      <c r="F4757" s="3">
        <v>0</v>
      </c>
      <c r="G4757" s="3">
        <v>20</v>
      </c>
    </row>
    <row r="4758" spans="1:7" x14ac:dyDescent="0.2">
      <c r="A4758" s="3" t="s">
        <v>1072</v>
      </c>
      <c r="B4758" s="4">
        <v>45260</v>
      </c>
      <c r="C4758" s="3" t="s">
        <v>1168</v>
      </c>
      <c r="D4758" s="3" t="s">
        <v>1357</v>
      </c>
      <c r="E4758" s="3" t="s">
        <v>1157</v>
      </c>
      <c r="F4758" s="3">
        <v>3911.97</v>
      </c>
      <c r="G4758" s="3">
        <v>35750.31</v>
      </c>
    </row>
    <row r="4759" spans="1:7" x14ac:dyDescent="0.2">
      <c r="A4759" s="3" t="s">
        <v>1072</v>
      </c>
      <c r="B4759" s="4">
        <v>45260</v>
      </c>
      <c r="C4759" s="3" t="s">
        <v>1168</v>
      </c>
      <c r="D4759" s="3" t="s">
        <v>1358</v>
      </c>
      <c r="E4759" s="3" t="s">
        <v>1122</v>
      </c>
      <c r="F4759" s="3">
        <v>0</v>
      </c>
      <c r="G4759" s="3">
        <v>3668.3</v>
      </c>
    </row>
    <row r="4760" spans="1:7" x14ac:dyDescent="0.2">
      <c r="A4760" s="3" t="s">
        <v>1072</v>
      </c>
      <c r="B4760" s="4">
        <v>45260</v>
      </c>
      <c r="C4760" s="3" t="s">
        <v>1168</v>
      </c>
      <c r="D4760" s="3" t="s">
        <v>1359</v>
      </c>
      <c r="E4760" s="3" t="s">
        <v>1086</v>
      </c>
      <c r="F4760" s="3">
        <v>0</v>
      </c>
      <c r="G4760" s="3">
        <v>1069</v>
      </c>
    </row>
    <row r="4761" spans="1:7" x14ac:dyDescent="0.2">
      <c r="A4761" s="3" t="s">
        <v>1072</v>
      </c>
      <c r="B4761" s="4">
        <v>45260</v>
      </c>
      <c r="C4761" s="3" t="s">
        <v>1168</v>
      </c>
      <c r="D4761" s="3" t="s">
        <v>1201</v>
      </c>
      <c r="E4761" s="3" t="s">
        <v>1112</v>
      </c>
      <c r="F4761" s="3">
        <v>2706.92</v>
      </c>
      <c r="G4761" s="3">
        <v>33625.1</v>
      </c>
    </row>
    <row r="4762" spans="1:7" x14ac:dyDescent="0.2">
      <c r="A4762" s="3" t="s">
        <v>1072</v>
      </c>
      <c r="B4762" s="4">
        <v>45260</v>
      </c>
      <c r="C4762" s="3" t="s">
        <v>1168</v>
      </c>
      <c r="D4762" s="3" t="s">
        <v>1360</v>
      </c>
      <c r="E4762" s="3" t="s">
        <v>1098</v>
      </c>
      <c r="F4762" s="3">
        <v>2280.91</v>
      </c>
      <c r="G4762" s="3">
        <v>19054.62</v>
      </c>
    </row>
    <row r="4763" spans="1:7" x14ac:dyDescent="0.2">
      <c r="A4763" s="3" t="s">
        <v>1072</v>
      </c>
      <c r="B4763" s="4">
        <v>45260</v>
      </c>
      <c r="C4763" s="3" t="s">
        <v>1168</v>
      </c>
      <c r="D4763" s="3" t="s">
        <v>1361</v>
      </c>
      <c r="E4763" s="3" t="s">
        <v>1121</v>
      </c>
      <c r="F4763" s="3">
        <v>31820</v>
      </c>
      <c r="G4763" s="3">
        <v>268620</v>
      </c>
    </row>
    <row r="4764" spans="1:7" x14ac:dyDescent="0.2">
      <c r="A4764" s="3" t="s">
        <v>1072</v>
      </c>
      <c r="B4764" s="4">
        <v>45260</v>
      </c>
      <c r="C4764" s="3" t="s">
        <v>1168</v>
      </c>
      <c r="D4764" s="3" t="s">
        <v>1231</v>
      </c>
      <c r="E4764" s="3" t="s">
        <v>1083</v>
      </c>
      <c r="F4764" s="3">
        <v>989.75</v>
      </c>
      <c r="G4764" s="3">
        <v>10058.290000000001</v>
      </c>
    </row>
    <row r="4765" spans="1:7" x14ac:dyDescent="0.2">
      <c r="A4765" s="3" t="s">
        <v>1069</v>
      </c>
      <c r="B4765" s="4">
        <v>45260</v>
      </c>
      <c r="C4765" s="3" t="s">
        <v>1168</v>
      </c>
      <c r="D4765" s="3" t="s">
        <v>1231</v>
      </c>
      <c r="E4765" s="3" t="s">
        <v>1070</v>
      </c>
      <c r="F4765" s="3">
        <v>213951.5</v>
      </c>
      <c r="G4765" s="3">
        <v>211633.66</v>
      </c>
    </row>
    <row r="4766" spans="1:7" x14ac:dyDescent="0.2">
      <c r="A4766" s="3" t="s">
        <v>1072</v>
      </c>
      <c r="B4766" s="4">
        <v>45260</v>
      </c>
      <c r="C4766" s="3" t="s">
        <v>1168</v>
      </c>
      <c r="D4766" s="3" t="s">
        <v>1254</v>
      </c>
      <c r="E4766" s="3" t="s">
        <v>1075</v>
      </c>
      <c r="F4766" s="3">
        <v>599.97</v>
      </c>
      <c r="G4766" s="3">
        <v>16125.02</v>
      </c>
    </row>
    <row r="4767" spans="1:7" x14ac:dyDescent="0.2">
      <c r="A4767" s="3" t="s">
        <v>1069</v>
      </c>
      <c r="B4767" s="4">
        <v>45260</v>
      </c>
      <c r="C4767" s="3" t="s">
        <v>1168</v>
      </c>
      <c r="D4767" s="3" t="s">
        <v>1254</v>
      </c>
      <c r="E4767" s="3" t="s">
        <v>1075</v>
      </c>
      <c r="F4767" s="3">
        <v>0</v>
      </c>
      <c r="G4767" s="3">
        <v>34547.279999999999</v>
      </c>
    </row>
    <row r="4768" spans="1:7" x14ac:dyDescent="0.2">
      <c r="A4768" s="3" t="s">
        <v>1074</v>
      </c>
      <c r="B4768" s="4">
        <v>45260</v>
      </c>
      <c r="C4768" s="3" t="s">
        <v>1168</v>
      </c>
      <c r="D4768" s="3" t="s">
        <v>1254</v>
      </c>
      <c r="E4768" s="3" t="s">
        <v>1075</v>
      </c>
      <c r="F4768" s="3">
        <v>0</v>
      </c>
      <c r="G4768" s="3">
        <v>15563.49</v>
      </c>
    </row>
    <row r="4769" spans="1:7" x14ac:dyDescent="0.2">
      <c r="A4769" s="3" t="s">
        <v>1072</v>
      </c>
      <c r="B4769" s="4">
        <v>45260</v>
      </c>
      <c r="C4769" s="3" t="s">
        <v>1168</v>
      </c>
      <c r="D4769" s="3" t="s">
        <v>1362</v>
      </c>
      <c r="E4769" s="3" t="s">
        <v>1123</v>
      </c>
      <c r="F4769" s="3">
        <v>448756.2</v>
      </c>
      <c r="G4769" s="3">
        <v>3332419.13</v>
      </c>
    </row>
    <row r="4770" spans="1:7" x14ac:dyDescent="0.2">
      <c r="A4770" s="3" t="s">
        <v>1072</v>
      </c>
      <c r="B4770" s="4">
        <v>45260</v>
      </c>
      <c r="C4770" s="3" t="s">
        <v>1168</v>
      </c>
      <c r="D4770" s="3" t="s">
        <v>1365</v>
      </c>
      <c r="E4770" s="3" t="s">
        <v>1090</v>
      </c>
      <c r="F4770" s="3">
        <v>0</v>
      </c>
      <c r="G4770" s="3">
        <v>5192.13</v>
      </c>
    </row>
    <row r="4771" spans="1:7" x14ac:dyDescent="0.2">
      <c r="A4771" s="3" t="s">
        <v>1072</v>
      </c>
      <c r="B4771" s="4">
        <v>45260</v>
      </c>
      <c r="C4771" s="3" t="s">
        <v>1168</v>
      </c>
      <c r="D4771" s="3" t="s">
        <v>1511</v>
      </c>
      <c r="E4771" s="3" t="s">
        <v>1104</v>
      </c>
      <c r="F4771" s="3">
        <v>191.17</v>
      </c>
      <c r="G4771" s="3">
        <v>1623.65</v>
      </c>
    </row>
    <row r="4772" spans="1:7" x14ac:dyDescent="0.2">
      <c r="A4772" s="3" t="s">
        <v>1069</v>
      </c>
      <c r="B4772" s="4">
        <v>45260</v>
      </c>
      <c r="C4772" s="3" t="s">
        <v>1168</v>
      </c>
      <c r="D4772" s="3" t="s">
        <v>1366</v>
      </c>
      <c r="E4772" s="3" t="s">
        <v>1104</v>
      </c>
      <c r="F4772" s="3">
        <v>7198.71</v>
      </c>
      <c r="G4772" s="3">
        <v>7198.71</v>
      </c>
    </row>
    <row r="4773" spans="1:7" x14ac:dyDescent="0.2">
      <c r="A4773" s="3" t="s">
        <v>1072</v>
      </c>
      <c r="B4773" s="4">
        <v>45260</v>
      </c>
      <c r="C4773" s="3" t="s">
        <v>1168</v>
      </c>
      <c r="D4773" s="3" t="s">
        <v>1366</v>
      </c>
      <c r="E4773" s="3" t="s">
        <v>1144</v>
      </c>
      <c r="F4773" s="3">
        <v>0</v>
      </c>
      <c r="G4773" s="3">
        <v>31010.74</v>
      </c>
    </row>
    <row r="4774" spans="1:7" x14ac:dyDescent="0.2">
      <c r="A4774" s="3" t="s">
        <v>1069</v>
      </c>
      <c r="B4774" s="4">
        <v>45260</v>
      </c>
      <c r="C4774" s="3" t="s">
        <v>1168</v>
      </c>
      <c r="D4774" s="3" t="s">
        <v>1213</v>
      </c>
      <c r="E4774" s="3" t="s">
        <v>1150</v>
      </c>
      <c r="F4774" s="3">
        <v>366.14</v>
      </c>
      <c r="G4774" s="3">
        <v>3181.98</v>
      </c>
    </row>
    <row r="4775" spans="1:7" x14ac:dyDescent="0.2">
      <c r="A4775" s="3" t="s">
        <v>1072</v>
      </c>
      <c r="B4775" s="4">
        <v>45260</v>
      </c>
      <c r="C4775" s="3" t="s">
        <v>1168</v>
      </c>
      <c r="D4775" s="3" t="s">
        <v>1367</v>
      </c>
      <c r="E4775" s="3" t="s">
        <v>1147</v>
      </c>
      <c r="F4775" s="3">
        <v>1190.0999999999999</v>
      </c>
      <c r="G4775" s="3">
        <v>3452.7</v>
      </c>
    </row>
    <row r="4776" spans="1:7" x14ac:dyDescent="0.2">
      <c r="A4776" s="3" t="s">
        <v>1072</v>
      </c>
      <c r="B4776" s="4">
        <v>45260</v>
      </c>
      <c r="C4776" s="3" t="s">
        <v>1168</v>
      </c>
      <c r="D4776" s="3" t="s">
        <v>1368</v>
      </c>
      <c r="E4776" s="3" t="s">
        <v>1124</v>
      </c>
      <c r="F4776" s="3">
        <v>1697.41</v>
      </c>
      <c r="G4776" s="3">
        <v>32833.54</v>
      </c>
    </row>
    <row r="4777" spans="1:7" x14ac:dyDescent="0.2">
      <c r="A4777" s="3" t="s">
        <v>1072</v>
      </c>
      <c r="B4777" s="4">
        <v>45260</v>
      </c>
      <c r="C4777" s="3" t="s">
        <v>1168</v>
      </c>
      <c r="D4777" s="3" t="s">
        <v>1369</v>
      </c>
      <c r="E4777" s="3" t="s">
        <v>1099</v>
      </c>
      <c r="F4777" s="3">
        <v>0</v>
      </c>
      <c r="G4777" s="3">
        <v>13527.97</v>
      </c>
    </row>
    <row r="4778" spans="1:7" x14ac:dyDescent="0.2">
      <c r="A4778" s="3" t="s">
        <v>1072</v>
      </c>
      <c r="B4778" s="4">
        <v>45260</v>
      </c>
      <c r="C4778" s="3" t="s">
        <v>1168</v>
      </c>
      <c r="D4778" s="3" t="s">
        <v>1370</v>
      </c>
      <c r="E4778" s="3" t="s">
        <v>1129</v>
      </c>
      <c r="F4778" s="3">
        <v>747</v>
      </c>
      <c r="G4778" s="3">
        <v>6723</v>
      </c>
    </row>
    <row r="4779" spans="1:7" x14ac:dyDescent="0.2">
      <c r="A4779" s="3" t="s">
        <v>1072</v>
      </c>
      <c r="B4779" s="4">
        <v>45260</v>
      </c>
      <c r="C4779" s="3" t="s">
        <v>1168</v>
      </c>
      <c r="D4779" s="3" t="s">
        <v>1371</v>
      </c>
      <c r="E4779" s="3" t="s">
        <v>1093</v>
      </c>
      <c r="F4779" s="3">
        <v>0</v>
      </c>
      <c r="G4779" s="3">
        <v>10825.49</v>
      </c>
    </row>
    <row r="4780" spans="1:7" x14ac:dyDescent="0.2">
      <c r="A4780" s="3" t="s">
        <v>1072</v>
      </c>
      <c r="B4780" s="4">
        <v>45260</v>
      </c>
      <c r="C4780" s="3" t="s">
        <v>1168</v>
      </c>
      <c r="D4780" s="3" t="s">
        <v>1372</v>
      </c>
      <c r="E4780" s="3" t="s">
        <v>1158</v>
      </c>
      <c r="F4780" s="3">
        <v>600</v>
      </c>
      <c r="G4780" s="3">
        <v>5400</v>
      </c>
    </row>
    <row r="4781" spans="1:7" x14ac:dyDescent="0.2">
      <c r="A4781" s="3" t="s">
        <v>1072</v>
      </c>
      <c r="B4781" s="4">
        <v>45260</v>
      </c>
      <c r="C4781" s="3" t="s">
        <v>1168</v>
      </c>
      <c r="D4781" s="3" t="s">
        <v>1373</v>
      </c>
      <c r="E4781" s="3" t="s">
        <v>1092</v>
      </c>
      <c r="F4781" s="3">
        <v>1215.69</v>
      </c>
      <c r="G4781" s="3">
        <v>7796.41</v>
      </c>
    </row>
    <row r="4782" spans="1:7" x14ac:dyDescent="0.2">
      <c r="A4782" s="3" t="s">
        <v>1072</v>
      </c>
      <c r="B4782" s="4">
        <v>45260</v>
      </c>
      <c r="C4782" s="3" t="s">
        <v>1168</v>
      </c>
      <c r="D4782" s="3" t="s">
        <v>1737</v>
      </c>
      <c r="E4782" s="3" t="s">
        <v>1148</v>
      </c>
      <c r="F4782" s="3">
        <v>1437.86</v>
      </c>
      <c r="G4782" s="3">
        <v>1437.86</v>
      </c>
    </row>
    <row r="4783" spans="1:7" x14ac:dyDescent="0.2">
      <c r="A4783" s="3" t="s">
        <v>1072</v>
      </c>
      <c r="B4783" s="4">
        <v>45260</v>
      </c>
      <c r="C4783" s="3" t="s">
        <v>1168</v>
      </c>
      <c r="D4783" s="3" t="s">
        <v>1714</v>
      </c>
      <c r="E4783" s="3" t="s">
        <v>1091</v>
      </c>
      <c r="F4783" s="3">
        <v>0</v>
      </c>
      <c r="G4783" s="3">
        <v>4498.72</v>
      </c>
    </row>
    <row r="4784" spans="1:7" x14ac:dyDescent="0.2">
      <c r="A4784" s="3" t="s">
        <v>1069</v>
      </c>
      <c r="B4784" s="4">
        <v>45260</v>
      </c>
      <c r="C4784" s="3" t="s">
        <v>1168</v>
      </c>
      <c r="D4784" s="3" t="s">
        <v>1232</v>
      </c>
      <c r="E4784" s="3" t="s">
        <v>1105</v>
      </c>
      <c r="F4784" s="3">
        <v>600</v>
      </c>
      <c r="G4784" s="3">
        <v>5400</v>
      </c>
    </row>
    <row r="4785" spans="1:7" x14ac:dyDescent="0.2">
      <c r="A4785" s="3" t="s">
        <v>1074</v>
      </c>
      <c r="B4785" s="4">
        <v>45260</v>
      </c>
      <c r="C4785" s="3" t="s">
        <v>1168</v>
      </c>
      <c r="D4785" s="3" t="s">
        <v>1232</v>
      </c>
      <c r="E4785" s="3" t="s">
        <v>1105</v>
      </c>
      <c r="F4785" s="3">
        <v>600</v>
      </c>
      <c r="G4785" s="3">
        <v>5400</v>
      </c>
    </row>
    <row r="4786" spans="1:7" x14ac:dyDescent="0.2">
      <c r="A4786" s="3" t="s">
        <v>1069</v>
      </c>
      <c r="B4786" s="4">
        <v>45260</v>
      </c>
      <c r="C4786" s="3" t="s">
        <v>1168</v>
      </c>
      <c r="D4786" s="3" t="s">
        <v>1262</v>
      </c>
      <c r="E4786" s="3" t="s">
        <v>1127</v>
      </c>
      <c r="F4786" s="3">
        <v>0</v>
      </c>
      <c r="G4786" s="3">
        <v>526.32000000000005</v>
      </c>
    </row>
    <row r="4787" spans="1:7" x14ac:dyDescent="0.2">
      <c r="A4787" s="3" t="s">
        <v>1072</v>
      </c>
      <c r="B4787" s="4">
        <v>45260</v>
      </c>
      <c r="C4787" s="3" t="s">
        <v>1168</v>
      </c>
      <c r="D4787" s="3" t="s">
        <v>1374</v>
      </c>
      <c r="E4787" s="3" t="s">
        <v>1108</v>
      </c>
      <c r="F4787" s="3">
        <v>0</v>
      </c>
      <c r="G4787" s="3">
        <v>4000</v>
      </c>
    </row>
    <row r="4788" spans="1:7" x14ac:dyDescent="0.2">
      <c r="A4788" s="3" t="s">
        <v>1072</v>
      </c>
      <c r="B4788" s="4">
        <v>45260</v>
      </c>
      <c r="C4788" s="3" t="s">
        <v>1168</v>
      </c>
      <c r="D4788" s="3" t="s">
        <v>1375</v>
      </c>
      <c r="E4788" s="3" t="s">
        <v>1100</v>
      </c>
      <c r="F4788" s="3">
        <v>0</v>
      </c>
      <c r="G4788" s="3">
        <v>11566.33</v>
      </c>
    </row>
    <row r="4789" spans="1:7" x14ac:dyDescent="0.2">
      <c r="A4789" s="3" t="s">
        <v>1072</v>
      </c>
      <c r="B4789" s="4">
        <v>45260</v>
      </c>
      <c r="C4789" s="3" t="s">
        <v>1168</v>
      </c>
      <c r="D4789" s="3" t="s">
        <v>1378</v>
      </c>
      <c r="E4789" s="3" t="s">
        <v>1143</v>
      </c>
      <c r="F4789" s="3">
        <v>98374.47</v>
      </c>
      <c r="G4789" s="3">
        <v>746532.57</v>
      </c>
    </row>
    <row r="4790" spans="1:7" x14ac:dyDescent="0.2">
      <c r="A4790" s="3" t="s">
        <v>1072</v>
      </c>
      <c r="B4790" s="4">
        <v>45260</v>
      </c>
      <c r="C4790" s="3" t="s">
        <v>1168</v>
      </c>
      <c r="D4790" s="3" t="s">
        <v>1379</v>
      </c>
      <c r="E4790" s="3" t="s">
        <v>1107</v>
      </c>
      <c r="F4790" s="3">
        <v>5370.73</v>
      </c>
      <c r="G4790" s="3">
        <v>39697.19</v>
      </c>
    </row>
    <row r="4791" spans="1:7" x14ac:dyDescent="0.2">
      <c r="A4791" s="3" t="s">
        <v>1072</v>
      </c>
      <c r="B4791" s="4">
        <v>45260</v>
      </c>
      <c r="C4791" s="3" t="s">
        <v>1168</v>
      </c>
      <c r="D4791" s="3" t="s">
        <v>1380</v>
      </c>
      <c r="E4791" s="3" t="s">
        <v>1125</v>
      </c>
      <c r="F4791" s="3">
        <v>3093.33</v>
      </c>
      <c r="G4791" s="3">
        <v>21823.68</v>
      </c>
    </row>
    <row r="4792" spans="1:7" x14ac:dyDescent="0.2">
      <c r="A4792" s="3" t="s">
        <v>1072</v>
      </c>
      <c r="B4792" s="4">
        <v>45260</v>
      </c>
      <c r="C4792" s="3" t="s">
        <v>1168</v>
      </c>
      <c r="D4792" s="3" t="s">
        <v>1381</v>
      </c>
      <c r="E4792" s="3" t="s">
        <v>1130</v>
      </c>
      <c r="F4792" s="3">
        <v>3093.33</v>
      </c>
      <c r="G4792" s="3">
        <v>21823.68</v>
      </c>
    </row>
    <row r="4793" spans="1:7" x14ac:dyDescent="0.2">
      <c r="A4793" s="3" t="s">
        <v>1072</v>
      </c>
      <c r="B4793" s="4">
        <v>45260</v>
      </c>
      <c r="C4793" s="3" t="s">
        <v>1168</v>
      </c>
      <c r="D4793" s="3" t="s">
        <v>1458</v>
      </c>
      <c r="E4793" s="3" t="s">
        <v>1113</v>
      </c>
      <c r="F4793" s="3">
        <v>0</v>
      </c>
      <c r="G4793" s="3">
        <v>15075.35</v>
      </c>
    </row>
    <row r="4794" spans="1:7" x14ac:dyDescent="0.2">
      <c r="A4794" s="3" t="s">
        <v>1072</v>
      </c>
      <c r="B4794" s="4">
        <v>45260</v>
      </c>
      <c r="C4794" s="3" t="s">
        <v>1168</v>
      </c>
      <c r="D4794" s="3" t="s">
        <v>1459</v>
      </c>
      <c r="E4794" s="3" t="s">
        <v>1139</v>
      </c>
      <c r="F4794" s="3">
        <v>0</v>
      </c>
      <c r="G4794" s="3">
        <v>4562.1000000000004</v>
      </c>
    </row>
    <row r="4795" spans="1:7" x14ac:dyDescent="0.2">
      <c r="A4795" s="3" t="s">
        <v>1069</v>
      </c>
      <c r="B4795" s="4">
        <v>45260</v>
      </c>
      <c r="C4795" s="3" t="s">
        <v>1172</v>
      </c>
      <c r="D4795" s="3" t="s">
        <v>1173</v>
      </c>
      <c r="E4795" s="3" t="s">
        <v>1174</v>
      </c>
      <c r="F4795" s="3">
        <v>0</v>
      </c>
      <c r="G4795" s="3">
        <v>-100</v>
      </c>
    </row>
    <row r="4796" spans="1:7" x14ac:dyDescent="0.2">
      <c r="A4796" s="3" t="s">
        <v>1072</v>
      </c>
      <c r="B4796" s="4">
        <v>45260</v>
      </c>
      <c r="C4796" s="3" t="s">
        <v>1172</v>
      </c>
      <c r="D4796" s="3" t="s">
        <v>1382</v>
      </c>
      <c r="E4796" s="3" t="s">
        <v>1383</v>
      </c>
      <c r="F4796" s="3">
        <v>0</v>
      </c>
      <c r="G4796" s="3">
        <v>-120</v>
      </c>
    </row>
    <row r="4797" spans="1:7" x14ac:dyDescent="0.2">
      <c r="A4797" s="3" t="s">
        <v>1072</v>
      </c>
      <c r="B4797" s="4">
        <v>45260</v>
      </c>
      <c r="C4797" s="3" t="s">
        <v>1172</v>
      </c>
      <c r="D4797" s="3" t="s">
        <v>1384</v>
      </c>
      <c r="E4797" s="3" t="s">
        <v>1385</v>
      </c>
      <c r="F4797" s="3">
        <v>0</v>
      </c>
      <c r="G4797" s="3">
        <v>-296075.58</v>
      </c>
    </row>
    <row r="4798" spans="1:7" x14ac:dyDescent="0.2">
      <c r="A4798" s="3" t="s">
        <v>1069</v>
      </c>
      <c r="B4798" s="4">
        <v>45260</v>
      </c>
      <c r="C4798" s="3" t="s">
        <v>1172</v>
      </c>
      <c r="D4798" s="3" t="s">
        <v>1384</v>
      </c>
      <c r="E4798" s="3" t="s">
        <v>1385</v>
      </c>
      <c r="F4798" s="3">
        <v>0</v>
      </c>
      <c r="G4798" s="3">
        <v>-17843179.579999998</v>
      </c>
    </row>
    <row r="4799" spans="1:7" x14ac:dyDescent="0.2">
      <c r="A4799" s="3" t="s">
        <v>1074</v>
      </c>
      <c r="B4799" s="4">
        <v>45260</v>
      </c>
      <c r="C4799" s="3" t="s">
        <v>1172</v>
      </c>
      <c r="D4799" s="3" t="s">
        <v>1384</v>
      </c>
      <c r="E4799" s="3" t="s">
        <v>1385</v>
      </c>
      <c r="F4799" s="3">
        <v>0</v>
      </c>
      <c r="G4799" s="3">
        <v>70398.12</v>
      </c>
    </row>
    <row r="4800" spans="1:7" x14ac:dyDescent="0.2">
      <c r="A4800" s="3" t="s">
        <v>1069</v>
      </c>
      <c r="B4800" s="4">
        <v>45260</v>
      </c>
      <c r="C4800" s="3" t="s">
        <v>1180</v>
      </c>
      <c r="D4800" s="3" t="s">
        <v>1241</v>
      </c>
      <c r="E4800" s="3" t="s">
        <v>1242</v>
      </c>
      <c r="F4800" s="3">
        <v>0</v>
      </c>
      <c r="G4800" s="3">
        <v>17562360.850000001</v>
      </c>
    </row>
    <row r="4801" spans="1:7" x14ac:dyDescent="0.2">
      <c r="A4801" s="3" t="s">
        <v>1069</v>
      </c>
      <c r="B4801" s="4">
        <v>45260</v>
      </c>
      <c r="C4801" s="3" t="s">
        <v>1180</v>
      </c>
      <c r="D4801" s="3" t="s">
        <v>1733</v>
      </c>
      <c r="E4801" s="3" t="s">
        <v>1734</v>
      </c>
      <c r="F4801" s="3">
        <v>1800000</v>
      </c>
      <c r="G4801" s="3">
        <v>4950000</v>
      </c>
    </row>
    <row r="4802" spans="1:7" x14ac:dyDescent="0.2">
      <c r="A4802" s="3" t="s">
        <v>1072</v>
      </c>
      <c r="B4802" s="4">
        <v>45260</v>
      </c>
      <c r="C4802" s="3" t="s">
        <v>1180</v>
      </c>
      <c r="D4802" s="3" t="s">
        <v>1483</v>
      </c>
      <c r="E4802" s="3" t="s">
        <v>1177</v>
      </c>
      <c r="F4802" s="3">
        <v>-2377423.63</v>
      </c>
      <c r="G4802" s="3">
        <v>-2267423.63</v>
      </c>
    </row>
    <row r="4803" spans="1:7" x14ac:dyDescent="0.2">
      <c r="A4803" s="3" t="s">
        <v>1072</v>
      </c>
      <c r="B4803" s="4">
        <v>45260</v>
      </c>
      <c r="C4803" s="3" t="s">
        <v>1180</v>
      </c>
      <c r="D4803" s="3" t="s">
        <v>1388</v>
      </c>
      <c r="E4803" s="3" t="s">
        <v>1389</v>
      </c>
      <c r="F4803" s="3">
        <v>0</v>
      </c>
      <c r="G4803" s="3">
        <v>-4342.5</v>
      </c>
    </row>
    <row r="4804" spans="1:7" x14ac:dyDescent="0.2">
      <c r="A4804" s="3" t="s">
        <v>1072</v>
      </c>
      <c r="B4804" s="4">
        <v>45260</v>
      </c>
      <c r="C4804" s="3" t="s">
        <v>1180</v>
      </c>
      <c r="D4804" s="3" t="s">
        <v>1723</v>
      </c>
      <c r="E4804" s="3" t="s">
        <v>1724</v>
      </c>
      <c r="F4804" s="3">
        <v>0</v>
      </c>
      <c r="G4804" s="3">
        <v>4702.3500000000004</v>
      </c>
    </row>
    <row r="4805" spans="1:7" x14ac:dyDescent="0.2">
      <c r="A4805" s="3" t="s">
        <v>1072</v>
      </c>
      <c r="B4805" s="4">
        <v>45260</v>
      </c>
      <c r="C4805" s="3" t="s">
        <v>1180</v>
      </c>
      <c r="D4805" s="3" t="s">
        <v>1390</v>
      </c>
      <c r="E4805" s="3" t="s">
        <v>1391</v>
      </c>
      <c r="F4805" s="3">
        <v>200000</v>
      </c>
      <c r="G4805" s="3">
        <v>-2001000</v>
      </c>
    </row>
    <row r="4806" spans="1:7" x14ac:dyDescent="0.2">
      <c r="A4806" s="3" t="s">
        <v>1072</v>
      </c>
      <c r="B4806" s="4">
        <v>45260</v>
      </c>
      <c r="C4806" s="3" t="s">
        <v>1180</v>
      </c>
      <c r="D4806" s="3" t="s">
        <v>1392</v>
      </c>
      <c r="E4806" s="3" t="s">
        <v>1393</v>
      </c>
      <c r="F4806" s="3">
        <v>0</v>
      </c>
      <c r="G4806" s="3">
        <v>4342.5</v>
      </c>
    </row>
    <row r="4807" spans="1:7" x14ac:dyDescent="0.2">
      <c r="A4807" s="3" t="s">
        <v>1072</v>
      </c>
      <c r="B4807" s="4">
        <v>45260</v>
      </c>
      <c r="C4807" s="3" t="s">
        <v>1180</v>
      </c>
      <c r="D4807" s="3" t="s">
        <v>1394</v>
      </c>
      <c r="E4807" s="3" t="s">
        <v>1256</v>
      </c>
      <c r="F4807" s="3">
        <v>-56800</v>
      </c>
      <c r="G4807" s="3">
        <v>-19400</v>
      </c>
    </row>
    <row r="4808" spans="1:7" x14ac:dyDescent="0.2">
      <c r="A4808" s="3" t="s">
        <v>1072</v>
      </c>
      <c r="B4808" s="4">
        <v>45260</v>
      </c>
      <c r="C4808" s="3" t="s">
        <v>1180</v>
      </c>
      <c r="D4808" s="3" t="s">
        <v>1395</v>
      </c>
      <c r="E4808" s="3" t="s">
        <v>1396</v>
      </c>
      <c r="F4808" s="3">
        <v>255202</v>
      </c>
      <c r="G4808" s="3">
        <v>-18309738.420000002</v>
      </c>
    </row>
    <row r="4809" spans="1:7" x14ac:dyDescent="0.2">
      <c r="A4809" s="3" t="s">
        <v>1072</v>
      </c>
      <c r="B4809" s="4">
        <v>45260</v>
      </c>
      <c r="C4809" s="3" t="s">
        <v>1180</v>
      </c>
      <c r="D4809" s="3" t="s">
        <v>1397</v>
      </c>
      <c r="E4809" s="3" t="s">
        <v>1398</v>
      </c>
      <c r="F4809" s="3">
        <v>-96800</v>
      </c>
      <c r="G4809" s="3">
        <v>-201989.44</v>
      </c>
    </row>
    <row r="4810" spans="1:7" x14ac:dyDescent="0.2">
      <c r="A4810" s="3" t="s">
        <v>1072</v>
      </c>
      <c r="B4810" s="4">
        <v>45260</v>
      </c>
      <c r="C4810" s="3" t="s">
        <v>1180</v>
      </c>
      <c r="D4810" s="3" t="s">
        <v>1512</v>
      </c>
      <c r="E4810" s="3" t="s">
        <v>1513</v>
      </c>
      <c r="F4810" s="3">
        <v>1270500</v>
      </c>
      <c r="G4810" s="3">
        <v>26672687.399999999</v>
      </c>
    </row>
    <row r="4811" spans="1:7" x14ac:dyDescent="0.2">
      <c r="A4811" s="3" t="s">
        <v>1072</v>
      </c>
      <c r="B4811" s="4">
        <v>45260</v>
      </c>
      <c r="C4811" s="3" t="s">
        <v>1180</v>
      </c>
      <c r="D4811" s="3" t="s">
        <v>1399</v>
      </c>
      <c r="E4811" s="3" t="s">
        <v>1400</v>
      </c>
      <c r="F4811" s="3">
        <v>-40000</v>
      </c>
      <c r="G4811" s="3">
        <v>37399</v>
      </c>
    </row>
    <row r="4812" spans="1:7" x14ac:dyDescent="0.2">
      <c r="A4812" s="3" t="s">
        <v>1074</v>
      </c>
      <c r="B4812" s="4">
        <v>45260</v>
      </c>
      <c r="C4812" s="3" t="s">
        <v>1175</v>
      </c>
      <c r="D4812" s="3" t="s">
        <v>1492</v>
      </c>
      <c r="E4812" s="3" t="s">
        <v>1493</v>
      </c>
      <c r="F4812" s="3">
        <v>-7854363.5999999996</v>
      </c>
      <c r="G4812" s="3">
        <v>-51286984.399999999</v>
      </c>
    </row>
    <row r="4813" spans="1:7" x14ac:dyDescent="0.2">
      <c r="A4813" s="3" t="s">
        <v>1069</v>
      </c>
      <c r="B4813" s="4">
        <v>45260</v>
      </c>
      <c r="C4813" s="3" t="s">
        <v>1175</v>
      </c>
      <c r="D4813" s="3" t="s">
        <v>1178</v>
      </c>
      <c r="E4813" s="3" t="s">
        <v>1179</v>
      </c>
      <c r="F4813" s="3">
        <v>-255202</v>
      </c>
      <c r="G4813" s="3">
        <v>18309738.420000002</v>
      </c>
    </row>
    <row r="4814" spans="1:7" x14ac:dyDescent="0.2">
      <c r="A4814" s="3" t="s">
        <v>1069</v>
      </c>
      <c r="B4814" s="4">
        <v>45260</v>
      </c>
      <c r="C4814" s="3" t="s">
        <v>1175</v>
      </c>
      <c r="D4814" s="3" t="s">
        <v>1233</v>
      </c>
      <c r="E4814" s="3" t="s">
        <v>1234</v>
      </c>
      <c r="F4814" s="3">
        <v>50000</v>
      </c>
      <c r="G4814" s="3">
        <v>4094275</v>
      </c>
    </row>
    <row r="4815" spans="1:7" x14ac:dyDescent="0.2">
      <c r="A4815" s="3" t="s">
        <v>1069</v>
      </c>
      <c r="B4815" s="4">
        <v>45260</v>
      </c>
      <c r="C4815" s="3" t="s">
        <v>1175</v>
      </c>
      <c r="D4815" s="3" t="s">
        <v>1494</v>
      </c>
      <c r="E4815" s="3" t="s">
        <v>1495</v>
      </c>
      <c r="F4815" s="3">
        <v>7853163.5999999996</v>
      </c>
      <c r="G4815" s="3">
        <v>51285784.399999999</v>
      </c>
    </row>
    <row r="4816" spans="1:7" x14ac:dyDescent="0.2">
      <c r="A4816" s="3" t="s">
        <v>1069</v>
      </c>
      <c r="B4816" s="4">
        <v>45260</v>
      </c>
      <c r="C4816" s="3" t="s">
        <v>1175</v>
      </c>
      <c r="D4816" s="3" t="s">
        <v>1516</v>
      </c>
      <c r="E4816" s="3" t="s">
        <v>1400</v>
      </c>
      <c r="F4816" s="3">
        <v>0</v>
      </c>
      <c r="G4816" s="3">
        <v>42100</v>
      </c>
    </row>
    <row r="4817" spans="1:7" x14ac:dyDescent="0.2">
      <c r="A4817" s="3" t="s">
        <v>1069</v>
      </c>
      <c r="B4817" s="4">
        <v>45260</v>
      </c>
      <c r="C4817" s="3" t="s">
        <v>1175</v>
      </c>
      <c r="D4817" s="3" t="s">
        <v>1517</v>
      </c>
      <c r="E4817" s="3" t="s">
        <v>1398</v>
      </c>
      <c r="F4817" s="3">
        <v>20370.22</v>
      </c>
      <c r="G4817" s="3">
        <v>0</v>
      </c>
    </row>
    <row r="4818" spans="1:7" x14ac:dyDescent="0.2">
      <c r="A4818" s="3" t="s">
        <v>1069</v>
      </c>
      <c r="B4818" s="4">
        <v>45260</v>
      </c>
      <c r="C4818" s="3" t="s">
        <v>1175</v>
      </c>
      <c r="D4818" s="3" t="s">
        <v>1738</v>
      </c>
      <c r="E4818" s="3" t="s">
        <v>1739</v>
      </c>
      <c r="F4818" s="3">
        <v>500</v>
      </c>
      <c r="G4818" s="3">
        <v>500</v>
      </c>
    </row>
    <row r="4819" spans="1:7" x14ac:dyDescent="0.2">
      <c r="A4819" s="3" t="s">
        <v>1069</v>
      </c>
      <c r="B4819" s="4">
        <v>45260</v>
      </c>
      <c r="C4819" s="3" t="s">
        <v>1180</v>
      </c>
      <c r="D4819" s="3" t="s">
        <v>1740</v>
      </c>
      <c r="E4819" s="3" t="s">
        <v>1741</v>
      </c>
      <c r="F4819" s="3">
        <v>1304260.8700000001</v>
      </c>
      <c r="G4819" s="3">
        <v>1304260.8700000001</v>
      </c>
    </row>
    <row r="4820" spans="1:7" x14ac:dyDescent="0.2">
      <c r="A4820" s="3" t="s">
        <v>1072</v>
      </c>
      <c r="B4820" s="4">
        <v>45260</v>
      </c>
      <c r="C4820" s="3" t="s">
        <v>1180</v>
      </c>
      <c r="D4820" s="3" t="s">
        <v>1409</v>
      </c>
      <c r="E4820" s="3" t="s">
        <v>1410</v>
      </c>
      <c r="F4820" s="3">
        <v>0</v>
      </c>
      <c r="G4820" s="3">
        <v>216064.1</v>
      </c>
    </row>
    <row r="4821" spans="1:7" x14ac:dyDescent="0.2">
      <c r="A4821" s="3" t="s">
        <v>1072</v>
      </c>
      <c r="B4821" s="4">
        <v>45260</v>
      </c>
      <c r="C4821" s="3" t="s">
        <v>1180</v>
      </c>
      <c r="D4821" s="3" t="s">
        <v>1411</v>
      </c>
      <c r="E4821" s="3" t="s">
        <v>1412</v>
      </c>
      <c r="F4821" s="3">
        <v>0</v>
      </c>
      <c r="G4821" s="3">
        <v>-216063.1</v>
      </c>
    </row>
    <row r="4822" spans="1:7" x14ac:dyDescent="0.2">
      <c r="A4822" s="3" t="s">
        <v>1072</v>
      </c>
      <c r="B4822" s="4">
        <v>45260</v>
      </c>
      <c r="C4822" s="3" t="s">
        <v>1180</v>
      </c>
      <c r="D4822" s="3" t="s">
        <v>1413</v>
      </c>
      <c r="E4822" s="3" t="s">
        <v>1414</v>
      </c>
      <c r="F4822" s="3">
        <v>0</v>
      </c>
      <c r="G4822" s="3">
        <v>178152.48</v>
      </c>
    </row>
    <row r="4823" spans="1:7" x14ac:dyDescent="0.2">
      <c r="A4823" s="3" t="s">
        <v>1072</v>
      </c>
      <c r="B4823" s="4">
        <v>45260</v>
      </c>
      <c r="C4823" s="3" t="s">
        <v>1180</v>
      </c>
      <c r="D4823" s="3" t="s">
        <v>1415</v>
      </c>
      <c r="E4823" s="3" t="s">
        <v>1416</v>
      </c>
      <c r="F4823" s="3">
        <v>-4549.49</v>
      </c>
      <c r="G4823" s="3">
        <v>-75610</v>
      </c>
    </row>
    <row r="4824" spans="1:7" x14ac:dyDescent="0.2">
      <c r="A4824" s="3" t="s">
        <v>1072</v>
      </c>
      <c r="B4824" s="4">
        <v>45260</v>
      </c>
      <c r="C4824" s="3" t="s">
        <v>1180</v>
      </c>
      <c r="D4824" s="3" t="s">
        <v>1462</v>
      </c>
      <c r="E4824" s="3" t="s">
        <v>1463</v>
      </c>
      <c r="F4824" s="3">
        <v>0</v>
      </c>
      <c r="G4824" s="3">
        <v>37955.300000000003</v>
      </c>
    </row>
    <row r="4825" spans="1:7" x14ac:dyDescent="0.2">
      <c r="A4825" s="3" t="s">
        <v>1072</v>
      </c>
      <c r="B4825" s="4">
        <v>45260</v>
      </c>
      <c r="C4825" s="3" t="s">
        <v>1180</v>
      </c>
      <c r="D4825" s="3" t="s">
        <v>1484</v>
      </c>
      <c r="E4825" s="3" t="s">
        <v>1485</v>
      </c>
      <c r="F4825" s="3">
        <v>-547.66999999999996</v>
      </c>
      <c r="G4825" s="3">
        <v>-10823.64</v>
      </c>
    </row>
    <row r="4826" spans="1:7" x14ac:dyDescent="0.2">
      <c r="A4826" s="3" t="s">
        <v>1072</v>
      </c>
      <c r="B4826" s="4">
        <v>45260</v>
      </c>
      <c r="C4826" s="3" t="s">
        <v>1180</v>
      </c>
      <c r="D4826" s="3" t="s">
        <v>1417</v>
      </c>
      <c r="E4826" s="3" t="s">
        <v>1418</v>
      </c>
      <c r="F4826" s="3">
        <v>0</v>
      </c>
      <c r="G4826" s="3">
        <v>71322</v>
      </c>
    </row>
    <row r="4827" spans="1:7" x14ac:dyDescent="0.2">
      <c r="A4827" s="3" t="s">
        <v>1072</v>
      </c>
      <c r="B4827" s="4">
        <v>45260</v>
      </c>
      <c r="C4827" s="3" t="s">
        <v>1180</v>
      </c>
      <c r="D4827" s="3" t="s">
        <v>1419</v>
      </c>
      <c r="E4827" s="3" t="s">
        <v>1420</v>
      </c>
      <c r="F4827" s="3">
        <v>-1188.7</v>
      </c>
      <c r="G4827" s="3">
        <v>-11833.13</v>
      </c>
    </row>
    <row r="4828" spans="1:7" x14ac:dyDescent="0.2">
      <c r="A4828" s="3" t="s">
        <v>1069</v>
      </c>
      <c r="B4828" s="4">
        <v>45260</v>
      </c>
      <c r="C4828" s="3" t="s">
        <v>1180</v>
      </c>
      <c r="D4828" s="3" t="s">
        <v>1421</v>
      </c>
      <c r="E4828" s="3" t="s">
        <v>1422</v>
      </c>
      <c r="F4828" s="3">
        <v>0</v>
      </c>
      <c r="G4828" s="3">
        <v>874505.75</v>
      </c>
    </row>
    <row r="4829" spans="1:7" x14ac:dyDescent="0.2">
      <c r="A4829" s="3" t="s">
        <v>1074</v>
      </c>
      <c r="B4829" s="4">
        <v>45260</v>
      </c>
      <c r="C4829" s="3" t="s">
        <v>1180</v>
      </c>
      <c r="D4829" s="3" t="s">
        <v>1421</v>
      </c>
      <c r="E4829" s="3" t="s">
        <v>1533</v>
      </c>
      <c r="F4829" s="3">
        <v>321335</v>
      </c>
      <c r="G4829" s="3">
        <v>2459685.86</v>
      </c>
    </row>
    <row r="4830" spans="1:7" x14ac:dyDescent="0.2">
      <c r="A4830" s="3" t="s">
        <v>1069</v>
      </c>
      <c r="B4830" s="4">
        <v>45260</v>
      </c>
      <c r="C4830" s="3" t="s">
        <v>1180</v>
      </c>
      <c r="D4830" s="3" t="s">
        <v>1214</v>
      </c>
      <c r="E4830" s="3" t="s">
        <v>1215</v>
      </c>
      <c r="F4830" s="3">
        <v>0</v>
      </c>
      <c r="G4830" s="3">
        <v>26200000</v>
      </c>
    </row>
    <row r="4831" spans="1:7" x14ac:dyDescent="0.2">
      <c r="A4831" s="3" t="s">
        <v>1069</v>
      </c>
      <c r="B4831" s="4">
        <v>45260</v>
      </c>
      <c r="C4831" s="3" t="s">
        <v>1180</v>
      </c>
      <c r="D4831" s="3" t="s">
        <v>1216</v>
      </c>
      <c r="E4831" s="3" t="s">
        <v>1217</v>
      </c>
      <c r="F4831" s="3">
        <v>0</v>
      </c>
      <c r="G4831" s="3">
        <v>68427</v>
      </c>
    </row>
    <row r="4832" spans="1:7" x14ac:dyDescent="0.2">
      <c r="A4832" s="3" t="s">
        <v>1069</v>
      </c>
      <c r="B4832" s="4">
        <v>45260</v>
      </c>
      <c r="C4832" s="3" t="s">
        <v>1180</v>
      </c>
      <c r="D4832" s="3" t="s">
        <v>1218</v>
      </c>
      <c r="E4832" s="3" t="s">
        <v>1219</v>
      </c>
      <c r="F4832" s="3">
        <v>0</v>
      </c>
      <c r="G4832" s="3">
        <v>103812</v>
      </c>
    </row>
    <row r="4833" spans="1:7" x14ac:dyDescent="0.2">
      <c r="A4833" s="3" t="s">
        <v>1069</v>
      </c>
      <c r="B4833" s="4">
        <v>45260</v>
      </c>
      <c r="C4833" s="3" t="s">
        <v>1180</v>
      </c>
      <c r="D4833" s="3" t="s">
        <v>1197</v>
      </c>
      <c r="E4833" s="3" t="s">
        <v>1198</v>
      </c>
      <c r="F4833" s="3">
        <v>0</v>
      </c>
      <c r="G4833" s="3">
        <v>314087</v>
      </c>
    </row>
    <row r="4834" spans="1:7" x14ac:dyDescent="0.2">
      <c r="A4834" s="3" t="s">
        <v>1074</v>
      </c>
      <c r="B4834" s="4">
        <v>45260</v>
      </c>
      <c r="C4834" s="3" t="s">
        <v>1180</v>
      </c>
      <c r="D4834" s="3" t="s">
        <v>1197</v>
      </c>
      <c r="E4834" s="3" t="s">
        <v>1550</v>
      </c>
      <c r="F4834" s="3">
        <v>0</v>
      </c>
      <c r="G4834" s="3">
        <v>765978.5</v>
      </c>
    </row>
    <row r="4835" spans="1:7" x14ac:dyDescent="0.2">
      <c r="A4835" s="3" t="s">
        <v>1069</v>
      </c>
      <c r="B4835" s="4">
        <v>45260</v>
      </c>
      <c r="C4835" s="3" t="s">
        <v>1180</v>
      </c>
      <c r="D4835" s="3" t="s">
        <v>1496</v>
      </c>
      <c r="E4835" s="3" t="s">
        <v>1497</v>
      </c>
      <c r="F4835" s="3">
        <v>0</v>
      </c>
      <c r="G4835" s="3">
        <v>139500</v>
      </c>
    </row>
    <row r="4836" spans="1:7" x14ac:dyDescent="0.2">
      <c r="A4836" s="3" t="s">
        <v>1069</v>
      </c>
      <c r="B4836" s="4">
        <v>45260</v>
      </c>
      <c r="C4836" s="3" t="s">
        <v>1180</v>
      </c>
      <c r="D4836" s="3" t="s">
        <v>1181</v>
      </c>
      <c r="E4836" s="3" t="s">
        <v>1182</v>
      </c>
      <c r="F4836" s="3">
        <v>0</v>
      </c>
      <c r="G4836" s="3">
        <v>8557641.8000000007</v>
      </c>
    </row>
    <row r="4837" spans="1:7" x14ac:dyDescent="0.2">
      <c r="A4837" s="3" t="s">
        <v>1069</v>
      </c>
      <c r="B4837" s="4">
        <v>45260</v>
      </c>
      <c r="C4837" s="3" t="s">
        <v>1180</v>
      </c>
      <c r="D4837" s="3" t="s">
        <v>1263</v>
      </c>
      <c r="E4837" s="3" t="s">
        <v>1264</v>
      </c>
      <c r="F4837" s="3">
        <v>0</v>
      </c>
      <c r="G4837" s="3">
        <v>13807.78</v>
      </c>
    </row>
    <row r="4838" spans="1:7" x14ac:dyDescent="0.2">
      <c r="A4838" s="3" t="s">
        <v>1069</v>
      </c>
      <c r="B4838" s="4">
        <v>45260</v>
      </c>
      <c r="C4838" s="3" t="s">
        <v>1180</v>
      </c>
      <c r="D4838" s="3" t="s">
        <v>1202</v>
      </c>
      <c r="E4838" s="3" t="s">
        <v>1203</v>
      </c>
      <c r="F4838" s="3">
        <v>0</v>
      </c>
      <c r="G4838" s="3">
        <v>197060.09</v>
      </c>
    </row>
    <row r="4839" spans="1:7" x14ac:dyDescent="0.2">
      <c r="A4839" s="3" t="s">
        <v>1074</v>
      </c>
      <c r="B4839" s="4">
        <v>45260</v>
      </c>
      <c r="C4839" s="3" t="s">
        <v>1180</v>
      </c>
      <c r="D4839" s="3" t="s">
        <v>1202</v>
      </c>
      <c r="E4839" s="3" t="s">
        <v>1577</v>
      </c>
      <c r="F4839" s="3">
        <v>71191</v>
      </c>
      <c r="G4839" s="3">
        <v>321942.46999999997</v>
      </c>
    </row>
    <row r="4840" spans="1:7" x14ac:dyDescent="0.2">
      <c r="A4840" s="3" t="s">
        <v>1069</v>
      </c>
      <c r="B4840" s="4">
        <v>45260</v>
      </c>
      <c r="C4840" s="3" t="s">
        <v>1180</v>
      </c>
      <c r="D4840" s="3" t="s">
        <v>1204</v>
      </c>
      <c r="E4840" s="3" t="s">
        <v>1205</v>
      </c>
      <c r="F4840" s="3">
        <v>0</v>
      </c>
      <c r="G4840" s="3">
        <v>7500</v>
      </c>
    </row>
    <row r="4841" spans="1:7" x14ac:dyDescent="0.2">
      <c r="A4841" s="3" t="s">
        <v>1074</v>
      </c>
      <c r="B4841" s="4">
        <v>45260</v>
      </c>
      <c r="C4841" s="3" t="s">
        <v>1180</v>
      </c>
      <c r="D4841" s="3" t="s">
        <v>1204</v>
      </c>
      <c r="E4841" s="3" t="s">
        <v>1673</v>
      </c>
      <c r="F4841" s="3">
        <v>0</v>
      </c>
      <c r="G4841" s="3">
        <v>114370.5</v>
      </c>
    </row>
    <row r="4842" spans="1:7" x14ac:dyDescent="0.2">
      <c r="A4842" s="3" t="s">
        <v>1069</v>
      </c>
      <c r="B4842" s="4">
        <v>45260</v>
      </c>
      <c r="C4842" s="3" t="s">
        <v>1180</v>
      </c>
      <c r="D4842" s="3" t="s">
        <v>1199</v>
      </c>
      <c r="E4842" s="3" t="s">
        <v>1200</v>
      </c>
      <c r="F4842" s="3">
        <v>0</v>
      </c>
      <c r="G4842" s="3">
        <v>146256.38</v>
      </c>
    </row>
    <row r="4843" spans="1:7" x14ac:dyDescent="0.2">
      <c r="A4843" s="3" t="s">
        <v>1069</v>
      </c>
      <c r="B4843" s="4">
        <v>45260</v>
      </c>
      <c r="C4843" s="3" t="s">
        <v>1180</v>
      </c>
      <c r="D4843" s="3" t="s">
        <v>1486</v>
      </c>
      <c r="E4843" s="3" t="s">
        <v>1487</v>
      </c>
      <c r="F4843" s="3">
        <v>0</v>
      </c>
      <c r="G4843" s="3">
        <v>20600</v>
      </c>
    </row>
    <row r="4844" spans="1:7" x14ac:dyDescent="0.2">
      <c r="A4844" s="3" t="s">
        <v>1069</v>
      </c>
      <c r="B4844" s="4">
        <v>45260</v>
      </c>
      <c r="C4844" s="3" t="s">
        <v>1180</v>
      </c>
      <c r="D4844" s="3" t="s">
        <v>1220</v>
      </c>
      <c r="E4844" s="3" t="s">
        <v>1221</v>
      </c>
      <c r="F4844" s="3">
        <v>0</v>
      </c>
      <c r="G4844" s="3">
        <v>15175</v>
      </c>
    </row>
    <row r="4845" spans="1:7" x14ac:dyDescent="0.2">
      <c r="A4845" s="3" t="s">
        <v>1069</v>
      </c>
      <c r="B4845" s="4">
        <v>45260</v>
      </c>
      <c r="C4845" s="3" t="s">
        <v>1180</v>
      </c>
      <c r="D4845" s="3" t="s">
        <v>1498</v>
      </c>
      <c r="E4845" s="3" t="s">
        <v>1499</v>
      </c>
      <c r="F4845" s="3">
        <v>0</v>
      </c>
      <c r="G4845" s="3">
        <v>570856.07999999996</v>
      </c>
    </row>
    <row r="4846" spans="1:7" x14ac:dyDescent="0.2">
      <c r="A4846" s="3" t="s">
        <v>1069</v>
      </c>
      <c r="B4846" s="4">
        <v>45260</v>
      </c>
      <c r="C4846" s="3" t="s">
        <v>1180</v>
      </c>
      <c r="D4846" s="3" t="s">
        <v>1183</v>
      </c>
      <c r="E4846" s="3" t="s">
        <v>1184</v>
      </c>
      <c r="F4846" s="3">
        <v>0</v>
      </c>
      <c r="G4846" s="3">
        <v>47748851.509999998</v>
      </c>
    </row>
    <row r="4847" spans="1:7" x14ac:dyDescent="0.2">
      <c r="A4847" s="3" t="s">
        <v>1074</v>
      </c>
      <c r="B4847" s="4">
        <v>45260</v>
      </c>
      <c r="C4847" s="3" t="s">
        <v>1180</v>
      </c>
      <c r="D4847" s="3" t="s">
        <v>1183</v>
      </c>
      <c r="E4847" s="3" t="s">
        <v>1631</v>
      </c>
      <c r="F4847" s="3">
        <v>11562012.710000001</v>
      </c>
      <c r="G4847" s="3">
        <v>31135708.780000001</v>
      </c>
    </row>
    <row r="4848" spans="1:7" x14ac:dyDescent="0.2">
      <c r="A4848" s="3" t="s">
        <v>1069</v>
      </c>
      <c r="B4848" s="4">
        <v>45260</v>
      </c>
      <c r="C4848" s="3" t="s">
        <v>1180</v>
      </c>
      <c r="D4848" s="3" t="s">
        <v>1222</v>
      </c>
      <c r="E4848" s="3" t="s">
        <v>1223</v>
      </c>
      <c r="F4848" s="3">
        <v>0</v>
      </c>
      <c r="G4848" s="3">
        <v>3850818.04</v>
      </c>
    </row>
    <row r="4849" spans="1:7" x14ac:dyDescent="0.2">
      <c r="A4849" s="3" t="s">
        <v>1074</v>
      </c>
      <c r="B4849" s="4">
        <v>45260</v>
      </c>
      <c r="C4849" s="3" t="s">
        <v>1180</v>
      </c>
      <c r="D4849" s="3" t="s">
        <v>1222</v>
      </c>
      <c r="E4849" s="3" t="s">
        <v>1664</v>
      </c>
      <c r="F4849" s="3">
        <v>0</v>
      </c>
      <c r="G4849" s="3">
        <v>1826086.96</v>
      </c>
    </row>
    <row r="4850" spans="1:7" x14ac:dyDescent="0.2">
      <c r="A4850" s="3" t="s">
        <v>1069</v>
      </c>
      <c r="B4850" s="4">
        <v>45260</v>
      </c>
      <c r="C4850" s="3" t="s">
        <v>1180</v>
      </c>
      <c r="D4850" s="3" t="s">
        <v>1235</v>
      </c>
      <c r="E4850" s="3" t="s">
        <v>1236</v>
      </c>
      <c r="F4850" s="3">
        <v>0</v>
      </c>
      <c r="G4850" s="3">
        <v>782608.07</v>
      </c>
    </row>
    <row r="4851" spans="1:7" x14ac:dyDescent="0.2">
      <c r="A4851" s="3" t="s">
        <v>1074</v>
      </c>
      <c r="B4851" s="4">
        <v>45260</v>
      </c>
      <c r="C4851" s="3" t="s">
        <v>1180</v>
      </c>
      <c r="D4851" s="3" t="s">
        <v>1235</v>
      </c>
      <c r="E4851" s="3" t="s">
        <v>1715</v>
      </c>
      <c r="F4851" s="3">
        <v>0</v>
      </c>
      <c r="G4851" s="3">
        <v>217391.3</v>
      </c>
    </row>
    <row r="4852" spans="1:7" x14ac:dyDescent="0.2">
      <c r="A4852" s="3" t="s">
        <v>1069</v>
      </c>
      <c r="B4852" s="4">
        <v>45260</v>
      </c>
      <c r="C4852" s="3" t="s">
        <v>1180</v>
      </c>
      <c r="D4852" s="3" t="s">
        <v>1206</v>
      </c>
      <c r="E4852" s="3" t="s">
        <v>1207</v>
      </c>
      <c r="F4852" s="3">
        <v>0</v>
      </c>
      <c r="G4852" s="3">
        <v>166550</v>
      </c>
    </row>
    <row r="4853" spans="1:7" x14ac:dyDescent="0.2">
      <c r="A4853" s="3" t="s">
        <v>1074</v>
      </c>
      <c r="B4853" s="4">
        <v>45260</v>
      </c>
      <c r="C4853" s="3" t="s">
        <v>1180</v>
      </c>
      <c r="D4853" s="3" t="s">
        <v>1206</v>
      </c>
      <c r="E4853" s="3" t="s">
        <v>1697</v>
      </c>
      <c r="F4853" s="3">
        <v>0</v>
      </c>
      <c r="G4853" s="3">
        <v>2834.7</v>
      </c>
    </row>
    <row r="4854" spans="1:7" x14ac:dyDescent="0.2">
      <c r="A4854" s="3" t="s">
        <v>1069</v>
      </c>
      <c r="B4854" s="4">
        <v>45260</v>
      </c>
      <c r="C4854" s="3" t="s">
        <v>1180</v>
      </c>
      <c r="D4854" s="3" t="s">
        <v>1208</v>
      </c>
      <c r="E4854" s="3" t="s">
        <v>1209</v>
      </c>
      <c r="F4854" s="3">
        <v>0</v>
      </c>
      <c r="G4854" s="3">
        <v>45000</v>
      </c>
    </row>
    <row r="4855" spans="1:7" x14ac:dyDescent="0.2">
      <c r="A4855" s="3" t="s">
        <v>1069</v>
      </c>
      <c r="B4855" s="4">
        <v>45260</v>
      </c>
      <c r="C4855" s="3" t="s">
        <v>1180</v>
      </c>
      <c r="D4855" s="3" t="s">
        <v>1259</v>
      </c>
      <c r="E4855" s="3" t="s">
        <v>1260</v>
      </c>
      <c r="F4855" s="3">
        <v>6000</v>
      </c>
      <c r="G4855" s="3">
        <v>185000</v>
      </c>
    </row>
    <row r="4856" spans="1:7" x14ac:dyDescent="0.2">
      <c r="A4856" s="3" t="s">
        <v>1074</v>
      </c>
      <c r="B4856" s="4">
        <v>45260</v>
      </c>
      <c r="C4856" s="3" t="s">
        <v>1180</v>
      </c>
      <c r="D4856" s="3" t="s">
        <v>1674</v>
      </c>
      <c r="E4856" s="3" t="s">
        <v>1675</v>
      </c>
      <c r="F4856" s="3">
        <v>17500</v>
      </c>
      <c r="G4856" s="3">
        <v>666877.14</v>
      </c>
    </row>
    <row r="4857" spans="1:7" x14ac:dyDescent="0.2">
      <c r="A4857" s="3" t="s">
        <v>1074</v>
      </c>
      <c r="B4857" s="4">
        <v>45260</v>
      </c>
      <c r="C4857" s="3" t="s">
        <v>1180</v>
      </c>
      <c r="D4857" s="3" t="s">
        <v>1578</v>
      </c>
      <c r="E4857" s="3" t="s">
        <v>1579</v>
      </c>
      <c r="F4857" s="3">
        <v>0</v>
      </c>
      <c r="G4857" s="3">
        <v>66190.11</v>
      </c>
    </row>
    <row r="4858" spans="1:7" x14ac:dyDescent="0.2">
      <c r="A4858" s="3" t="s">
        <v>1069</v>
      </c>
      <c r="B4858" s="4">
        <v>45260</v>
      </c>
      <c r="C4858" s="3" t="s">
        <v>1180</v>
      </c>
      <c r="D4858" s="3" t="s">
        <v>1265</v>
      </c>
      <c r="E4858" s="3" t="s">
        <v>1266</v>
      </c>
      <c r="F4858" s="3">
        <v>0</v>
      </c>
      <c r="G4858" s="3">
        <v>3252759.95</v>
      </c>
    </row>
    <row r="4859" spans="1:7" x14ac:dyDescent="0.2">
      <c r="A4859" s="3" t="s">
        <v>1074</v>
      </c>
      <c r="B4859" s="4">
        <v>45260</v>
      </c>
      <c r="C4859" s="3" t="s">
        <v>1180</v>
      </c>
      <c r="D4859" s="3" t="s">
        <v>1265</v>
      </c>
      <c r="E4859" s="3" t="s">
        <v>1518</v>
      </c>
      <c r="F4859" s="3">
        <v>530.35</v>
      </c>
      <c r="G4859" s="3">
        <v>1673231.19</v>
      </c>
    </row>
    <row r="4860" spans="1:7" x14ac:dyDescent="0.2">
      <c r="A4860" s="3" t="s">
        <v>1069</v>
      </c>
      <c r="B4860" s="4">
        <v>45260</v>
      </c>
      <c r="C4860" s="3" t="s">
        <v>1180</v>
      </c>
      <c r="D4860" s="3" t="s">
        <v>1423</v>
      </c>
      <c r="E4860" s="3" t="s">
        <v>1424</v>
      </c>
      <c r="F4860" s="3">
        <v>0</v>
      </c>
      <c r="G4860" s="3">
        <v>622274.51</v>
      </c>
    </row>
    <row r="4861" spans="1:7" x14ac:dyDescent="0.2">
      <c r="A4861" s="3" t="s">
        <v>1074</v>
      </c>
      <c r="B4861" s="4">
        <v>45260</v>
      </c>
      <c r="C4861" s="3" t="s">
        <v>1180</v>
      </c>
      <c r="D4861" s="3" t="s">
        <v>1519</v>
      </c>
      <c r="E4861" s="3" t="s">
        <v>1551</v>
      </c>
      <c r="F4861" s="3">
        <v>0</v>
      </c>
      <c r="G4861" s="3">
        <v>76530</v>
      </c>
    </row>
    <row r="4862" spans="1:7" x14ac:dyDescent="0.2">
      <c r="A4862" s="3" t="s">
        <v>1069</v>
      </c>
      <c r="B4862" s="4">
        <v>45260</v>
      </c>
      <c r="C4862" s="3" t="s">
        <v>1180</v>
      </c>
      <c r="D4862" s="3" t="s">
        <v>1519</v>
      </c>
      <c r="E4862" s="3" t="s">
        <v>1520</v>
      </c>
      <c r="F4862" s="3">
        <v>0</v>
      </c>
      <c r="G4862" s="3">
        <v>985049.68</v>
      </c>
    </row>
    <row r="4863" spans="1:7" x14ac:dyDescent="0.2">
      <c r="A4863" s="3" t="s">
        <v>1074</v>
      </c>
      <c r="B4863" s="4">
        <v>45260</v>
      </c>
      <c r="C4863" s="3" t="s">
        <v>1180</v>
      </c>
      <c r="D4863" s="3" t="s">
        <v>1521</v>
      </c>
      <c r="E4863" s="3" t="s">
        <v>1522</v>
      </c>
      <c r="F4863" s="3">
        <v>1400</v>
      </c>
      <c r="G4863" s="3">
        <v>27200</v>
      </c>
    </row>
    <row r="4864" spans="1:7" x14ac:dyDescent="0.2">
      <c r="A4864" s="3" t="s">
        <v>1074</v>
      </c>
      <c r="B4864" s="4">
        <v>45260</v>
      </c>
      <c r="C4864" s="3" t="s">
        <v>1180</v>
      </c>
      <c r="D4864" s="3" t="s">
        <v>1534</v>
      </c>
      <c r="E4864" s="3" t="s">
        <v>1535</v>
      </c>
      <c r="F4864" s="3">
        <v>334782.61</v>
      </c>
      <c r="G4864" s="3">
        <v>1689130.43</v>
      </c>
    </row>
    <row r="4865" spans="1:7" x14ac:dyDescent="0.2">
      <c r="A4865" s="3" t="s">
        <v>1074</v>
      </c>
      <c r="B4865" s="4">
        <v>45260</v>
      </c>
      <c r="C4865" s="3" t="s">
        <v>1180</v>
      </c>
      <c r="D4865" s="3" t="s">
        <v>1610</v>
      </c>
      <c r="E4865" s="3" t="s">
        <v>1611</v>
      </c>
      <c r="F4865" s="3">
        <v>0</v>
      </c>
      <c r="G4865" s="3">
        <v>1540502.11</v>
      </c>
    </row>
    <row r="4866" spans="1:7" x14ac:dyDescent="0.2">
      <c r="A4866" s="3" t="s">
        <v>1074</v>
      </c>
      <c r="B4866" s="4">
        <v>45260</v>
      </c>
      <c r="C4866" s="3" t="s">
        <v>1180</v>
      </c>
      <c r="D4866" s="3" t="s">
        <v>1653</v>
      </c>
      <c r="E4866" s="3" t="s">
        <v>1654</v>
      </c>
      <c r="F4866" s="3">
        <v>0</v>
      </c>
      <c r="G4866" s="3">
        <v>20707183.050000001</v>
      </c>
    </row>
    <row r="4867" spans="1:7" x14ac:dyDescent="0.2">
      <c r="A4867" s="3" t="s">
        <v>1069</v>
      </c>
      <c r="B4867" s="4">
        <v>45260</v>
      </c>
      <c r="C4867" s="3" t="s">
        <v>1180</v>
      </c>
      <c r="D4867" s="3" t="s">
        <v>1536</v>
      </c>
      <c r="E4867" s="3" t="s">
        <v>1537</v>
      </c>
      <c r="F4867" s="3">
        <v>0</v>
      </c>
      <c r="G4867" s="3">
        <v>2148883.15</v>
      </c>
    </row>
    <row r="4868" spans="1:7" x14ac:dyDescent="0.2">
      <c r="A4868" s="3" t="s">
        <v>1069</v>
      </c>
      <c r="B4868" s="4">
        <v>45260</v>
      </c>
      <c r="C4868" s="3" t="s">
        <v>1180</v>
      </c>
      <c r="D4868" s="3" t="s">
        <v>1665</v>
      </c>
      <c r="E4868" s="3" t="s">
        <v>1666</v>
      </c>
      <c r="F4868" s="3">
        <v>0</v>
      </c>
      <c r="G4868" s="3">
        <v>1068455</v>
      </c>
    </row>
    <row r="4869" spans="1:7" x14ac:dyDescent="0.2">
      <c r="A4869" s="3" t="s">
        <v>1074</v>
      </c>
      <c r="B4869" s="4">
        <v>45260</v>
      </c>
      <c r="C4869" s="3" t="s">
        <v>1180</v>
      </c>
      <c r="D4869" s="3" t="s">
        <v>1665</v>
      </c>
      <c r="E4869" s="3" t="s">
        <v>1716</v>
      </c>
      <c r="F4869" s="3">
        <v>0</v>
      </c>
      <c r="G4869" s="3">
        <v>2188325.96</v>
      </c>
    </row>
    <row r="4870" spans="1:7" x14ac:dyDescent="0.2">
      <c r="A4870" s="3" t="s">
        <v>1069</v>
      </c>
      <c r="B4870" s="4">
        <v>45260</v>
      </c>
      <c r="C4870" s="3" t="s">
        <v>1180</v>
      </c>
      <c r="D4870" s="3" t="s">
        <v>1655</v>
      </c>
      <c r="E4870" s="3" t="s">
        <v>1656</v>
      </c>
      <c r="F4870" s="3">
        <v>0</v>
      </c>
      <c r="G4870" s="3">
        <v>-24427668.440000001</v>
      </c>
    </row>
    <row r="4871" spans="1:7" x14ac:dyDescent="0.2">
      <c r="A4871" s="3" t="s">
        <v>1072</v>
      </c>
      <c r="B4871" s="4">
        <v>45260</v>
      </c>
      <c r="C4871" s="3" t="s">
        <v>1180</v>
      </c>
      <c r="D4871" s="3" t="s">
        <v>1425</v>
      </c>
      <c r="E4871" s="3" t="s">
        <v>1426</v>
      </c>
      <c r="F4871" s="3">
        <v>0</v>
      </c>
      <c r="G4871" s="3">
        <v>29600</v>
      </c>
    </row>
    <row r="4872" spans="1:7" x14ac:dyDescent="0.2">
      <c r="A4872" s="3" t="s">
        <v>1072</v>
      </c>
      <c r="B4872" s="4">
        <v>45260</v>
      </c>
      <c r="C4872" s="3" t="s">
        <v>1180</v>
      </c>
      <c r="D4872" s="3" t="s">
        <v>1427</v>
      </c>
      <c r="E4872" s="3" t="s">
        <v>1428</v>
      </c>
      <c r="F4872" s="3">
        <v>5182814.62</v>
      </c>
      <c r="G4872" s="3">
        <v>3020533.29</v>
      </c>
    </row>
    <row r="4873" spans="1:7" x14ac:dyDescent="0.2">
      <c r="A4873" s="3" t="s">
        <v>1069</v>
      </c>
      <c r="B4873" s="4">
        <v>45260</v>
      </c>
      <c r="C4873" s="3" t="s">
        <v>1180</v>
      </c>
      <c r="D4873" s="3" t="s">
        <v>1427</v>
      </c>
      <c r="E4873" s="3" t="s">
        <v>1428</v>
      </c>
      <c r="F4873" s="3">
        <v>2040.87</v>
      </c>
      <c r="G4873" s="3">
        <v>368275.04</v>
      </c>
    </row>
    <row r="4874" spans="1:7" x14ac:dyDescent="0.2">
      <c r="A4874" s="3" t="s">
        <v>1072</v>
      </c>
      <c r="B4874" s="4">
        <v>45260</v>
      </c>
      <c r="C4874" s="3" t="s">
        <v>1180</v>
      </c>
      <c r="D4874" s="3" t="s">
        <v>1725</v>
      </c>
      <c r="E4874" s="3" t="s">
        <v>1726</v>
      </c>
      <c r="F4874" s="3">
        <v>-5704.85</v>
      </c>
      <c r="G4874" s="3">
        <v>0</v>
      </c>
    </row>
    <row r="4875" spans="1:7" x14ac:dyDescent="0.2">
      <c r="A4875" s="3" t="s">
        <v>1072</v>
      </c>
      <c r="B4875" s="4">
        <v>45260</v>
      </c>
      <c r="C4875" s="3" t="s">
        <v>1180</v>
      </c>
      <c r="D4875" s="3" t="s">
        <v>1742</v>
      </c>
      <c r="E4875" s="3" t="s">
        <v>1743</v>
      </c>
      <c r="F4875" s="3">
        <v>-1755.17</v>
      </c>
      <c r="G4875" s="3">
        <v>-1755.17</v>
      </c>
    </row>
    <row r="4876" spans="1:7" x14ac:dyDescent="0.2">
      <c r="A4876" s="3" t="s">
        <v>1069</v>
      </c>
      <c r="B4876" s="4">
        <v>45260</v>
      </c>
      <c r="C4876" s="3" t="s">
        <v>1180</v>
      </c>
      <c r="D4876" s="3" t="s">
        <v>1187</v>
      </c>
      <c r="E4876" s="3" t="s">
        <v>1188</v>
      </c>
      <c r="F4876" s="3">
        <v>-2267027.42</v>
      </c>
      <c r="G4876" s="3">
        <v>58972.41</v>
      </c>
    </row>
    <row r="4877" spans="1:7" x14ac:dyDescent="0.2">
      <c r="A4877" s="3" t="s">
        <v>1072</v>
      </c>
      <c r="B4877" s="4">
        <v>45260</v>
      </c>
      <c r="C4877" s="3" t="s">
        <v>1180</v>
      </c>
      <c r="D4877" s="3" t="s">
        <v>1187</v>
      </c>
      <c r="E4877" s="3" t="s">
        <v>1433</v>
      </c>
      <c r="F4877" s="3">
        <v>501579.28</v>
      </c>
      <c r="G4877" s="3">
        <v>674999.29</v>
      </c>
    </row>
    <row r="4878" spans="1:7" x14ac:dyDescent="0.2">
      <c r="A4878" s="3" t="s">
        <v>1072</v>
      </c>
      <c r="B4878" s="4">
        <v>45260</v>
      </c>
      <c r="C4878" s="3" t="s">
        <v>1180</v>
      </c>
      <c r="D4878" s="3" t="s">
        <v>1189</v>
      </c>
      <c r="E4878" s="3" t="s">
        <v>1434</v>
      </c>
      <c r="F4878" s="3">
        <v>0</v>
      </c>
      <c r="G4878" s="3">
        <v>-1188</v>
      </c>
    </row>
    <row r="4879" spans="1:7" x14ac:dyDescent="0.2">
      <c r="A4879" s="3" t="s">
        <v>1072</v>
      </c>
      <c r="B4879" s="4">
        <v>45260</v>
      </c>
      <c r="C4879" s="3" t="s">
        <v>1180</v>
      </c>
      <c r="D4879" s="3" t="s">
        <v>1435</v>
      </c>
      <c r="E4879" s="3" t="s">
        <v>1436</v>
      </c>
      <c r="F4879" s="3">
        <v>0</v>
      </c>
      <c r="G4879" s="3">
        <v>571.54999999999995</v>
      </c>
    </row>
    <row r="4880" spans="1:7" x14ac:dyDescent="0.2">
      <c r="A4880" s="3" t="s">
        <v>1069</v>
      </c>
      <c r="B4880" s="4">
        <v>45260</v>
      </c>
      <c r="C4880" s="3" t="s">
        <v>1180</v>
      </c>
      <c r="D4880" s="3" t="s">
        <v>1435</v>
      </c>
      <c r="E4880" s="3" t="s">
        <v>1434</v>
      </c>
      <c r="F4880" s="3">
        <v>0</v>
      </c>
      <c r="G4880" s="3">
        <v>8620</v>
      </c>
    </row>
    <row r="4881" spans="1:7" x14ac:dyDescent="0.2">
      <c r="A4881" s="3" t="s">
        <v>1069</v>
      </c>
      <c r="B4881" s="4">
        <v>45260</v>
      </c>
      <c r="C4881" s="3" t="s">
        <v>1180</v>
      </c>
      <c r="D4881" s="3" t="s">
        <v>1243</v>
      </c>
      <c r="E4881" s="3" t="s">
        <v>1244</v>
      </c>
      <c r="F4881" s="3">
        <v>0</v>
      </c>
      <c r="G4881" s="3">
        <v>871.91</v>
      </c>
    </row>
    <row r="4882" spans="1:7" x14ac:dyDescent="0.2">
      <c r="A4882" s="3" t="s">
        <v>1069</v>
      </c>
      <c r="B4882" s="4">
        <v>45260</v>
      </c>
      <c r="C4882" s="3" t="s">
        <v>1180</v>
      </c>
      <c r="D4882" s="3" t="s">
        <v>1245</v>
      </c>
      <c r="E4882" s="3" t="s">
        <v>1246</v>
      </c>
      <c r="F4882" s="3">
        <v>-5406628.4800000004</v>
      </c>
      <c r="G4882" s="3">
        <v>36229574.130000003</v>
      </c>
    </row>
    <row r="4883" spans="1:7" x14ac:dyDescent="0.2">
      <c r="A4883" s="3" t="s">
        <v>1069</v>
      </c>
      <c r="B4883" s="4">
        <v>45260</v>
      </c>
      <c r="C4883" s="3" t="s">
        <v>1180</v>
      </c>
      <c r="D4883" s="3" t="s">
        <v>1727</v>
      </c>
      <c r="E4883" s="3" t="s">
        <v>1728</v>
      </c>
      <c r="F4883" s="3">
        <v>0</v>
      </c>
      <c r="G4883" s="3">
        <v>500</v>
      </c>
    </row>
    <row r="4884" spans="1:7" x14ac:dyDescent="0.2">
      <c r="A4884" s="3" t="s">
        <v>1072</v>
      </c>
      <c r="B4884" s="4">
        <v>45260</v>
      </c>
      <c r="C4884" s="3" t="s">
        <v>1175</v>
      </c>
      <c r="D4884" s="3" t="s">
        <v>1437</v>
      </c>
      <c r="E4884" s="3" t="s">
        <v>1438</v>
      </c>
      <c r="F4884" s="3">
        <v>-0.66</v>
      </c>
      <c r="G4884" s="3">
        <v>-30.41</v>
      </c>
    </row>
    <row r="4885" spans="1:7" x14ac:dyDescent="0.2">
      <c r="A4885" s="3" t="s">
        <v>1069</v>
      </c>
      <c r="B4885" s="4">
        <v>45260</v>
      </c>
      <c r="C4885" s="3" t="s">
        <v>1175</v>
      </c>
      <c r="D4885" s="3" t="s">
        <v>1437</v>
      </c>
      <c r="E4885" s="3" t="s">
        <v>1438</v>
      </c>
      <c r="F4885" s="3">
        <v>0</v>
      </c>
      <c r="G4885" s="3">
        <v>0.14000000000000001</v>
      </c>
    </row>
    <row r="4886" spans="1:7" x14ac:dyDescent="0.2">
      <c r="A4886" s="3" t="s">
        <v>1074</v>
      </c>
      <c r="B4886" s="4">
        <v>45260</v>
      </c>
      <c r="C4886" s="3" t="s">
        <v>1175</v>
      </c>
      <c r="D4886" s="3" t="s">
        <v>1437</v>
      </c>
      <c r="E4886" s="3" t="s">
        <v>1438</v>
      </c>
      <c r="F4886" s="3">
        <v>0</v>
      </c>
      <c r="G4886" s="3">
        <v>-0.06</v>
      </c>
    </row>
    <row r="4887" spans="1:7" x14ac:dyDescent="0.2">
      <c r="A4887" s="3" t="s">
        <v>1072</v>
      </c>
      <c r="B4887" s="4">
        <v>45260</v>
      </c>
      <c r="C4887" s="3" t="s">
        <v>1175</v>
      </c>
      <c r="D4887" s="3" t="s">
        <v>1191</v>
      </c>
      <c r="E4887" s="3" t="s">
        <v>1192</v>
      </c>
      <c r="F4887" s="3">
        <v>-4541213.8099999996</v>
      </c>
      <c r="G4887" s="3">
        <v>-7238018.0999999996</v>
      </c>
    </row>
    <row r="4888" spans="1:7" x14ac:dyDescent="0.2">
      <c r="A4888" s="3" t="s">
        <v>1069</v>
      </c>
      <c r="B4888" s="4">
        <v>45260</v>
      </c>
      <c r="C4888" s="3" t="s">
        <v>1175</v>
      </c>
      <c r="D4888" s="3" t="s">
        <v>1191</v>
      </c>
      <c r="E4888" s="3" t="s">
        <v>1192</v>
      </c>
      <c r="F4888" s="3">
        <v>-3423878.32</v>
      </c>
      <c r="G4888" s="3">
        <v>-164244993.18000001</v>
      </c>
    </row>
    <row r="4889" spans="1:7" x14ac:dyDescent="0.2">
      <c r="A4889" s="3" t="s">
        <v>1074</v>
      </c>
      <c r="B4889" s="4">
        <v>45260</v>
      </c>
      <c r="C4889" s="3" t="s">
        <v>1175</v>
      </c>
      <c r="D4889" s="3" t="s">
        <v>1191</v>
      </c>
      <c r="E4889" s="3" t="s">
        <v>1192</v>
      </c>
      <c r="F4889" s="3">
        <v>-4876492.29</v>
      </c>
      <c r="G4889" s="3">
        <v>-4059487.42</v>
      </c>
    </row>
    <row r="4890" spans="1:7" x14ac:dyDescent="0.2">
      <c r="A4890" s="3" t="s">
        <v>1072</v>
      </c>
      <c r="B4890" s="4">
        <v>45260</v>
      </c>
      <c r="C4890" s="3" t="s">
        <v>1175</v>
      </c>
      <c r="D4890" s="3" t="s">
        <v>1488</v>
      </c>
      <c r="E4890" s="3" t="s">
        <v>1489</v>
      </c>
      <c r="F4890" s="3">
        <v>0</v>
      </c>
      <c r="G4890" s="3">
        <v>1309</v>
      </c>
    </row>
    <row r="4891" spans="1:7" x14ac:dyDescent="0.2">
      <c r="A4891" s="3" t="s">
        <v>1072</v>
      </c>
      <c r="B4891" s="4">
        <v>45260</v>
      </c>
      <c r="C4891" s="3" t="s">
        <v>1175</v>
      </c>
      <c r="D4891" s="3" t="s">
        <v>1439</v>
      </c>
      <c r="E4891" s="3" t="s">
        <v>1440</v>
      </c>
      <c r="F4891" s="3">
        <v>1755.17</v>
      </c>
      <c r="G4891" s="3">
        <v>1755.17</v>
      </c>
    </row>
    <row r="4892" spans="1:7" x14ac:dyDescent="0.2">
      <c r="A4892" s="3" t="s">
        <v>1072</v>
      </c>
      <c r="B4892" s="4">
        <v>45260</v>
      </c>
      <c r="C4892" s="3" t="s">
        <v>1175</v>
      </c>
      <c r="D4892" s="3" t="s">
        <v>1441</v>
      </c>
      <c r="E4892" s="3" t="s">
        <v>1442</v>
      </c>
      <c r="F4892" s="3">
        <v>-9672.17</v>
      </c>
      <c r="G4892" s="3">
        <v>-109931.86</v>
      </c>
    </row>
    <row r="4893" spans="1:7" x14ac:dyDescent="0.2">
      <c r="A4893" s="3" t="s">
        <v>1072</v>
      </c>
      <c r="B4893" s="4">
        <v>45260</v>
      </c>
      <c r="C4893" s="3" t="s">
        <v>1175</v>
      </c>
      <c r="D4893" s="3" t="s">
        <v>1464</v>
      </c>
      <c r="E4893" s="3" t="s">
        <v>1465</v>
      </c>
      <c r="F4893" s="3">
        <v>0</v>
      </c>
      <c r="G4893" s="3">
        <v>-49413.95</v>
      </c>
    </row>
    <row r="4894" spans="1:7" x14ac:dyDescent="0.2">
      <c r="A4894" s="3" t="s">
        <v>1072</v>
      </c>
      <c r="B4894" s="4">
        <v>45260</v>
      </c>
      <c r="C4894" s="3" t="s">
        <v>1175</v>
      </c>
      <c r="D4894" s="3" t="s">
        <v>1729</v>
      </c>
      <c r="E4894" s="3" t="s">
        <v>1730</v>
      </c>
      <c r="F4894" s="3">
        <v>0</v>
      </c>
      <c r="G4894" s="3">
        <v>130000</v>
      </c>
    </row>
    <row r="4895" spans="1:7" x14ac:dyDescent="0.2">
      <c r="A4895" s="3" t="s">
        <v>1072</v>
      </c>
      <c r="B4895" s="4">
        <v>45260</v>
      </c>
      <c r="C4895" s="3" t="s">
        <v>1175</v>
      </c>
      <c r="D4895" s="3" t="s">
        <v>1193</v>
      </c>
      <c r="E4895" s="3" t="s">
        <v>1443</v>
      </c>
      <c r="F4895" s="3">
        <v>-159518.98000000001</v>
      </c>
      <c r="G4895" s="3">
        <v>-274210.03999999998</v>
      </c>
    </row>
    <row r="4896" spans="1:7" x14ac:dyDescent="0.2">
      <c r="A4896" s="3" t="s">
        <v>1069</v>
      </c>
      <c r="B4896" s="4">
        <v>45260</v>
      </c>
      <c r="C4896" s="3" t="s">
        <v>1175</v>
      </c>
      <c r="D4896" s="3" t="s">
        <v>1193</v>
      </c>
      <c r="E4896" s="3" t="s">
        <v>1194</v>
      </c>
      <c r="F4896" s="3">
        <v>252979.02</v>
      </c>
      <c r="G4896" s="3">
        <v>-4231311.46</v>
      </c>
    </row>
    <row r="4897" spans="1:7" x14ac:dyDescent="0.2">
      <c r="A4897" s="3" t="s">
        <v>1074</v>
      </c>
      <c r="B4897" s="4">
        <v>45260</v>
      </c>
      <c r="C4897" s="3" t="s">
        <v>1175</v>
      </c>
      <c r="D4897" s="3" t="s">
        <v>1193</v>
      </c>
      <c r="E4897" s="3" t="s">
        <v>1194</v>
      </c>
      <c r="F4897" s="3">
        <v>1586027.25</v>
      </c>
      <c r="G4897" s="3">
        <v>6202488.9500000002</v>
      </c>
    </row>
    <row r="4898" spans="1:7" x14ac:dyDescent="0.2">
      <c r="A4898" s="3" t="s">
        <v>1072</v>
      </c>
      <c r="B4898" s="4">
        <v>45260</v>
      </c>
      <c r="C4898" s="3" t="s">
        <v>1175</v>
      </c>
      <c r="D4898" s="3" t="s">
        <v>1731</v>
      </c>
      <c r="E4898" s="3" t="s">
        <v>1732</v>
      </c>
      <c r="F4898" s="3">
        <v>0</v>
      </c>
      <c r="G4898" s="3">
        <v>-1869.8</v>
      </c>
    </row>
    <row r="4899" spans="1:7" x14ac:dyDescent="0.2">
      <c r="A4899" s="3" t="s">
        <v>1069</v>
      </c>
      <c r="B4899" s="4">
        <v>45260</v>
      </c>
      <c r="C4899" s="3" t="s">
        <v>1175</v>
      </c>
      <c r="D4899" s="3" t="s">
        <v>1657</v>
      </c>
      <c r="E4899" s="3" t="s">
        <v>1658</v>
      </c>
      <c r="F4899" s="3">
        <v>0</v>
      </c>
      <c r="G4899" s="3">
        <v>59039.93</v>
      </c>
    </row>
    <row r="4900" spans="1:7" x14ac:dyDescent="0.2">
      <c r="A4900" s="3" t="s">
        <v>1074</v>
      </c>
      <c r="B4900" s="4">
        <v>45260</v>
      </c>
      <c r="C4900" s="3" t="s">
        <v>1175</v>
      </c>
      <c r="D4900" s="3" t="s">
        <v>1717</v>
      </c>
      <c r="E4900" s="3" t="s">
        <v>1718</v>
      </c>
      <c r="F4900" s="3">
        <v>0</v>
      </c>
      <c r="G4900" s="3">
        <v>-0.4</v>
      </c>
    </row>
    <row r="4901" spans="1:7" x14ac:dyDescent="0.2">
      <c r="A4901" s="3" t="s">
        <v>1072</v>
      </c>
      <c r="B4901" s="4">
        <v>45260</v>
      </c>
      <c r="C4901" s="3" t="s">
        <v>1175</v>
      </c>
      <c r="D4901" s="3" t="s">
        <v>1444</v>
      </c>
      <c r="E4901" s="3" t="s">
        <v>1445</v>
      </c>
      <c r="F4901" s="3">
        <v>0</v>
      </c>
      <c r="G4901" s="3">
        <v>1869.8</v>
      </c>
    </row>
    <row r="4902" spans="1:7" x14ac:dyDescent="0.2">
      <c r="A4902" s="3" t="s">
        <v>1072</v>
      </c>
      <c r="B4902" s="4">
        <v>45260</v>
      </c>
      <c r="C4902" s="3" t="s">
        <v>1175</v>
      </c>
      <c r="D4902" s="3" t="s">
        <v>1446</v>
      </c>
      <c r="E4902" s="3" t="s">
        <v>1447</v>
      </c>
      <c r="F4902" s="3">
        <v>0</v>
      </c>
      <c r="G4902" s="3">
        <v>-254.99</v>
      </c>
    </row>
    <row r="4903" spans="1:7" x14ac:dyDescent="0.2">
      <c r="A4903" s="3" t="s">
        <v>1069</v>
      </c>
      <c r="B4903" s="4">
        <v>45291</v>
      </c>
      <c r="C4903" s="3" t="s">
        <v>1210</v>
      </c>
      <c r="D4903" s="3" t="s">
        <v>1552</v>
      </c>
      <c r="E4903" s="3" t="s">
        <v>1553</v>
      </c>
      <c r="F4903" s="3">
        <v>0</v>
      </c>
      <c r="G4903" s="3">
        <v>-28096347.829999998</v>
      </c>
    </row>
    <row r="4904" spans="1:7" x14ac:dyDescent="0.2">
      <c r="A4904" s="3" t="s">
        <v>1074</v>
      </c>
      <c r="B4904" s="4">
        <v>45291</v>
      </c>
      <c r="C4904" s="3" t="s">
        <v>1210</v>
      </c>
      <c r="D4904" s="3" t="s">
        <v>1552</v>
      </c>
      <c r="E4904" s="3" t="s">
        <v>1700</v>
      </c>
      <c r="F4904" s="3">
        <v>-1552086.96</v>
      </c>
      <c r="G4904" s="3">
        <v>-22902956.550000001</v>
      </c>
    </row>
    <row r="4905" spans="1:7" x14ac:dyDescent="0.2">
      <c r="A4905" s="3" t="s">
        <v>1069</v>
      </c>
      <c r="B4905" s="4">
        <v>45291</v>
      </c>
      <c r="C4905" s="3" t="s">
        <v>1210</v>
      </c>
      <c r="D4905" s="3" t="s">
        <v>1554</v>
      </c>
      <c r="E4905" s="3" t="s">
        <v>1555</v>
      </c>
      <c r="F4905" s="3">
        <v>0</v>
      </c>
      <c r="G4905" s="3">
        <v>-102388.85</v>
      </c>
    </row>
    <row r="4906" spans="1:7" x14ac:dyDescent="0.2">
      <c r="A4906" s="3" t="s">
        <v>1074</v>
      </c>
      <c r="B4906" s="4">
        <v>45291</v>
      </c>
      <c r="C4906" s="3" t="s">
        <v>1210</v>
      </c>
      <c r="D4906" s="3" t="s">
        <v>1554</v>
      </c>
      <c r="E4906" s="3" t="s">
        <v>1701</v>
      </c>
      <c r="F4906" s="3">
        <v>-5070.96</v>
      </c>
      <c r="G4906" s="3">
        <v>-83896.76</v>
      </c>
    </row>
    <row r="4907" spans="1:7" x14ac:dyDescent="0.2">
      <c r="A4907" s="3" t="s">
        <v>1072</v>
      </c>
      <c r="B4907" s="4">
        <v>45291</v>
      </c>
      <c r="C4907" s="3" t="s">
        <v>1210</v>
      </c>
      <c r="D4907" s="3" t="s">
        <v>1448</v>
      </c>
      <c r="E4907" s="3" t="s">
        <v>1449</v>
      </c>
      <c r="F4907" s="3">
        <v>-4126090.71</v>
      </c>
      <c r="G4907" s="3">
        <v>-50825340.560000002</v>
      </c>
    </row>
    <row r="4908" spans="1:7" x14ac:dyDescent="0.2">
      <c r="A4908" s="3" t="s">
        <v>1072</v>
      </c>
      <c r="B4908" s="4">
        <v>45291</v>
      </c>
      <c r="C4908" s="3" t="s">
        <v>1210</v>
      </c>
      <c r="D4908" s="3" t="s">
        <v>1273</v>
      </c>
      <c r="E4908" s="3" t="s">
        <v>1274</v>
      </c>
      <c r="F4908" s="3">
        <v>0</v>
      </c>
      <c r="G4908" s="3">
        <v>3490.94</v>
      </c>
    </row>
    <row r="4909" spans="1:7" x14ac:dyDescent="0.2">
      <c r="A4909" s="3" t="s">
        <v>1069</v>
      </c>
      <c r="B4909" s="4">
        <v>45291</v>
      </c>
      <c r="C4909" s="3" t="s">
        <v>1210</v>
      </c>
      <c r="D4909" s="3" t="s">
        <v>1685</v>
      </c>
      <c r="E4909" s="3" t="s">
        <v>1686</v>
      </c>
      <c r="F4909" s="3">
        <v>-43104.84</v>
      </c>
      <c r="G4909" s="3">
        <v>-192234.91</v>
      </c>
    </row>
    <row r="4910" spans="1:7" x14ac:dyDescent="0.2">
      <c r="A4910" s="3" t="s">
        <v>1074</v>
      </c>
      <c r="B4910" s="4">
        <v>45291</v>
      </c>
      <c r="C4910" s="3" t="s">
        <v>1210</v>
      </c>
      <c r="D4910" s="3" t="s">
        <v>1685</v>
      </c>
      <c r="E4910" s="3" t="s">
        <v>1686</v>
      </c>
      <c r="F4910" s="3">
        <v>0</v>
      </c>
      <c r="G4910" s="3">
        <v>-13883</v>
      </c>
    </row>
    <row r="4911" spans="1:7" x14ac:dyDescent="0.2">
      <c r="A4911" s="3" t="s">
        <v>1069</v>
      </c>
      <c r="B4911" s="4">
        <v>45291</v>
      </c>
      <c r="C4911" s="3" t="s">
        <v>1168</v>
      </c>
      <c r="D4911" s="3" t="s">
        <v>1687</v>
      </c>
      <c r="E4911" s="3" t="s">
        <v>1688</v>
      </c>
      <c r="F4911" s="3">
        <v>0</v>
      </c>
      <c r="G4911" s="3">
        <v>45300.43</v>
      </c>
    </row>
    <row r="4912" spans="1:7" x14ac:dyDescent="0.2">
      <c r="A4912" s="3" t="s">
        <v>1074</v>
      </c>
      <c r="B4912" s="4">
        <v>45291</v>
      </c>
      <c r="C4912" s="3" t="s">
        <v>1168</v>
      </c>
      <c r="D4912" s="3" t="s">
        <v>1514</v>
      </c>
      <c r="E4912" s="3" t="s">
        <v>1676</v>
      </c>
      <c r="F4912" s="3">
        <v>0</v>
      </c>
      <c r="G4912" s="3">
        <v>237142.94</v>
      </c>
    </row>
    <row r="4913" spans="1:7" x14ac:dyDescent="0.2">
      <c r="A4913" s="3" t="s">
        <v>1069</v>
      </c>
      <c r="B4913" s="4">
        <v>45291</v>
      </c>
      <c r="C4913" s="3" t="s">
        <v>1168</v>
      </c>
      <c r="D4913" s="3" t="s">
        <v>1531</v>
      </c>
      <c r="E4913" s="3" t="s">
        <v>1532</v>
      </c>
      <c r="F4913" s="3">
        <v>0</v>
      </c>
      <c r="G4913" s="3">
        <v>685713.49</v>
      </c>
    </row>
    <row r="4914" spans="1:7" x14ac:dyDescent="0.2">
      <c r="A4914" s="3" t="s">
        <v>1074</v>
      </c>
      <c r="B4914" s="4">
        <v>45291</v>
      </c>
      <c r="C4914" s="3" t="s">
        <v>1168</v>
      </c>
      <c r="D4914" s="3" t="s">
        <v>1531</v>
      </c>
      <c r="E4914" s="3" t="s">
        <v>1532</v>
      </c>
      <c r="F4914" s="3">
        <v>39833.629999999997</v>
      </c>
      <c r="G4914" s="3">
        <v>514947.93</v>
      </c>
    </row>
    <row r="4915" spans="1:7" x14ac:dyDescent="0.2">
      <c r="A4915" s="3" t="s">
        <v>1074</v>
      </c>
      <c r="B4915" s="4">
        <v>45291</v>
      </c>
      <c r="C4915" s="3" t="s">
        <v>1168</v>
      </c>
      <c r="D4915" s="3" t="s">
        <v>1638</v>
      </c>
      <c r="E4915" s="3" t="s">
        <v>1677</v>
      </c>
      <c r="F4915" s="3">
        <v>0</v>
      </c>
      <c r="G4915" s="3">
        <v>79174.94</v>
      </c>
    </row>
    <row r="4916" spans="1:7" x14ac:dyDescent="0.2">
      <c r="A4916" s="3" t="s">
        <v>1069</v>
      </c>
      <c r="B4916" s="4">
        <v>45291</v>
      </c>
      <c r="C4916" s="3" t="s">
        <v>1168</v>
      </c>
      <c r="D4916" s="3" t="s">
        <v>1638</v>
      </c>
      <c r="E4916" s="3" t="s">
        <v>1639</v>
      </c>
      <c r="F4916" s="3">
        <v>0</v>
      </c>
      <c r="G4916" s="3">
        <v>10540</v>
      </c>
    </row>
    <row r="4917" spans="1:7" x14ac:dyDescent="0.2">
      <c r="A4917" s="3" t="s">
        <v>1069</v>
      </c>
      <c r="B4917" s="4">
        <v>45291</v>
      </c>
      <c r="C4917" s="3" t="s">
        <v>1168</v>
      </c>
      <c r="D4917" s="3" t="s">
        <v>1540</v>
      </c>
      <c r="E4917" s="3" t="s">
        <v>1541</v>
      </c>
      <c r="F4917" s="3">
        <v>0</v>
      </c>
      <c r="G4917" s="3">
        <v>44864.59</v>
      </c>
    </row>
    <row r="4918" spans="1:7" x14ac:dyDescent="0.2">
      <c r="A4918" s="3" t="s">
        <v>1069</v>
      </c>
      <c r="B4918" s="4">
        <v>45291</v>
      </c>
      <c r="C4918" s="3" t="s">
        <v>1168</v>
      </c>
      <c r="D4918" s="3" t="s">
        <v>1556</v>
      </c>
      <c r="E4918" s="3" t="s">
        <v>1557</v>
      </c>
      <c r="F4918" s="3">
        <v>0</v>
      </c>
      <c r="G4918" s="3">
        <v>381069.48</v>
      </c>
    </row>
    <row r="4919" spans="1:7" x14ac:dyDescent="0.2">
      <c r="A4919" s="3" t="s">
        <v>1069</v>
      </c>
      <c r="B4919" s="4">
        <v>45291</v>
      </c>
      <c r="C4919" s="3" t="s">
        <v>1168</v>
      </c>
      <c r="D4919" s="3" t="s">
        <v>1558</v>
      </c>
      <c r="E4919" s="3" t="s">
        <v>1559</v>
      </c>
      <c r="F4919" s="3">
        <v>0</v>
      </c>
      <c r="G4919" s="3">
        <v>1405686.97</v>
      </c>
    </row>
    <row r="4920" spans="1:7" x14ac:dyDescent="0.2">
      <c r="A4920" s="3" t="s">
        <v>1074</v>
      </c>
      <c r="B4920" s="4">
        <v>45291</v>
      </c>
      <c r="C4920" s="3" t="s">
        <v>1168</v>
      </c>
      <c r="D4920" s="3" t="s">
        <v>1558</v>
      </c>
      <c r="E4920" s="3" t="s">
        <v>1702</v>
      </c>
      <c r="F4920" s="3">
        <v>77386.960000000006</v>
      </c>
      <c r="G4920" s="3">
        <v>1146017.3600000001</v>
      </c>
    </row>
    <row r="4921" spans="1:7" x14ac:dyDescent="0.2">
      <c r="A4921" s="3" t="s">
        <v>1069</v>
      </c>
      <c r="B4921" s="4">
        <v>45291</v>
      </c>
      <c r="C4921" s="3" t="s">
        <v>1168</v>
      </c>
      <c r="D4921" s="3" t="s">
        <v>1640</v>
      </c>
      <c r="E4921" s="3" t="s">
        <v>1641</v>
      </c>
      <c r="F4921" s="3">
        <v>0</v>
      </c>
      <c r="G4921" s="3">
        <v>1005.47</v>
      </c>
    </row>
    <row r="4922" spans="1:7" x14ac:dyDescent="0.2">
      <c r="A4922" s="3" t="s">
        <v>1074</v>
      </c>
      <c r="B4922" s="4">
        <v>45291</v>
      </c>
      <c r="C4922" s="3" t="s">
        <v>1168</v>
      </c>
      <c r="D4922" s="3" t="s">
        <v>1640</v>
      </c>
      <c r="E4922" s="3" t="s">
        <v>1689</v>
      </c>
      <c r="F4922" s="3">
        <v>0</v>
      </c>
      <c r="G4922" s="3">
        <v>6212.85</v>
      </c>
    </row>
    <row r="4923" spans="1:7" x14ac:dyDescent="0.2">
      <c r="A4923" s="3" t="s">
        <v>1069</v>
      </c>
      <c r="B4923" s="4">
        <v>45291</v>
      </c>
      <c r="C4923" s="3" t="s">
        <v>1168</v>
      </c>
      <c r="D4923" s="3" t="s">
        <v>1659</v>
      </c>
      <c r="E4923" s="3" t="s">
        <v>1660</v>
      </c>
      <c r="F4923" s="3">
        <v>0</v>
      </c>
      <c r="G4923" s="3">
        <v>250</v>
      </c>
    </row>
    <row r="4924" spans="1:7" x14ac:dyDescent="0.2">
      <c r="A4924" s="3" t="s">
        <v>1074</v>
      </c>
      <c r="B4924" s="4">
        <v>45291</v>
      </c>
      <c r="C4924" s="3" t="s">
        <v>1168</v>
      </c>
      <c r="D4924" s="3" t="s">
        <v>1659</v>
      </c>
      <c r="E4924" s="3" t="s">
        <v>1660</v>
      </c>
      <c r="F4924" s="3">
        <v>200</v>
      </c>
      <c r="G4924" s="3">
        <v>473.92</v>
      </c>
    </row>
    <row r="4925" spans="1:7" x14ac:dyDescent="0.2">
      <c r="A4925" s="3" t="s">
        <v>1069</v>
      </c>
      <c r="B4925" s="4">
        <v>45291</v>
      </c>
      <c r="C4925" s="3" t="s">
        <v>1168</v>
      </c>
      <c r="D4925" s="3" t="s">
        <v>1678</v>
      </c>
      <c r="E4925" s="3" t="s">
        <v>1679</v>
      </c>
      <c r="F4925" s="3">
        <v>0</v>
      </c>
      <c r="G4925" s="3">
        <v>31600</v>
      </c>
    </row>
    <row r="4926" spans="1:7" x14ac:dyDescent="0.2">
      <c r="A4926" s="3" t="s">
        <v>1072</v>
      </c>
      <c r="B4926" s="4">
        <v>45291</v>
      </c>
      <c r="C4926" s="3" t="s">
        <v>1168</v>
      </c>
      <c r="D4926" s="3" t="s">
        <v>1661</v>
      </c>
      <c r="E4926" s="3" t="s">
        <v>1662</v>
      </c>
      <c r="F4926" s="3">
        <v>0</v>
      </c>
      <c r="G4926" s="3">
        <v>286.95999999999998</v>
      </c>
    </row>
    <row r="4927" spans="1:7" x14ac:dyDescent="0.2">
      <c r="A4927" s="3" t="s">
        <v>1072</v>
      </c>
      <c r="B4927" s="4">
        <v>45291</v>
      </c>
      <c r="C4927" s="3" t="s">
        <v>1168</v>
      </c>
      <c r="D4927" s="3" t="s">
        <v>1680</v>
      </c>
      <c r="E4927" s="3" t="s">
        <v>1681</v>
      </c>
      <c r="F4927" s="3">
        <v>0</v>
      </c>
      <c r="G4927" s="3">
        <v>86.96</v>
      </c>
    </row>
    <row r="4928" spans="1:7" x14ac:dyDescent="0.2">
      <c r="A4928" s="3" t="s">
        <v>1072</v>
      </c>
      <c r="B4928" s="4">
        <v>45291</v>
      </c>
      <c r="C4928" s="3" t="s">
        <v>1168</v>
      </c>
      <c r="D4928" s="3" t="s">
        <v>1669</v>
      </c>
      <c r="E4928" s="3" t="s">
        <v>1670</v>
      </c>
      <c r="F4928" s="3">
        <v>0</v>
      </c>
      <c r="G4928" s="3">
        <v>30620.97</v>
      </c>
    </row>
    <row r="4929" spans="1:7" x14ac:dyDescent="0.2">
      <c r="A4929" s="3" t="s">
        <v>1072</v>
      </c>
      <c r="B4929" s="4">
        <v>45291</v>
      </c>
      <c r="C4929" s="3" t="s">
        <v>1168</v>
      </c>
      <c r="D4929" s="3" t="s">
        <v>1735</v>
      </c>
      <c r="E4929" s="3" t="s">
        <v>1736</v>
      </c>
      <c r="F4929" s="3">
        <v>0</v>
      </c>
      <c r="G4929" s="3">
        <v>7408.46</v>
      </c>
    </row>
    <row r="4930" spans="1:7" x14ac:dyDescent="0.2">
      <c r="A4930" s="3" t="s">
        <v>1072</v>
      </c>
      <c r="B4930" s="4">
        <v>45291</v>
      </c>
      <c r="C4930" s="3" t="s">
        <v>1168</v>
      </c>
      <c r="D4930" s="3" t="s">
        <v>1703</v>
      </c>
      <c r="E4930" s="3" t="s">
        <v>1704</v>
      </c>
      <c r="F4930" s="3">
        <v>0</v>
      </c>
      <c r="G4930" s="3">
        <v>10516.44</v>
      </c>
    </row>
    <row r="4931" spans="1:7" x14ac:dyDescent="0.2">
      <c r="A4931" s="3" t="s">
        <v>1072</v>
      </c>
      <c r="B4931" s="4">
        <v>45291</v>
      </c>
      <c r="C4931" s="3" t="s">
        <v>1168</v>
      </c>
      <c r="D4931" s="3" t="s">
        <v>1682</v>
      </c>
      <c r="E4931" s="3" t="s">
        <v>1683</v>
      </c>
      <c r="F4931" s="3">
        <v>8250</v>
      </c>
      <c r="G4931" s="3">
        <v>97870.91</v>
      </c>
    </row>
    <row r="4932" spans="1:7" x14ac:dyDescent="0.2">
      <c r="A4932" s="3" t="s">
        <v>1072</v>
      </c>
      <c r="B4932" s="4">
        <v>45291</v>
      </c>
      <c r="C4932" s="3" t="s">
        <v>1168</v>
      </c>
      <c r="D4932" s="3" t="s">
        <v>1281</v>
      </c>
      <c r="E4932" s="3" t="s">
        <v>1282</v>
      </c>
      <c r="F4932" s="3">
        <v>11600</v>
      </c>
      <c r="G4932" s="3">
        <v>352147.74</v>
      </c>
    </row>
    <row r="4933" spans="1:7" x14ac:dyDescent="0.2">
      <c r="A4933" s="3" t="s">
        <v>1072</v>
      </c>
      <c r="B4933" s="4">
        <v>45291</v>
      </c>
      <c r="C4933" s="3" t="s">
        <v>1168</v>
      </c>
      <c r="D4933" s="3" t="s">
        <v>1283</v>
      </c>
      <c r="E4933" s="3" t="s">
        <v>1284</v>
      </c>
      <c r="F4933" s="3">
        <v>0</v>
      </c>
      <c r="G4933" s="3">
        <v>160161.35999999999</v>
      </c>
    </row>
    <row r="4934" spans="1:7" x14ac:dyDescent="0.2">
      <c r="A4934" s="3" t="s">
        <v>1072</v>
      </c>
      <c r="B4934" s="4">
        <v>45291</v>
      </c>
      <c r="C4934" s="3" t="s">
        <v>1168</v>
      </c>
      <c r="D4934" s="3" t="s">
        <v>1285</v>
      </c>
      <c r="E4934" s="3" t="s">
        <v>1286</v>
      </c>
      <c r="F4934" s="3">
        <v>0</v>
      </c>
      <c r="G4934" s="3">
        <v>19969.43</v>
      </c>
    </row>
    <row r="4935" spans="1:7" x14ac:dyDescent="0.2">
      <c r="A4935" s="3" t="s">
        <v>1072</v>
      </c>
      <c r="B4935" s="4">
        <v>45291</v>
      </c>
      <c r="C4935" s="3" t="s">
        <v>1168</v>
      </c>
      <c r="D4935" s="3" t="s">
        <v>1705</v>
      </c>
      <c r="E4935" s="3" t="s">
        <v>1706</v>
      </c>
      <c r="F4935" s="3">
        <v>0</v>
      </c>
      <c r="G4935" s="3">
        <v>26340.75</v>
      </c>
    </row>
    <row r="4936" spans="1:7" x14ac:dyDescent="0.2">
      <c r="A4936" s="3" t="s">
        <v>1072</v>
      </c>
      <c r="B4936" s="4">
        <v>45291</v>
      </c>
      <c r="C4936" s="3" t="s">
        <v>1168</v>
      </c>
      <c r="D4936" s="3" t="s">
        <v>1301</v>
      </c>
      <c r="E4936" s="3" t="s">
        <v>1302</v>
      </c>
      <c r="F4936" s="3">
        <v>0</v>
      </c>
      <c r="G4936" s="3">
        <v>760.87</v>
      </c>
    </row>
    <row r="4937" spans="1:7" x14ac:dyDescent="0.2">
      <c r="A4937" s="3" t="s">
        <v>1072</v>
      </c>
      <c r="B4937" s="4">
        <v>45291</v>
      </c>
      <c r="C4937" s="3" t="s">
        <v>1168</v>
      </c>
      <c r="D4937" s="3" t="s">
        <v>1305</v>
      </c>
      <c r="E4937" s="3" t="s">
        <v>1306</v>
      </c>
      <c r="F4937" s="3">
        <v>0</v>
      </c>
      <c r="G4937" s="3">
        <v>27752.22</v>
      </c>
    </row>
    <row r="4938" spans="1:7" x14ac:dyDescent="0.2">
      <c r="A4938" s="3" t="s">
        <v>1072</v>
      </c>
      <c r="B4938" s="4">
        <v>45291</v>
      </c>
      <c r="C4938" s="3" t="s">
        <v>1168</v>
      </c>
      <c r="D4938" s="3" t="s">
        <v>1690</v>
      </c>
      <c r="E4938" s="3" t="s">
        <v>1691</v>
      </c>
      <c r="F4938" s="3">
        <v>0</v>
      </c>
      <c r="G4938" s="3">
        <v>7565.57</v>
      </c>
    </row>
    <row r="4939" spans="1:7" x14ac:dyDescent="0.2">
      <c r="A4939" s="3" t="s">
        <v>1072</v>
      </c>
      <c r="B4939" s="4">
        <v>45291</v>
      </c>
      <c r="C4939" s="3" t="s">
        <v>1168</v>
      </c>
      <c r="D4939" s="3" t="s">
        <v>1311</v>
      </c>
      <c r="E4939" s="3" t="s">
        <v>1312</v>
      </c>
      <c r="F4939" s="3">
        <v>680</v>
      </c>
      <c r="G4939" s="3">
        <v>680</v>
      </c>
    </row>
    <row r="4940" spans="1:7" x14ac:dyDescent="0.2">
      <c r="A4940" s="3" t="s">
        <v>1072</v>
      </c>
      <c r="B4940" s="4">
        <v>45291</v>
      </c>
      <c r="C4940" s="3" t="s">
        <v>1168</v>
      </c>
      <c r="D4940" s="3" t="s">
        <v>1315</v>
      </c>
      <c r="E4940" s="3" t="s">
        <v>1316</v>
      </c>
      <c r="F4940" s="3">
        <v>0</v>
      </c>
      <c r="G4940" s="3">
        <v>1129.57</v>
      </c>
    </row>
    <row r="4941" spans="1:7" x14ac:dyDescent="0.2">
      <c r="A4941" s="3" t="s">
        <v>1072</v>
      </c>
      <c r="B4941" s="4">
        <v>45291</v>
      </c>
      <c r="C4941" s="3" t="s">
        <v>1168</v>
      </c>
      <c r="D4941" s="3" t="s">
        <v>1450</v>
      </c>
      <c r="E4941" s="3" t="s">
        <v>1451</v>
      </c>
      <c r="F4941" s="3">
        <v>5715</v>
      </c>
      <c r="G4941" s="3">
        <v>1638939.08</v>
      </c>
    </row>
    <row r="4942" spans="1:7" x14ac:dyDescent="0.2">
      <c r="A4942" s="3" t="s">
        <v>1072</v>
      </c>
      <c r="B4942" s="4">
        <v>45291</v>
      </c>
      <c r="C4942" s="3" t="s">
        <v>1168</v>
      </c>
      <c r="D4942" s="3" t="s">
        <v>1452</v>
      </c>
      <c r="E4942" s="3" t="s">
        <v>1453</v>
      </c>
      <c r="F4942" s="3">
        <v>4313.09</v>
      </c>
      <c r="G4942" s="3">
        <v>340031.95</v>
      </c>
    </row>
    <row r="4943" spans="1:7" x14ac:dyDescent="0.2">
      <c r="A4943" s="3" t="s">
        <v>1072</v>
      </c>
      <c r="B4943" s="4">
        <v>45291</v>
      </c>
      <c r="C4943" s="3" t="s">
        <v>1168</v>
      </c>
      <c r="D4943" s="3" t="s">
        <v>1454</v>
      </c>
      <c r="E4943" s="3" t="s">
        <v>1455</v>
      </c>
      <c r="F4943" s="3">
        <v>0</v>
      </c>
      <c r="G4943" s="3">
        <v>694.78</v>
      </c>
    </row>
    <row r="4944" spans="1:7" x14ac:dyDescent="0.2">
      <c r="A4944" s="3" t="s">
        <v>1072</v>
      </c>
      <c r="B4944" s="4">
        <v>45291</v>
      </c>
      <c r="C4944" s="3" t="s">
        <v>1168</v>
      </c>
      <c r="D4944" s="3" t="s">
        <v>1468</v>
      </c>
      <c r="E4944" s="3" t="s">
        <v>1469</v>
      </c>
      <c r="F4944" s="3">
        <v>1797.39</v>
      </c>
      <c r="G4944" s="3">
        <v>15479.67</v>
      </c>
    </row>
    <row r="4945" spans="1:7" x14ac:dyDescent="0.2">
      <c r="A4945" s="3" t="s">
        <v>1072</v>
      </c>
      <c r="B4945" s="4">
        <v>45291</v>
      </c>
      <c r="C4945" s="3" t="s">
        <v>1168</v>
      </c>
      <c r="D4945" s="3" t="s">
        <v>1620</v>
      </c>
      <c r="E4945" s="3" t="s">
        <v>1621</v>
      </c>
      <c r="F4945" s="3">
        <v>2242.61</v>
      </c>
      <c r="G4945" s="3">
        <v>30496.25</v>
      </c>
    </row>
    <row r="4946" spans="1:7" x14ac:dyDescent="0.2">
      <c r="A4946" s="3" t="s">
        <v>1072</v>
      </c>
      <c r="B4946" s="4">
        <v>45291</v>
      </c>
      <c r="C4946" s="3" t="s">
        <v>1168</v>
      </c>
      <c r="D4946" s="3" t="s">
        <v>1542</v>
      </c>
      <c r="E4946" s="3" t="s">
        <v>1543</v>
      </c>
      <c r="F4946" s="3">
        <v>3086415.9</v>
      </c>
      <c r="G4946" s="3">
        <v>40404469.789999999</v>
      </c>
    </row>
    <row r="4947" spans="1:7" x14ac:dyDescent="0.2">
      <c r="A4947" s="3" t="s">
        <v>1072</v>
      </c>
      <c r="B4947" s="4">
        <v>45291</v>
      </c>
      <c r="C4947" s="3" t="s">
        <v>1168</v>
      </c>
      <c r="D4947" s="3" t="s">
        <v>1527</v>
      </c>
      <c r="E4947" s="3" t="s">
        <v>1528</v>
      </c>
      <c r="F4947" s="3">
        <v>1443.35</v>
      </c>
      <c r="G4947" s="3">
        <v>548678.49</v>
      </c>
    </row>
    <row r="4948" spans="1:7" x14ac:dyDescent="0.2">
      <c r="A4948" s="3" t="s">
        <v>1072</v>
      </c>
      <c r="B4948" s="4">
        <v>45291</v>
      </c>
      <c r="C4948" s="3" t="s">
        <v>1168</v>
      </c>
      <c r="D4948" s="3" t="s">
        <v>1560</v>
      </c>
      <c r="E4948" s="3" t="s">
        <v>1561</v>
      </c>
      <c r="F4948" s="3">
        <v>0</v>
      </c>
      <c r="G4948" s="3">
        <v>17292.48</v>
      </c>
    </row>
    <row r="4949" spans="1:7" x14ac:dyDescent="0.2">
      <c r="A4949" s="3" t="s">
        <v>1072</v>
      </c>
      <c r="B4949" s="4">
        <v>45291</v>
      </c>
      <c r="C4949" s="3" t="s">
        <v>1210</v>
      </c>
      <c r="D4949" s="3" t="s">
        <v>1509</v>
      </c>
      <c r="E4949" s="3" t="s">
        <v>1510</v>
      </c>
      <c r="F4949" s="3">
        <v>-813</v>
      </c>
      <c r="G4949" s="3">
        <v>-2303.02</v>
      </c>
    </row>
    <row r="4950" spans="1:7" x14ac:dyDescent="0.2">
      <c r="A4950" s="3" t="s">
        <v>1072</v>
      </c>
      <c r="B4950" s="4">
        <v>45291</v>
      </c>
      <c r="C4950" s="3" t="s">
        <v>1210</v>
      </c>
      <c r="D4950" s="3" t="s">
        <v>1323</v>
      </c>
      <c r="E4950" s="3" t="s">
        <v>1324</v>
      </c>
      <c r="F4950" s="3">
        <v>0</v>
      </c>
      <c r="G4950" s="3">
        <v>-34.229999999999997</v>
      </c>
    </row>
    <row r="4951" spans="1:7" x14ac:dyDescent="0.2">
      <c r="A4951" s="3" t="s">
        <v>1069</v>
      </c>
      <c r="B4951" s="4">
        <v>45291</v>
      </c>
      <c r="C4951" s="3" t="s">
        <v>1210</v>
      </c>
      <c r="D4951" s="3" t="s">
        <v>1744</v>
      </c>
      <c r="E4951" s="3" t="s">
        <v>1745</v>
      </c>
      <c r="F4951" s="3">
        <v>-4254.9799999999996</v>
      </c>
      <c r="G4951" s="3">
        <v>-4254.9799999999996</v>
      </c>
    </row>
    <row r="4952" spans="1:7" x14ac:dyDescent="0.2">
      <c r="A4952" s="3" t="s">
        <v>1069</v>
      </c>
      <c r="B4952" s="4">
        <v>45291</v>
      </c>
      <c r="C4952" s="3" t="s">
        <v>1210</v>
      </c>
      <c r="D4952" s="3" t="s">
        <v>1249</v>
      </c>
      <c r="E4952" s="3" t="s">
        <v>1250</v>
      </c>
      <c r="F4952" s="3">
        <v>-158795.4</v>
      </c>
      <c r="G4952" s="3">
        <v>-2529456.33</v>
      </c>
    </row>
    <row r="4953" spans="1:7" x14ac:dyDescent="0.2">
      <c r="A4953" s="3" t="s">
        <v>1069</v>
      </c>
      <c r="B4953" s="4">
        <v>45291</v>
      </c>
      <c r="C4953" s="3" t="s">
        <v>1168</v>
      </c>
      <c r="D4953" s="3" t="s">
        <v>1692</v>
      </c>
      <c r="E4953" s="3" t="s">
        <v>1149</v>
      </c>
      <c r="F4953" s="3">
        <v>0</v>
      </c>
      <c r="G4953" s="3">
        <v>15024.96</v>
      </c>
    </row>
    <row r="4954" spans="1:7" x14ac:dyDescent="0.2">
      <c r="A4954" s="3" t="s">
        <v>1069</v>
      </c>
      <c r="B4954" s="4">
        <v>45291</v>
      </c>
      <c r="C4954" s="3" t="s">
        <v>1168</v>
      </c>
      <c r="D4954" s="3" t="s">
        <v>1226</v>
      </c>
      <c r="E4954" s="3" t="s">
        <v>1126</v>
      </c>
      <c r="F4954" s="3">
        <v>0</v>
      </c>
      <c r="G4954" s="3">
        <v>3050</v>
      </c>
    </row>
    <row r="4955" spans="1:7" x14ac:dyDescent="0.2">
      <c r="A4955" s="3" t="s">
        <v>1072</v>
      </c>
      <c r="B4955" s="4">
        <v>45291</v>
      </c>
      <c r="C4955" s="3" t="s">
        <v>1168</v>
      </c>
      <c r="D4955" s="3" t="s">
        <v>1325</v>
      </c>
      <c r="E4955" s="3" t="s">
        <v>1073</v>
      </c>
      <c r="F4955" s="3">
        <v>0</v>
      </c>
      <c r="G4955" s="3">
        <v>1280</v>
      </c>
    </row>
    <row r="4956" spans="1:7" x14ac:dyDescent="0.2">
      <c r="A4956" s="3" t="s">
        <v>1072</v>
      </c>
      <c r="B4956" s="4">
        <v>45291</v>
      </c>
      <c r="C4956" s="3" t="s">
        <v>1168</v>
      </c>
      <c r="D4956" s="3" t="s">
        <v>1326</v>
      </c>
      <c r="E4956" s="3" t="s">
        <v>1088</v>
      </c>
      <c r="F4956" s="3">
        <v>0</v>
      </c>
      <c r="G4956" s="3">
        <v>11170</v>
      </c>
    </row>
    <row r="4957" spans="1:7" x14ac:dyDescent="0.2">
      <c r="A4957" s="3" t="s">
        <v>1072</v>
      </c>
      <c r="B4957" s="4">
        <v>45291</v>
      </c>
      <c r="C4957" s="3" t="s">
        <v>1168</v>
      </c>
      <c r="D4957" s="3" t="s">
        <v>1169</v>
      </c>
      <c r="E4957" s="3" t="s">
        <v>1079</v>
      </c>
      <c r="F4957" s="3">
        <v>0</v>
      </c>
      <c r="G4957" s="3">
        <v>10975</v>
      </c>
    </row>
    <row r="4958" spans="1:7" x14ac:dyDescent="0.2">
      <c r="A4958" s="3" t="s">
        <v>1069</v>
      </c>
      <c r="B4958" s="4">
        <v>45291</v>
      </c>
      <c r="C4958" s="3" t="s">
        <v>1168</v>
      </c>
      <c r="D4958" s="3" t="s">
        <v>1169</v>
      </c>
      <c r="E4958" s="3" t="s">
        <v>1079</v>
      </c>
      <c r="F4958" s="3">
        <v>931.25</v>
      </c>
      <c r="G4958" s="3">
        <v>178914.34</v>
      </c>
    </row>
    <row r="4959" spans="1:7" x14ac:dyDescent="0.2">
      <c r="A4959" s="3" t="s">
        <v>1074</v>
      </c>
      <c r="B4959" s="4">
        <v>45291</v>
      </c>
      <c r="C4959" s="3" t="s">
        <v>1168</v>
      </c>
      <c r="D4959" s="3" t="s">
        <v>1169</v>
      </c>
      <c r="E4959" s="3" t="s">
        <v>1079</v>
      </c>
      <c r="F4959" s="3">
        <v>431.25</v>
      </c>
      <c r="G4959" s="3">
        <v>52857.72</v>
      </c>
    </row>
    <row r="4960" spans="1:7" x14ac:dyDescent="0.2">
      <c r="A4960" s="3" t="s">
        <v>1069</v>
      </c>
      <c r="B4960" s="4">
        <v>45291</v>
      </c>
      <c r="C4960" s="3" t="s">
        <v>1168</v>
      </c>
      <c r="D4960" s="3" t="s">
        <v>1261</v>
      </c>
      <c r="E4960" s="3" t="s">
        <v>1145</v>
      </c>
      <c r="F4960" s="3">
        <v>0</v>
      </c>
      <c r="G4960" s="3">
        <v>12480</v>
      </c>
    </row>
    <row r="4961" spans="1:7" x14ac:dyDescent="0.2">
      <c r="A4961" s="3" t="s">
        <v>1072</v>
      </c>
      <c r="B4961" s="4">
        <v>45291</v>
      </c>
      <c r="C4961" s="3" t="s">
        <v>1168</v>
      </c>
      <c r="D4961" s="3" t="s">
        <v>1648</v>
      </c>
      <c r="E4961" s="3" t="s">
        <v>1084</v>
      </c>
      <c r="F4961" s="3">
        <v>0</v>
      </c>
      <c r="G4961" s="3">
        <v>295</v>
      </c>
    </row>
    <row r="4962" spans="1:7" x14ac:dyDescent="0.2">
      <c r="A4962" s="3" t="s">
        <v>1069</v>
      </c>
      <c r="B4962" s="4">
        <v>45291</v>
      </c>
      <c r="C4962" s="3" t="s">
        <v>1168</v>
      </c>
      <c r="D4962" s="3" t="s">
        <v>1624</v>
      </c>
      <c r="E4962" s="3" t="s">
        <v>1118</v>
      </c>
      <c r="F4962" s="3">
        <v>0</v>
      </c>
      <c r="G4962" s="3">
        <v>10250</v>
      </c>
    </row>
    <row r="4963" spans="1:7" x14ac:dyDescent="0.2">
      <c r="A4963" s="3" t="s">
        <v>1074</v>
      </c>
      <c r="B4963" s="4">
        <v>45291</v>
      </c>
      <c r="C4963" s="3" t="s">
        <v>1168</v>
      </c>
      <c r="D4963" s="3" t="s">
        <v>1624</v>
      </c>
      <c r="E4963" s="3" t="s">
        <v>1160</v>
      </c>
      <c r="F4963" s="3">
        <v>0</v>
      </c>
      <c r="G4963" s="3">
        <v>17855</v>
      </c>
    </row>
    <row r="4964" spans="1:7" x14ac:dyDescent="0.2">
      <c r="A4964" s="3" t="s">
        <v>1074</v>
      </c>
      <c r="B4964" s="4">
        <v>45291</v>
      </c>
      <c r="C4964" s="3" t="s">
        <v>1168</v>
      </c>
      <c r="D4964" s="3" t="s">
        <v>1649</v>
      </c>
      <c r="E4964" s="3" t="s">
        <v>1117</v>
      </c>
      <c r="F4964" s="3">
        <v>0</v>
      </c>
      <c r="G4964" s="3">
        <v>14569.1</v>
      </c>
    </row>
    <row r="4965" spans="1:7" x14ac:dyDescent="0.2">
      <c r="A4965" s="3" t="s">
        <v>1072</v>
      </c>
      <c r="B4965" s="4">
        <v>45291</v>
      </c>
      <c r="C4965" s="3" t="s">
        <v>1168</v>
      </c>
      <c r="D4965" s="3" t="s">
        <v>1339</v>
      </c>
      <c r="E4965" s="3" t="s">
        <v>1087</v>
      </c>
      <c r="F4965" s="3">
        <v>0</v>
      </c>
      <c r="G4965" s="3">
        <v>1597</v>
      </c>
    </row>
    <row r="4966" spans="1:7" x14ac:dyDescent="0.2">
      <c r="A4966" s="3" t="s">
        <v>1074</v>
      </c>
      <c r="B4966" s="4">
        <v>45291</v>
      </c>
      <c r="C4966" s="3" t="s">
        <v>1168</v>
      </c>
      <c r="D4966" s="3" t="s">
        <v>1707</v>
      </c>
      <c r="E4966" s="3" t="s">
        <v>1118</v>
      </c>
      <c r="F4966" s="3">
        <v>0</v>
      </c>
      <c r="G4966" s="3">
        <v>18500</v>
      </c>
    </row>
    <row r="4967" spans="1:7" x14ac:dyDescent="0.2">
      <c r="A4967" s="3" t="s">
        <v>1072</v>
      </c>
      <c r="B4967" s="4">
        <v>45291</v>
      </c>
      <c r="C4967" s="3" t="s">
        <v>1168</v>
      </c>
      <c r="D4967" s="3" t="s">
        <v>1195</v>
      </c>
      <c r="E4967" s="3" t="s">
        <v>1085</v>
      </c>
      <c r="F4967" s="3">
        <v>1798.31</v>
      </c>
      <c r="G4967" s="3">
        <v>17924.29</v>
      </c>
    </row>
    <row r="4968" spans="1:7" x14ac:dyDescent="0.2">
      <c r="A4968" s="3" t="s">
        <v>1069</v>
      </c>
      <c r="B4968" s="4">
        <v>45291</v>
      </c>
      <c r="C4968" s="3" t="s">
        <v>1168</v>
      </c>
      <c r="D4968" s="3" t="s">
        <v>1195</v>
      </c>
      <c r="E4968" s="3" t="s">
        <v>1085</v>
      </c>
      <c r="F4968" s="3">
        <v>369.23</v>
      </c>
      <c r="G4968" s="3">
        <v>4350.92</v>
      </c>
    </row>
    <row r="4969" spans="1:7" x14ac:dyDescent="0.2">
      <c r="A4969" s="3" t="s">
        <v>1072</v>
      </c>
      <c r="B4969" s="4">
        <v>45291</v>
      </c>
      <c r="C4969" s="3" t="s">
        <v>1168</v>
      </c>
      <c r="D4969" s="3" t="s">
        <v>1340</v>
      </c>
      <c r="E4969" s="3" t="s">
        <v>1141</v>
      </c>
      <c r="F4969" s="3">
        <v>0</v>
      </c>
      <c r="G4969" s="3">
        <v>728.37</v>
      </c>
    </row>
    <row r="4970" spans="1:7" x14ac:dyDescent="0.2">
      <c r="A4970" s="3" t="s">
        <v>1072</v>
      </c>
      <c r="B4970" s="4">
        <v>45291</v>
      </c>
      <c r="C4970" s="3" t="s">
        <v>1168</v>
      </c>
      <c r="D4970" s="3" t="s">
        <v>1708</v>
      </c>
      <c r="E4970" s="3" t="s">
        <v>1140</v>
      </c>
      <c r="F4970" s="3">
        <v>0</v>
      </c>
      <c r="G4970" s="3">
        <v>4123</v>
      </c>
    </row>
    <row r="4971" spans="1:7" x14ac:dyDescent="0.2">
      <c r="A4971" s="3" t="s">
        <v>1072</v>
      </c>
      <c r="B4971" s="4">
        <v>45291</v>
      </c>
      <c r="C4971" s="3" t="s">
        <v>1168</v>
      </c>
      <c r="D4971" s="3" t="s">
        <v>1341</v>
      </c>
      <c r="E4971" s="3" t="s">
        <v>1135</v>
      </c>
      <c r="F4971" s="3">
        <v>0</v>
      </c>
      <c r="G4971" s="3">
        <v>26779.67</v>
      </c>
    </row>
    <row r="4972" spans="1:7" x14ac:dyDescent="0.2">
      <c r="A4972" s="3" t="s">
        <v>1072</v>
      </c>
      <c r="B4972" s="4">
        <v>45291</v>
      </c>
      <c r="C4972" s="3" t="s">
        <v>1168</v>
      </c>
      <c r="D4972" s="3" t="s">
        <v>1342</v>
      </c>
      <c r="E4972" s="3" t="s">
        <v>1080</v>
      </c>
      <c r="F4972" s="3">
        <v>0</v>
      </c>
      <c r="G4972" s="3">
        <v>6402.65</v>
      </c>
    </row>
    <row r="4973" spans="1:7" x14ac:dyDescent="0.2">
      <c r="A4973" s="3" t="s">
        <v>1072</v>
      </c>
      <c r="B4973" s="4">
        <v>45291</v>
      </c>
      <c r="C4973" s="3" t="s">
        <v>1168</v>
      </c>
      <c r="D4973" s="3" t="s">
        <v>1504</v>
      </c>
      <c r="E4973" s="3" t="s">
        <v>1142</v>
      </c>
      <c r="F4973" s="3">
        <v>3230</v>
      </c>
      <c r="G4973" s="3">
        <v>39099</v>
      </c>
    </row>
    <row r="4974" spans="1:7" x14ac:dyDescent="0.2">
      <c r="A4974" s="3" t="s">
        <v>1069</v>
      </c>
      <c r="B4974" s="4">
        <v>45291</v>
      </c>
      <c r="C4974" s="3" t="s">
        <v>1168</v>
      </c>
      <c r="D4974" s="3" t="s">
        <v>1251</v>
      </c>
      <c r="E4974" s="3" t="s">
        <v>1095</v>
      </c>
      <c r="F4974" s="3">
        <v>116233</v>
      </c>
      <c r="G4974" s="3">
        <v>1170315.57</v>
      </c>
    </row>
    <row r="4975" spans="1:7" x14ac:dyDescent="0.2">
      <c r="A4975" s="3" t="s">
        <v>1072</v>
      </c>
      <c r="B4975" s="4">
        <v>45291</v>
      </c>
      <c r="C4975" s="3" t="s">
        <v>1168</v>
      </c>
      <c r="D4975" s="3" t="s">
        <v>1348</v>
      </c>
      <c r="E4975" s="3" t="s">
        <v>1095</v>
      </c>
      <c r="F4975" s="3">
        <v>125097.01</v>
      </c>
      <c r="G4975" s="3">
        <v>1232134.71</v>
      </c>
    </row>
    <row r="4976" spans="1:7" x14ac:dyDescent="0.2">
      <c r="A4976" s="3" t="s">
        <v>1069</v>
      </c>
      <c r="B4976" s="4">
        <v>45291</v>
      </c>
      <c r="C4976" s="3" t="s">
        <v>1168</v>
      </c>
      <c r="D4976" s="3" t="s">
        <v>1252</v>
      </c>
      <c r="E4976" s="3" t="s">
        <v>1120</v>
      </c>
      <c r="F4976" s="3">
        <v>0</v>
      </c>
      <c r="G4976" s="3">
        <v>22100</v>
      </c>
    </row>
    <row r="4977" spans="1:7" x14ac:dyDescent="0.2">
      <c r="A4977" s="3" t="s">
        <v>1074</v>
      </c>
      <c r="B4977" s="4">
        <v>45291</v>
      </c>
      <c r="C4977" s="3" t="s">
        <v>1168</v>
      </c>
      <c r="D4977" s="3" t="s">
        <v>1252</v>
      </c>
      <c r="E4977" s="3" t="s">
        <v>1120</v>
      </c>
      <c r="F4977" s="3">
        <v>14250</v>
      </c>
      <c r="G4977" s="3">
        <v>66250</v>
      </c>
    </row>
    <row r="4978" spans="1:7" x14ac:dyDescent="0.2">
      <c r="A4978" s="3" t="s">
        <v>1072</v>
      </c>
      <c r="B4978" s="4">
        <v>45291</v>
      </c>
      <c r="C4978" s="3" t="s">
        <v>1168</v>
      </c>
      <c r="D4978" s="3" t="s">
        <v>1349</v>
      </c>
      <c r="E4978" s="3" t="s">
        <v>1089</v>
      </c>
      <c r="F4978" s="3">
        <v>0</v>
      </c>
      <c r="G4978" s="3">
        <v>331.09</v>
      </c>
    </row>
    <row r="4979" spans="1:7" x14ac:dyDescent="0.2">
      <c r="A4979" s="3" t="s">
        <v>1072</v>
      </c>
      <c r="B4979" s="4">
        <v>45291</v>
      </c>
      <c r="C4979" s="3" t="s">
        <v>1168</v>
      </c>
      <c r="D4979" s="3" t="s">
        <v>1350</v>
      </c>
      <c r="E4979" s="3" t="s">
        <v>1115</v>
      </c>
      <c r="F4979" s="3">
        <v>4562.87</v>
      </c>
      <c r="G4979" s="3">
        <v>37249.879999999997</v>
      </c>
    </row>
    <row r="4980" spans="1:7" x14ac:dyDescent="0.2">
      <c r="A4980" s="3" t="s">
        <v>1072</v>
      </c>
      <c r="B4980" s="4">
        <v>45291</v>
      </c>
      <c r="C4980" s="3" t="s">
        <v>1168</v>
      </c>
      <c r="D4980" s="3" t="s">
        <v>1351</v>
      </c>
      <c r="E4980" s="3" t="s">
        <v>1096</v>
      </c>
      <c r="F4980" s="3">
        <v>1188.69</v>
      </c>
      <c r="G4980" s="3">
        <v>9896.26</v>
      </c>
    </row>
    <row r="4981" spans="1:7" x14ac:dyDescent="0.2">
      <c r="A4981" s="3" t="s">
        <v>1072</v>
      </c>
      <c r="B4981" s="4">
        <v>45291</v>
      </c>
      <c r="C4981" s="3" t="s">
        <v>1168</v>
      </c>
      <c r="D4981" s="3" t="s">
        <v>1474</v>
      </c>
      <c r="E4981" s="3" t="s">
        <v>1114</v>
      </c>
      <c r="F4981" s="3">
        <v>547.67999999999995</v>
      </c>
      <c r="G4981" s="3">
        <v>5476.77</v>
      </c>
    </row>
    <row r="4982" spans="1:7" x14ac:dyDescent="0.2">
      <c r="A4982" s="3" t="s">
        <v>1069</v>
      </c>
      <c r="B4982" s="4">
        <v>45291</v>
      </c>
      <c r="C4982" s="3" t="s">
        <v>1168</v>
      </c>
      <c r="D4982" s="3" t="s">
        <v>1229</v>
      </c>
      <c r="E4982" s="3" t="s">
        <v>1136</v>
      </c>
      <c r="F4982" s="3">
        <v>-971.22</v>
      </c>
      <c r="G4982" s="3">
        <v>223791.32</v>
      </c>
    </row>
    <row r="4983" spans="1:7" x14ac:dyDescent="0.2">
      <c r="A4983" s="3" t="s">
        <v>1072</v>
      </c>
      <c r="B4983" s="4">
        <v>45291</v>
      </c>
      <c r="C4983" s="3" t="s">
        <v>1168</v>
      </c>
      <c r="D4983" s="3" t="s">
        <v>1229</v>
      </c>
      <c r="E4983" s="3" t="s">
        <v>1106</v>
      </c>
      <c r="F4983" s="3">
        <v>0</v>
      </c>
      <c r="G4983" s="3">
        <v>60974.720000000001</v>
      </c>
    </row>
    <row r="4984" spans="1:7" x14ac:dyDescent="0.2">
      <c r="A4984" s="3" t="s">
        <v>1069</v>
      </c>
      <c r="B4984" s="4">
        <v>45291</v>
      </c>
      <c r="C4984" s="3" t="s">
        <v>1168</v>
      </c>
      <c r="D4984" s="3" t="s">
        <v>1230</v>
      </c>
      <c r="E4984" s="3" t="s">
        <v>1109</v>
      </c>
      <c r="F4984" s="3">
        <v>971.22</v>
      </c>
      <c r="G4984" s="3">
        <v>94159.82</v>
      </c>
    </row>
    <row r="4985" spans="1:7" x14ac:dyDescent="0.2">
      <c r="A4985" s="3" t="s">
        <v>1074</v>
      </c>
      <c r="B4985" s="4">
        <v>45291</v>
      </c>
      <c r="C4985" s="3" t="s">
        <v>1168</v>
      </c>
      <c r="D4985" s="3" t="s">
        <v>1230</v>
      </c>
      <c r="E4985" s="3" t="s">
        <v>1077</v>
      </c>
      <c r="F4985" s="3">
        <v>19.64</v>
      </c>
      <c r="G4985" s="3">
        <v>19.64</v>
      </c>
    </row>
    <row r="4986" spans="1:7" x14ac:dyDescent="0.2">
      <c r="A4986" s="3" t="s">
        <v>1069</v>
      </c>
      <c r="B4986" s="4">
        <v>45291</v>
      </c>
      <c r="C4986" s="3" t="s">
        <v>1168</v>
      </c>
      <c r="D4986" s="3" t="s">
        <v>1564</v>
      </c>
      <c r="E4986" s="3" t="s">
        <v>1101</v>
      </c>
      <c r="F4986" s="3">
        <v>0</v>
      </c>
      <c r="G4986" s="3">
        <v>46978.37</v>
      </c>
    </row>
    <row r="4987" spans="1:7" x14ac:dyDescent="0.2">
      <c r="A4987" s="3" t="s">
        <v>1069</v>
      </c>
      <c r="B4987" s="4">
        <v>45291</v>
      </c>
      <c r="C4987" s="3" t="s">
        <v>1168</v>
      </c>
      <c r="D4987" s="3" t="s">
        <v>1196</v>
      </c>
      <c r="E4987" s="3" t="s">
        <v>1131</v>
      </c>
      <c r="F4987" s="3">
        <v>0</v>
      </c>
      <c r="G4987" s="3">
        <v>39.47</v>
      </c>
    </row>
    <row r="4988" spans="1:7" x14ac:dyDescent="0.2">
      <c r="A4988" s="3" t="s">
        <v>1069</v>
      </c>
      <c r="B4988" s="4">
        <v>45291</v>
      </c>
      <c r="C4988" s="3" t="s">
        <v>1168</v>
      </c>
      <c r="D4988" s="3" t="s">
        <v>1663</v>
      </c>
      <c r="E4988" s="3" t="s">
        <v>1082</v>
      </c>
      <c r="F4988" s="3">
        <v>2956.52</v>
      </c>
      <c r="G4988" s="3">
        <v>3156.51</v>
      </c>
    </row>
    <row r="4989" spans="1:7" x14ac:dyDescent="0.2">
      <c r="A4989" s="3" t="s">
        <v>1069</v>
      </c>
      <c r="B4989" s="4">
        <v>45291</v>
      </c>
      <c r="C4989" s="3" t="s">
        <v>1168</v>
      </c>
      <c r="D4989" s="3" t="s">
        <v>1544</v>
      </c>
      <c r="E4989" s="3" t="s">
        <v>1159</v>
      </c>
      <c r="F4989" s="3">
        <v>17021.080000000002</v>
      </c>
      <c r="G4989" s="3">
        <v>102403.24</v>
      </c>
    </row>
    <row r="4990" spans="1:7" x14ac:dyDescent="0.2">
      <c r="A4990" s="3" t="s">
        <v>1072</v>
      </c>
      <c r="B4990" s="4">
        <v>45291</v>
      </c>
      <c r="C4990" s="3" t="s">
        <v>1168</v>
      </c>
      <c r="D4990" s="3" t="s">
        <v>1354</v>
      </c>
      <c r="E4990" s="3" t="s">
        <v>1078</v>
      </c>
      <c r="F4990" s="3">
        <v>6204.53</v>
      </c>
      <c r="G4990" s="3">
        <v>24779.49</v>
      </c>
    </row>
    <row r="4991" spans="1:7" x14ac:dyDescent="0.2">
      <c r="A4991" s="3" t="s">
        <v>1072</v>
      </c>
      <c r="B4991" s="4">
        <v>45291</v>
      </c>
      <c r="C4991" s="3" t="s">
        <v>1168</v>
      </c>
      <c r="D4991" s="3" t="s">
        <v>1709</v>
      </c>
      <c r="E4991" s="3" t="s">
        <v>1081</v>
      </c>
      <c r="F4991" s="3">
        <v>0</v>
      </c>
      <c r="G4991" s="3">
        <v>24242.76</v>
      </c>
    </row>
    <row r="4992" spans="1:7" x14ac:dyDescent="0.2">
      <c r="A4992" s="3" t="s">
        <v>1069</v>
      </c>
      <c r="B4992" s="4">
        <v>45291</v>
      </c>
      <c r="C4992" s="3" t="s">
        <v>1168</v>
      </c>
      <c r="D4992" s="3" t="s">
        <v>1456</v>
      </c>
      <c r="E4992" s="3" t="s">
        <v>1457</v>
      </c>
      <c r="F4992" s="3">
        <v>0</v>
      </c>
      <c r="G4992" s="3">
        <v>-533.79999999999995</v>
      </c>
    </row>
    <row r="4993" spans="1:7" x14ac:dyDescent="0.2">
      <c r="A4993" s="3" t="s">
        <v>1069</v>
      </c>
      <c r="B4993" s="4">
        <v>45291</v>
      </c>
      <c r="C4993" s="3" t="s">
        <v>1168</v>
      </c>
      <c r="D4993" s="3" t="s">
        <v>1565</v>
      </c>
      <c r="E4993" s="3" t="s">
        <v>1566</v>
      </c>
      <c r="F4993" s="3">
        <v>0</v>
      </c>
      <c r="G4993" s="3">
        <v>167246.17000000001</v>
      </c>
    </row>
    <row r="4994" spans="1:7" x14ac:dyDescent="0.2">
      <c r="A4994" s="3" t="s">
        <v>1069</v>
      </c>
      <c r="B4994" s="4">
        <v>45291</v>
      </c>
      <c r="C4994" s="3" t="s">
        <v>1168</v>
      </c>
      <c r="D4994" s="3" t="s">
        <v>1567</v>
      </c>
      <c r="E4994" s="3" t="s">
        <v>1568</v>
      </c>
      <c r="F4994" s="3">
        <v>0</v>
      </c>
      <c r="G4994" s="3">
        <v>72942.48</v>
      </c>
    </row>
    <row r="4995" spans="1:7" x14ac:dyDescent="0.2">
      <c r="A4995" s="3" t="s">
        <v>1069</v>
      </c>
      <c r="B4995" s="4">
        <v>45291</v>
      </c>
      <c r="C4995" s="3" t="s">
        <v>1168</v>
      </c>
      <c r="D4995" s="3" t="s">
        <v>1569</v>
      </c>
      <c r="E4995" s="3" t="s">
        <v>1570</v>
      </c>
      <c r="F4995" s="3">
        <v>0</v>
      </c>
      <c r="G4995" s="3">
        <v>44124.67</v>
      </c>
    </row>
    <row r="4996" spans="1:7" x14ac:dyDescent="0.2">
      <c r="A4996" s="3" t="s">
        <v>1069</v>
      </c>
      <c r="B4996" s="4">
        <v>45291</v>
      </c>
      <c r="C4996" s="3" t="s">
        <v>1168</v>
      </c>
      <c r="D4996" s="3" t="s">
        <v>1608</v>
      </c>
      <c r="E4996" s="3" t="s">
        <v>1609</v>
      </c>
      <c r="F4996" s="3">
        <v>0</v>
      </c>
      <c r="G4996" s="3">
        <v>11678.33</v>
      </c>
    </row>
    <row r="4997" spans="1:7" x14ac:dyDescent="0.2">
      <c r="A4997" s="3" t="s">
        <v>1074</v>
      </c>
      <c r="B4997" s="4">
        <v>45291</v>
      </c>
      <c r="C4997" s="3" t="s">
        <v>1168</v>
      </c>
      <c r="D4997" s="3" t="s">
        <v>1608</v>
      </c>
      <c r="E4997" s="3" t="s">
        <v>1609</v>
      </c>
      <c r="F4997" s="3">
        <v>0</v>
      </c>
      <c r="G4997" s="3">
        <v>1607.78</v>
      </c>
    </row>
    <row r="4998" spans="1:7" x14ac:dyDescent="0.2">
      <c r="A4998" s="3" t="s">
        <v>1069</v>
      </c>
      <c r="B4998" s="4">
        <v>45291</v>
      </c>
      <c r="C4998" s="3" t="s">
        <v>1168</v>
      </c>
      <c r="D4998" s="3" t="s">
        <v>1627</v>
      </c>
      <c r="E4998" s="3" t="s">
        <v>1628</v>
      </c>
      <c r="F4998" s="3">
        <v>0</v>
      </c>
      <c r="G4998" s="3">
        <v>1252.24</v>
      </c>
    </row>
    <row r="4999" spans="1:7" x14ac:dyDescent="0.2">
      <c r="A4999" s="3" t="s">
        <v>1074</v>
      </c>
      <c r="B4999" s="4">
        <v>45291</v>
      </c>
      <c r="C4999" s="3" t="s">
        <v>1168</v>
      </c>
      <c r="D4999" s="3" t="s">
        <v>1627</v>
      </c>
      <c r="E4999" s="3" t="s">
        <v>1628</v>
      </c>
      <c r="F4999" s="3">
        <v>0</v>
      </c>
      <c r="G4999" s="3">
        <v>1507.16</v>
      </c>
    </row>
    <row r="5000" spans="1:7" x14ac:dyDescent="0.2">
      <c r="A5000" s="3" t="s">
        <v>1069</v>
      </c>
      <c r="B5000" s="4">
        <v>45291</v>
      </c>
      <c r="C5000" s="3" t="s">
        <v>1168</v>
      </c>
      <c r="D5000" s="3" t="s">
        <v>1693</v>
      </c>
      <c r="E5000" s="3" t="s">
        <v>1694</v>
      </c>
      <c r="F5000" s="3">
        <v>0</v>
      </c>
      <c r="G5000" s="3">
        <v>5515.07</v>
      </c>
    </row>
    <row r="5001" spans="1:7" x14ac:dyDescent="0.2">
      <c r="A5001" s="3" t="s">
        <v>1074</v>
      </c>
      <c r="B5001" s="4">
        <v>45291</v>
      </c>
      <c r="C5001" s="3" t="s">
        <v>1168</v>
      </c>
      <c r="D5001" s="3" t="s">
        <v>1693</v>
      </c>
      <c r="E5001" s="3" t="s">
        <v>1694</v>
      </c>
      <c r="F5001" s="3">
        <v>2034.25</v>
      </c>
      <c r="G5001" s="3">
        <v>33113.040000000001</v>
      </c>
    </row>
    <row r="5002" spans="1:7" x14ac:dyDescent="0.2">
      <c r="A5002" s="3" t="s">
        <v>1069</v>
      </c>
      <c r="B5002" s="4">
        <v>45291</v>
      </c>
      <c r="C5002" s="3" t="s">
        <v>1168</v>
      </c>
      <c r="D5002" s="3" t="s">
        <v>1695</v>
      </c>
      <c r="E5002" s="3" t="s">
        <v>1696</v>
      </c>
      <c r="F5002" s="3">
        <v>0</v>
      </c>
      <c r="G5002" s="3">
        <v>591.78</v>
      </c>
    </row>
    <row r="5003" spans="1:7" x14ac:dyDescent="0.2">
      <c r="A5003" s="3" t="s">
        <v>1074</v>
      </c>
      <c r="B5003" s="4">
        <v>45291</v>
      </c>
      <c r="C5003" s="3" t="s">
        <v>1168</v>
      </c>
      <c r="D5003" s="3" t="s">
        <v>1695</v>
      </c>
      <c r="E5003" s="3" t="s">
        <v>1696</v>
      </c>
      <c r="F5003" s="3">
        <v>6322.22</v>
      </c>
      <c r="G5003" s="3">
        <v>69137.8</v>
      </c>
    </row>
    <row r="5004" spans="1:7" x14ac:dyDescent="0.2">
      <c r="A5004" s="3" t="s">
        <v>1074</v>
      </c>
      <c r="B5004" s="4">
        <v>45291</v>
      </c>
      <c r="C5004" s="3" t="s">
        <v>1168</v>
      </c>
      <c r="D5004" s="3" t="s">
        <v>1650</v>
      </c>
      <c r="E5004" s="3" t="s">
        <v>1651</v>
      </c>
      <c r="F5004" s="3">
        <v>0</v>
      </c>
      <c r="G5004" s="3">
        <v>2537.9</v>
      </c>
    </row>
    <row r="5005" spans="1:7" x14ac:dyDescent="0.2">
      <c r="A5005" s="3" t="s">
        <v>1074</v>
      </c>
      <c r="B5005" s="4">
        <v>45291</v>
      </c>
      <c r="C5005" s="3" t="s">
        <v>1168</v>
      </c>
      <c r="D5005" s="3" t="s">
        <v>1710</v>
      </c>
      <c r="E5005" s="3" t="s">
        <v>1711</v>
      </c>
      <c r="F5005" s="3">
        <v>0</v>
      </c>
      <c r="G5005" s="3">
        <v>5709.59</v>
      </c>
    </row>
    <row r="5006" spans="1:7" x14ac:dyDescent="0.2">
      <c r="A5006" s="3" t="s">
        <v>1074</v>
      </c>
      <c r="B5006" s="4">
        <v>45291</v>
      </c>
      <c r="C5006" s="3" t="s">
        <v>1168</v>
      </c>
      <c r="D5006" s="3" t="s">
        <v>1712</v>
      </c>
      <c r="E5006" s="3" t="s">
        <v>1713</v>
      </c>
      <c r="F5006" s="3">
        <v>0</v>
      </c>
      <c r="G5006" s="3">
        <v>19334.38</v>
      </c>
    </row>
    <row r="5007" spans="1:7" x14ac:dyDescent="0.2">
      <c r="A5007" s="3" t="s">
        <v>1074</v>
      </c>
      <c r="B5007" s="4">
        <v>45291</v>
      </c>
      <c r="C5007" s="3" t="s">
        <v>1168</v>
      </c>
      <c r="D5007" s="3" t="s">
        <v>1719</v>
      </c>
      <c r="E5007" s="3" t="s">
        <v>1720</v>
      </c>
      <c r="F5007" s="3">
        <v>0</v>
      </c>
      <c r="G5007" s="3">
        <v>9131.51</v>
      </c>
    </row>
    <row r="5008" spans="1:7" x14ac:dyDescent="0.2">
      <c r="A5008" s="3" t="s">
        <v>1069</v>
      </c>
      <c r="B5008" s="4">
        <v>45291</v>
      </c>
      <c r="C5008" s="3" t="s">
        <v>1168</v>
      </c>
      <c r="D5008" s="3" t="s">
        <v>1571</v>
      </c>
      <c r="E5008" s="3" t="s">
        <v>1572</v>
      </c>
      <c r="F5008" s="3">
        <v>0</v>
      </c>
      <c r="G5008" s="3">
        <v>400367.2</v>
      </c>
    </row>
    <row r="5009" spans="1:7" x14ac:dyDescent="0.2">
      <c r="A5009" s="3" t="s">
        <v>1074</v>
      </c>
      <c r="B5009" s="4">
        <v>45291</v>
      </c>
      <c r="C5009" s="3" t="s">
        <v>1168</v>
      </c>
      <c r="D5009" s="3" t="s">
        <v>1571</v>
      </c>
      <c r="E5009" s="3" t="s">
        <v>1572</v>
      </c>
      <c r="F5009" s="3">
        <v>0</v>
      </c>
      <c r="G5009" s="3">
        <v>605212.30000000005</v>
      </c>
    </row>
    <row r="5010" spans="1:7" x14ac:dyDescent="0.2">
      <c r="A5010" s="3" t="s">
        <v>1069</v>
      </c>
      <c r="B5010" s="4">
        <v>45291</v>
      </c>
      <c r="C5010" s="3" t="s">
        <v>1168</v>
      </c>
      <c r="D5010" s="3" t="s">
        <v>1573</v>
      </c>
      <c r="E5010" s="3" t="s">
        <v>1574</v>
      </c>
      <c r="F5010" s="3">
        <v>0</v>
      </c>
      <c r="G5010" s="3">
        <v>333349.31</v>
      </c>
    </row>
    <row r="5011" spans="1:7" x14ac:dyDescent="0.2">
      <c r="A5011" s="3" t="s">
        <v>1069</v>
      </c>
      <c r="B5011" s="4">
        <v>45291</v>
      </c>
      <c r="C5011" s="3" t="s">
        <v>1168</v>
      </c>
      <c r="D5011" s="3" t="s">
        <v>1629</v>
      </c>
      <c r="E5011" s="3" t="s">
        <v>1630</v>
      </c>
      <c r="F5011" s="3">
        <v>0</v>
      </c>
      <c r="G5011" s="3">
        <v>47473.98</v>
      </c>
    </row>
    <row r="5012" spans="1:7" x14ac:dyDescent="0.2">
      <c r="A5012" s="3" t="s">
        <v>1074</v>
      </c>
      <c r="B5012" s="4">
        <v>45291</v>
      </c>
      <c r="C5012" s="3" t="s">
        <v>1168</v>
      </c>
      <c r="D5012" s="3" t="s">
        <v>1629</v>
      </c>
      <c r="E5012" s="3" t="s">
        <v>1630</v>
      </c>
      <c r="F5012" s="3">
        <v>92712.320000000007</v>
      </c>
      <c r="G5012" s="3">
        <v>221027.94</v>
      </c>
    </row>
    <row r="5013" spans="1:7" x14ac:dyDescent="0.2">
      <c r="A5013" s="3" t="s">
        <v>1069</v>
      </c>
      <c r="B5013" s="4">
        <v>45291</v>
      </c>
      <c r="C5013" s="3" t="s">
        <v>1168</v>
      </c>
      <c r="D5013" s="3" t="s">
        <v>1575</v>
      </c>
      <c r="E5013" s="3" t="s">
        <v>1576</v>
      </c>
      <c r="F5013" s="3">
        <v>0</v>
      </c>
      <c r="G5013" s="3">
        <v>3197167.68</v>
      </c>
    </row>
    <row r="5014" spans="1:7" x14ac:dyDescent="0.2">
      <c r="A5014" s="3" t="s">
        <v>1074</v>
      </c>
      <c r="B5014" s="4">
        <v>45291</v>
      </c>
      <c r="C5014" s="3" t="s">
        <v>1168</v>
      </c>
      <c r="D5014" s="3" t="s">
        <v>1575</v>
      </c>
      <c r="E5014" s="3" t="s">
        <v>1576</v>
      </c>
      <c r="F5014" s="3">
        <v>105583.63</v>
      </c>
      <c r="G5014" s="3">
        <v>1738149.71</v>
      </c>
    </row>
    <row r="5015" spans="1:7" x14ac:dyDescent="0.2">
      <c r="A5015" s="3" t="s">
        <v>1072</v>
      </c>
      <c r="B5015" s="4">
        <v>45291</v>
      </c>
      <c r="C5015" s="3" t="s">
        <v>1168</v>
      </c>
      <c r="D5015" s="3" t="s">
        <v>1671</v>
      </c>
      <c r="E5015" s="3" t="s">
        <v>1119</v>
      </c>
      <c r="F5015" s="3">
        <v>0</v>
      </c>
      <c r="G5015" s="3">
        <v>5202.88</v>
      </c>
    </row>
    <row r="5016" spans="1:7" x14ac:dyDescent="0.2">
      <c r="A5016" s="3" t="s">
        <v>1074</v>
      </c>
      <c r="B5016" s="4">
        <v>45291</v>
      </c>
      <c r="C5016" s="3" t="s">
        <v>1168</v>
      </c>
      <c r="D5016" s="3" t="s">
        <v>1746</v>
      </c>
      <c r="E5016" s="3" t="s">
        <v>1134</v>
      </c>
      <c r="F5016" s="3">
        <v>66011.509999999995</v>
      </c>
      <c r="G5016" s="3">
        <v>66011.509999999995</v>
      </c>
    </row>
    <row r="5017" spans="1:7" x14ac:dyDescent="0.2">
      <c r="A5017" s="3" t="s">
        <v>1074</v>
      </c>
      <c r="B5017" s="4">
        <v>45291</v>
      </c>
      <c r="C5017" s="3" t="s">
        <v>1168</v>
      </c>
      <c r="D5017" s="3" t="s">
        <v>1721</v>
      </c>
      <c r="E5017" s="3" t="s">
        <v>1152</v>
      </c>
      <c r="F5017" s="3">
        <v>-92227.34</v>
      </c>
      <c r="G5017" s="3">
        <v>3087.1</v>
      </c>
    </row>
    <row r="5018" spans="1:7" x14ac:dyDescent="0.2">
      <c r="A5018" s="3" t="s">
        <v>1069</v>
      </c>
      <c r="B5018" s="4">
        <v>45291</v>
      </c>
      <c r="C5018" s="3" t="s">
        <v>1168</v>
      </c>
      <c r="D5018" s="3" t="s">
        <v>1684</v>
      </c>
      <c r="E5018" s="3" t="s">
        <v>1102</v>
      </c>
      <c r="F5018" s="3">
        <v>0</v>
      </c>
      <c r="G5018" s="3">
        <v>76865.83</v>
      </c>
    </row>
    <row r="5019" spans="1:7" x14ac:dyDescent="0.2">
      <c r="A5019" s="3" t="s">
        <v>1069</v>
      </c>
      <c r="B5019" s="4">
        <v>45291</v>
      </c>
      <c r="C5019" s="3" t="s">
        <v>1168</v>
      </c>
      <c r="D5019" s="3" t="s">
        <v>1722</v>
      </c>
      <c r="E5019" s="3" t="s">
        <v>1116</v>
      </c>
      <c r="F5019" s="3">
        <v>5105.18</v>
      </c>
      <c r="G5019" s="3">
        <v>24780.75</v>
      </c>
    </row>
    <row r="5020" spans="1:7" x14ac:dyDescent="0.2">
      <c r="A5020" s="3" t="s">
        <v>1074</v>
      </c>
      <c r="B5020" s="4">
        <v>45291</v>
      </c>
      <c r="C5020" s="3" t="s">
        <v>1168</v>
      </c>
      <c r="D5020" s="3" t="s">
        <v>1747</v>
      </c>
      <c r="E5020" s="3" t="s">
        <v>1133</v>
      </c>
      <c r="F5020" s="3">
        <v>11879.1</v>
      </c>
      <c r="G5020" s="3">
        <v>11879.1</v>
      </c>
    </row>
    <row r="5021" spans="1:7" x14ac:dyDescent="0.2">
      <c r="A5021" s="3" t="s">
        <v>1074</v>
      </c>
      <c r="B5021" s="4">
        <v>45291</v>
      </c>
      <c r="C5021" s="3" t="s">
        <v>1168</v>
      </c>
      <c r="D5021" s="3" t="s">
        <v>1549</v>
      </c>
      <c r="E5021" s="3" t="s">
        <v>1154</v>
      </c>
      <c r="F5021" s="3">
        <v>0</v>
      </c>
      <c r="G5021" s="3">
        <v>400000</v>
      </c>
    </row>
    <row r="5022" spans="1:7" x14ac:dyDescent="0.2">
      <c r="A5022" s="3" t="s">
        <v>1069</v>
      </c>
      <c r="B5022" s="4">
        <v>45291</v>
      </c>
      <c r="C5022" s="3" t="s">
        <v>1168</v>
      </c>
      <c r="D5022" s="3" t="s">
        <v>1253</v>
      </c>
      <c r="E5022" s="3" t="s">
        <v>1103</v>
      </c>
      <c r="F5022" s="3">
        <v>11793.8</v>
      </c>
      <c r="G5022" s="3">
        <v>121463.92</v>
      </c>
    </row>
    <row r="5023" spans="1:7" x14ac:dyDescent="0.2">
      <c r="A5023" s="3" t="s">
        <v>1072</v>
      </c>
      <c r="B5023" s="4">
        <v>45291</v>
      </c>
      <c r="C5023" s="3" t="s">
        <v>1168</v>
      </c>
      <c r="D5023" s="3" t="s">
        <v>1672</v>
      </c>
      <c r="E5023" s="3" t="s">
        <v>1097</v>
      </c>
      <c r="F5023" s="3">
        <v>0</v>
      </c>
      <c r="G5023" s="3">
        <v>362</v>
      </c>
    </row>
    <row r="5024" spans="1:7" x14ac:dyDescent="0.2">
      <c r="A5024" s="3" t="s">
        <v>1069</v>
      </c>
      <c r="B5024" s="4">
        <v>45291</v>
      </c>
      <c r="C5024" s="3" t="s">
        <v>1168</v>
      </c>
      <c r="D5024" s="3" t="s">
        <v>1672</v>
      </c>
      <c r="E5024" s="3" t="s">
        <v>1097</v>
      </c>
      <c r="F5024" s="3">
        <v>0</v>
      </c>
      <c r="G5024" s="3">
        <v>20</v>
      </c>
    </row>
    <row r="5025" spans="1:7" x14ac:dyDescent="0.2">
      <c r="A5025" s="3" t="s">
        <v>1072</v>
      </c>
      <c r="B5025" s="4">
        <v>45291</v>
      </c>
      <c r="C5025" s="3" t="s">
        <v>1168</v>
      </c>
      <c r="D5025" s="3" t="s">
        <v>1357</v>
      </c>
      <c r="E5025" s="3" t="s">
        <v>1157</v>
      </c>
      <c r="F5025" s="3">
        <v>3281.84</v>
      </c>
      <c r="G5025" s="3">
        <v>39032.15</v>
      </c>
    </row>
    <row r="5026" spans="1:7" x14ac:dyDescent="0.2">
      <c r="A5026" s="3" t="s">
        <v>1072</v>
      </c>
      <c r="B5026" s="4">
        <v>45291</v>
      </c>
      <c r="C5026" s="3" t="s">
        <v>1168</v>
      </c>
      <c r="D5026" s="3" t="s">
        <v>1358</v>
      </c>
      <c r="E5026" s="3" t="s">
        <v>1122</v>
      </c>
      <c r="F5026" s="3">
        <v>0</v>
      </c>
      <c r="G5026" s="3">
        <v>3668.3</v>
      </c>
    </row>
    <row r="5027" spans="1:7" x14ac:dyDescent="0.2">
      <c r="A5027" s="3" t="s">
        <v>1072</v>
      </c>
      <c r="B5027" s="4">
        <v>45291</v>
      </c>
      <c r="C5027" s="3" t="s">
        <v>1168</v>
      </c>
      <c r="D5027" s="3" t="s">
        <v>1359</v>
      </c>
      <c r="E5027" s="3" t="s">
        <v>1086</v>
      </c>
      <c r="F5027" s="3">
        <v>0</v>
      </c>
      <c r="G5027" s="3">
        <v>1069</v>
      </c>
    </row>
    <row r="5028" spans="1:7" x14ac:dyDescent="0.2">
      <c r="A5028" s="3" t="s">
        <v>1072</v>
      </c>
      <c r="B5028" s="4">
        <v>45291</v>
      </c>
      <c r="C5028" s="3" t="s">
        <v>1168</v>
      </c>
      <c r="D5028" s="3" t="s">
        <v>1201</v>
      </c>
      <c r="E5028" s="3" t="s">
        <v>1112</v>
      </c>
      <c r="F5028" s="3">
        <v>4891.29</v>
      </c>
      <c r="G5028" s="3">
        <v>38516.39</v>
      </c>
    </row>
    <row r="5029" spans="1:7" x14ac:dyDescent="0.2">
      <c r="A5029" s="3" t="s">
        <v>1072</v>
      </c>
      <c r="B5029" s="4">
        <v>45291</v>
      </c>
      <c r="C5029" s="3" t="s">
        <v>1168</v>
      </c>
      <c r="D5029" s="3" t="s">
        <v>1360</v>
      </c>
      <c r="E5029" s="3" t="s">
        <v>1098</v>
      </c>
      <c r="F5029" s="3">
        <v>2401.59</v>
      </c>
      <c r="G5029" s="3">
        <v>21456.21</v>
      </c>
    </row>
    <row r="5030" spans="1:7" x14ac:dyDescent="0.2">
      <c r="A5030" s="3" t="s">
        <v>1072</v>
      </c>
      <c r="B5030" s="4">
        <v>45291</v>
      </c>
      <c r="C5030" s="3" t="s">
        <v>1168</v>
      </c>
      <c r="D5030" s="3" t="s">
        <v>1361</v>
      </c>
      <c r="E5030" s="3" t="s">
        <v>1121</v>
      </c>
      <c r="F5030" s="3">
        <v>31820</v>
      </c>
      <c r="G5030" s="3">
        <v>300440</v>
      </c>
    </row>
    <row r="5031" spans="1:7" x14ac:dyDescent="0.2">
      <c r="A5031" s="3" t="s">
        <v>1072</v>
      </c>
      <c r="B5031" s="4">
        <v>45291</v>
      </c>
      <c r="C5031" s="3" t="s">
        <v>1168</v>
      </c>
      <c r="D5031" s="3" t="s">
        <v>1231</v>
      </c>
      <c r="E5031" s="3" t="s">
        <v>1083</v>
      </c>
      <c r="F5031" s="3">
        <v>9027.4699999999993</v>
      </c>
      <c r="G5031" s="3">
        <v>19085.759999999998</v>
      </c>
    </row>
    <row r="5032" spans="1:7" x14ac:dyDescent="0.2">
      <c r="A5032" s="3" t="s">
        <v>1069</v>
      </c>
      <c r="B5032" s="4">
        <v>45291</v>
      </c>
      <c r="C5032" s="3" t="s">
        <v>1168</v>
      </c>
      <c r="D5032" s="3" t="s">
        <v>1231</v>
      </c>
      <c r="E5032" s="3" t="s">
        <v>1070</v>
      </c>
      <c r="F5032" s="3">
        <v>0</v>
      </c>
      <c r="G5032" s="3">
        <v>211633.66</v>
      </c>
    </row>
    <row r="5033" spans="1:7" x14ac:dyDescent="0.2">
      <c r="A5033" s="3" t="s">
        <v>1072</v>
      </c>
      <c r="B5033" s="4">
        <v>45291</v>
      </c>
      <c r="C5033" s="3" t="s">
        <v>1168</v>
      </c>
      <c r="D5033" s="3" t="s">
        <v>1254</v>
      </c>
      <c r="E5033" s="3" t="s">
        <v>1075</v>
      </c>
      <c r="F5033" s="3">
        <v>0</v>
      </c>
      <c r="G5033" s="3">
        <v>16125.02</v>
      </c>
    </row>
    <row r="5034" spans="1:7" x14ac:dyDescent="0.2">
      <c r="A5034" s="3" t="s">
        <v>1069</v>
      </c>
      <c r="B5034" s="4">
        <v>45291</v>
      </c>
      <c r="C5034" s="3" t="s">
        <v>1168</v>
      </c>
      <c r="D5034" s="3" t="s">
        <v>1254</v>
      </c>
      <c r="E5034" s="3" t="s">
        <v>1075</v>
      </c>
      <c r="F5034" s="3">
        <v>0</v>
      </c>
      <c r="G5034" s="3">
        <v>34547.279999999999</v>
      </c>
    </row>
    <row r="5035" spans="1:7" x14ac:dyDescent="0.2">
      <c r="A5035" s="3" t="s">
        <v>1074</v>
      </c>
      <c r="B5035" s="4">
        <v>45291</v>
      </c>
      <c r="C5035" s="3" t="s">
        <v>1168</v>
      </c>
      <c r="D5035" s="3" t="s">
        <v>1254</v>
      </c>
      <c r="E5035" s="3" t="s">
        <v>1075</v>
      </c>
      <c r="F5035" s="3">
        <v>0</v>
      </c>
      <c r="G5035" s="3">
        <v>15563.49</v>
      </c>
    </row>
    <row r="5036" spans="1:7" x14ac:dyDescent="0.2">
      <c r="A5036" s="3" t="s">
        <v>1072</v>
      </c>
      <c r="B5036" s="4">
        <v>45291</v>
      </c>
      <c r="C5036" s="3" t="s">
        <v>1168</v>
      </c>
      <c r="D5036" s="3" t="s">
        <v>1362</v>
      </c>
      <c r="E5036" s="3" t="s">
        <v>1123</v>
      </c>
      <c r="F5036" s="3">
        <v>463088.48</v>
      </c>
      <c r="G5036" s="3">
        <v>3795507.61</v>
      </c>
    </row>
    <row r="5037" spans="1:7" x14ac:dyDescent="0.2">
      <c r="A5037" s="3" t="s">
        <v>1072</v>
      </c>
      <c r="B5037" s="4">
        <v>45291</v>
      </c>
      <c r="C5037" s="3" t="s">
        <v>1168</v>
      </c>
      <c r="D5037" s="3" t="s">
        <v>1365</v>
      </c>
      <c r="E5037" s="3" t="s">
        <v>1090</v>
      </c>
      <c r="F5037" s="3">
        <v>0</v>
      </c>
      <c r="G5037" s="3">
        <v>5192.13</v>
      </c>
    </row>
    <row r="5038" spans="1:7" x14ac:dyDescent="0.2">
      <c r="A5038" s="3" t="s">
        <v>1072</v>
      </c>
      <c r="B5038" s="4">
        <v>45291</v>
      </c>
      <c r="C5038" s="3" t="s">
        <v>1168</v>
      </c>
      <c r="D5038" s="3" t="s">
        <v>1511</v>
      </c>
      <c r="E5038" s="3" t="s">
        <v>1104</v>
      </c>
      <c r="F5038" s="3">
        <v>191.17</v>
      </c>
      <c r="G5038" s="3">
        <v>1814.82</v>
      </c>
    </row>
    <row r="5039" spans="1:7" x14ac:dyDescent="0.2">
      <c r="A5039" s="3" t="s">
        <v>1069</v>
      </c>
      <c r="B5039" s="4">
        <v>45291</v>
      </c>
      <c r="C5039" s="3" t="s">
        <v>1168</v>
      </c>
      <c r="D5039" s="3" t="s">
        <v>1366</v>
      </c>
      <c r="E5039" s="3" t="s">
        <v>1104</v>
      </c>
      <c r="F5039" s="3">
        <v>0</v>
      </c>
      <c r="G5039" s="3">
        <v>7198.71</v>
      </c>
    </row>
    <row r="5040" spans="1:7" x14ac:dyDescent="0.2">
      <c r="A5040" s="3" t="s">
        <v>1072</v>
      </c>
      <c r="B5040" s="4">
        <v>45291</v>
      </c>
      <c r="C5040" s="3" t="s">
        <v>1168</v>
      </c>
      <c r="D5040" s="3" t="s">
        <v>1366</v>
      </c>
      <c r="E5040" s="3" t="s">
        <v>1144</v>
      </c>
      <c r="F5040" s="3">
        <v>0</v>
      </c>
      <c r="G5040" s="3">
        <v>31010.74</v>
      </c>
    </row>
    <row r="5041" spans="1:7" x14ac:dyDescent="0.2">
      <c r="A5041" s="3" t="s">
        <v>1069</v>
      </c>
      <c r="B5041" s="4">
        <v>45291</v>
      </c>
      <c r="C5041" s="3" t="s">
        <v>1168</v>
      </c>
      <c r="D5041" s="3" t="s">
        <v>1213</v>
      </c>
      <c r="E5041" s="3" t="s">
        <v>1150</v>
      </c>
      <c r="F5041" s="3">
        <v>1119.77</v>
      </c>
      <c r="G5041" s="3">
        <v>4301.75</v>
      </c>
    </row>
    <row r="5042" spans="1:7" x14ac:dyDescent="0.2">
      <c r="A5042" s="3" t="s">
        <v>1072</v>
      </c>
      <c r="B5042" s="4">
        <v>45291</v>
      </c>
      <c r="C5042" s="3" t="s">
        <v>1168</v>
      </c>
      <c r="D5042" s="3" t="s">
        <v>1367</v>
      </c>
      <c r="E5042" s="3" t="s">
        <v>1147</v>
      </c>
      <c r="F5042" s="3">
        <v>0</v>
      </c>
      <c r="G5042" s="3">
        <v>3452.7</v>
      </c>
    </row>
    <row r="5043" spans="1:7" x14ac:dyDescent="0.2">
      <c r="A5043" s="3" t="s">
        <v>1072</v>
      </c>
      <c r="B5043" s="4">
        <v>45291</v>
      </c>
      <c r="C5043" s="3" t="s">
        <v>1168</v>
      </c>
      <c r="D5043" s="3" t="s">
        <v>1368</v>
      </c>
      <c r="E5043" s="3" t="s">
        <v>1124</v>
      </c>
      <c r="F5043" s="3">
        <v>1639.02</v>
      </c>
      <c r="G5043" s="3">
        <v>34472.559999999998</v>
      </c>
    </row>
    <row r="5044" spans="1:7" x14ac:dyDescent="0.2">
      <c r="A5044" s="3" t="s">
        <v>1072</v>
      </c>
      <c r="B5044" s="4">
        <v>45291</v>
      </c>
      <c r="C5044" s="3" t="s">
        <v>1168</v>
      </c>
      <c r="D5044" s="3" t="s">
        <v>1369</v>
      </c>
      <c r="E5044" s="3" t="s">
        <v>1099</v>
      </c>
      <c r="F5044" s="3">
        <v>0</v>
      </c>
      <c r="G5044" s="3">
        <v>13527.97</v>
      </c>
    </row>
    <row r="5045" spans="1:7" x14ac:dyDescent="0.2">
      <c r="A5045" s="3" t="s">
        <v>1072</v>
      </c>
      <c r="B5045" s="4">
        <v>45291</v>
      </c>
      <c r="C5045" s="3" t="s">
        <v>1168</v>
      </c>
      <c r="D5045" s="3" t="s">
        <v>1370</v>
      </c>
      <c r="E5045" s="3" t="s">
        <v>1129</v>
      </c>
      <c r="F5045" s="3">
        <v>747</v>
      </c>
      <c r="G5045" s="3">
        <v>7470</v>
      </c>
    </row>
    <row r="5046" spans="1:7" x14ac:dyDescent="0.2">
      <c r="A5046" s="3" t="s">
        <v>1072</v>
      </c>
      <c r="B5046" s="4">
        <v>45291</v>
      </c>
      <c r="C5046" s="3" t="s">
        <v>1168</v>
      </c>
      <c r="D5046" s="3" t="s">
        <v>1371</v>
      </c>
      <c r="E5046" s="3" t="s">
        <v>1093</v>
      </c>
      <c r="F5046" s="3">
        <v>0</v>
      </c>
      <c r="G5046" s="3">
        <v>10825.49</v>
      </c>
    </row>
    <row r="5047" spans="1:7" x14ac:dyDescent="0.2">
      <c r="A5047" s="3" t="s">
        <v>1072</v>
      </c>
      <c r="B5047" s="4">
        <v>45291</v>
      </c>
      <c r="C5047" s="3" t="s">
        <v>1168</v>
      </c>
      <c r="D5047" s="3" t="s">
        <v>1372</v>
      </c>
      <c r="E5047" s="3" t="s">
        <v>1158</v>
      </c>
      <c r="F5047" s="3">
        <v>600</v>
      </c>
      <c r="G5047" s="3">
        <v>6000</v>
      </c>
    </row>
    <row r="5048" spans="1:7" x14ac:dyDescent="0.2">
      <c r="A5048" s="3" t="s">
        <v>1072</v>
      </c>
      <c r="B5048" s="4">
        <v>45291</v>
      </c>
      <c r="C5048" s="3" t="s">
        <v>1168</v>
      </c>
      <c r="D5048" s="3" t="s">
        <v>1373</v>
      </c>
      <c r="E5048" s="3" t="s">
        <v>1092</v>
      </c>
      <c r="F5048" s="3">
        <v>1089</v>
      </c>
      <c r="G5048" s="3">
        <v>8885.41</v>
      </c>
    </row>
    <row r="5049" spans="1:7" x14ac:dyDescent="0.2">
      <c r="A5049" s="3" t="s">
        <v>1072</v>
      </c>
      <c r="B5049" s="4">
        <v>45291</v>
      </c>
      <c r="C5049" s="3" t="s">
        <v>1168</v>
      </c>
      <c r="D5049" s="3" t="s">
        <v>1737</v>
      </c>
      <c r="E5049" s="3" t="s">
        <v>1148</v>
      </c>
      <c r="F5049" s="3">
        <v>718.93</v>
      </c>
      <c r="G5049" s="3">
        <v>2156.79</v>
      </c>
    </row>
    <row r="5050" spans="1:7" x14ac:dyDescent="0.2">
      <c r="A5050" s="3" t="s">
        <v>1072</v>
      </c>
      <c r="B5050" s="4">
        <v>45291</v>
      </c>
      <c r="C5050" s="3" t="s">
        <v>1168</v>
      </c>
      <c r="D5050" s="3" t="s">
        <v>1714</v>
      </c>
      <c r="E5050" s="3" t="s">
        <v>1091</v>
      </c>
      <c r="F5050" s="3">
        <v>0</v>
      </c>
      <c r="G5050" s="3">
        <v>4498.72</v>
      </c>
    </row>
    <row r="5051" spans="1:7" x14ac:dyDescent="0.2">
      <c r="A5051" s="3" t="s">
        <v>1069</v>
      </c>
      <c r="B5051" s="4">
        <v>45291</v>
      </c>
      <c r="C5051" s="3" t="s">
        <v>1168</v>
      </c>
      <c r="D5051" s="3" t="s">
        <v>1232</v>
      </c>
      <c r="E5051" s="3" t="s">
        <v>1105</v>
      </c>
      <c r="F5051" s="3">
        <v>600</v>
      </c>
      <c r="G5051" s="3">
        <v>6000</v>
      </c>
    </row>
    <row r="5052" spans="1:7" x14ac:dyDescent="0.2">
      <c r="A5052" s="3" t="s">
        <v>1074</v>
      </c>
      <c r="B5052" s="4">
        <v>45291</v>
      </c>
      <c r="C5052" s="3" t="s">
        <v>1168</v>
      </c>
      <c r="D5052" s="3" t="s">
        <v>1232</v>
      </c>
      <c r="E5052" s="3" t="s">
        <v>1105</v>
      </c>
      <c r="F5052" s="3">
        <v>600</v>
      </c>
      <c r="G5052" s="3">
        <v>6000</v>
      </c>
    </row>
    <row r="5053" spans="1:7" x14ac:dyDescent="0.2">
      <c r="A5053" s="3" t="s">
        <v>1069</v>
      </c>
      <c r="B5053" s="4">
        <v>45291</v>
      </c>
      <c r="C5053" s="3" t="s">
        <v>1168</v>
      </c>
      <c r="D5053" s="3" t="s">
        <v>1262</v>
      </c>
      <c r="E5053" s="3" t="s">
        <v>1127</v>
      </c>
      <c r="F5053" s="3">
        <v>0</v>
      </c>
      <c r="G5053" s="3">
        <v>526.32000000000005</v>
      </c>
    </row>
    <row r="5054" spans="1:7" x14ac:dyDescent="0.2">
      <c r="A5054" s="3" t="s">
        <v>1072</v>
      </c>
      <c r="B5054" s="4">
        <v>45291</v>
      </c>
      <c r="C5054" s="3" t="s">
        <v>1168</v>
      </c>
      <c r="D5054" s="3" t="s">
        <v>1374</v>
      </c>
      <c r="E5054" s="3" t="s">
        <v>1108</v>
      </c>
      <c r="F5054" s="3">
        <v>0</v>
      </c>
      <c r="G5054" s="3">
        <v>4000</v>
      </c>
    </row>
    <row r="5055" spans="1:7" x14ac:dyDescent="0.2">
      <c r="A5055" s="3" t="s">
        <v>1072</v>
      </c>
      <c r="B5055" s="4">
        <v>45291</v>
      </c>
      <c r="C5055" s="3" t="s">
        <v>1168</v>
      </c>
      <c r="D5055" s="3" t="s">
        <v>1375</v>
      </c>
      <c r="E5055" s="3" t="s">
        <v>1100</v>
      </c>
      <c r="F5055" s="3">
        <v>0</v>
      </c>
      <c r="G5055" s="3">
        <v>11566.33</v>
      </c>
    </row>
    <row r="5056" spans="1:7" x14ac:dyDescent="0.2">
      <c r="A5056" s="3" t="s">
        <v>1072</v>
      </c>
      <c r="B5056" s="4">
        <v>45291</v>
      </c>
      <c r="C5056" s="3" t="s">
        <v>1168</v>
      </c>
      <c r="D5056" s="3" t="s">
        <v>1378</v>
      </c>
      <c r="E5056" s="3" t="s">
        <v>1143</v>
      </c>
      <c r="F5056" s="3">
        <v>101779.19</v>
      </c>
      <c r="G5056" s="3">
        <v>848311.76</v>
      </c>
    </row>
    <row r="5057" spans="1:7" x14ac:dyDescent="0.2">
      <c r="A5057" s="3" t="s">
        <v>1072</v>
      </c>
      <c r="B5057" s="4">
        <v>45291</v>
      </c>
      <c r="C5057" s="3" t="s">
        <v>1168</v>
      </c>
      <c r="D5057" s="3" t="s">
        <v>1379</v>
      </c>
      <c r="E5057" s="3" t="s">
        <v>1107</v>
      </c>
      <c r="F5057" s="3">
        <v>5533.95</v>
      </c>
      <c r="G5057" s="3">
        <v>45231.14</v>
      </c>
    </row>
    <row r="5058" spans="1:7" x14ac:dyDescent="0.2">
      <c r="A5058" s="3" t="s">
        <v>1072</v>
      </c>
      <c r="B5058" s="4">
        <v>45291</v>
      </c>
      <c r="C5058" s="3" t="s">
        <v>1168</v>
      </c>
      <c r="D5058" s="3" t="s">
        <v>1380</v>
      </c>
      <c r="E5058" s="3" t="s">
        <v>1125</v>
      </c>
      <c r="F5058" s="3">
        <v>3179.47</v>
      </c>
      <c r="G5058" s="3">
        <v>25003.15</v>
      </c>
    </row>
    <row r="5059" spans="1:7" x14ac:dyDescent="0.2">
      <c r="A5059" s="3" t="s">
        <v>1072</v>
      </c>
      <c r="B5059" s="4">
        <v>45291</v>
      </c>
      <c r="C5059" s="3" t="s">
        <v>1168</v>
      </c>
      <c r="D5059" s="3" t="s">
        <v>1381</v>
      </c>
      <c r="E5059" s="3" t="s">
        <v>1130</v>
      </c>
      <c r="F5059" s="3">
        <v>3179.47</v>
      </c>
      <c r="G5059" s="3">
        <v>25003.15</v>
      </c>
    </row>
    <row r="5060" spans="1:7" x14ac:dyDescent="0.2">
      <c r="A5060" s="3" t="s">
        <v>1072</v>
      </c>
      <c r="B5060" s="4">
        <v>45291</v>
      </c>
      <c r="C5060" s="3" t="s">
        <v>1168</v>
      </c>
      <c r="D5060" s="3" t="s">
        <v>1458</v>
      </c>
      <c r="E5060" s="3" t="s">
        <v>1113</v>
      </c>
      <c r="F5060" s="3">
        <v>0</v>
      </c>
      <c r="G5060" s="3">
        <v>15075.35</v>
      </c>
    </row>
    <row r="5061" spans="1:7" x14ac:dyDescent="0.2">
      <c r="A5061" s="3" t="s">
        <v>1072</v>
      </c>
      <c r="B5061" s="4">
        <v>45291</v>
      </c>
      <c r="C5061" s="3" t="s">
        <v>1168</v>
      </c>
      <c r="D5061" s="3" t="s">
        <v>1459</v>
      </c>
      <c r="E5061" s="3" t="s">
        <v>1139</v>
      </c>
      <c r="F5061" s="3">
        <v>0</v>
      </c>
      <c r="G5061" s="3">
        <v>4562.1000000000004</v>
      </c>
    </row>
    <row r="5062" spans="1:7" x14ac:dyDescent="0.2">
      <c r="A5062" s="3" t="s">
        <v>1069</v>
      </c>
      <c r="B5062" s="4">
        <v>45291</v>
      </c>
      <c r="C5062" s="3" t="s">
        <v>1172</v>
      </c>
      <c r="D5062" s="3" t="s">
        <v>1173</v>
      </c>
      <c r="E5062" s="3" t="s">
        <v>1174</v>
      </c>
      <c r="F5062" s="3">
        <v>0</v>
      </c>
      <c r="G5062" s="3">
        <v>-100</v>
      </c>
    </row>
    <row r="5063" spans="1:7" x14ac:dyDescent="0.2">
      <c r="A5063" s="3" t="s">
        <v>1072</v>
      </c>
      <c r="B5063" s="4">
        <v>45291</v>
      </c>
      <c r="C5063" s="3" t="s">
        <v>1172</v>
      </c>
      <c r="D5063" s="3" t="s">
        <v>1382</v>
      </c>
      <c r="E5063" s="3" t="s">
        <v>1383</v>
      </c>
      <c r="F5063" s="3">
        <v>0</v>
      </c>
      <c r="G5063" s="3">
        <v>-120</v>
      </c>
    </row>
    <row r="5064" spans="1:7" x14ac:dyDescent="0.2">
      <c r="A5064" s="3" t="s">
        <v>1072</v>
      </c>
      <c r="B5064" s="4">
        <v>45291</v>
      </c>
      <c r="C5064" s="3" t="s">
        <v>1172</v>
      </c>
      <c r="D5064" s="3" t="s">
        <v>1384</v>
      </c>
      <c r="E5064" s="3" t="s">
        <v>1385</v>
      </c>
      <c r="F5064" s="3">
        <v>0</v>
      </c>
      <c r="G5064" s="3">
        <v>-296075.58</v>
      </c>
    </row>
    <row r="5065" spans="1:7" x14ac:dyDescent="0.2">
      <c r="A5065" s="3" t="s">
        <v>1069</v>
      </c>
      <c r="B5065" s="4">
        <v>45291</v>
      </c>
      <c r="C5065" s="3" t="s">
        <v>1172</v>
      </c>
      <c r="D5065" s="3" t="s">
        <v>1384</v>
      </c>
      <c r="E5065" s="3" t="s">
        <v>1385</v>
      </c>
      <c r="F5065" s="3">
        <v>0</v>
      </c>
      <c r="G5065" s="3">
        <v>-17843179.579999998</v>
      </c>
    </row>
    <row r="5066" spans="1:7" x14ac:dyDescent="0.2">
      <c r="A5066" s="3" t="s">
        <v>1074</v>
      </c>
      <c r="B5066" s="4">
        <v>45291</v>
      </c>
      <c r="C5066" s="3" t="s">
        <v>1172</v>
      </c>
      <c r="D5066" s="3" t="s">
        <v>1384</v>
      </c>
      <c r="E5066" s="3" t="s">
        <v>1385</v>
      </c>
      <c r="F5066" s="3">
        <v>0</v>
      </c>
      <c r="G5066" s="3">
        <v>70398.12</v>
      </c>
    </row>
    <row r="5067" spans="1:7" x14ac:dyDescent="0.2">
      <c r="A5067" s="3" t="s">
        <v>1069</v>
      </c>
      <c r="B5067" s="4">
        <v>45291</v>
      </c>
      <c r="C5067" s="3" t="s">
        <v>1180</v>
      </c>
      <c r="D5067" s="3" t="s">
        <v>1241</v>
      </c>
      <c r="E5067" s="3" t="s">
        <v>1242</v>
      </c>
      <c r="F5067" s="3">
        <v>0</v>
      </c>
      <c r="G5067" s="3">
        <v>17562360.850000001</v>
      </c>
    </row>
    <row r="5068" spans="1:7" x14ac:dyDescent="0.2">
      <c r="A5068" s="3" t="s">
        <v>1069</v>
      </c>
      <c r="B5068" s="4">
        <v>45291</v>
      </c>
      <c r="C5068" s="3" t="s">
        <v>1180</v>
      </c>
      <c r="D5068" s="3" t="s">
        <v>1733</v>
      </c>
      <c r="E5068" s="3" t="s">
        <v>1734</v>
      </c>
      <c r="F5068" s="3">
        <v>8507359</v>
      </c>
      <c r="G5068" s="3">
        <v>13457359</v>
      </c>
    </row>
    <row r="5069" spans="1:7" x14ac:dyDescent="0.2">
      <c r="A5069" s="3" t="s">
        <v>1072</v>
      </c>
      <c r="B5069" s="4">
        <v>45291</v>
      </c>
      <c r="C5069" s="3" t="s">
        <v>1180</v>
      </c>
      <c r="D5069" s="3" t="s">
        <v>1483</v>
      </c>
      <c r="E5069" s="3" t="s">
        <v>1177</v>
      </c>
      <c r="F5069" s="3">
        <v>-2800000</v>
      </c>
      <c r="G5069" s="3">
        <v>-5067423.63</v>
      </c>
    </row>
    <row r="5070" spans="1:7" x14ac:dyDescent="0.2">
      <c r="A5070" s="3" t="s">
        <v>1072</v>
      </c>
      <c r="B5070" s="4">
        <v>45291</v>
      </c>
      <c r="C5070" s="3" t="s">
        <v>1180</v>
      </c>
      <c r="D5070" s="3" t="s">
        <v>1388</v>
      </c>
      <c r="E5070" s="3" t="s">
        <v>1389</v>
      </c>
      <c r="F5070" s="3">
        <v>0</v>
      </c>
      <c r="G5070" s="3">
        <v>-4342.5</v>
      </c>
    </row>
    <row r="5071" spans="1:7" x14ac:dyDescent="0.2">
      <c r="A5071" s="3" t="s">
        <v>1072</v>
      </c>
      <c r="B5071" s="4">
        <v>45291</v>
      </c>
      <c r="C5071" s="3" t="s">
        <v>1180</v>
      </c>
      <c r="D5071" s="3" t="s">
        <v>1723</v>
      </c>
      <c r="E5071" s="3" t="s">
        <v>1724</v>
      </c>
      <c r="F5071" s="3">
        <v>0</v>
      </c>
      <c r="G5071" s="3">
        <v>4702.3500000000004</v>
      </c>
    </row>
    <row r="5072" spans="1:7" x14ac:dyDescent="0.2">
      <c r="A5072" s="3" t="s">
        <v>1072</v>
      </c>
      <c r="B5072" s="4">
        <v>45291</v>
      </c>
      <c r="C5072" s="3" t="s">
        <v>1180</v>
      </c>
      <c r="D5072" s="3" t="s">
        <v>1390</v>
      </c>
      <c r="E5072" s="3" t="s">
        <v>1391</v>
      </c>
      <c r="F5072" s="3">
        <v>430000</v>
      </c>
      <c r="G5072" s="3">
        <v>-1571000</v>
      </c>
    </row>
    <row r="5073" spans="1:7" x14ac:dyDescent="0.2">
      <c r="A5073" s="3" t="s">
        <v>1072</v>
      </c>
      <c r="B5073" s="4">
        <v>45291</v>
      </c>
      <c r="C5073" s="3" t="s">
        <v>1180</v>
      </c>
      <c r="D5073" s="3" t="s">
        <v>1392</v>
      </c>
      <c r="E5073" s="3" t="s">
        <v>1393</v>
      </c>
      <c r="F5073" s="3">
        <v>0</v>
      </c>
      <c r="G5073" s="3">
        <v>4342.5</v>
      </c>
    </row>
    <row r="5074" spans="1:7" x14ac:dyDescent="0.2">
      <c r="A5074" s="3" t="s">
        <v>1072</v>
      </c>
      <c r="B5074" s="4">
        <v>45291</v>
      </c>
      <c r="C5074" s="3" t="s">
        <v>1180</v>
      </c>
      <c r="D5074" s="3" t="s">
        <v>1394</v>
      </c>
      <c r="E5074" s="3" t="s">
        <v>1256</v>
      </c>
      <c r="F5074" s="3">
        <v>600</v>
      </c>
      <c r="G5074" s="3">
        <v>-18800</v>
      </c>
    </row>
    <row r="5075" spans="1:7" x14ac:dyDescent="0.2">
      <c r="A5075" s="3" t="s">
        <v>1072</v>
      </c>
      <c r="B5075" s="4">
        <v>45291</v>
      </c>
      <c r="C5075" s="3" t="s">
        <v>1180</v>
      </c>
      <c r="D5075" s="3" t="s">
        <v>1395</v>
      </c>
      <c r="E5075" s="3" t="s">
        <v>1396</v>
      </c>
      <c r="F5075" s="3">
        <v>-3665000</v>
      </c>
      <c r="G5075" s="3">
        <v>-21974738.420000002</v>
      </c>
    </row>
    <row r="5076" spans="1:7" x14ac:dyDescent="0.2">
      <c r="A5076" s="3" t="s">
        <v>1072</v>
      </c>
      <c r="B5076" s="4">
        <v>45291</v>
      </c>
      <c r="C5076" s="3" t="s">
        <v>1180</v>
      </c>
      <c r="D5076" s="3" t="s">
        <v>1397</v>
      </c>
      <c r="E5076" s="3" t="s">
        <v>1398</v>
      </c>
      <c r="F5076" s="3">
        <v>600</v>
      </c>
      <c r="G5076" s="3">
        <v>-201389.44</v>
      </c>
    </row>
    <row r="5077" spans="1:7" x14ac:dyDescent="0.2">
      <c r="A5077" s="3" t="s">
        <v>1072</v>
      </c>
      <c r="B5077" s="4">
        <v>45291</v>
      </c>
      <c r="C5077" s="3" t="s">
        <v>1180</v>
      </c>
      <c r="D5077" s="3" t="s">
        <v>1512</v>
      </c>
      <c r="E5077" s="3" t="s">
        <v>1513</v>
      </c>
      <c r="F5077" s="3">
        <v>-280000</v>
      </c>
      <c r="G5077" s="3">
        <v>26392687.399999999</v>
      </c>
    </row>
    <row r="5078" spans="1:7" x14ac:dyDescent="0.2">
      <c r="A5078" s="3" t="s">
        <v>1072</v>
      </c>
      <c r="B5078" s="4">
        <v>45291</v>
      </c>
      <c r="C5078" s="3" t="s">
        <v>1180</v>
      </c>
      <c r="D5078" s="3" t="s">
        <v>1399</v>
      </c>
      <c r="E5078" s="3" t="s">
        <v>1400</v>
      </c>
      <c r="F5078" s="3">
        <v>100000</v>
      </c>
      <c r="G5078" s="3">
        <v>137399</v>
      </c>
    </row>
    <row r="5079" spans="1:7" x14ac:dyDescent="0.2">
      <c r="A5079" s="3" t="s">
        <v>1074</v>
      </c>
      <c r="B5079" s="4">
        <v>45291</v>
      </c>
      <c r="C5079" s="3" t="s">
        <v>1175</v>
      </c>
      <c r="D5079" s="3" t="s">
        <v>1492</v>
      </c>
      <c r="E5079" s="3" t="s">
        <v>1493</v>
      </c>
      <c r="F5079" s="3">
        <v>-8863256.5399999991</v>
      </c>
      <c r="G5079" s="3">
        <v>-60150240.939999998</v>
      </c>
    </row>
    <row r="5080" spans="1:7" x14ac:dyDescent="0.2">
      <c r="A5080" s="3" t="s">
        <v>1069</v>
      </c>
      <c r="B5080" s="4">
        <v>45291</v>
      </c>
      <c r="C5080" s="3" t="s">
        <v>1175</v>
      </c>
      <c r="D5080" s="3" t="s">
        <v>1178</v>
      </c>
      <c r="E5080" s="3" t="s">
        <v>1179</v>
      </c>
      <c r="F5080" s="3">
        <v>3665000</v>
      </c>
      <c r="G5080" s="3">
        <v>21974738.420000002</v>
      </c>
    </row>
    <row r="5081" spans="1:7" x14ac:dyDescent="0.2">
      <c r="A5081" s="3" t="s">
        <v>1069</v>
      </c>
      <c r="B5081" s="4">
        <v>45291</v>
      </c>
      <c r="C5081" s="3" t="s">
        <v>1175</v>
      </c>
      <c r="D5081" s="3" t="s">
        <v>1233</v>
      </c>
      <c r="E5081" s="3" t="s">
        <v>1234</v>
      </c>
      <c r="F5081" s="3">
        <v>0</v>
      </c>
      <c r="G5081" s="3">
        <v>4094275</v>
      </c>
    </row>
    <row r="5082" spans="1:7" x14ac:dyDescent="0.2">
      <c r="A5082" s="3" t="s">
        <v>1069</v>
      </c>
      <c r="B5082" s="4">
        <v>45291</v>
      </c>
      <c r="C5082" s="3" t="s">
        <v>1175</v>
      </c>
      <c r="D5082" s="3" t="s">
        <v>1494</v>
      </c>
      <c r="E5082" s="3" t="s">
        <v>1495</v>
      </c>
      <c r="F5082" s="3">
        <v>8863256.5399999991</v>
      </c>
      <c r="G5082" s="3">
        <v>60149040.939999998</v>
      </c>
    </row>
    <row r="5083" spans="1:7" x14ac:dyDescent="0.2">
      <c r="A5083" s="3" t="s">
        <v>1069</v>
      </c>
      <c r="B5083" s="4">
        <v>45291</v>
      </c>
      <c r="C5083" s="3" t="s">
        <v>1175</v>
      </c>
      <c r="D5083" s="3" t="s">
        <v>1516</v>
      </c>
      <c r="E5083" s="3" t="s">
        <v>1400</v>
      </c>
      <c r="F5083" s="3">
        <v>0</v>
      </c>
      <c r="G5083" s="3">
        <v>42100</v>
      </c>
    </row>
    <row r="5084" spans="1:7" x14ac:dyDescent="0.2">
      <c r="A5084" s="3" t="s">
        <v>1069</v>
      </c>
      <c r="B5084" s="4">
        <v>45291</v>
      </c>
      <c r="C5084" s="3" t="s">
        <v>1175</v>
      </c>
      <c r="D5084" s="3" t="s">
        <v>1738</v>
      </c>
      <c r="E5084" s="3" t="s">
        <v>1739</v>
      </c>
      <c r="F5084" s="3">
        <v>0</v>
      </c>
      <c r="G5084" s="3">
        <v>500</v>
      </c>
    </row>
    <row r="5085" spans="1:7" x14ac:dyDescent="0.2">
      <c r="A5085" s="3" t="s">
        <v>1069</v>
      </c>
      <c r="B5085" s="4">
        <v>45291</v>
      </c>
      <c r="C5085" s="3" t="s">
        <v>1180</v>
      </c>
      <c r="D5085" s="3" t="s">
        <v>1748</v>
      </c>
      <c r="E5085" s="3" t="s">
        <v>1749</v>
      </c>
      <c r="F5085" s="3">
        <v>1304260.8700000001</v>
      </c>
      <c r="G5085" s="3">
        <v>1304260.8700000001</v>
      </c>
    </row>
    <row r="5086" spans="1:7" x14ac:dyDescent="0.2">
      <c r="A5086" s="3" t="s">
        <v>1069</v>
      </c>
      <c r="B5086" s="4">
        <v>45291</v>
      </c>
      <c r="C5086" s="3" t="s">
        <v>1180</v>
      </c>
      <c r="D5086" s="3" t="s">
        <v>1750</v>
      </c>
      <c r="E5086" s="3" t="s">
        <v>1751</v>
      </c>
      <c r="F5086" s="3">
        <v>1356434.78</v>
      </c>
      <c r="G5086" s="3">
        <v>1356434.78</v>
      </c>
    </row>
    <row r="5087" spans="1:7" x14ac:dyDescent="0.2">
      <c r="A5087" s="3" t="s">
        <v>1069</v>
      </c>
      <c r="B5087" s="4">
        <v>45291</v>
      </c>
      <c r="C5087" s="3" t="s">
        <v>1180</v>
      </c>
      <c r="D5087" s="3" t="s">
        <v>1752</v>
      </c>
      <c r="E5087" s="3" t="s">
        <v>1753</v>
      </c>
      <c r="F5087" s="3">
        <v>1373826.09</v>
      </c>
      <c r="G5087" s="3">
        <v>1373826.09</v>
      </c>
    </row>
    <row r="5088" spans="1:7" x14ac:dyDescent="0.2">
      <c r="A5088" s="3" t="s">
        <v>1069</v>
      </c>
      <c r="B5088" s="4">
        <v>45291</v>
      </c>
      <c r="C5088" s="3" t="s">
        <v>1180</v>
      </c>
      <c r="D5088" s="3" t="s">
        <v>1754</v>
      </c>
      <c r="E5088" s="3" t="s">
        <v>1755</v>
      </c>
      <c r="F5088" s="3">
        <v>1391217.39</v>
      </c>
      <c r="G5088" s="3">
        <v>1391217.39</v>
      </c>
    </row>
    <row r="5089" spans="1:7" x14ac:dyDescent="0.2">
      <c r="A5089" s="3" t="s">
        <v>1069</v>
      </c>
      <c r="B5089" s="4">
        <v>45291</v>
      </c>
      <c r="C5089" s="3" t="s">
        <v>1180</v>
      </c>
      <c r="D5089" s="3" t="s">
        <v>1740</v>
      </c>
      <c r="E5089" s="3" t="s">
        <v>1741</v>
      </c>
      <c r="F5089" s="3">
        <v>0</v>
      </c>
      <c r="G5089" s="3">
        <v>1304260.8700000001</v>
      </c>
    </row>
    <row r="5090" spans="1:7" x14ac:dyDescent="0.2">
      <c r="A5090" s="3" t="s">
        <v>1072</v>
      </c>
      <c r="B5090" s="4">
        <v>45291</v>
      </c>
      <c r="C5090" s="3" t="s">
        <v>1180</v>
      </c>
      <c r="D5090" s="3" t="s">
        <v>1409</v>
      </c>
      <c r="E5090" s="3" t="s">
        <v>1410</v>
      </c>
      <c r="F5090" s="3">
        <v>0</v>
      </c>
      <c r="G5090" s="3">
        <v>216064.1</v>
      </c>
    </row>
    <row r="5091" spans="1:7" x14ac:dyDescent="0.2">
      <c r="A5091" s="3" t="s">
        <v>1072</v>
      </c>
      <c r="B5091" s="4">
        <v>45291</v>
      </c>
      <c r="C5091" s="3" t="s">
        <v>1180</v>
      </c>
      <c r="D5091" s="3" t="s">
        <v>1411</v>
      </c>
      <c r="E5091" s="3" t="s">
        <v>1412</v>
      </c>
      <c r="F5091" s="3">
        <v>0</v>
      </c>
      <c r="G5091" s="3">
        <v>-216063.1</v>
      </c>
    </row>
    <row r="5092" spans="1:7" x14ac:dyDescent="0.2">
      <c r="A5092" s="3" t="s">
        <v>1072</v>
      </c>
      <c r="B5092" s="4">
        <v>45291</v>
      </c>
      <c r="C5092" s="3" t="s">
        <v>1180</v>
      </c>
      <c r="D5092" s="3" t="s">
        <v>1413</v>
      </c>
      <c r="E5092" s="3" t="s">
        <v>1414</v>
      </c>
      <c r="F5092" s="3">
        <v>0</v>
      </c>
      <c r="G5092" s="3">
        <v>178152.48</v>
      </c>
    </row>
    <row r="5093" spans="1:7" x14ac:dyDescent="0.2">
      <c r="A5093" s="3" t="s">
        <v>1072</v>
      </c>
      <c r="B5093" s="4">
        <v>45291</v>
      </c>
      <c r="C5093" s="3" t="s">
        <v>1180</v>
      </c>
      <c r="D5093" s="3" t="s">
        <v>1415</v>
      </c>
      <c r="E5093" s="3" t="s">
        <v>1416</v>
      </c>
      <c r="F5093" s="3">
        <v>-4562.87</v>
      </c>
      <c r="G5093" s="3">
        <v>-80172.87</v>
      </c>
    </row>
    <row r="5094" spans="1:7" x14ac:dyDescent="0.2">
      <c r="A5094" s="3" t="s">
        <v>1072</v>
      </c>
      <c r="B5094" s="4">
        <v>45291</v>
      </c>
      <c r="C5094" s="3" t="s">
        <v>1180</v>
      </c>
      <c r="D5094" s="3" t="s">
        <v>1462</v>
      </c>
      <c r="E5094" s="3" t="s">
        <v>1463</v>
      </c>
      <c r="F5094" s="3">
        <v>0</v>
      </c>
      <c r="G5094" s="3">
        <v>37955.300000000003</v>
      </c>
    </row>
    <row r="5095" spans="1:7" x14ac:dyDescent="0.2">
      <c r="A5095" s="3" t="s">
        <v>1072</v>
      </c>
      <c r="B5095" s="4">
        <v>45291</v>
      </c>
      <c r="C5095" s="3" t="s">
        <v>1180</v>
      </c>
      <c r="D5095" s="3" t="s">
        <v>1484</v>
      </c>
      <c r="E5095" s="3" t="s">
        <v>1485</v>
      </c>
      <c r="F5095" s="3">
        <v>-547.67999999999995</v>
      </c>
      <c r="G5095" s="3">
        <v>-11371.32</v>
      </c>
    </row>
    <row r="5096" spans="1:7" x14ac:dyDescent="0.2">
      <c r="A5096" s="3" t="s">
        <v>1072</v>
      </c>
      <c r="B5096" s="4">
        <v>45291</v>
      </c>
      <c r="C5096" s="3" t="s">
        <v>1180</v>
      </c>
      <c r="D5096" s="3" t="s">
        <v>1417</v>
      </c>
      <c r="E5096" s="3" t="s">
        <v>1418</v>
      </c>
      <c r="F5096" s="3">
        <v>0</v>
      </c>
      <c r="G5096" s="3">
        <v>71322</v>
      </c>
    </row>
    <row r="5097" spans="1:7" x14ac:dyDescent="0.2">
      <c r="A5097" s="3" t="s">
        <v>1072</v>
      </c>
      <c r="B5097" s="4">
        <v>45291</v>
      </c>
      <c r="C5097" s="3" t="s">
        <v>1180</v>
      </c>
      <c r="D5097" s="3" t="s">
        <v>1419</v>
      </c>
      <c r="E5097" s="3" t="s">
        <v>1420</v>
      </c>
      <c r="F5097" s="3">
        <v>-1188.69</v>
      </c>
      <c r="G5097" s="3">
        <v>-13021.82</v>
      </c>
    </row>
    <row r="5098" spans="1:7" x14ac:dyDescent="0.2">
      <c r="A5098" s="3" t="s">
        <v>1069</v>
      </c>
      <c r="B5098" s="4">
        <v>45291</v>
      </c>
      <c r="C5098" s="3" t="s">
        <v>1180</v>
      </c>
      <c r="D5098" s="3" t="s">
        <v>1421</v>
      </c>
      <c r="E5098" s="3" t="s">
        <v>1422</v>
      </c>
      <c r="F5098" s="3">
        <v>0</v>
      </c>
      <c r="G5098" s="3">
        <v>874505.75</v>
      </c>
    </row>
    <row r="5099" spans="1:7" x14ac:dyDescent="0.2">
      <c r="A5099" s="3" t="s">
        <v>1074</v>
      </c>
      <c r="B5099" s="4">
        <v>45291</v>
      </c>
      <c r="C5099" s="3" t="s">
        <v>1180</v>
      </c>
      <c r="D5099" s="3" t="s">
        <v>1421</v>
      </c>
      <c r="E5099" s="3" t="s">
        <v>1533</v>
      </c>
      <c r="F5099" s="3">
        <v>12815.22</v>
      </c>
      <c r="G5099" s="3">
        <v>2472501.08</v>
      </c>
    </row>
    <row r="5100" spans="1:7" x14ac:dyDescent="0.2">
      <c r="A5100" s="3" t="s">
        <v>1069</v>
      </c>
      <c r="B5100" s="4">
        <v>45291</v>
      </c>
      <c r="C5100" s="3" t="s">
        <v>1180</v>
      </c>
      <c r="D5100" s="3" t="s">
        <v>1214</v>
      </c>
      <c r="E5100" s="3" t="s">
        <v>1215</v>
      </c>
      <c r="F5100" s="3">
        <v>0</v>
      </c>
      <c r="G5100" s="3">
        <v>26200000</v>
      </c>
    </row>
    <row r="5101" spans="1:7" x14ac:dyDescent="0.2">
      <c r="A5101" s="3" t="s">
        <v>1069</v>
      </c>
      <c r="B5101" s="4">
        <v>45291</v>
      </c>
      <c r="C5101" s="3" t="s">
        <v>1180</v>
      </c>
      <c r="D5101" s="3" t="s">
        <v>1216</v>
      </c>
      <c r="E5101" s="3" t="s">
        <v>1217</v>
      </c>
      <c r="F5101" s="3">
        <v>0</v>
      </c>
      <c r="G5101" s="3">
        <v>68427</v>
      </c>
    </row>
    <row r="5102" spans="1:7" x14ac:dyDescent="0.2">
      <c r="A5102" s="3" t="s">
        <v>1069</v>
      </c>
      <c r="B5102" s="4">
        <v>45291</v>
      </c>
      <c r="C5102" s="3" t="s">
        <v>1180</v>
      </c>
      <c r="D5102" s="3" t="s">
        <v>1218</v>
      </c>
      <c r="E5102" s="3" t="s">
        <v>1219</v>
      </c>
      <c r="F5102" s="3">
        <v>0</v>
      </c>
      <c r="G5102" s="3">
        <v>103812</v>
      </c>
    </row>
    <row r="5103" spans="1:7" x14ac:dyDescent="0.2">
      <c r="A5103" s="3" t="s">
        <v>1069</v>
      </c>
      <c r="B5103" s="4">
        <v>45291</v>
      </c>
      <c r="C5103" s="3" t="s">
        <v>1180</v>
      </c>
      <c r="D5103" s="3" t="s">
        <v>1197</v>
      </c>
      <c r="E5103" s="3" t="s">
        <v>1198</v>
      </c>
      <c r="F5103" s="3">
        <v>0</v>
      </c>
      <c r="G5103" s="3">
        <v>314087</v>
      </c>
    </row>
    <row r="5104" spans="1:7" x14ac:dyDescent="0.2">
      <c r="A5104" s="3" t="s">
        <v>1074</v>
      </c>
      <c r="B5104" s="4">
        <v>45291</v>
      </c>
      <c r="C5104" s="3" t="s">
        <v>1180</v>
      </c>
      <c r="D5104" s="3" t="s">
        <v>1197</v>
      </c>
      <c r="E5104" s="3" t="s">
        <v>1550</v>
      </c>
      <c r="F5104" s="3">
        <v>6300</v>
      </c>
      <c r="G5104" s="3">
        <v>772278.5</v>
      </c>
    </row>
    <row r="5105" spans="1:7" x14ac:dyDescent="0.2">
      <c r="A5105" s="3" t="s">
        <v>1069</v>
      </c>
      <c r="B5105" s="4">
        <v>45291</v>
      </c>
      <c r="C5105" s="3" t="s">
        <v>1180</v>
      </c>
      <c r="D5105" s="3" t="s">
        <v>1496</v>
      </c>
      <c r="E5105" s="3" t="s">
        <v>1497</v>
      </c>
      <c r="F5105" s="3">
        <v>0</v>
      </c>
      <c r="G5105" s="3">
        <v>139500</v>
      </c>
    </row>
    <row r="5106" spans="1:7" x14ac:dyDescent="0.2">
      <c r="A5106" s="3" t="s">
        <v>1069</v>
      </c>
      <c r="B5106" s="4">
        <v>45291</v>
      </c>
      <c r="C5106" s="3" t="s">
        <v>1180</v>
      </c>
      <c r="D5106" s="3" t="s">
        <v>1181</v>
      </c>
      <c r="E5106" s="3" t="s">
        <v>1182</v>
      </c>
      <c r="F5106" s="3">
        <v>0</v>
      </c>
      <c r="G5106" s="3">
        <v>8557641.8000000007</v>
      </c>
    </row>
    <row r="5107" spans="1:7" x14ac:dyDescent="0.2">
      <c r="A5107" s="3" t="s">
        <v>1069</v>
      </c>
      <c r="B5107" s="4">
        <v>45291</v>
      </c>
      <c r="C5107" s="3" t="s">
        <v>1180</v>
      </c>
      <c r="D5107" s="3" t="s">
        <v>1263</v>
      </c>
      <c r="E5107" s="3" t="s">
        <v>1264</v>
      </c>
      <c r="F5107" s="3">
        <v>0</v>
      </c>
      <c r="G5107" s="3">
        <v>13807.78</v>
      </c>
    </row>
    <row r="5108" spans="1:7" x14ac:dyDescent="0.2">
      <c r="A5108" s="3" t="s">
        <v>1069</v>
      </c>
      <c r="B5108" s="4">
        <v>45291</v>
      </c>
      <c r="C5108" s="3" t="s">
        <v>1180</v>
      </c>
      <c r="D5108" s="3" t="s">
        <v>1202</v>
      </c>
      <c r="E5108" s="3" t="s">
        <v>1203</v>
      </c>
      <c r="F5108" s="3">
        <v>0</v>
      </c>
      <c r="G5108" s="3">
        <v>197060.09</v>
      </c>
    </row>
    <row r="5109" spans="1:7" x14ac:dyDescent="0.2">
      <c r="A5109" s="3" t="s">
        <v>1074</v>
      </c>
      <c r="B5109" s="4">
        <v>45291</v>
      </c>
      <c r="C5109" s="3" t="s">
        <v>1180</v>
      </c>
      <c r="D5109" s="3" t="s">
        <v>1202</v>
      </c>
      <c r="E5109" s="3" t="s">
        <v>1577</v>
      </c>
      <c r="F5109" s="3">
        <v>0</v>
      </c>
      <c r="G5109" s="3">
        <v>321942.46999999997</v>
      </c>
    </row>
    <row r="5110" spans="1:7" x14ac:dyDescent="0.2">
      <c r="A5110" s="3" t="s">
        <v>1069</v>
      </c>
      <c r="B5110" s="4">
        <v>45291</v>
      </c>
      <c r="C5110" s="3" t="s">
        <v>1180</v>
      </c>
      <c r="D5110" s="3" t="s">
        <v>1204</v>
      </c>
      <c r="E5110" s="3" t="s">
        <v>1205</v>
      </c>
      <c r="F5110" s="3">
        <v>0</v>
      </c>
      <c r="G5110" s="3">
        <v>7500</v>
      </c>
    </row>
    <row r="5111" spans="1:7" x14ac:dyDescent="0.2">
      <c r="A5111" s="3" t="s">
        <v>1074</v>
      </c>
      <c r="B5111" s="4">
        <v>45291</v>
      </c>
      <c r="C5111" s="3" t="s">
        <v>1180</v>
      </c>
      <c r="D5111" s="3" t="s">
        <v>1204</v>
      </c>
      <c r="E5111" s="3" t="s">
        <v>1673</v>
      </c>
      <c r="F5111" s="3">
        <v>0</v>
      </c>
      <c r="G5111" s="3">
        <v>114370.5</v>
      </c>
    </row>
    <row r="5112" spans="1:7" x14ac:dyDescent="0.2">
      <c r="A5112" s="3" t="s">
        <v>1069</v>
      </c>
      <c r="B5112" s="4">
        <v>45291</v>
      </c>
      <c r="C5112" s="3" t="s">
        <v>1180</v>
      </c>
      <c r="D5112" s="3" t="s">
        <v>1199</v>
      </c>
      <c r="E5112" s="3" t="s">
        <v>1200</v>
      </c>
      <c r="F5112" s="3">
        <v>0</v>
      </c>
      <c r="G5112" s="3">
        <v>146256.38</v>
      </c>
    </row>
    <row r="5113" spans="1:7" x14ac:dyDescent="0.2">
      <c r="A5113" s="3" t="s">
        <v>1069</v>
      </c>
      <c r="B5113" s="4">
        <v>45291</v>
      </c>
      <c r="C5113" s="3" t="s">
        <v>1180</v>
      </c>
      <c r="D5113" s="3" t="s">
        <v>1486</v>
      </c>
      <c r="E5113" s="3" t="s">
        <v>1487</v>
      </c>
      <c r="F5113" s="3">
        <v>0</v>
      </c>
      <c r="G5113" s="3">
        <v>20600</v>
      </c>
    </row>
    <row r="5114" spans="1:7" x14ac:dyDescent="0.2">
      <c r="A5114" s="3" t="s">
        <v>1069</v>
      </c>
      <c r="B5114" s="4">
        <v>45291</v>
      </c>
      <c r="C5114" s="3" t="s">
        <v>1180</v>
      </c>
      <c r="D5114" s="3" t="s">
        <v>1220</v>
      </c>
      <c r="E5114" s="3" t="s">
        <v>1221</v>
      </c>
      <c r="F5114" s="3">
        <v>0</v>
      </c>
      <c r="G5114" s="3">
        <v>15175</v>
      </c>
    </row>
    <row r="5115" spans="1:7" x14ac:dyDescent="0.2">
      <c r="A5115" s="3" t="s">
        <v>1069</v>
      </c>
      <c r="B5115" s="4">
        <v>45291</v>
      </c>
      <c r="C5115" s="3" t="s">
        <v>1180</v>
      </c>
      <c r="D5115" s="3" t="s">
        <v>1498</v>
      </c>
      <c r="E5115" s="3" t="s">
        <v>1499</v>
      </c>
      <c r="F5115" s="3">
        <v>0</v>
      </c>
      <c r="G5115" s="3">
        <v>570856.07999999996</v>
      </c>
    </row>
    <row r="5116" spans="1:7" x14ac:dyDescent="0.2">
      <c r="A5116" s="3" t="s">
        <v>1069</v>
      </c>
      <c r="B5116" s="4">
        <v>45291</v>
      </c>
      <c r="C5116" s="3" t="s">
        <v>1180</v>
      </c>
      <c r="D5116" s="3" t="s">
        <v>1183</v>
      </c>
      <c r="E5116" s="3" t="s">
        <v>1184</v>
      </c>
      <c r="F5116" s="3">
        <v>0</v>
      </c>
      <c r="G5116" s="3">
        <v>47748851.509999998</v>
      </c>
    </row>
    <row r="5117" spans="1:7" x14ac:dyDescent="0.2">
      <c r="A5117" s="3" t="s">
        <v>1074</v>
      </c>
      <c r="B5117" s="4">
        <v>45291</v>
      </c>
      <c r="C5117" s="3" t="s">
        <v>1180</v>
      </c>
      <c r="D5117" s="3" t="s">
        <v>1183</v>
      </c>
      <c r="E5117" s="3" t="s">
        <v>1631</v>
      </c>
      <c r="F5117" s="3">
        <v>8526090.7100000009</v>
      </c>
      <c r="G5117" s="3">
        <v>39661799.490000002</v>
      </c>
    </row>
    <row r="5118" spans="1:7" x14ac:dyDescent="0.2">
      <c r="A5118" s="3" t="s">
        <v>1069</v>
      </c>
      <c r="B5118" s="4">
        <v>45291</v>
      </c>
      <c r="C5118" s="3" t="s">
        <v>1180</v>
      </c>
      <c r="D5118" s="3" t="s">
        <v>1222</v>
      </c>
      <c r="E5118" s="3" t="s">
        <v>1223</v>
      </c>
      <c r="F5118" s="3">
        <v>0</v>
      </c>
      <c r="G5118" s="3">
        <v>3850818.04</v>
      </c>
    </row>
    <row r="5119" spans="1:7" x14ac:dyDescent="0.2">
      <c r="A5119" s="3" t="s">
        <v>1074</v>
      </c>
      <c r="B5119" s="4">
        <v>45291</v>
      </c>
      <c r="C5119" s="3" t="s">
        <v>1180</v>
      </c>
      <c r="D5119" s="3" t="s">
        <v>1222</v>
      </c>
      <c r="E5119" s="3" t="s">
        <v>1664</v>
      </c>
      <c r="F5119" s="3">
        <v>0</v>
      </c>
      <c r="G5119" s="3">
        <v>1826086.96</v>
      </c>
    </row>
    <row r="5120" spans="1:7" x14ac:dyDescent="0.2">
      <c r="A5120" s="3" t="s">
        <v>1069</v>
      </c>
      <c r="B5120" s="4">
        <v>45291</v>
      </c>
      <c r="C5120" s="3" t="s">
        <v>1180</v>
      </c>
      <c r="D5120" s="3" t="s">
        <v>1235</v>
      </c>
      <c r="E5120" s="3" t="s">
        <v>1236</v>
      </c>
      <c r="F5120" s="3">
        <v>0</v>
      </c>
      <c r="G5120" s="3">
        <v>782608.07</v>
      </c>
    </row>
    <row r="5121" spans="1:7" x14ac:dyDescent="0.2">
      <c r="A5121" s="3" t="s">
        <v>1074</v>
      </c>
      <c r="B5121" s="4">
        <v>45291</v>
      </c>
      <c r="C5121" s="3" t="s">
        <v>1180</v>
      </c>
      <c r="D5121" s="3" t="s">
        <v>1235</v>
      </c>
      <c r="E5121" s="3" t="s">
        <v>1715</v>
      </c>
      <c r="F5121" s="3">
        <v>0</v>
      </c>
      <c r="G5121" s="3">
        <v>217391.3</v>
      </c>
    </row>
    <row r="5122" spans="1:7" x14ac:dyDescent="0.2">
      <c r="A5122" s="3" t="s">
        <v>1069</v>
      </c>
      <c r="B5122" s="4">
        <v>45291</v>
      </c>
      <c r="C5122" s="3" t="s">
        <v>1180</v>
      </c>
      <c r="D5122" s="3" t="s">
        <v>1206</v>
      </c>
      <c r="E5122" s="3" t="s">
        <v>1207</v>
      </c>
      <c r="F5122" s="3">
        <v>0</v>
      </c>
      <c r="G5122" s="3">
        <v>166550</v>
      </c>
    </row>
    <row r="5123" spans="1:7" x14ac:dyDescent="0.2">
      <c r="A5123" s="3" t="s">
        <v>1074</v>
      </c>
      <c r="B5123" s="4">
        <v>45291</v>
      </c>
      <c r="C5123" s="3" t="s">
        <v>1180</v>
      </c>
      <c r="D5123" s="3" t="s">
        <v>1206</v>
      </c>
      <c r="E5123" s="3" t="s">
        <v>1697</v>
      </c>
      <c r="F5123" s="3">
        <v>0</v>
      </c>
      <c r="G5123" s="3">
        <v>2834.7</v>
      </c>
    </row>
    <row r="5124" spans="1:7" x14ac:dyDescent="0.2">
      <c r="A5124" s="3" t="s">
        <v>1069</v>
      </c>
      <c r="B5124" s="4">
        <v>45291</v>
      </c>
      <c r="C5124" s="3" t="s">
        <v>1180</v>
      </c>
      <c r="D5124" s="3" t="s">
        <v>1208</v>
      </c>
      <c r="E5124" s="3" t="s">
        <v>1209</v>
      </c>
      <c r="F5124" s="3">
        <v>0</v>
      </c>
      <c r="G5124" s="3">
        <v>45000</v>
      </c>
    </row>
    <row r="5125" spans="1:7" x14ac:dyDescent="0.2">
      <c r="A5125" s="3" t="s">
        <v>1069</v>
      </c>
      <c r="B5125" s="4">
        <v>45291</v>
      </c>
      <c r="C5125" s="3" t="s">
        <v>1180</v>
      </c>
      <c r="D5125" s="3" t="s">
        <v>1259</v>
      </c>
      <c r="E5125" s="3" t="s">
        <v>1260</v>
      </c>
      <c r="F5125" s="3">
        <v>6000</v>
      </c>
      <c r="G5125" s="3">
        <v>191000</v>
      </c>
    </row>
    <row r="5126" spans="1:7" x14ac:dyDescent="0.2">
      <c r="A5126" s="3" t="s">
        <v>1074</v>
      </c>
      <c r="B5126" s="4">
        <v>45291</v>
      </c>
      <c r="C5126" s="3" t="s">
        <v>1180</v>
      </c>
      <c r="D5126" s="3" t="s">
        <v>1674</v>
      </c>
      <c r="E5126" s="3" t="s">
        <v>1675</v>
      </c>
      <c r="F5126" s="3">
        <v>0</v>
      </c>
      <c r="G5126" s="3">
        <v>666877.14</v>
      </c>
    </row>
    <row r="5127" spans="1:7" x14ac:dyDescent="0.2">
      <c r="A5127" s="3" t="s">
        <v>1074</v>
      </c>
      <c r="B5127" s="4">
        <v>45291</v>
      </c>
      <c r="C5127" s="3" t="s">
        <v>1180</v>
      </c>
      <c r="D5127" s="3" t="s">
        <v>1578</v>
      </c>
      <c r="E5127" s="3" t="s">
        <v>1579</v>
      </c>
      <c r="F5127" s="3">
        <v>0</v>
      </c>
      <c r="G5127" s="3">
        <v>66190.11</v>
      </c>
    </row>
    <row r="5128" spans="1:7" x14ac:dyDescent="0.2">
      <c r="A5128" s="3" t="s">
        <v>1069</v>
      </c>
      <c r="B5128" s="4">
        <v>45291</v>
      </c>
      <c r="C5128" s="3" t="s">
        <v>1180</v>
      </c>
      <c r="D5128" s="3" t="s">
        <v>1265</v>
      </c>
      <c r="E5128" s="3" t="s">
        <v>1266</v>
      </c>
      <c r="F5128" s="3">
        <v>0</v>
      </c>
      <c r="G5128" s="3">
        <v>3252759.95</v>
      </c>
    </row>
    <row r="5129" spans="1:7" x14ac:dyDescent="0.2">
      <c r="A5129" s="3" t="s">
        <v>1074</v>
      </c>
      <c r="B5129" s="4">
        <v>45291</v>
      </c>
      <c r="C5129" s="3" t="s">
        <v>1180</v>
      </c>
      <c r="D5129" s="3" t="s">
        <v>1265</v>
      </c>
      <c r="E5129" s="3" t="s">
        <v>1518</v>
      </c>
      <c r="F5129" s="3">
        <v>0</v>
      </c>
      <c r="G5129" s="3">
        <v>1673231.19</v>
      </c>
    </row>
    <row r="5130" spans="1:7" x14ac:dyDescent="0.2">
      <c r="A5130" s="3" t="s">
        <v>1069</v>
      </c>
      <c r="B5130" s="4">
        <v>45291</v>
      </c>
      <c r="C5130" s="3" t="s">
        <v>1180</v>
      </c>
      <c r="D5130" s="3" t="s">
        <v>1423</v>
      </c>
      <c r="E5130" s="3" t="s">
        <v>1424</v>
      </c>
      <c r="F5130" s="3">
        <v>0</v>
      </c>
      <c r="G5130" s="3">
        <v>622274.51</v>
      </c>
    </row>
    <row r="5131" spans="1:7" x14ac:dyDescent="0.2">
      <c r="A5131" s="3" t="s">
        <v>1074</v>
      </c>
      <c r="B5131" s="4">
        <v>45291</v>
      </c>
      <c r="C5131" s="3" t="s">
        <v>1180</v>
      </c>
      <c r="D5131" s="3" t="s">
        <v>1519</v>
      </c>
      <c r="E5131" s="3" t="s">
        <v>1551</v>
      </c>
      <c r="F5131" s="3">
        <v>0</v>
      </c>
      <c r="G5131" s="3">
        <v>76530</v>
      </c>
    </row>
    <row r="5132" spans="1:7" x14ac:dyDescent="0.2">
      <c r="A5132" s="3" t="s">
        <v>1069</v>
      </c>
      <c r="B5132" s="4">
        <v>45291</v>
      </c>
      <c r="C5132" s="3" t="s">
        <v>1180</v>
      </c>
      <c r="D5132" s="3" t="s">
        <v>1519</v>
      </c>
      <c r="E5132" s="3" t="s">
        <v>1520</v>
      </c>
      <c r="F5132" s="3">
        <v>0</v>
      </c>
      <c r="G5132" s="3">
        <v>985049.68</v>
      </c>
    </row>
    <row r="5133" spans="1:7" x14ac:dyDescent="0.2">
      <c r="A5133" s="3" t="s">
        <v>1074</v>
      </c>
      <c r="B5133" s="4">
        <v>45291</v>
      </c>
      <c r="C5133" s="3" t="s">
        <v>1180</v>
      </c>
      <c r="D5133" s="3" t="s">
        <v>1521</v>
      </c>
      <c r="E5133" s="3" t="s">
        <v>1522</v>
      </c>
      <c r="F5133" s="3">
        <v>0</v>
      </c>
      <c r="G5133" s="3">
        <v>27200</v>
      </c>
    </row>
    <row r="5134" spans="1:7" x14ac:dyDescent="0.2">
      <c r="A5134" s="3" t="s">
        <v>1074</v>
      </c>
      <c r="B5134" s="4">
        <v>45291</v>
      </c>
      <c r="C5134" s="3" t="s">
        <v>1180</v>
      </c>
      <c r="D5134" s="3" t="s">
        <v>1534</v>
      </c>
      <c r="E5134" s="3" t="s">
        <v>1535</v>
      </c>
      <c r="F5134" s="3">
        <v>465217.39</v>
      </c>
      <c r="G5134" s="3">
        <v>2154347.8199999998</v>
      </c>
    </row>
    <row r="5135" spans="1:7" x14ac:dyDescent="0.2">
      <c r="A5135" s="3" t="s">
        <v>1074</v>
      </c>
      <c r="B5135" s="4">
        <v>45291</v>
      </c>
      <c r="C5135" s="3" t="s">
        <v>1180</v>
      </c>
      <c r="D5135" s="3" t="s">
        <v>1610</v>
      </c>
      <c r="E5135" s="3" t="s">
        <v>1611</v>
      </c>
      <c r="F5135" s="3">
        <v>0</v>
      </c>
      <c r="G5135" s="3">
        <v>1540502.11</v>
      </c>
    </row>
    <row r="5136" spans="1:7" x14ac:dyDescent="0.2">
      <c r="A5136" s="3" t="s">
        <v>1074</v>
      </c>
      <c r="B5136" s="4">
        <v>45291</v>
      </c>
      <c r="C5136" s="3" t="s">
        <v>1180</v>
      </c>
      <c r="D5136" s="3" t="s">
        <v>1653</v>
      </c>
      <c r="E5136" s="3" t="s">
        <v>1654</v>
      </c>
      <c r="F5136" s="3">
        <v>-4400000</v>
      </c>
      <c r="G5136" s="3">
        <v>16307183.050000001</v>
      </c>
    </row>
    <row r="5137" spans="1:7" x14ac:dyDescent="0.2">
      <c r="A5137" s="3" t="s">
        <v>1069</v>
      </c>
      <c r="B5137" s="4">
        <v>45291</v>
      </c>
      <c r="C5137" s="3" t="s">
        <v>1180</v>
      </c>
      <c r="D5137" s="3" t="s">
        <v>1536</v>
      </c>
      <c r="E5137" s="3" t="s">
        <v>1537</v>
      </c>
      <c r="F5137" s="3">
        <v>0</v>
      </c>
      <c r="G5137" s="3">
        <v>2148883.15</v>
      </c>
    </row>
    <row r="5138" spans="1:7" x14ac:dyDescent="0.2">
      <c r="A5138" s="3" t="s">
        <v>1069</v>
      </c>
      <c r="B5138" s="4">
        <v>45291</v>
      </c>
      <c r="C5138" s="3" t="s">
        <v>1180</v>
      </c>
      <c r="D5138" s="3" t="s">
        <v>1665</v>
      </c>
      <c r="E5138" s="3" t="s">
        <v>1666</v>
      </c>
      <c r="F5138" s="3">
        <v>0</v>
      </c>
      <c r="G5138" s="3">
        <v>1068455</v>
      </c>
    </row>
    <row r="5139" spans="1:7" x14ac:dyDescent="0.2">
      <c r="A5139" s="3" t="s">
        <v>1074</v>
      </c>
      <c r="B5139" s="4">
        <v>45291</v>
      </c>
      <c r="C5139" s="3" t="s">
        <v>1180</v>
      </c>
      <c r="D5139" s="3" t="s">
        <v>1665</v>
      </c>
      <c r="E5139" s="3" t="s">
        <v>1716</v>
      </c>
      <c r="F5139" s="3">
        <v>0</v>
      </c>
      <c r="G5139" s="3">
        <v>2188325.96</v>
      </c>
    </row>
    <row r="5140" spans="1:7" x14ac:dyDescent="0.2">
      <c r="A5140" s="3" t="s">
        <v>1069</v>
      </c>
      <c r="B5140" s="4">
        <v>45291</v>
      </c>
      <c r="C5140" s="3" t="s">
        <v>1180</v>
      </c>
      <c r="D5140" s="3" t="s">
        <v>1655</v>
      </c>
      <c r="E5140" s="3" t="s">
        <v>1656</v>
      </c>
      <c r="F5140" s="3">
        <v>0</v>
      </c>
      <c r="G5140" s="3">
        <v>-24427668.440000001</v>
      </c>
    </row>
    <row r="5141" spans="1:7" x14ac:dyDescent="0.2">
      <c r="A5141" s="3" t="s">
        <v>1072</v>
      </c>
      <c r="B5141" s="4">
        <v>45291</v>
      </c>
      <c r="C5141" s="3" t="s">
        <v>1180</v>
      </c>
      <c r="D5141" s="3" t="s">
        <v>1425</v>
      </c>
      <c r="E5141" s="3" t="s">
        <v>1426</v>
      </c>
      <c r="F5141" s="3">
        <v>0</v>
      </c>
      <c r="G5141" s="3">
        <v>29600</v>
      </c>
    </row>
    <row r="5142" spans="1:7" x14ac:dyDescent="0.2">
      <c r="A5142" s="3" t="s">
        <v>1072</v>
      </c>
      <c r="B5142" s="4">
        <v>45291</v>
      </c>
      <c r="C5142" s="3" t="s">
        <v>1180</v>
      </c>
      <c r="D5142" s="3" t="s">
        <v>1427</v>
      </c>
      <c r="E5142" s="3" t="s">
        <v>1428</v>
      </c>
      <c r="F5142" s="3">
        <v>95004.32</v>
      </c>
      <c r="G5142" s="3">
        <v>3115537.61</v>
      </c>
    </row>
    <row r="5143" spans="1:7" x14ac:dyDescent="0.2">
      <c r="A5143" s="3" t="s">
        <v>1069</v>
      </c>
      <c r="B5143" s="4">
        <v>45291</v>
      </c>
      <c r="C5143" s="3" t="s">
        <v>1180</v>
      </c>
      <c r="D5143" s="3" t="s">
        <v>1427</v>
      </c>
      <c r="E5143" s="3" t="s">
        <v>1428</v>
      </c>
      <c r="F5143" s="3">
        <v>1054.98</v>
      </c>
      <c r="G5143" s="3">
        <v>369330.02</v>
      </c>
    </row>
    <row r="5144" spans="1:7" x14ac:dyDescent="0.2">
      <c r="A5144" s="3" t="s">
        <v>1074</v>
      </c>
      <c r="B5144" s="4">
        <v>45291</v>
      </c>
      <c r="C5144" s="3" t="s">
        <v>1180</v>
      </c>
      <c r="D5144" s="3" t="s">
        <v>1427</v>
      </c>
      <c r="E5144" s="3" t="s">
        <v>1428</v>
      </c>
      <c r="F5144" s="3">
        <v>232.69</v>
      </c>
      <c r="G5144" s="3">
        <v>232.69</v>
      </c>
    </row>
    <row r="5145" spans="1:7" x14ac:dyDescent="0.2">
      <c r="A5145" s="3" t="s">
        <v>1072</v>
      </c>
      <c r="B5145" s="4">
        <v>45291</v>
      </c>
      <c r="C5145" s="3" t="s">
        <v>1180</v>
      </c>
      <c r="D5145" s="3" t="s">
        <v>1742</v>
      </c>
      <c r="E5145" s="3" t="s">
        <v>1743</v>
      </c>
      <c r="F5145" s="3">
        <v>0</v>
      </c>
      <c r="G5145" s="3">
        <v>-1755.17</v>
      </c>
    </row>
    <row r="5146" spans="1:7" x14ac:dyDescent="0.2">
      <c r="A5146" s="3" t="s">
        <v>1069</v>
      </c>
      <c r="B5146" s="4">
        <v>45291</v>
      </c>
      <c r="C5146" s="3" t="s">
        <v>1180</v>
      </c>
      <c r="D5146" s="3" t="s">
        <v>1187</v>
      </c>
      <c r="E5146" s="3" t="s">
        <v>1188</v>
      </c>
      <c r="F5146" s="3">
        <v>34422.97</v>
      </c>
      <c r="G5146" s="3">
        <v>93395.38</v>
      </c>
    </row>
    <row r="5147" spans="1:7" x14ac:dyDescent="0.2">
      <c r="A5147" s="3" t="s">
        <v>1072</v>
      </c>
      <c r="B5147" s="4">
        <v>45291</v>
      </c>
      <c r="C5147" s="3" t="s">
        <v>1180</v>
      </c>
      <c r="D5147" s="3" t="s">
        <v>1187</v>
      </c>
      <c r="E5147" s="3" t="s">
        <v>1433</v>
      </c>
      <c r="F5147" s="3">
        <v>-642123.32999999996</v>
      </c>
      <c r="G5147" s="3">
        <v>32875.96</v>
      </c>
    </row>
    <row r="5148" spans="1:7" x14ac:dyDescent="0.2">
      <c r="A5148" s="3" t="s">
        <v>1072</v>
      </c>
      <c r="B5148" s="4">
        <v>45291</v>
      </c>
      <c r="C5148" s="3" t="s">
        <v>1180</v>
      </c>
      <c r="D5148" s="3" t="s">
        <v>1189</v>
      </c>
      <c r="E5148" s="3" t="s">
        <v>1434</v>
      </c>
      <c r="F5148" s="3">
        <v>0</v>
      </c>
      <c r="G5148" s="3">
        <v>-1188</v>
      </c>
    </row>
    <row r="5149" spans="1:7" x14ac:dyDescent="0.2">
      <c r="A5149" s="3" t="s">
        <v>1072</v>
      </c>
      <c r="B5149" s="4">
        <v>45291</v>
      </c>
      <c r="C5149" s="3" t="s">
        <v>1180</v>
      </c>
      <c r="D5149" s="3" t="s">
        <v>1435</v>
      </c>
      <c r="E5149" s="3" t="s">
        <v>1436</v>
      </c>
      <c r="F5149" s="3">
        <v>0</v>
      </c>
      <c r="G5149" s="3">
        <v>571.54999999999995</v>
      </c>
    </row>
    <row r="5150" spans="1:7" x14ac:dyDescent="0.2">
      <c r="A5150" s="3" t="s">
        <v>1069</v>
      </c>
      <c r="B5150" s="4">
        <v>45291</v>
      </c>
      <c r="C5150" s="3" t="s">
        <v>1180</v>
      </c>
      <c r="D5150" s="3" t="s">
        <v>1435</v>
      </c>
      <c r="E5150" s="3" t="s">
        <v>1434</v>
      </c>
      <c r="F5150" s="3">
        <v>0</v>
      </c>
      <c r="G5150" s="3">
        <v>8620</v>
      </c>
    </row>
    <row r="5151" spans="1:7" x14ac:dyDescent="0.2">
      <c r="A5151" s="3" t="s">
        <v>1069</v>
      </c>
      <c r="B5151" s="4">
        <v>45291</v>
      </c>
      <c r="C5151" s="3" t="s">
        <v>1180</v>
      </c>
      <c r="D5151" s="3" t="s">
        <v>1243</v>
      </c>
      <c r="E5151" s="3" t="s">
        <v>1244</v>
      </c>
      <c r="F5151" s="3">
        <v>0</v>
      </c>
      <c r="G5151" s="3">
        <v>871.91</v>
      </c>
    </row>
    <row r="5152" spans="1:7" x14ac:dyDescent="0.2">
      <c r="A5152" s="3" t="s">
        <v>1069</v>
      </c>
      <c r="B5152" s="4">
        <v>45291</v>
      </c>
      <c r="C5152" s="3" t="s">
        <v>1180</v>
      </c>
      <c r="D5152" s="3" t="s">
        <v>1245</v>
      </c>
      <c r="E5152" s="3" t="s">
        <v>1246</v>
      </c>
      <c r="F5152" s="3">
        <v>-18481711.170000002</v>
      </c>
      <c r="G5152" s="3">
        <v>17747862.960000001</v>
      </c>
    </row>
    <row r="5153" spans="1:7" x14ac:dyDescent="0.2">
      <c r="A5153" s="3" t="s">
        <v>1069</v>
      </c>
      <c r="B5153" s="4">
        <v>45291</v>
      </c>
      <c r="C5153" s="3" t="s">
        <v>1180</v>
      </c>
      <c r="D5153" s="3" t="s">
        <v>1727</v>
      </c>
      <c r="E5153" s="3" t="s">
        <v>1728</v>
      </c>
      <c r="F5153" s="3">
        <v>0</v>
      </c>
      <c r="G5153" s="3">
        <v>500</v>
      </c>
    </row>
    <row r="5154" spans="1:7" x14ac:dyDescent="0.2">
      <c r="A5154" s="3" t="s">
        <v>1072</v>
      </c>
      <c r="B5154" s="4">
        <v>45291</v>
      </c>
      <c r="C5154" s="3" t="s">
        <v>1175</v>
      </c>
      <c r="D5154" s="3" t="s">
        <v>1437</v>
      </c>
      <c r="E5154" s="3" t="s">
        <v>1438</v>
      </c>
      <c r="F5154" s="3">
        <v>29.59</v>
      </c>
      <c r="G5154" s="3">
        <v>-0.82</v>
      </c>
    </row>
    <row r="5155" spans="1:7" x14ac:dyDescent="0.2">
      <c r="A5155" s="3" t="s">
        <v>1069</v>
      </c>
      <c r="B5155" s="4">
        <v>45291</v>
      </c>
      <c r="C5155" s="3" t="s">
        <v>1175</v>
      </c>
      <c r="D5155" s="3" t="s">
        <v>1437</v>
      </c>
      <c r="E5155" s="3" t="s">
        <v>1438</v>
      </c>
      <c r="F5155" s="3">
        <v>0</v>
      </c>
      <c r="G5155" s="3">
        <v>0.14000000000000001</v>
      </c>
    </row>
    <row r="5156" spans="1:7" x14ac:dyDescent="0.2">
      <c r="A5156" s="3" t="s">
        <v>1074</v>
      </c>
      <c r="B5156" s="4">
        <v>45291</v>
      </c>
      <c r="C5156" s="3" t="s">
        <v>1175</v>
      </c>
      <c r="D5156" s="3" t="s">
        <v>1437</v>
      </c>
      <c r="E5156" s="3" t="s">
        <v>1438</v>
      </c>
      <c r="F5156" s="3">
        <v>0.03</v>
      </c>
      <c r="G5156" s="3">
        <v>-0.03</v>
      </c>
    </row>
    <row r="5157" spans="1:7" x14ac:dyDescent="0.2">
      <c r="A5157" s="3" t="s">
        <v>1072</v>
      </c>
      <c r="B5157" s="4">
        <v>45291</v>
      </c>
      <c r="C5157" s="3" t="s">
        <v>1175</v>
      </c>
      <c r="D5157" s="3" t="s">
        <v>1191</v>
      </c>
      <c r="E5157" s="3" t="s">
        <v>1192</v>
      </c>
      <c r="F5157" s="3">
        <v>6767146.1699999999</v>
      </c>
      <c r="G5157" s="3">
        <v>-470871.93</v>
      </c>
    </row>
    <row r="5158" spans="1:7" x14ac:dyDescent="0.2">
      <c r="A5158" s="3" t="s">
        <v>1069</v>
      </c>
      <c r="B5158" s="4">
        <v>45291</v>
      </c>
      <c r="C5158" s="3" t="s">
        <v>1175</v>
      </c>
      <c r="D5158" s="3" t="s">
        <v>1191</v>
      </c>
      <c r="E5158" s="3" t="s">
        <v>1192</v>
      </c>
      <c r="F5158" s="3">
        <v>-8808460.9499999993</v>
      </c>
      <c r="G5158" s="3">
        <v>-173053454.13</v>
      </c>
    </row>
    <row r="5159" spans="1:7" x14ac:dyDescent="0.2">
      <c r="A5159" s="3" t="s">
        <v>1074</v>
      </c>
      <c r="B5159" s="4">
        <v>45291</v>
      </c>
      <c r="C5159" s="3" t="s">
        <v>1175</v>
      </c>
      <c r="D5159" s="3" t="s">
        <v>1191</v>
      </c>
      <c r="E5159" s="3" t="s">
        <v>1192</v>
      </c>
      <c r="F5159" s="3">
        <v>5012006.46</v>
      </c>
      <c r="G5159" s="3">
        <v>952519.04</v>
      </c>
    </row>
    <row r="5160" spans="1:7" x14ac:dyDescent="0.2">
      <c r="A5160" s="3" t="s">
        <v>1072</v>
      </c>
      <c r="B5160" s="4">
        <v>45291</v>
      </c>
      <c r="C5160" s="3" t="s">
        <v>1175</v>
      </c>
      <c r="D5160" s="3" t="s">
        <v>1488</v>
      </c>
      <c r="E5160" s="3" t="s">
        <v>1489</v>
      </c>
      <c r="F5160" s="3">
        <v>0</v>
      </c>
      <c r="G5160" s="3">
        <v>1309</v>
      </c>
    </row>
    <row r="5161" spans="1:7" x14ac:dyDescent="0.2">
      <c r="A5161" s="3" t="s">
        <v>1072</v>
      </c>
      <c r="B5161" s="4">
        <v>45291</v>
      </c>
      <c r="C5161" s="3" t="s">
        <v>1175</v>
      </c>
      <c r="D5161" s="3" t="s">
        <v>1439</v>
      </c>
      <c r="E5161" s="3" t="s">
        <v>1440</v>
      </c>
      <c r="F5161" s="3">
        <v>0</v>
      </c>
      <c r="G5161" s="3">
        <v>1755.17</v>
      </c>
    </row>
    <row r="5162" spans="1:7" x14ac:dyDescent="0.2">
      <c r="A5162" s="3" t="s">
        <v>1072</v>
      </c>
      <c r="B5162" s="4">
        <v>45291</v>
      </c>
      <c r="C5162" s="3" t="s">
        <v>1175</v>
      </c>
      <c r="D5162" s="3" t="s">
        <v>1441</v>
      </c>
      <c r="E5162" s="3" t="s">
        <v>1442</v>
      </c>
      <c r="F5162" s="3">
        <v>-3740.22</v>
      </c>
      <c r="G5162" s="3">
        <v>-113672.08</v>
      </c>
    </row>
    <row r="5163" spans="1:7" x14ac:dyDescent="0.2">
      <c r="A5163" s="3" t="s">
        <v>1072</v>
      </c>
      <c r="B5163" s="4">
        <v>45291</v>
      </c>
      <c r="C5163" s="3" t="s">
        <v>1175</v>
      </c>
      <c r="D5163" s="3" t="s">
        <v>1464</v>
      </c>
      <c r="E5163" s="3" t="s">
        <v>1465</v>
      </c>
      <c r="F5163" s="3">
        <v>0</v>
      </c>
      <c r="G5163" s="3">
        <v>-49413.95</v>
      </c>
    </row>
    <row r="5164" spans="1:7" x14ac:dyDescent="0.2">
      <c r="A5164" s="3" t="s">
        <v>1072</v>
      </c>
      <c r="B5164" s="4">
        <v>45291</v>
      </c>
      <c r="C5164" s="3" t="s">
        <v>1175</v>
      </c>
      <c r="D5164" s="3" t="s">
        <v>1729</v>
      </c>
      <c r="E5164" s="3" t="s">
        <v>1730</v>
      </c>
      <c r="F5164" s="3">
        <v>0</v>
      </c>
      <c r="G5164" s="3">
        <v>130000</v>
      </c>
    </row>
    <row r="5165" spans="1:7" x14ac:dyDescent="0.2">
      <c r="A5165" s="3" t="s">
        <v>1072</v>
      </c>
      <c r="B5165" s="4">
        <v>45291</v>
      </c>
      <c r="C5165" s="3" t="s">
        <v>1175</v>
      </c>
      <c r="D5165" s="3" t="s">
        <v>1193</v>
      </c>
      <c r="E5165" s="3" t="s">
        <v>1443</v>
      </c>
      <c r="F5165" s="3">
        <v>232432.12</v>
      </c>
      <c r="G5165" s="3">
        <v>-41777.919999999998</v>
      </c>
    </row>
    <row r="5166" spans="1:7" x14ac:dyDescent="0.2">
      <c r="A5166" s="3" t="s">
        <v>1069</v>
      </c>
      <c r="B5166" s="4">
        <v>45291</v>
      </c>
      <c r="C5166" s="3" t="s">
        <v>1175</v>
      </c>
      <c r="D5166" s="3" t="s">
        <v>1193</v>
      </c>
      <c r="E5166" s="3" t="s">
        <v>1194</v>
      </c>
      <c r="F5166" s="3">
        <v>837364.89</v>
      </c>
      <c r="G5166" s="3">
        <v>-3393946.57</v>
      </c>
    </row>
    <row r="5167" spans="1:7" x14ac:dyDescent="0.2">
      <c r="A5167" s="3" t="s">
        <v>1074</v>
      </c>
      <c r="B5167" s="4">
        <v>45291</v>
      </c>
      <c r="C5167" s="3" t="s">
        <v>1175</v>
      </c>
      <c r="D5167" s="3" t="s">
        <v>1193</v>
      </c>
      <c r="E5167" s="3" t="s">
        <v>1194</v>
      </c>
      <c r="F5167" s="3">
        <v>472714.79</v>
      </c>
      <c r="G5167" s="3">
        <v>6675203.7400000002</v>
      </c>
    </row>
    <row r="5168" spans="1:7" x14ac:dyDescent="0.2">
      <c r="A5168" s="3" t="s">
        <v>1072</v>
      </c>
      <c r="B5168" s="4">
        <v>45291</v>
      </c>
      <c r="C5168" s="3" t="s">
        <v>1175</v>
      </c>
      <c r="D5168" s="3" t="s">
        <v>1731</v>
      </c>
      <c r="E5168" s="3" t="s">
        <v>1732</v>
      </c>
      <c r="F5168" s="3">
        <v>0</v>
      </c>
      <c r="G5168" s="3">
        <v>-1869.8</v>
      </c>
    </row>
    <row r="5169" spans="1:7" x14ac:dyDescent="0.2">
      <c r="A5169" s="3" t="s">
        <v>1069</v>
      </c>
      <c r="B5169" s="4">
        <v>45291</v>
      </c>
      <c r="C5169" s="3" t="s">
        <v>1175</v>
      </c>
      <c r="D5169" s="3" t="s">
        <v>1657</v>
      </c>
      <c r="E5169" s="3" t="s">
        <v>1658</v>
      </c>
      <c r="F5169" s="3">
        <v>0</v>
      </c>
      <c r="G5169" s="3">
        <v>59039.93</v>
      </c>
    </row>
    <row r="5170" spans="1:7" x14ac:dyDescent="0.2">
      <c r="A5170" s="3" t="s">
        <v>1074</v>
      </c>
      <c r="B5170" s="4">
        <v>45291</v>
      </c>
      <c r="C5170" s="3" t="s">
        <v>1175</v>
      </c>
      <c r="D5170" s="3" t="s">
        <v>1717</v>
      </c>
      <c r="E5170" s="3" t="s">
        <v>1718</v>
      </c>
      <c r="F5170" s="3">
        <v>0</v>
      </c>
      <c r="G5170" s="3">
        <v>-0.4</v>
      </c>
    </row>
    <row r="5171" spans="1:7" x14ac:dyDescent="0.2">
      <c r="A5171" s="3" t="s">
        <v>1072</v>
      </c>
      <c r="B5171" s="4">
        <v>45291</v>
      </c>
      <c r="C5171" s="3" t="s">
        <v>1175</v>
      </c>
      <c r="D5171" s="3" t="s">
        <v>1444</v>
      </c>
      <c r="E5171" s="3" t="s">
        <v>1445</v>
      </c>
      <c r="F5171" s="3">
        <v>0</v>
      </c>
      <c r="G5171" s="3">
        <v>1869.8</v>
      </c>
    </row>
    <row r="5172" spans="1:7" x14ac:dyDescent="0.2">
      <c r="A5172" s="3" t="s">
        <v>1072</v>
      </c>
      <c r="B5172" s="4">
        <v>45291</v>
      </c>
      <c r="C5172" s="3" t="s">
        <v>1175</v>
      </c>
      <c r="D5172" s="3" t="s">
        <v>1446</v>
      </c>
      <c r="E5172" s="3" t="s">
        <v>1447</v>
      </c>
      <c r="F5172" s="3">
        <v>0</v>
      </c>
      <c r="G5172" s="3">
        <v>-254.99</v>
      </c>
    </row>
    <row r="5173" spans="1:7" x14ac:dyDescent="0.2">
      <c r="A5173" s="3" t="s">
        <v>1069</v>
      </c>
      <c r="B5173" s="4">
        <v>45322</v>
      </c>
      <c r="C5173" s="3" t="s">
        <v>1210</v>
      </c>
      <c r="D5173" s="3" t="s">
        <v>1552</v>
      </c>
      <c r="E5173" s="3" t="s">
        <v>1553</v>
      </c>
      <c r="F5173" s="3">
        <v>0</v>
      </c>
      <c r="G5173" s="3">
        <v>-28096347.829999998</v>
      </c>
    </row>
    <row r="5174" spans="1:7" x14ac:dyDescent="0.2">
      <c r="A5174" s="3" t="s">
        <v>1074</v>
      </c>
      <c r="B5174" s="4">
        <v>45322</v>
      </c>
      <c r="C5174" s="3" t="s">
        <v>1210</v>
      </c>
      <c r="D5174" s="3" t="s">
        <v>1552</v>
      </c>
      <c r="E5174" s="3" t="s">
        <v>1700</v>
      </c>
      <c r="F5174" s="3">
        <v>-6969130.4500000002</v>
      </c>
      <c r="G5174" s="3">
        <v>-29872087</v>
      </c>
    </row>
    <row r="5175" spans="1:7" x14ac:dyDescent="0.2">
      <c r="A5175" s="3" t="s">
        <v>1069</v>
      </c>
      <c r="B5175" s="4">
        <v>45322</v>
      </c>
      <c r="C5175" s="3" t="s">
        <v>1210</v>
      </c>
      <c r="D5175" s="3" t="s">
        <v>1554</v>
      </c>
      <c r="E5175" s="3" t="s">
        <v>1555</v>
      </c>
      <c r="F5175" s="3">
        <v>0</v>
      </c>
      <c r="G5175" s="3">
        <v>-102388.85</v>
      </c>
    </row>
    <row r="5176" spans="1:7" x14ac:dyDescent="0.2">
      <c r="A5176" s="3" t="s">
        <v>1074</v>
      </c>
      <c r="B5176" s="4">
        <v>45322</v>
      </c>
      <c r="C5176" s="3" t="s">
        <v>1210</v>
      </c>
      <c r="D5176" s="3" t="s">
        <v>1554</v>
      </c>
      <c r="E5176" s="3" t="s">
        <v>1701</v>
      </c>
      <c r="F5176" s="3">
        <v>-4800</v>
      </c>
      <c r="G5176" s="3">
        <v>-88696.76</v>
      </c>
    </row>
    <row r="5177" spans="1:7" x14ac:dyDescent="0.2">
      <c r="A5177" s="3" t="s">
        <v>1072</v>
      </c>
      <c r="B5177" s="4">
        <v>45322</v>
      </c>
      <c r="C5177" s="3" t="s">
        <v>1210</v>
      </c>
      <c r="D5177" s="3" t="s">
        <v>1448</v>
      </c>
      <c r="E5177" s="3" t="s">
        <v>1449</v>
      </c>
      <c r="F5177" s="3">
        <v>-4442252.29</v>
      </c>
      <c r="G5177" s="3">
        <v>-55267592.850000001</v>
      </c>
    </row>
    <row r="5178" spans="1:7" x14ac:dyDescent="0.2">
      <c r="A5178" s="3" t="s">
        <v>1072</v>
      </c>
      <c r="B5178" s="4">
        <v>45322</v>
      </c>
      <c r="C5178" s="3" t="s">
        <v>1210</v>
      </c>
      <c r="D5178" s="3" t="s">
        <v>1273</v>
      </c>
      <c r="E5178" s="3" t="s">
        <v>1274</v>
      </c>
      <c r="F5178" s="3">
        <v>0</v>
      </c>
      <c r="G5178" s="3">
        <v>3490.94</v>
      </c>
    </row>
    <row r="5179" spans="1:7" x14ac:dyDescent="0.2">
      <c r="A5179" s="3" t="s">
        <v>1069</v>
      </c>
      <c r="B5179" s="4">
        <v>45322</v>
      </c>
      <c r="C5179" s="3" t="s">
        <v>1210</v>
      </c>
      <c r="D5179" s="3" t="s">
        <v>1685</v>
      </c>
      <c r="E5179" s="3" t="s">
        <v>1686</v>
      </c>
      <c r="F5179" s="3">
        <v>-142177.41</v>
      </c>
      <c r="G5179" s="3">
        <v>-334412.32</v>
      </c>
    </row>
    <row r="5180" spans="1:7" x14ac:dyDescent="0.2">
      <c r="A5180" s="3" t="s">
        <v>1074</v>
      </c>
      <c r="B5180" s="4">
        <v>45322</v>
      </c>
      <c r="C5180" s="3" t="s">
        <v>1210</v>
      </c>
      <c r="D5180" s="3" t="s">
        <v>1685</v>
      </c>
      <c r="E5180" s="3" t="s">
        <v>1686</v>
      </c>
      <c r="F5180" s="3">
        <v>0</v>
      </c>
      <c r="G5180" s="3">
        <v>-13883</v>
      </c>
    </row>
    <row r="5181" spans="1:7" x14ac:dyDescent="0.2">
      <c r="A5181" s="3" t="s">
        <v>1069</v>
      </c>
      <c r="B5181" s="4">
        <v>45322</v>
      </c>
      <c r="C5181" s="3" t="s">
        <v>1168</v>
      </c>
      <c r="D5181" s="3" t="s">
        <v>1687</v>
      </c>
      <c r="E5181" s="3" t="s">
        <v>1688</v>
      </c>
      <c r="F5181" s="3">
        <v>0</v>
      </c>
      <c r="G5181" s="3">
        <v>45300.43</v>
      </c>
    </row>
    <row r="5182" spans="1:7" x14ac:dyDescent="0.2">
      <c r="A5182" s="3" t="s">
        <v>1074</v>
      </c>
      <c r="B5182" s="4">
        <v>45322</v>
      </c>
      <c r="C5182" s="3" t="s">
        <v>1168</v>
      </c>
      <c r="D5182" s="3" t="s">
        <v>1514</v>
      </c>
      <c r="E5182" s="3" t="s">
        <v>1676</v>
      </c>
      <c r="F5182" s="3">
        <v>0</v>
      </c>
      <c r="G5182" s="3">
        <v>237142.94</v>
      </c>
    </row>
    <row r="5183" spans="1:7" x14ac:dyDescent="0.2">
      <c r="A5183" s="3" t="s">
        <v>1069</v>
      </c>
      <c r="B5183" s="4">
        <v>45322</v>
      </c>
      <c r="C5183" s="3" t="s">
        <v>1168</v>
      </c>
      <c r="D5183" s="3" t="s">
        <v>1531</v>
      </c>
      <c r="E5183" s="3" t="s">
        <v>1532</v>
      </c>
      <c r="F5183" s="3">
        <v>0</v>
      </c>
      <c r="G5183" s="3">
        <v>685713.49</v>
      </c>
    </row>
    <row r="5184" spans="1:7" x14ac:dyDescent="0.2">
      <c r="A5184" s="3" t="s">
        <v>1074</v>
      </c>
      <c r="B5184" s="4">
        <v>45322</v>
      </c>
      <c r="C5184" s="3" t="s">
        <v>1168</v>
      </c>
      <c r="D5184" s="3" t="s">
        <v>1531</v>
      </c>
      <c r="E5184" s="3" t="s">
        <v>1532</v>
      </c>
      <c r="F5184" s="3">
        <v>155834.92000000001</v>
      </c>
      <c r="G5184" s="3">
        <v>670782.85</v>
      </c>
    </row>
    <row r="5185" spans="1:7" x14ac:dyDescent="0.2">
      <c r="A5185" s="3" t="s">
        <v>1074</v>
      </c>
      <c r="B5185" s="4">
        <v>45322</v>
      </c>
      <c r="C5185" s="3" t="s">
        <v>1168</v>
      </c>
      <c r="D5185" s="3" t="s">
        <v>1638</v>
      </c>
      <c r="E5185" s="3" t="s">
        <v>1677</v>
      </c>
      <c r="F5185" s="3">
        <v>0</v>
      </c>
      <c r="G5185" s="3">
        <v>79174.94</v>
      </c>
    </row>
    <row r="5186" spans="1:7" x14ac:dyDescent="0.2">
      <c r="A5186" s="3" t="s">
        <v>1069</v>
      </c>
      <c r="B5186" s="4">
        <v>45322</v>
      </c>
      <c r="C5186" s="3" t="s">
        <v>1168</v>
      </c>
      <c r="D5186" s="3" t="s">
        <v>1638</v>
      </c>
      <c r="E5186" s="3" t="s">
        <v>1639</v>
      </c>
      <c r="F5186" s="3">
        <v>0</v>
      </c>
      <c r="G5186" s="3">
        <v>10540</v>
      </c>
    </row>
    <row r="5187" spans="1:7" x14ac:dyDescent="0.2">
      <c r="A5187" s="3" t="s">
        <v>1069</v>
      </c>
      <c r="B5187" s="4">
        <v>45322</v>
      </c>
      <c r="C5187" s="3" t="s">
        <v>1168</v>
      </c>
      <c r="D5187" s="3" t="s">
        <v>1540</v>
      </c>
      <c r="E5187" s="3" t="s">
        <v>1541</v>
      </c>
      <c r="F5187" s="3">
        <v>0</v>
      </c>
      <c r="G5187" s="3">
        <v>44864.59</v>
      </c>
    </row>
    <row r="5188" spans="1:7" x14ac:dyDescent="0.2">
      <c r="A5188" s="3" t="s">
        <v>1069</v>
      </c>
      <c r="B5188" s="4">
        <v>45322</v>
      </c>
      <c r="C5188" s="3" t="s">
        <v>1168</v>
      </c>
      <c r="D5188" s="3" t="s">
        <v>1556</v>
      </c>
      <c r="E5188" s="3" t="s">
        <v>1557</v>
      </c>
      <c r="F5188" s="3">
        <v>0</v>
      </c>
      <c r="G5188" s="3">
        <v>381069.48</v>
      </c>
    </row>
    <row r="5189" spans="1:7" x14ac:dyDescent="0.2">
      <c r="A5189" s="3" t="s">
        <v>1069</v>
      </c>
      <c r="B5189" s="4">
        <v>45322</v>
      </c>
      <c r="C5189" s="3" t="s">
        <v>1168</v>
      </c>
      <c r="D5189" s="3" t="s">
        <v>1558</v>
      </c>
      <c r="E5189" s="3" t="s">
        <v>1559</v>
      </c>
      <c r="F5189" s="3">
        <v>0</v>
      </c>
      <c r="G5189" s="3">
        <v>1405686.97</v>
      </c>
    </row>
    <row r="5190" spans="1:7" x14ac:dyDescent="0.2">
      <c r="A5190" s="3" t="s">
        <v>1074</v>
      </c>
      <c r="B5190" s="4">
        <v>45322</v>
      </c>
      <c r="C5190" s="3" t="s">
        <v>1168</v>
      </c>
      <c r="D5190" s="3" t="s">
        <v>1558</v>
      </c>
      <c r="E5190" s="3" t="s">
        <v>1702</v>
      </c>
      <c r="F5190" s="3">
        <v>349108.7</v>
      </c>
      <c r="G5190" s="3">
        <v>1495126.06</v>
      </c>
    </row>
    <row r="5191" spans="1:7" x14ac:dyDescent="0.2">
      <c r="A5191" s="3" t="s">
        <v>1069</v>
      </c>
      <c r="B5191" s="4">
        <v>45322</v>
      </c>
      <c r="C5191" s="3" t="s">
        <v>1168</v>
      </c>
      <c r="D5191" s="3" t="s">
        <v>1640</v>
      </c>
      <c r="E5191" s="3" t="s">
        <v>1641</v>
      </c>
      <c r="F5191" s="3">
        <v>0</v>
      </c>
      <c r="G5191" s="3">
        <v>1005.47</v>
      </c>
    </row>
    <row r="5192" spans="1:7" x14ac:dyDescent="0.2">
      <c r="A5192" s="3" t="s">
        <v>1074</v>
      </c>
      <c r="B5192" s="4">
        <v>45322</v>
      </c>
      <c r="C5192" s="3" t="s">
        <v>1168</v>
      </c>
      <c r="D5192" s="3" t="s">
        <v>1640</v>
      </c>
      <c r="E5192" s="3" t="s">
        <v>1689</v>
      </c>
      <c r="F5192" s="3">
        <v>0</v>
      </c>
      <c r="G5192" s="3">
        <v>6212.85</v>
      </c>
    </row>
    <row r="5193" spans="1:7" x14ac:dyDescent="0.2">
      <c r="A5193" s="3" t="s">
        <v>1069</v>
      </c>
      <c r="B5193" s="4">
        <v>45322</v>
      </c>
      <c r="C5193" s="3" t="s">
        <v>1168</v>
      </c>
      <c r="D5193" s="3" t="s">
        <v>1659</v>
      </c>
      <c r="E5193" s="3" t="s">
        <v>1660</v>
      </c>
      <c r="F5193" s="3">
        <v>0</v>
      </c>
      <c r="G5193" s="3">
        <v>250</v>
      </c>
    </row>
    <row r="5194" spans="1:7" x14ac:dyDescent="0.2">
      <c r="A5194" s="3" t="s">
        <v>1074</v>
      </c>
      <c r="B5194" s="4">
        <v>45322</v>
      </c>
      <c r="C5194" s="3" t="s">
        <v>1168</v>
      </c>
      <c r="D5194" s="3" t="s">
        <v>1659</v>
      </c>
      <c r="E5194" s="3" t="s">
        <v>1660</v>
      </c>
      <c r="F5194" s="3">
        <v>0</v>
      </c>
      <c r="G5194" s="3">
        <v>473.92</v>
      </c>
    </row>
    <row r="5195" spans="1:7" x14ac:dyDescent="0.2">
      <c r="A5195" s="3" t="s">
        <v>1069</v>
      </c>
      <c r="B5195" s="4">
        <v>45322</v>
      </c>
      <c r="C5195" s="3" t="s">
        <v>1168</v>
      </c>
      <c r="D5195" s="3" t="s">
        <v>1678</v>
      </c>
      <c r="E5195" s="3" t="s">
        <v>1679</v>
      </c>
      <c r="F5195" s="3">
        <v>0</v>
      </c>
      <c r="G5195" s="3">
        <v>31600</v>
      </c>
    </row>
    <row r="5196" spans="1:7" x14ac:dyDescent="0.2">
      <c r="A5196" s="3" t="s">
        <v>1072</v>
      </c>
      <c r="B5196" s="4">
        <v>45322</v>
      </c>
      <c r="C5196" s="3" t="s">
        <v>1168</v>
      </c>
      <c r="D5196" s="3" t="s">
        <v>1661</v>
      </c>
      <c r="E5196" s="3" t="s">
        <v>1662</v>
      </c>
      <c r="F5196" s="3">
        <v>0</v>
      </c>
      <c r="G5196" s="3">
        <v>286.95999999999998</v>
      </c>
    </row>
    <row r="5197" spans="1:7" x14ac:dyDescent="0.2">
      <c r="A5197" s="3" t="s">
        <v>1072</v>
      </c>
      <c r="B5197" s="4">
        <v>45322</v>
      </c>
      <c r="C5197" s="3" t="s">
        <v>1168</v>
      </c>
      <c r="D5197" s="3" t="s">
        <v>1680</v>
      </c>
      <c r="E5197" s="3" t="s">
        <v>1681</v>
      </c>
      <c r="F5197" s="3">
        <v>0</v>
      </c>
      <c r="G5197" s="3">
        <v>86.96</v>
      </c>
    </row>
    <row r="5198" spans="1:7" x14ac:dyDescent="0.2">
      <c r="A5198" s="3" t="s">
        <v>1072</v>
      </c>
      <c r="B5198" s="4">
        <v>45322</v>
      </c>
      <c r="C5198" s="3" t="s">
        <v>1168</v>
      </c>
      <c r="D5198" s="3" t="s">
        <v>1669</v>
      </c>
      <c r="E5198" s="3" t="s">
        <v>1670</v>
      </c>
      <c r="F5198" s="3">
        <v>0</v>
      </c>
      <c r="G5198" s="3">
        <v>30620.97</v>
      </c>
    </row>
    <row r="5199" spans="1:7" x14ac:dyDescent="0.2">
      <c r="A5199" s="3" t="s">
        <v>1072</v>
      </c>
      <c r="B5199" s="4">
        <v>45322</v>
      </c>
      <c r="C5199" s="3" t="s">
        <v>1168</v>
      </c>
      <c r="D5199" s="3" t="s">
        <v>1735</v>
      </c>
      <c r="E5199" s="3" t="s">
        <v>1736</v>
      </c>
      <c r="F5199" s="3">
        <v>0</v>
      </c>
      <c r="G5199" s="3">
        <v>7408.46</v>
      </c>
    </row>
    <row r="5200" spans="1:7" x14ac:dyDescent="0.2">
      <c r="A5200" s="3" t="s">
        <v>1072</v>
      </c>
      <c r="B5200" s="4">
        <v>45322</v>
      </c>
      <c r="C5200" s="3" t="s">
        <v>1168</v>
      </c>
      <c r="D5200" s="3" t="s">
        <v>1703</v>
      </c>
      <c r="E5200" s="3" t="s">
        <v>1704</v>
      </c>
      <c r="F5200" s="3">
        <v>0</v>
      </c>
      <c r="G5200" s="3">
        <v>10516.44</v>
      </c>
    </row>
    <row r="5201" spans="1:7" x14ac:dyDescent="0.2">
      <c r="A5201" s="3" t="s">
        <v>1072</v>
      </c>
      <c r="B5201" s="4">
        <v>45322</v>
      </c>
      <c r="C5201" s="3" t="s">
        <v>1168</v>
      </c>
      <c r="D5201" s="3" t="s">
        <v>1682</v>
      </c>
      <c r="E5201" s="3" t="s">
        <v>1683</v>
      </c>
      <c r="F5201" s="3">
        <v>54384.77</v>
      </c>
      <c r="G5201" s="3">
        <v>152255.67999999999</v>
      </c>
    </row>
    <row r="5202" spans="1:7" x14ac:dyDescent="0.2">
      <c r="A5202" s="3" t="s">
        <v>1072</v>
      </c>
      <c r="B5202" s="4">
        <v>45322</v>
      </c>
      <c r="C5202" s="3" t="s">
        <v>1168</v>
      </c>
      <c r="D5202" s="3" t="s">
        <v>1281</v>
      </c>
      <c r="E5202" s="3" t="s">
        <v>1282</v>
      </c>
      <c r="F5202" s="3">
        <v>0</v>
      </c>
      <c r="G5202" s="3">
        <v>352147.74</v>
      </c>
    </row>
    <row r="5203" spans="1:7" x14ac:dyDescent="0.2">
      <c r="A5203" s="3" t="s">
        <v>1072</v>
      </c>
      <c r="B5203" s="4">
        <v>45322</v>
      </c>
      <c r="C5203" s="3" t="s">
        <v>1168</v>
      </c>
      <c r="D5203" s="3" t="s">
        <v>1283</v>
      </c>
      <c r="E5203" s="3" t="s">
        <v>1284</v>
      </c>
      <c r="F5203" s="3">
        <v>344.34</v>
      </c>
      <c r="G5203" s="3">
        <v>160505.70000000001</v>
      </c>
    </row>
    <row r="5204" spans="1:7" x14ac:dyDescent="0.2">
      <c r="A5204" s="3" t="s">
        <v>1072</v>
      </c>
      <c r="B5204" s="4">
        <v>45322</v>
      </c>
      <c r="C5204" s="3" t="s">
        <v>1168</v>
      </c>
      <c r="D5204" s="3" t="s">
        <v>1285</v>
      </c>
      <c r="E5204" s="3" t="s">
        <v>1286</v>
      </c>
      <c r="F5204" s="3">
        <v>0</v>
      </c>
      <c r="G5204" s="3">
        <v>19969.43</v>
      </c>
    </row>
    <row r="5205" spans="1:7" x14ac:dyDescent="0.2">
      <c r="A5205" s="3" t="s">
        <v>1072</v>
      </c>
      <c r="B5205" s="4">
        <v>45322</v>
      </c>
      <c r="C5205" s="3" t="s">
        <v>1168</v>
      </c>
      <c r="D5205" s="3" t="s">
        <v>1705</v>
      </c>
      <c r="E5205" s="3" t="s">
        <v>1706</v>
      </c>
      <c r="F5205" s="3">
        <v>0</v>
      </c>
      <c r="G5205" s="3">
        <v>26340.75</v>
      </c>
    </row>
    <row r="5206" spans="1:7" x14ac:dyDescent="0.2">
      <c r="A5206" s="3" t="s">
        <v>1072</v>
      </c>
      <c r="B5206" s="4">
        <v>45322</v>
      </c>
      <c r="C5206" s="3" t="s">
        <v>1168</v>
      </c>
      <c r="D5206" s="3" t="s">
        <v>1301</v>
      </c>
      <c r="E5206" s="3" t="s">
        <v>1302</v>
      </c>
      <c r="F5206" s="3">
        <v>0</v>
      </c>
      <c r="G5206" s="3">
        <v>760.87</v>
      </c>
    </row>
    <row r="5207" spans="1:7" x14ac:dyDescent="0.2">
      <c r="A5207" s="3" t="s">
        <v>1072</v>
      </c>
      <c r="B5207" s="4">
        <v>45322</v>
      </c>
      <c r="C5207" s="3" t="s">
        <v>1168</v>
      </c>
      <c r="D5207" s="3" t="s">
        <v>1305</v>
      </c>
      <c r="E5207" s="3" t="s">
        <v>1306</v>
      </c>
      <c r="F5207" s="3">
        <v>0</v>
      </c>
      <c r="G5207" s="3">
        <v>27752.22</v>
      </c>
    </row>
    <row r="5208" spans="1:7" x14ac:dyDescent="0.2">
      <c r="A5208" s="3" t="s">
        <v>1072</v>
      </c>
      <c r="B5208" s="4">
        <v>45322</v>
      </c>
      <c r="C5208" s="3" t="s">
        <v>1168</v>
      </c>
      <c r="D5208" s="3" t="s">
        <v>1690</v>
      </c>
      <c r="E5208" s="3" t="s">
        <v>1691</v>
      </c>
      <c r="F5208" s="3">
        <v>0</v>
      </c>
      <c r="G5208" s="3">
        <v>7565.57</v>
      </c>
    </row>
    <row r="5209" spans="1:7" x14ac:dyDescent="0.2">
      <c r="A5209" s="3" t="s">
        <v>1072</v>
      </c>
      <c r="B5209" s="4">
        <v>45322</v>
      </c>
      <c r="C5209" s="3" t="s">
        <v>1168</v>
      </c>
      <c r="D5209" s="3" t="s">
        <v>1311</v>
      </c>
      <c r="E5209" s="3" t="s">
        <v>1312</v>
      </c>
      <c r="F5209" s="3">
        <v>0</v>
      </c>
      <c r="G5209" s="3">
        <v>680</v>
      </c>
    </row>
    <row r="5210" spans="1:7" x14ac:dyDescent="0.2">
      <c r="A5210" s="3" t="s">
        <v>1072</v>
      </c>
      <c r="B5210" s="4">
        <v>45322</v>
      </c>
      <c r="C5210" s="3" t="s">
        <v>1168</v>
      </c>
      <c r="D5210" s="3" t="s">
        <v>1315</v>
      </c>
      <c r="E5210" s="3" t="s">
        <v>1316</v>
      </c>
      <c r="F5210" s="3">
        <v>0</v>
      </c>
      <c r="G5210" s="3">
        <v>1129.57</v>
      </c>
    </row>
    <row r="5211" spans="1:7" x14ac:dyDescent="0.2">
      <c r="A5211" s="3" t="s">
        <v>1072</v>
      </c>
      <c r="B5211" s="4">
        <v>45322</v>
      </c>
      <c r="C5211" s="3" t="s">
        <v>1168</v>
      </c>
      <c r="D5211" s="3" t="s">
        <v>1450</v>
      </c>
      <c r="E5211" s="3" t="s">
        <v>1451</v>
      </c>
      <c r="F5211" s="3">
        <v>900</v>
      </c>
      <c r="G5211" s="3">
        <v>1639839.08</v>
      </c>
    </row>
    <row r="5212" spans="1:7" x14ac:dyDescent="0.2">
      <c r="A5212" s="3" t="s">
        <v>1072</v>
      </c>
      <c r="B5212" s="4">
        <v>45322</v>
      </c>
      <c r="C5212" s="3" t="s">
        <v>1168</v>
      </c>
      <c r="D5212" s="3" t="s">
        <v>1452</v>
      </c>
      <c r="E5212" s="3" t="s">
        <v>1453</v>
      </c>
      <c r="F5212" s="3">
        <v>3791.59</v>
      </c>
      <c r="G5212" s="3">
        <v>343823.54</v>
      </c>
    </row>
    <row r="5213" spans="1:7" x14ac:dyDescent="0.2">
      <c r="A5213" s="3" t="s">
        <v>1072</v>
      </c>
      <c r="B5213" s="4">
        <v>45322</v>
      </c>
      <c r="C5213" s="3" t="s">
        <v>1168</v>
      </c>
      <c r="D5213" s="3" t="s">
        <v>1454</v>
      </c>
      <c r="E5213" s="3" t="s">
        <v>1455</v>
      </c>
      <c r="F5213" s="3">
        <v>0</v>
      </c>
      <c r="G5213" s="3">
        <v>694.78</v>
      </c>
    </row>
    <row r="5214" spans="1:7" x14ac:dyDescent="0.2">
      <c r="A5214" s="3" t="s">
        <v>1072</v>
      </c>
      <c r="B5214" s="4">
        <v>45322</v>
      </c>
      <c r="C5214" s="3" t="s">
        <v>1168</v>
      </c>
      <c r="D5214" s="3" t="s">
        <v>1468</v>
      </c>
      <c r="E5214" s="3" t="s">
        <v>1469</v>
      </c>
      <c r="F5214" s="3">
        <v>1849.57</v>
      </c>
      <c r="G5214" s="3">
        <v>17329.240000000002</v>
      </c>
    </row>
    <row r="5215" spans="1:7" x14ac:dyDescent="0.2">
      <c r="A5215" s="3" t="s">
        <v>1072</v>
      </c>
      <c r="B5215" s="4">
        <v>45322</v>
      </c>
      <c r="C5215" s="3" t="s">
        <v>1168</v>
      </c>
      <c r="D5215" s="3" t="s">
        <v>1620</v>
      </c>
      <c r="E5215" s="3" t="s">
        <v>1621</v>
      </c>
      <c r="F5215" s="3">
        <v>3036.13</v>
      </c>
      <c r="G5215" s="3">
        <v>33532.379999999997</v>
      </c>
    </row>
    <row r="5216" spans="1:7" x14ac:dyDescent="0.2">
      <c r="A5216" s="3" t="s">
        <v>1072</v>
      </c>
      <c r="B5216" s="4">
        <v>45322</v>
      </c>
      <c r="C5216" s="3" t="s">
        <v>1168</v>
      </c>
      <c r="D5216" s="3" t="s">
        <v>1542</v>
      </c>
      <c r="E5216" s="3" t="s">
        <v>1543</v>
      </c>
      <c r="F5216" s="3">
        <v>2951807.99</v>
      </c>
      <c r="G5216" s="3">
        <v>43356277.780000001</v>
      </c>
    </row>
    <row r="5217" spans="1:7" x14ac:dyDescent="0.2">
      <c r="A5217" s="3" t="s">
        <v>1072</v>
      </c>
      <c r="B5217" s="4">
        <v>45322</v>
      </c>
      <c r="C5217" s="3" t="s">
        <v>1168</v>
      </c>
      <c r="D5217" s="3" t="s">
        <v>1527</v>
      </c>
      <c r="E5217" s="3" t="s">
        <v>1528</v>
      </c>
      <c r="F5217" s="3">
        <v>518.37</v>
      </c>
      <c r="G5217" s="3">
        <v>549196.86</v>
      </c>
    </row>
    <row r="5218" spans="1:7" x14ac:dyDescent="0.2">
      <c r="A5218" s="3" t="s">
        <v>1072</v>
      </c>
      <c r="B5218" s="4">
        <v>45322</v>
      </c>
      <c r="C5218" s="3" t="s">
        <v>1168</v>
      </c>
      <c r="D5218" s="3" t="s">
        <v>1560</v>
      </c>
      <c r="E5218" s="3" t="s">
        <v>1561</v>
      </c>
      <c r="F5218" s="3">
        <v>0</v>
      </c>
      <c r="G5218" s="3">
        <v>17292.48</v>
      </c>
    </row>
    <row r="5219" spans="1:7" x14ac:dyDescent="0.2">
      <c r="A5219" s="3" t="s">
        <v>1072</v>
      </c>
      <c r="B5219" s="4">
        <v>45322</v>
      </c>
      <c r="C5219" s="3" t="s">
        <v>1210</v>
      </c>
      <c r="D5219" s="3" t="s">
        <v>1509</v>
      </c>
      <c r="E5219" s="3" t="s">
        <v>1510</v>
      </c>
      <c r="F5219" s="3">
        <v>-296.70999999999998</v>
      </c>
      <c r="G5219" s="3">
        <v>-2599.73</v>
      </c>
    </row>
    <row r="5220" spans="1:7" x14ac:dyDescent="0.2">
      <c r="A5220" s="3" t="s">
        <v>1072</v>
      </c>
      <c r="B5220" s="4">
        <v>45322</v>
      </c>
      <c r="C5220" s="3" t="s">
        <v>1210</v>
      </c>
      <c r="D5220" s="3" t="s">
        <v>1323</v>
      </c>
      <c r="E5220" s="3" t="s">
        <v>1324</v>
      </c>
      <c r="F5220" s="3">
        <v>0</v>
      </c>
      <c r="G5220" s="3">
        <v>-34.229999999999997</v>
      </c>
    </row>
    <row r="5221" spans="1:7" x14ac:dyDescent="0.2">
      <c r="A5221" s="3" t="s">
        <v>1069</v>
      </c>
      <c r="B5221" s="4">
        <v>45322</v>
      </c>
      <c r="C5221" s="3" t="s">
        <v>1210</v>
      </c>
      <c r="D5221" s="3" t="s">
        <v>1744</v>
      </c>
      <c r="E5221" s="3" t="s">
        <v>1745</v>
      </c>
      <c r="F5221" s="3">
        <v>-1291.18</v>
      </c>
      <c r="G5221" s="3">
        <v>-5546.16</v>
      </c>
    </row>
    <row r="5222" spans="1:7" x14ac:dyDescent="0.2">
      <c r="A5222" s="3" t="s">
        <v>1069</v>
      </c>
      <c r="B5222" s="4">
        <v>45322</v>
      </c>
      <c r="C5222" s="3" t="s">
        <v>1210</v>
      </c>
      <c r="D5222" s="3" t="s">
        <v>1249</v>
      </c>
      <c r="E5222" s="3" t="s">
        <v>1250</v>
      </c>
      <c r="F5222" s="3">
        <v>-125751.22</v>
      </c>
      <c r="G5222" s="3">
        <v>-2655207.5499999998</v>
      </c>
    </row>
    <row r="5223" spans="1:7" x14ac:dyDescent="0.2">
      <c r="A5223" s="3" t="s">
        <v>1069</v>
      </c>
      <c r="B5223" s="4">
        <v>45322</v>
      </c>
      <c r="C5223" s="3" t="s">
        <v>1168</v>
      </c>
      <c r="D5223" s="3" t="s">
        <v>1692</v>
      </c>
      <c r="E5223" s="3" t="s">
        <v>1149</v>
      </c>
      <c r="F5223" s="3">
        <v>0</v>
      </c>
      <c r="G5223" s="3">
        <v>15024.96</v>
      </c>
    </row>
    <row r="5224" spans="1:7" x14ac:dyDescent="0.2">
      <c r="A5224" s="3" t="s">
        <v>1069</v>
      </c>
      <c r="B5224" s="4">
        <v>45322</v>
      </c>
      <c r="C5224" s="3" t="s">
        <v>1168</v>
      </c>
      <c r="D5224" s="3" t="s">
        <v>1226</v>
      </c>
      <c r="E5224" s="3" t="s">
        <v>1126</v>
      </c>
      <c r="F5224" s="3">
        <v>0</v>
      </c>
      <c r="G5224" s="3">
        <v>3050</v>
      </c>
    </row>
    <row r="5225" spans="1:7" x14ac:dyDescent="0.2">
      <c r="A5225" s="3" t="s">
        <v>1072</v>
      </c>
      <c r="B5225" s="4">
        <v>45322</v>
      </c>
      <c r="C5225" s="3" t="s">
        <v>1168</v>
      </c>
      <c r="D5225" s="3" t="s">
        <v>1325</v>
      </c>
      <c r="E5225" s="3" t="s">
        <v>1073</v>
      </c>
      <c r="F5225" s="3">
        <v>0</v>
      </c>
      <c r="G5225" s="3">
        <v>1280</v>
      </c>
    </row>
    <row r="5226" spans="1:7" x14ac:dyDescent="0.2">
      <c r="A5226" s="3" t="s">
        <v>1072</v>
      </c>
      <c r="B5226" s="4">
        <v>45322</v>
      </c>
      <c r="C5226" s="3" t="s">
        <v>1168</v>
      </c>
      <c r="D5226" s="3" t="s">
        <v>1326</v>
      </c>
      <c r="E5226" s="3" t="s">
        <v>1088</v>
      </c>
      <c r="F5226" s="3">
        <v>0</v>
      </c>
      <c r="G5226" s="3">
        <v>11170</v>
      </c>
    </row>
    <row r="5227" spans="1:7" x14ac:dyDescent="0.2">
      <c r="A5227" s="3" t="s">
        <v>1072</v>
      </c>
      <c r="B5227" s="4">
        <v>45322</v>
      </c>
      <c r="C5227" s="3" t="s">
        <v>1168</v>
      </c>
      <c r="D5227" s="3" t="s">
        <v>1169</v>
      </c>
      <c r="E5227" s="3" t="s">
        <v>1079</v>
      </c>
      <c r="F5227" s="3">
        <v>0</v>
      </c>
      <c r="G5227" s="3">
        <v>10975</v>
      </c>
    </row>
    <row r="5228" spans="1:7" x14ac:dyDescent="0.2">
      <c r="A5228" s="3" t="s">
        <v>1069</v>
      </c>
      <c r="B5228" s="4">
        <v>45322</v>
      </c>
      <c r="C5228" s="3" t="s">
        <v>1168</v>
      </c>
      <c r="D5228" s="3" t="s">
        <v>1169</v>
      </c>
      <c r="E5228" s="3" t="s">
        <v>1079</v>
      </c>
      <c r="F5228" s="3">
        <v>0</v>
      </c>
      <c r="G5228" s="3">
        <v>178914.34</v>
      </c>
    </row>
    <row r="5229" spans="1:7" x14ac:dyDescent="0.2">
      <c r="A5229" s="3" t="s">
        <v>1074</v>
      </c>
      <c r="B5229" s="4">
        <v>45322</v>
      </c>
      <c r="C5229" s="3" t="s">
        <v>1168</v>
      </c>
      <c r="D5229" s="3" t="s">
        <v>1169</v>
      </c>
      <c r="E5229" s="3" t="s">
        <v>1079</v>
      </c>
      <c r="F5229" s="3">
        <v>0</v>
      </c>
      <c r="G5229" s="3">
        <v>52857.72</v>
      </c>
    </row>
    <row r="5230" spans="1:7" x14ac:dyDescent="0.2">
      <c r="A5230" s="3" t="s">
        <v>1069</v>
      </c>
      <c r="B5230" s="4">
        <v>45322</v>
      </c>
      <c r="C5230" s="3" t="s">
        <v>1168</v>
      </c>
      <c r="D5230" s="3" t="s">
        <v>1261</v>
      </c>
      <c r="E5230" s="3" t="s">
        <v>1145</v>
      </c>
      <c r="F5230" s="3">
        <v>0</v>
      </c>
      <c r="G5230" s="3">
        <v>12480</v>
      </c>
    </row>
    <row r="5231" spans="1:7" x14ac:dyDescent="0.2">
      <c r="A5231" s="3" t="s">
        <v>1072</v>
      </c>
      <c r="B5231" s="4">
        <v>45322</v>
      </c>
      <c r="C5231" s="3" t="s">
        <v>1168</v>
      </c>
      <c r="D5231" s="3" t="s">
        <v>1648</v>
      </c>
      <c r="E5231" s="3" t="s">
        <v>1084</v>
      </c>
      <c r="F5231" s="3">
        <v>0</v>
      </c>
      <c r="G5231" s="3">
        <v>295</v>
      </c>
    </row>
    <row r="5232" spans="1:7" x14ac:dyDescent="0.2">
      <c r="A5232" s="3" t="s">
        <v>1069</v>
      </c>
      <c r="B5232" s="4">
        <v>45322</v>
      </c>
      <c r="C5232" s="3" t="s">
        <v>1168</v>
      </c>
      <c r="D5232" s="3" t="s">
        <v>1624</v>
      </c>
      <c r="E5232" s="3" t="s">
        <v>1118</v>
      </c>
      <c r="F5232" s="3">
        <v>0</v>
      </c>
      <c r="G5232" s="3">
        <v>10250</v>
      </c>
    </row>
    <row r="5233" spans="1:7" x14ac:dyDescent="0.2">
      <c r="A5233" s="3" t="s">
        <v>1074</v>
      </c>
      <c r="B5233" s="4">
        <v>45322</v>
      </c>
      <c r="C5233" s="3" t="s">
        <v>1168</v>
      </c>
      <c r="D5233" s="3" t="s">
        <v>1624</v>
      </c>
      <c r="E5233" s="3" t="s">
        <v>1160</v>
      </c>
      <c r="F5233" s="3">
        <v>0</v>
      </c>
      <c r="G5233" s="3">
        <v>17855</v>
      </c>
    </row>
    <row r="5234" spans="1:7" x14ac:dyDescent="0.2">
      <c r="A5234" s="3" t="s">
        <v>1074</v>
      </c>
      <c r="B5234" s="4">
        <v>45322</v>
      </c>
      <c r="C5234" s="3" t="s">
        <v>1168</v>
      </c>
      <c r="D5234" s="3" t="s">
        <v>1649</v>
      </c>
      <c r="E5234" s="3" t="s">
        <v>1117</v>
      </c>
      <c r="F5234" s="3">
        <v>0</v>
      </c>
      <c r="G5234" s="3">
        <v>14569.1</v>
      </c>
    </row>
    <row r="5235" spans="1:7" x14ac:dyDescent="0.2">
      <c r="A5235" s="3" t="s">
        <v>1072</v>
      </c>
      <c r="B5235" s="4">
        <v>45322</v>
      </c>
      <c r="C5235" s="3" t="s">
        <v>1168</v>
      </c>
      <c r="D5235" s="3" t="s">
        <v>1339</v>
      </c>
      <c r="E5235" s="3" t="s">
        <v>1087</v>
      </c>
      <c r="F5235" s="3">
        <v>0</v>
      </c>
      <c r="G5235" s="3">
        <v>1597</v>
      </c>
    </row>
    <row r="5236" spans="1:7" x14ac:dyDescent="0.2">
      <c r="A5236" s="3" t="s">
        <v>1074</v>
      </c>
      <c r="B5236" s="4">
        <v>45322</v>
      </c>
      <c r="C5236" s="3" t="s">
        <v>1168</v>
      </c>
      <c r="D5236" s="3" t="s">
        <v>1707</v>
      </c>
      <c r="E5236" s="3" t="s">
        <v>1118</v>
      </c>
      <c r="F5236" s="3">
        <v>0</v>
      </c>
      <c r="G5236" s="3">
        <v>18500</v>
      </c>
    </row>
    <row r="5237" spans="1:7" x14ac:dyDescent="0.2">
      <c r="A5237" s="3" t="s">
        <v>1072</v>
      </c>
      <c r="B5237" s="4">
        <v>45322</v>
      </c>
      <c r="C5237" s="3" t="s">
        <v>1168</v>
      </c>
      <c r="D5237" s="3" t="s">
        <v>1195</v>
      </c>
      <c r="E5237" s="3" t="s">
        <v>1085</v>
      </c>
      <c r="F5237" s="3">
        <v>2245.7600000000002</v>
      </c>
      <c r="G5237" s="3">
        <v>20170.05</v>
      </c>
    </row>
    <row r="5238" spans="1:7" x14ac:dyDescent="0.2">
      <c r="A5238" s="3" t="s">
        <v>1069</v>
      </c>
      <c r="B5238" s="4">
        <v>45322</v>
      </c>
      <c r="C5238" s="3" t="s">
        <v>1168</v>
      </c>
      <c r="D5238" s="3" t="s">
        <v>1195</v>
      </c>
      <c r="E5238" s="3" t="s">
        <v>1085</v>
      </c>
      <c r="F5238" s="3">
        <v>399.76</v>
      </c>
      <c r="G5238" s="3">
        <v>4750.68</v>
      </c>
    </row>
    <row r="5239" spans="1:7" x14ac:dyDescent="0.2">
      <c r="A5239" s="3" t="s">
        <v>1072</v>
      </c>
      <c r="B5239" s="4">
        <v>45322</v>
      </c>
      <c r="C5239" s="3" t="s">
        <v>1168</v>
      </c>
      <c r="D5239" s="3" t="s">
        <v>1340</v>
      </c>
      <c r="E5239" s="3" t="s">
        <v>1141</v>
      </c>
      <c r="F5239" s="3">
        <v>483.52</v>
      </c>
      <c r="G5239" s="3">
        <v>1211.8900000000001</v>
      </c>
    </row>
    <row r="5240" spans="1:7" x14ac:dyDescent="0.2">
      <c r="A5240" s="3" t="s">
        <v>1072</v>
      </c>
      <c r="B5240" s="4">
        <v>45322</v>
      </c>
      <c r="C5240" s="3" t="s">
        <v>1168</v>
      </c>
      <c r="D5240" s="3" t="s">
        <v>1708</v>
      </c>
      <c r="E5240" s="3" t="s">
        <v>1140</v>
      </c>
      <c r="F5240" s="3">
        <v>0</v>
      </c>
      <c r="G5240" s="3">
        <v>4123</v>
      </c>
    </row>
    <row r="5241" spans="1:7" x14ac:dyDescent="0.2">
      <c r="A5241" s="3" t="s">
        <v>1072</v>
      </c>
      <c r="B5241" s="4">
        <v>45322</v>
      </c>
      <c r="C5241" s="3" t="s">
        <v>1168</v>
      </c>
      <c r="D5241" s="3" t="s">
        <v>1341</v>
      </c>
      <c r="E5241" s="3" t="s">
        <v>1135</v>
      </c>
      <c r="F5241" s="3">
        <v>0</v>
      </c>
      <c r="G5241" s="3">
        <v>26779.67</v>
      </c>
    </row>
    <row r="5242" spans="1:7" x14ac:dyDescent="0.2">
      <c r="A5242" s="3" t="s">
        <v>1072</v>
      </c>
      <c r="B5242" s="4">
        <v>45322</v>
      </c>
      <c r="C5242" s="3" t="s">
        <v>1168</v>
      </c>
      <c r="D5242" s="3" t="s">
        <v>1342</v>
      </c>
      <c r="E5242" s="3" t="s">
        <v>1080</v>
      </c>
      <c r="F5242" s="3">
        <v>0</v>
      </c>
      <c r="G5242" s="3">
        <v>6402.65</v>
      </c>
    </row>
    <row r="5243" spans="1:7" x14ac:dyDescent="0.2">
      <c r="A5243" s="3" t="s">
        <v>1072</v>
      </c>
      <c r="B5243" s="4">
        <v>45322</v>
      </c>
      <c r="C5243" s="3" t="s">
        <v>1168</v>
      </c>
      <c r="D5243" s="3" t="s">
        <v>1504</v>
      </c>
      <c r="E5243" s="3" t="s">
        <v>1142</v>
      </c>
      <c r="F5243" s="3">
        <v>3975</v>
      </c>
      <c r="G5243" s="3">
        <v>43074</v>
      </c>
    </row>
    <row r="5244" spans="1:7" x14ac:dyDescent="0.2">
      <c r="A5244" s="3" t="s">
        <v>1069</v>
      </c>
      <c r="B5244" s="4">
        <v>45322</v>
      </c>
      <c r="C5244" s="3" t="s">
        <v>1168</v>
      </c>
      <c r="D5244" s="3" t="s">
        <v>1251</v>
      </c>
      <c r="E5244" s="3" t="s">
        <v>1095</v>
      </c>
      <c r="F5244" s="3">
        <v>120475.57</v>
      </c>
      <c r="G5244" s="3">
        <v>1290791.1399999999</v>
      </c>
    </row>
    <row r="5245" spans="1:7" x14ac:dyDescent="0.2">
      <c r="A5245" s="3" t="s">
        <v>1072</v>
      </c>
      <c r="B5245" s="4">
        <v>45322</v>
      </c>
      <c r="C5245" s="3" t="s">
        <v>1168</v>
      </c>
      <c r="D5245" s="3" t="s">
        <v>1348</v>
      </c>
      <c r="E5245" s="3" t="s">
        <v>1095</v>
      </c>
      <c r="F5245" s="3">
        <v>128868.17</v>
      </c>
      <c r="G5245" s="3">
        <v>1361002.88</v>
      </c>
    </row>
    <row r="5246" spans="1:7" x14ac:dyDescent="0.2">
      <c r="A5246" s="3" t="s">
        <v>1069</v>
      </c>
      <c r="B5246" s="4">
        <v>45322</v>
      </c>
      <c r="C5246" s="3" t="s">
        <v>1168</v>
      </c>
      <c r="D5246" s="3" t="s">
        <v>1252</v>
      </c>
      <c r="E5246" s="3" t="s">
        <v>1120</v>
      </c>
      <c r="F5246" s="3">
        <v>4200</v>
      </c>
      <c r="G5246" s="3">
        <v>26300</v>
      </c>
    </row>
    <row r="5247" spans="1:7" x14ac:dyDescent="0.2">
      <c r="A5247" s="3" t="s">
        <v>1074</v>
      </c>
      <c r="B5247" s="4">
        <v>45322</v>
      </c>
      <c r="C5247" s="3" t="s">
        <v>1168</v>
      </c>
      <c r="D5247" s="3" t="s">
        <v>1252</v>
      </c>
      <c r="E5247" s="3" t="s">
        <v>1120</v>
      </c>
      <c r="F5247" s="3">
        <v>10500</v>
      </c>
      <c r="G5247" s="3">
        <v>76750</v>
      </c>
    </row>
    <row r="5248" spans="1:7" x14ac:dyDescent="0.2">
      <c r="A5248" s="3" t="s">
        <v>1072</v>
      </c>
      <c r="B5248" s="4">
        <v>45322</v>
      </c>
      <c r="C5248" s="3" t="s">
        <v>1168</v>
      </c>
      <c r="D5248" s="3" t="s">
        <v>1349</v>
      </c>
      <c r="E5248" s="3" t="s">
        <v>1089</v>
      </c>
      <c r="F5248" s="3">
        <v>0</v>
      </c>
      <c r="G5248" s="3">
        <v>331.09</v>
      </c>
    </row>
    <row r="5249" spans="1:7" x14ac:dyDescent="0.2">
      <c r="A5249" s="3" t="s">
        <v>1072</v>
      </c>
      <c r="B5249" s="4">
        <v>45322</v>
      </c>
      <c r="C5249" s="3" t="s">
        <v>1168</v>
      </c>
      <c r="D5249" s="3" t="s">
        <v>1350</v>
      </c>
      <c r="E5249" s="3" t="s">
        <v>1115</v>
      </c>
      <c r="F5249" s="3">
        <v>4562.87</v>
      </c>
      <c r="G5249" s="3">
        <v>41812.75</v>
      </c>
    </row>
    <row r="5250" spans="1:7" x14ac:dyDescent="0.2">
      <c r="A5250" s="3" t="s">
        <v>1072</v>
      </c>
      <c r="B5250" s="4">
        <v>45322</v>
      </c>
      <c r="C5250" s="3" t="s">
        <v>1168</v>
      </c>
      <c r="D5250" s="3" t="s">
        <v>1351</v>
      </c>
      <c r="E5250" s="3" t="s">
        <v>1096</v>
      </c>
      <c r="F5250" s="3">
        <v>1188.71</v>
      </c>
      <c r="G5250" s="3">
        <v>11084.97</v>
      </c>
    </row>
    <row r="5251" spans="1:7" x14ac:dyDescent="0.2">
      <c r="A5251" s="3" t="s">
        <v>1072</v>
      </c>
      <c r="B5251" s="4">
        <v>45322</v>
      </c>
      <c r="C5251" s="3" t="s">
        <v>1168</v>
      </c>
      <c r="D5251" s="3" t="s">
        <v>1474</v>
      </c>
      <c r="E5251" s="3" t="s">
        <v>1114</v>
      </c>
      <c r="F5251" s="3">
        <v>547.67999999999995</v>
      </c>
      <c r="G5251" s="3">
        <v>6024.45</v>
      </c>
    </row>
    <row r="5252" spans="1:7" x14ac:dyDescent="0.2">
      <c r="A5252" s="3" t="s">
        <v>1069</v>
      </c>
      <c r="B5252" s="4">
        <v>45322</v>
      </c>
      <c r="C5252" s="3" t="s">
        <v>1168</v>
      </c>
      <c r="D5252" s="3" t="s">
        <v>1229</v>
      </c>
      <c r="E5252" s="3" t="s">
        <v>1136</v>
      </c>
      <c r="F5252" s="3">
        <v>68.37</v>
      </c>
      <c r="G5252" s="3">
        <v>223859.69</v>
      </c>
    </row>
    <row r="5253" spans="1:7" x14ac:dyDescent="0.2">
      <c r="A5253" s="3" t="s">
        <v>1072</v>
      </c>
      <c r="B5253" s="4">
        <v>45322</v>
      </c>
      <c r="C5253" s="3" t="s">
        <v>1168</v>
      </c>
      <c r="D5253" s="3" t="s">
        <v>1229</v>
      </c>
      <c r="E5253" s="3" t="s">
        <v>1106</v>
      </c>
      <c r="F5253" s="3">
        <v>0</v>
      </c>
      <c r="G5253" s="3">
        <v>60974.720000000001</v>
      </c>
    </row>
    <row r="5254" spans="1:7" x14ac:dyDescent="0.2">
      <c r="A5254" s="3" t="s">
        <v>1069</v>
      </c>
      <c r="B5254" s="4">
        <v>45322</v>
      </c>
      <c r="C5254" s="3" t="s">
        <v>1168</v>
      </c>
      <c r="D5254" s="3" t="s">
        <v>1230</v>
      </c>
      <c r="E5254" s="3" t="s">
        <v>1109</v>
      </c>
      <c r="F5254" s="3">
        <v>-147.72</v>
      </c>
      <c r="G5254" s="3">
        <v>94012.1</v>
      </c>
    </row>
    <row r="5255" spans="1:7" x14ac:dyDescent="0.2">
      <c r="A5255" s="3" t="s">
        <v>1074</v>
      </c>
      <c r="B5255" s="4">
        <v>45322</v>
      </c>
      <c r="C5255" s="3" t="s">
        <v>1168</v>
      </c>
      <c r="D5255" s="3" t="s">
        <v>1230</v>
      </c>
      <c r="E5255" s="3" t="s">
        <v>1077</v>
      </c>
      <c r="F5255" s="3">
        <v>0</v>
      </c>
      <c r="G5255" s="3">
        <v>19.64</v>
      </c>
    </row>
    <row r="5256" spans="1:7" x14ac:dyDescent="0.2">
      <c r="A5256" s="3" t="s">
        <v>1069</v>
      </c>
      <c r="B5256" s="4">
        <v>45322</v>
      </c>
      <c r="C5256" s="3" t="s">
        <v>1168</v>
      </c>
      <c r="D5256" s="3" t="s">
        <v>1564</v>
      </c>
      <c r="E5256" s="3" t="s">
        <v>1101</v>
      </c>
      <c r="F5256" s="3">
        <v>0</v>
      </c>
      <c r="G5256" s="3">
        <v>46978.37</v>
      </c>
    </row>
    <row r="5257" spans="1:7" x14ac:dyDescent="0.2">
      <c r="A5257" s="3" t="s">
        <v>1069</v>
      </c>
      <c r="B5257" s="4">
        <v>45322</v>
      </c>
      <c r="C5257" s="3" t="s">
        <v>1168</v>
      </c>
      <c r="D5257" s="3" t="s">
        <v>1196</v>
      </c>
      <c r="E5257" s="3" t="s">
        <v>1131</v>
      </c>
      <c r="F5257" s="3">
        <v>0</v>
      </c>
      <c r="G5257" s="3">
        <v>39.47</v>
      </c>
    </row>
    <row r="5258" spans="1:7" x14ac:dyDescent="0.2">
      <c r="A5258" s="3" t="s">
        <v>1069</v>
      </c>
      <c r="B5258" s="4">
        <v>45322</v>
      </c>
      <c r="C5258" s="3" t="s">
        <v>1168</v>
      </c>
      <c r="D5258" s="3" t="s">
        <v>1663</v>
      </c>
      <c r="E5258" s="3" t="s">
        <v>1082</v>
      </c>
      <c r="F5258" s="3">
        <v>0</v>
      </c>
      <c r="G5258" s="3">
        <v>3156.51</v>
      </c>
    </row>
    <row r="5259" spans="1:7" x14ac:dyDescent="0.2">
      <c r="A5259" s="3" t="s">
        <v>1069</v>
      </c>
      <c r="B5259" s="4">
        <v>45322</v>
      </c>
      <c r="C5259" s="3" t="s">
        <v>1168</v>
      </c>
      <c r="D5259" s="3" t="s">
        <v>1544</v>
      </c>
      <c r="E5259" s="3" t="s">
        <v>1159</v>
      </c>
      <c r="F5259" s="3">
        <v>15043.78</v>
      </c>
      <c r="G5259" s="3">
        <v>117447.02</v>
      </c>
    </row>
    <row r="5260" spans="1:7" x14ac:dyDescent="0.2">
      <c r="A5260" s="3" t="s">
        <v>1072</v>
      </c>
      <c r="B5260" s="4">
        <v>45322</v>
      </c>
      <c r="C5260" s="3" t="s">
        <v>1168</v>
      </c>
      <c r="D5260" s="3" t="s">
        <v>1354</v>
      </c>
      <c r="E5260" s="3" t="s">
        <v>1078</v>
      </c>
      <c r="F5260" s="3">
        <v>0</v>
      </c>
      <c r="G5260" s="3">
        <v>24779.49</v>
      </c>
    </row>
    <row r="5261" spans="1:7" x14ac:dyDescent="0.2">
      <c r="A5261" s="3" t="s">
        <v>1072</v>
      </c>
      <c r="B5261" s="4">
        <v>45322</v>
      </c>
      <c r="C5261" s="3" t="s">
        <v>1168</v>
      </c>
      <c r="D5261" s="3" t="s">
        <v>1709</v>
      </c>
      <c r="E5261" s="3" t="s">
        <v>1081</v>
      </c>
      <c r="F5261" s="3">
        <v>0</v>
      </c>
      <c r="G5261" s="3">
        <v>24242.76</v>
      </c>
    </row>
    <row r="5262" spans="1:7" x14ac:dyDescent="0.2">
      <c r="A5262" s="3" t="s">
        <v>1069</v>
      </c>
      <c r="B5262" s="4">
        <v>45322</v>
      </c>
      <c r="C5262" s="3" t="s">
        <v>1168</v>
      </c>
      <c r="D5262" s="3" t="s">
        <v>1456</v>
      </c>
      <c r="E5262" s="3" t="s">
        <v>1457</v>
      </c>
      <c r="F5262" s="3">
        <v>0</v>
      </c>
      <c r="G5262" s="3">
        <v>-533.79999999999995</v>
      </c>
    </row>
    <row r="5263" spans="1:7" x14ac:dyDescent="0.2">
      <c r="A5263" s="3" t="s">
        <v>1069</v>
      </c>
      <c r="B5263" s="4">
        <v>45322</v>
      </c>
      <c r="C5263" s="3" t="s">
        <v>1168</v>
      </c>
      <c r="D5263" s="3" t="s">
        <v>1565</v>
      </c>
      <c r="E5263" s="3" t="s">
        <v>1566</v>
      </c>
      <c r="F5263" s="3">
        <v>0</v>
      </c>
      <c r="G5263" s="3">
        <v>167246.17000000001</v>
      </c>
    </row>
    <row r="5264" spans="1:7" x14ac:dyDescent="0.2">
      <c r="A5264" s="3" t="s">
        <v>1069</v>
      </c>
      <c r="B5264" s="4">
        <v>45322</v>
      </c>
      <c r="C5264" s="3" t="s">
        <v>1168</v>
      </c>
      <c r="D5264" s="3" t="s">
        <v>1567</v>
      </c>
      <c r="E5264" s="3" t="s">
        <v>1568</v>
      </c>
      <c r="F5264" s="3">
        <v>0</v>
      </c>
      <c r="G5264" s="3">
        <v>72942.48</v>
      </c>
    </row>
    <row r="5265" spans="1:7" x14ac:dyDescent="0.2">
      <c r="A5265" s="3" t="s">
        <v>1069</v>
      </c>
      <c r="B5265" s="4">
        <v>45322</v>
      </c>
      <c r="C5265" s="3" t="s">
        <v>1168</v>
      </c>
      <c r="D5265" s="3" t="s">
        <v>1569</v>
      </c>
      <c r="E5265" s="3" t="s">
        <v>1570</v>
      </c>
      <c r="F5265" s="3">
        <v>0</v>
      </c>
      <c r="G5265" s="3">
        <v>44124.67</v>
      </c>
    </row>
    <row r="5266" spans="1:7" x14ac:dyDescent="0.2">
      <c r="A5266" s="3" t="s">
        <v>1069</v>
      </c>
      <c r="B5266" s="4">
        <v>45322</v>
      </c>
      <c r="C5266" s="3" t="s">
        <v>1168</v>
      </c>
      <c r="D5266" s="3" t="s">
        <v>1608</v>
      </c>
      <c r="E5266" s="3" t="s">
        <v>1609</v>
      </c>
      <c r="F5266" s="3">
        <v>0</v>
      </c>
      <c r="G5266" s="3">
        <v>11678.33</v>
      </c>
    </row>
    <row r="5267" spans="1:7" x14ac:dyDescent="0.2">
      <c r="A5267" s="3" t="s">
        <v>1074</v>
      </c>
      <c r="B5267" s="4">
        <v>45322</v>
      </c>
      <c r="C5267" s="3" t="s">
        <v>1168</v>
      </c>
      <c r="D5267" s="3" t="s">
        <v>1608</v>
      </c>
      <c r="E5267" s="3" t="s">
        <v>1609</v>
      </c>
      <c r="F5267" s="3">
        <v>10319.93</v>
      </c>
      <c r="G5267" s="3">
        <v>11927.71</v>
      </c>
    </row>
    <row r="5268" spans="1:7" x14ac:dyDescent="0.2">
      <c r="A5268" s="3" t="s">
        <v>1069</v>
      </c>
      <c r="B5268" s="4">
        <v>45322</v>
      </c>
      <c r="C5268" s="3" t="s">
        <v>1168</v>
      </c>
      <c r="D5268" s="3" t="s">
        <v>1627</v>
      </c>
      <c r="E5268" s="3" t="s">
        <v>1628</v>
      </c>
      <c r="F5268" s="3">
        <v>0</v>
      </c>
      <c r="G5268" s="3">
        <v>1252.24</v>
      </c>
    </row>
    <row r="5269" spans="1:7" x14ac:dyDescent="0.2">
      <c r="A5269" s="3" t="s">
        <v>1074</v>
      </c>
      <c r="B5269" s="4">
        <v>45322</v>
      </c>
      <c r="C5269" s="3" t="s">
        <v>1168</v>
      </c>
      <c r="D5269" s="3" t="s">
        <v>1627</v>
      </c>
      <c r="E5269" s="3" t="s">
        <v>1628</v>
      </c>
      <c r="F5269" s="3">
        <v>29501.74</v>
      </c>
      <c r="G5269" s="3">
        <v>31008.9</v>
      </c>
    </row>
    <row r="5270" spans="1:7" x14ac:dyDescent="0.2">
      <c r="A5270" s="3" t="s">
        <v>1069</v>
      </c>
      <c r="B5270" s="4">
        <v>45322</v>
      </c>
      <c r="C5270" s="3" t="s">
        <v>1168</v>
      </c>
      <c r="D5270" s="3" t="s">
        <v>1693</v>
      </c>
      <c r="E5270" s="3" t="s">
        <v>1694</v>
      </c>
      <c r="F5270" s="3">
        <v>0</v>
      </c>
      <c r="G5270" s="3">
        <v>5515.07</v>
      </c>
    </row>
    <row r="5271" spans="1:7" x14ac:dyDescent="0.2">
      <c r="A5271" s="3" t="s">
        <v>1074</v>
      </c>
      <c r="B5271" s="4">
        <v>45322</v>
      </c>
      <c r="C5271" s="3" t="s">
        <v>1168</v>
      </c>
      <c r="D5271" s="3" t="s">
        <v>1693</v>
      </c>
      <c r="E5271" s="3" t="s">
        <v>1694</v>
      </c>
      <c r="F5271" s="3">
        <v>621.26</v>
      </c>
      <c r="G5271" s="3">
        <v>33734.300000000003</v>
      </c>
    </row>
    <row r="5272" spans="1:7" x14ac:dyDescent="0.2">
      <c r="A5272" s="3" t="s">
        <v>1069</v>
      </c>
      <c r="B5272" s="4">
        <v>45322</v>
      </c>
      <c r="C5272" s="3" t="s">
        <v>1168</v>
      </c>
      <c r="D5272" s="3" t="s">
        <v>1695</v>
      </c>
      <c r="E5272" s="3" t="s">
        <v>1696</v>
      </c>
      <c r="F5272" s="3">
        <v>0</v>
      </c>
      <c r="G5272" s="3">
        <v>591.78</v>
      </c>
    </row>
    <row r="5273" spans="1:7" x14ac:dyDescent="0.2">
      <c r="A5273" s="3" t="s">
        <v>1074</v>
      </c>
      <c r="B5273" s="4">
        <v>45322</v>
      </c>
      <c r="C5273" s="3" t="s">
        <v>1168</v>
      </c>
      <c r="D5273" s="3" t="s">
        <v>1695</v>
      </c>
      <c r="E5273" s="3" t="s">
        <v>1696</v>
      </c>
      <c r="F5273" s="3">
        <v>0</v>
      </c>
      <c r="G5273" s="3">
        <v>69137.8</v>
      </c>
    </row>
    <row r="5274" spans="1:7" x14ac:dyDescent="0.2">
      <c r="A5274" s="3" t="s">
        <v>1074</v>
      </c>
      <c r="B5274" s="4">
        <v>45322</v>
      </c>
      <c r="C5274" s="3" t="s">
        <v>1168</v>
      </c>
      <c r="D5274" s="3" t="s">
        <v>1650</v>
      </c>
      <c r="E5274" s="3" t="s">
        <v>1651</v>
      </c>
      <c r="F5274" s="3">
        <v>0</v>
      </c>
      <c r="G5274" s="3">
        <v>2537.9</v>
      </c>
    </row>
    <row r="5275" spans="1:7" x14ac:dyDescent="0.2">
      <c r="A5275" s="3" t="s">
        <v>1074</v>
      </c>
      <c r="B5275" s="4">
        <v>45322</v>
      </c>
      <c r="C5275" s="3" t="s">
        <v>1168</v>
      </c>
      <c r="D5275" s="3" t="s">
        <v>1710</v>
      </c>
      <c r="E5275" s="3" t="s">
        <v>1711</v>
      </c>
      <c r="F5275" s="3">
        <v>0</v>
      </c>
      <c r="G5275" s="3">
        <v>5709.59</v>
      </c>
    </row>
    <row r="5276" spans="1:7" x14ac:dyDescent="0.2">
      <c r="A5276" s="3" t="s">
        <v>1074</v>
      </c>
      <c r="B5276" s="4">
        <v>45322</v>
      </c>
      <c r="C5276" s="3" t="s">
        <v>1168</v>
      </c>
      <c r="D5276" s="3" t="s">
        <v>1712</v>
      </c>
      <c r="E5276" s="3" t="s">
        <v>1713</v>
      </c>
      <c r="F5276" s="3">
        <v>0</v>
      </c>
      <c r="G5276" s="3">
        <v>19334.38</v>
      </c>
    </row>
    <row r="5277" spans="1:7" x14ac:dyDescent="0.2">
      <c r="A5277" s="3" t="s">
        <v>1074</v>
      </c>
      <c r="B5277" s="4">
        <v>45322</v>
      </c>
      <c r="C5277" s="3" t="s">
        <v>1168</v>
      </c>
      <c r="D5277" s="3" t="s">
        <v>1719</v>
      </c>
      <c r="E5277" s="3" t="s">
        <v>1720</v>
      </c>
      <c r="F5277" s="3">
        <v>0</v>
      </c>
      <c r="G5277" s="3">
        <v>9131.51</v>
      </c>
    </row>
    <row r="5278" spans="1:7" x14ac:dyDescent="0.2">
      <c r="A5278" s="3" t="s">
        <v>1069</v>
      </c>
      <c r="B5278" s="4">
        <v>45322</v>
      </c>
      <c r="C5278" s="3" t="s">
        <v>1168</v>
      </c>
      <c r="D5278" s="3" t="s">
        <v>1571</v>
      </c>
      <c r="E5278" s="3" t="s">
        <v>1572</v>
      </c>
      <c r="F5278" s="3">
        <v>0</v>
      </c>
      <c r="G5278" s="3">
        <v>400367.2</v>
      </c>
    </row>
    <row r="5279" spans="1:7" x14ac:dyDescent="0.2">
      <c r="A5279" s="3" t="s">
        <v>1074</v>
      </c>
      <c r="B5279" s="4">
        <v>45322</v>
      </c>
      <c r="C5279" s="3" t="s">
        <v>1168</v>
      </c>
      <c r="D5279" s="3" t="s">
        <v>1571</v>
      </c>
      <c r="E5279" s="3" t="s">
        <v>1572</v>
      </c>
      <c r="F5279" s="3">
        <v>78686.33</v>
      </c>
      <c r="G5279" s="3">
        <v>683898.63</v>
      </c>
    </row>
    <row r="5280" spans="1:7" x14ac:dyDescent="0.2">
      <c r="A5280" s="3" t="s">
        <v>1069</v>
      </c>
      <c r="B5280" s="4">
        <v>45322</v>
      </c>
      <c r="C5280" s="3" t="s">
        <v>1168</v>
      </c>
      <c r="D5280" s="3" t="s">
        <v>1573</v>
      </c>
      <c r="E5280" s="3" t="s">
        <v>1574</v>
      </c>
      <c r="F5280" s="3">
        <v>0</v>
      </c>
      <c r="G5280" s="3">
        <v>333349.31</v>
      </c>
    </row>
    <row r="5281" spans="1:7" x14ac:dyDescent="0.2">
      <c r="A5281" s="3" t="s">
        <v>1069</v>
      </c>
      <c r="B5281" s="4">
        <v>45322</v>
      </c>
      <c r="C5281" s="3" t="s">
        <v>1168</v>
      </c>
      <c r="D5281" s="3" t="s">
        <v>1629</v>
      </c>
      <c r="E5281" s="3" t="s">
        <v>1630</v>
      </c>
      <c r="F5281" s="3">
        <v>0</v>
      </c>
      <c r="G5281" s="3">
        <v>47473.98</v>
      </c>
    </row>
    <row r="5282" spans="1:7" x14ac:dyDescent="0.2">
      <c r="A5282" s="3" t="s">
        <v>1074</v>
      </c>
      <c r="B5282" s="4">
        <v>45322</v>
      </c>
      <c r="C5282" s="3" t="s">
        <v>1168</v>
      </c>
      <c r="D5282" s="3" t="s">
        <v>1629</v>
      </c>
      <c r="E5282" s="3" t="s">
        <v>1630</v>
      </c>
      <c r="F5282" s="3">
        <v>52778.080000000002</v>
      </c>
      <c r="G5282" s="3">
        <v>273806.02</v>
      </c>
    </row>
    <row r="5283" spans="1:7" x14ac:dyDescent="0.2">
      <c r="A5283" s="3" t="s">
        <v>1069</v>
      </c>
      <c r="B5283" s="4">
        <v>45322</v>
      </c>
      <c r="C5283" s="3" t="s">
        <v>1168</v>
      </c>
      <c r="D5283" s="3" t="s">
        <v>1575</v>
      </c>
      <c r="E5283" s="3" t="s">
        <v>1576</v>
      </c>
      <c r="F5283" s="3">
        <v>0</v>
      </c>
      <c r="G5283" s="3">
        <v>3197167.68</v>
      </c>
    </row>
    <row r="5284" spans="1:7" x14ac:dyDescent="0.2">
      <c r="A5284" s="3" t="s">
        <v>1074</v>
      </c>
      <c r="B5284" s="4">
        <v>45322</v>
      </c>
      <c r="C5284" s="3" t="s">
        <v>1168</v>
      </c>
      <c r="D5284" s="3" t="s">
        <v>1575</v>
      </c>
      <c r="E5284" s="3" t="s">
        <v>1576</v>
      </c>
      <c r="F5284" s="3">
        <v>1185476.01</v>
      </c>
      <c r="G5284" s="3">
        <v>2923625.72</v>
      </c>
    </row>
    <row r="5285" spans="1:7" x14ac:dyDescent="0.2">
      <c r="A5285" s="3" t="s">
        <v>1072</v>
      </c>
      <c r="B5285" s="4">
        <v>45322</v>
      </c>
      <c r="C5285" s="3" t="s">
        <v>1168</v>
      </c>
      <c r="D5285" s="3" t="s">
        <v>1671</v>
      </c>
      <c r="E5285" s="3" t="s">
        <v>1119</v>
      </c>
      <c r="F5285" s="3">
        <v>0</v>
      </c>
      <c r="G5285" s="3">
        <v>5202.88</v>
      </c>
    </row>
    <row r="5286" spans="1:7" x14ac:dyDescent="0.2">
      <c r="A5286" s="3" t="s">
        <v>1074</v>
      </c>
      <c r="B5286" s="4">
        <v>45322</v>
      </c>
      <c r="C5286" s="3" t="s">
        <v>1168</v>
      </c>
      <c r="D5286" s="3" t="s">
        <v>1746</v>
      </c>
      <c r="E5286" s="3" t="s">
        <v>1134</v>
      </c>
      <c r="F5286" s="3">
        <v>0</v>
      </c>
      <c r="G5286" s="3">
        <v>66011.509999999995</v>
      </c>
    </row>
    <row r="5287" spans="1:7" x14ac:dyDescent="0.2">
      <c r="A5287" s="3" t="s">
        <v>1074</v>
      </c>
      <c r="B5287" s="4">
        <v>45322</v>
      </c>
      <c r="C5287" s="3" t="s">
        <v>1168</v>
      </c>
      <c r="D5287" s="3" t="s">
        <v>1721</v>
      </c>
      <c r="E5287" s="3" t="s">
        <v>1152</v>
      </c>
      <c r="F5287" s="3">
        <v>1773.44</v>
      </c>
      <c r="G5287" s="3">
        <v>4860.54</v>
      </c>
    </row>
    <row r="5288" spans="1:7" x14ac:dyDescent="0.2">
      <c r="A5288" s="3" t="s">
        <v>1069</v>
      </c>
      <c r="B5288" s="4">
        <v>45322</v>
      </c>
      <c r="C5288" s="3" t="s">
        <v>1168</v>
      </c>
      <c r="D5288" s="3" t="s">
        <v>1684</v>
      </c>
      <c r="E5288" s="3" t="s">
        <v>1102</v>
      </c>
      <c r="F5288" s="3">
        <v>0</v>
      </c>
      <c r="G5288" s="3">
        <v>76865.83</v>
      </c>
    </row>
    <row r="5289" spans="1:7" x14ac:dyDescent="0.2">
      <c r="A5289" s="3" t="s">
        <v>1069</v>
      </c>
      <c r="B5289" s="4">
        <v>45322</v>
      </c>
      <c r="C5289" s="3" t="s">
        <v>1168</v>
      </c>
      <c r="D5289" s="3" t="s">
        <v>1722</v>
      </c>
      <c r="E5289" s="3" t="s">
        <v>1116</v>
      </c>
      <c r="F5289" s="3">
        <v>3292.17</v>
      </c>
      <c r="G5289" s="3">
        <v>28072.92</v>
      </c>
    </row>
    <row r="5290" spans="1:7" x14ac:dyDescent="0.2">
      <c r="A5290" s="3" t="s">
        <v>1074</v>
      </c>
      <c r="B5290" s="4">
        <v>45322</v>
      </c>
      <c r="C5290" s="3" t="s">
        <v>1168</v>
      </c>
      <c r="D5290" s="3" t="s">
        <v>1747</v>
      </c>
      <c r="E5290" s="3" t="s">
        <v>1133</v>
      </c>
      <c r="F5290" s="3">
        <v>0</v>
      </c>
      <c r="G5290" s="3">
        <v>11879.1</v>
      </c>
    </row>
    <row r="5291" spans="1:7" x14ac:dyDescent="0.2">
      <c r="A5291" s="3" t="s">
        <v>1074</v>
      </c>
      <c r="B5291" s="4">
        <v>45322</v>
      </c>
      <c r="C5291" s="3" t="s">
        <v>1168</v>
      </c>
      <c r="D5291" s="3" t="s">
        <v>1549</v>
      </c>
      <c r="E5291" s="3" t="s">
        <v>1154</v>
      </c>
      <c r="F5291" s="3">
        <v>0</v>
      </c>
      <c r="G5291" s="3">
        <v>400000</v>
      </c>
    </row>
    <row r="5292" spans="1:7" x14ac:dyDescent="0.2">
      <c r="A5292" s="3" t="s">
        <v>1069</v>
      </c>
      <c r="B5292" s="4">
        <v>45322</v>
      </c>
      <c r="C5292" s="3" t="s">
        <v>1168</v>
      </c>
      <c r="D5292" s="3" t="s">
        <v>1253</v>
      </c>
      <c r="E5292" s="3" t="s">
        <v>1103</v>
      </c>
      <c r="F5292" s="3">
        <v>7192.15</v>
      </c>
      <c r="G5292" s="3">
        <v>128656.07</v>
      </c>
    </row>
    <row r="5293" spans="1:7" x14ac:dyDescent="0.2">
      <c r="A5293" s="3" t="s">
        <v>1072</v>
      </c>
      <c r="B5293" s="4">
        <v>45322</v>
      </c>
      <c r="C5293" s="3" t="s">
        <v>1168</v>
      </c>
      <c r="D5293" s="3" t="s">
        <v>1672</v>
      </c>
      <c r="E5293" s="3" t="s">
        <v>1097</v>
      </c>
      <c r="F5293" s="3">
        <v>0</v>
      </c>
      <c r="G5293" s="3">
        <v>362</v>
      </c>
    </row>
    <row r="5294" spans="1:7" x14ac:dyDescent="0.2">
      <c r="A5294" s="3" t="s">
        <v>1069</v>
      </c>
      <c r="B5294" s="4">
        <v>45322</v>
      </c>
      <c r="C5294" s="3" t="s">
        <v>1168</v>
      </c>
      <c r="D5294" s="3" t="s">
        <v>1672</v>
      </c>
      <c r="E5294" s="3" t="s">
        <v>1097</v>
      </c>
      <c r="F5294" s="3">
        <v>0</v>
      </c>
      <c r="G5294" s="3">
        <v>20</v>
      </c>
    </row>
    <row r="5295" spans="1:7" x14ac:dyDescent="0.2">
      <c r="A5295" s="3" t="s">
        <v>1072</v>
      </c>
      <c r="B5295" s="4">
        <v>45322</v>
      </c>
      <c r="C5295" s="3" t="s">
        <v>1168</v>
      </c>
      <c r="D5295" s="3" t="s">
        <v>1357</v>
      </c>
      <c r="E5295" s="3" t="s">
        <v>1157</v>
      </c>
      <c r="F5295" s="3">
        <v>1463.16</v>
      </c>
      <c r="G5295" s="3">
        <v>40495.31</v>
      </c>
    </row>
    <row r="5296" spans="1:7" x14ac:dyDescent="0.2">
      <c r="A5296" s="3" t="s">
        <v>1072</v>
      </c>
      <c r="B5296" s="4">
        <v>45322</v>
      </c>
      <c r="C5296" s="3" t="s">
        <v>1168</v>
      </c>
      <c r="D5296" s="3" t="s">
        <v>1358</v>
      </c>
      <c r="E5296" s="3" t="s">
        <v>1122</v>
      </c>
      <c r="F5296" s="3">
        <v>0</v>
      </c>
      <c r="G5296" s="3">
        <v>3668.3</v>
      </c>
    </row>
    <row r="5297" spans="1:7" x14ac:dyDescent="0.2">
      <c r="A5297" s="3" t="s">
        <v>1072</v>
      </c>
      <c r="B5297" s="4">
        <v>45322</v>
      </c>
      <c r="C5297" s="3" t="s">
        <v>1168</v>
      </c>
      <c r="D5297" s="3" t="s">
        <v>1359</v>
      </c>
      <c r="E5297" s="3" t="s">
        <v>1086</v>
      </c>
      <c r="F5297" s="3">
        <v>0</v>
      </c>
      <c r="G5297" s="3">
        <v>1069</v>
      </c>
    </row>
    <row r="5298" spans="1:7" x14ac:dyDescent="0.2">
      <c r="A5298" s="3" t="s">
        <v>1072</v>
      </c>
      <c r="B5298" s="4">
        <v>45322</v>
      </c>
      <c r="C5298" s="3" t="s">
        <v>1168</v>
      </c>
      <c r="D5298" s="3" t="s">
        <v>1201</v>
      </c>
      <c r="E5298" s="3" t="s">
        <v>1112</v>
      </c>
      <c r="F5298" s="3">
        <v>6631.55</v>
      </c>
      <c r="G5298" s="3">
        <v>45147.94</v>
      </c>
    </row>
    <row r="5299" spans="1:7" x14ac:dyDescent="0.2">
      <c r="A5299" s="3" t="s">
        <v>1072</v>
      </c>
      <c r="B5299" s="4">
        <v>45322</v>
      </c>
      <c r="C5299" s="3" t="s">
        <v>1168</v>
      </c>
      <c r="D5299" s="3" t="s">
        <v>1360</v>
      </c>
      <c r="E5299" s="3" t="s">
        <v>1098</v>
      </c>
      <c r="F5299" s="3">
        <v>2233.3000000000002</v>
      </c>
      <c r="G5299" s="3">
        <v>23689.51</v>
      </c>
    </row>
    <row r="5300" spans="1:7" x14ac:dyDescent="0.2">
      <c r="A5300" s="3" t="s">
        <v>1072</v>
      </c>
      <c r="B5300" s="4">
        <v>45322</v>
      </c>
      <c r="C5300" s="3" t="s">
        <v>1168</v>
      </c>
      <c r="D5300" s="3" t="s">
        <v>1361</v>
      </c>
      <c r="E5300" s="3" t="s">
        <v>1121</v>
      </c>
      <c r="F5300" s="3">
        <v>31820</v>
      </c>
      <c r="G5300" s="3">
        <v>332260</v>
      </c>
    </row>
    <row r="5301" spans="1:7" x14ac:dyDescent="0.2">
      <c r="A5301" s="3" t="s">
        <v>1072</v>
      </c>
      <c r="B5301" s="4">
        <v>45322</v>
      </c>
      <c r="C5301" s="3" t="s">
        <v>1168</v>
      </c>
      <c r="D5301" s="3" t="s">
        <v>1231</v>
      </c>
      <c r="E5301" s="3" t="s">
        <v>1083</v>
      </c>
      <c r="F5301" s="3">
        <v>8257.3700000000008</v>
      </c>
      <c r="G5301" s="3">
        <v>27343.13</v>
      </c>
    </row>
    <row r="5302" spans="1:7" x14ac:dyDescent="0.2">
      <c r="A5302" s="3" t="s">
        <v>1069</v>
      </c>
      <c r="B5302" s="4">
        <v>45322</v>
      </c>
      <c r="C5302" s="3" t="s">
        <v>1168</v>
      </c>
      <c r="D5302" s="3" t="s">
        <v>1231</v>
      </c>
      <c r="E5302" s="3" t="s">
        <v>1070</v>
      </c>
      <c r="F5302" s="3">
        <v>0</v>
      </c>
      <c r="G5302" s="3">
        <v>211633.66</v>
      </c>
    </row>
    <row r="5303" spans="1:7" x14ac:dyDescent="0.2">
      <c r="A5303" s="3" t="s">
        <v>1072</v>
      </c>
      <c r="B5303" s="4">
        <v>45322</v>
      </c>
      <c r="C5303" s="3" t="s">
        <v>1168</v>
      </c>
      <c r="D5303" s="3" t="s">
        <v>1254</v>
      </c>
      <c r="E5303" s="3" t="s">
        <v>1075</v>
      </c>
      <c r="F5303" s="3">
        <v>0</v>
      </c>
      <c r="G5303" s="3">
        <v>16125.02</v>
      </c>
    </row>
    <row r="5304" spans="1:7" x14ac:dyDescent="0.2">
      <c r="A5304" s="3" t="s">
        <v>1069</v>
      </c>
      <c r="B5304" s="4">
        <v>45322</v>
      </c>
      <c r="C5304" s="3" t="s">
        <v>1168</v>
      </c>
      <c r="D5304" s="3" t="s">
        <v>1254</v>
      </c>
      <c r="E5304" s="3" t="s">
        <v>1075</v>
      </c>
      <c r="F5304" s="3">
        <v>0</v>
      </c>
      <c r="G5304" s="3">
        <v>34547.279999999999</v>
      </c>
    </row>
    <row r="5305" spans="1:7" x14ac:dyDescent="0.2">
      <c r="A5305" s="3" t="s">
        <v>1074</v>
      </c>
      <c r="B5305" s="4">
        <v>45322</v>
      </c>
      <c r="C5305" s="3" t="s">
        <v>1168</v>
      </c>
      <c r="D5305" s="3" t="s">
        <v>1254</v>
      </c>
      <c r="E5305" s="3" t="s">
        <v>1075</v>
      </c>
      <c r="F5305" s="3">
        <v>7583.63</v>
      </c>
      <c r="G5305" s="3">
        <v>23147.119999999999</v>
      </c>
    </row>
    <row r="5306" spans="1:7" x14ac:dyDescent="0.2">
      <c r="A5306" s="3" t="s">
        <v>1072</v>
      </c>
      <c r="B5306" s="4">
        <v>45322</v>
      </c>
      <c r="C5306" s="3" t="s">
        <v>1168</v>
      </c>
      <c r="D5306" s="3" t="s">
        <v>1362</v>
      </c>
      <c r="E5306" s="3" t="s">
        <v>1123</v>
      </c>
      <c r="F5306" s="3">
        <v>441360.94</v>
      </c>
      <c r="G5306" s="3">
        <v>4236868.55</v>
      </c>
    </row>
    <row r="5307" spans="1:7" x14ac:dyDescent="0.2">
      <c r="A5307" s="3" t="s">
        <v>1072</v>
      </c>
      <c r="B5307" s="4">
        <v>45322</v>
      </c>
      <c r="C5307" s="3" t="s">
        <v>1168</v>
      </c>
      <c r="D5307" s="3" t="s">
        <v>1365</v>
      </c>
      <c r="E5307" s="3" t="s">
        <v>1090</v>
      </c>
      <c r="F5307" s="3">
        <v>0</v>
      </c>
      <c r="G5307" s="3">
        <v>5192.13</v>
      </c>
    </row>
    <row r="5308" spans="1:7" x14ac:dyDescent="0.2">
      <c r="A5308" s="3" t="s">
        <v>1072</v>
      </c>
      <c r="B5308" s="4">
        <v>45322</v>
      </c>
      <c r="C5308" s="3" t="s">
        <v>1168</v>
      </c>
      <c r="D5308" s="3" t="s">
        <v>1511</v>
      </c>
      <c r="E5308" s="3" t="s">
        <v>1104</v>
      </c>
      <c r="F5308" s="3">
        <v>191.17</v>
      </c>
      <c r="G5308" s="3">
        <v>2005.99</v>
      </c>
    </row>
    <row r="5309" spans="1:7" x14ac:dyDescent="0.2">
      <c r="A5309" s="3" t="s">
        <v>1069</v>
      </c>
      <c r="B5309" s="4">
        <v>45322</v>
      </c>
      <c r="C5309" s="3" t="s">
        <v>1168</v>
      </c>
      <c r="D5309" s="3" t="s">
        <v>1366</v>
      </c>
      <c r="E5309" s="3" t="s">
        <v>1104</v>
      </c>
      <c r="F5309" s="3">
        <v>0</v>
      </c>
      <c r="G5309" s="3">
        <v>7198.71</v>
      </c>
    </row>
    <row r="5310" spans="1:7" x14ac:dyDescent="0.2">
      <c r="A5310" s="3" t="s">
        <v>1072</v>
      </c>
      <c r="B5310" s="4">
        <v>45322</v>
      </c>
      <c r="C5310" s="3" t="s">
        <v>1168</v>
      </c>
      <c r="D5310" s="3" t="s">
        <v>1366</v>
      </c>
      <c r="E5310" s="3" t="s">
        <v>1144</v>
      </c>
      <c r="F5310" s="3">
        <v>2431.25</v>
      </c>
      <c r="G5310" s="3">
        <v>33441.99</v>
      </c>
    </row>
    <row r="5311" spans="1:7" x14ac:dyDescent="0.2">
      <c r="A5311" s="3" t="s">
        <v>1069</v>
      </c>
      <c r="B5311" s="4">
        <v>45322</v>
      </c>
      <c r="C5311" s="3" t="s">
        <v>1168</v>
      </c>
      <c r="D5311" s="3" t="s">
        <v>1213</v>
      </c>
      <c r="E5311" s="3" t="s">
        <v>1150</v>
      </c>
      <c r="F5311" s="3">
        <v>0</v>
      </c>
      <c r="G5311" s="3">
        <v>4301.75</v>
      </c>
    </row>
    <row r="5312" spans="1:7" x14ac:dyDescent="0.2">
      <c r="A5312" s="3" t="s">
        <v>1072</v>
      </c>
      <c r="B5312" s="4">
        <v>45322</v>
      </c>
      <c r="C5312" s="3" t="s">
        <v>1168</v>
      </c>
      <c r="D5312" s="3" t="s">
        <v>1367</v>
      </c>
      <c r="E5312" s="3" t="s">
        <v>1147</v>
      </c>
      <c r="F5312" s="3">
        <v>0</v>
      </c>
      <c r="G5312" s="3">
        <v>3452.7</v>
      </c>
    </row>
    <row r="5313" spans="1:7" x14ac:dyDescent="0.2">
      <c r="A5313" s="3" t="s">
        <v>1072</v>
      </c>
      <c r="B5313" s="4">
        <v>45322</v>
      </c>
      <c r="C5313" s="3" t="s">
        <v>1168</v>
      </c>
      <c r="D5313" s="3" t="s">
        <v>1368</v>
      </c>
      <c r="E5313" s="3" t="s">
        <v>1124</v>
      </c>
      <c r="F5313" s="3">
        <v>2314.69</v>
      </c>
      <c r="G5313" s="3">
        <v>36787.25</v>
      </c>
    </row>
    <row r="5314" spans="1:7" x14ac:dyDescent="0.2">
      <c r="A5314" s="3" t="s">
        <v>1072</v>
      </c>
      <c r="B5314" s="4">
        <v>45322</v>
      </c>
      <c r="C5314" s="3" t="s">
        <v>1168</v>
      </c>
      <c r="D5314" s="3" t="s">
        <v>1369</v>
      </c>
      <c r="E5314" s="3" t="s">
        <v>1099</v>
      </c>
      <c r="F5314" s="3">
        <v>0</v>
      </c>
      <c r="G5314" s="3">
        <v>13527.97</v>
      </c>
    </row>
    <row r="5315" spans="1:7" x14ac:dyDescent="0.2">
      <c r="A5315" s="3" t="s">
        <v>1072</v>
      </c>
      <c r="B5315" s="4">
        <v>45322</v>
      </c>
      <c r="C5315" s="3" t="s">
        <v>1168</v>
      </c>
      <c r="D5315" s="3" t="s">
        <v>1370</v>
      </c>
      <c r="E5315" s="3" t="s">
        <v>1129</v>
      </c>
      <c r="F5315" s="3">
        <v>0</v>
      </c>
      <c r="G5315" s="3">
        <v>7470</v>
      </c>
    </row>
    <row r="5316" spans="1:7" x14ac:dyDescent="0.2">
      <c r="A5316" s="3" t="s">
        <v>1072</v>
      </c>
      <c r="B5316" s="4">
        <v>45322</v>
      </c>
      <c r="C5316" s="3" t="s">
        <v>1168</v>
      </c>
      <c r="D5316" s="3" t="s">
        <v>1371</v>
      </c>
      <c r="E5316" s="3" t="s">
        <v>1093</v>
      </c>
      <c r="F5316" s="3">
        <v>0</v>
      </c>
      <c r="G5316" s="3">
        <v>10825.49</v>
      </c>
    </row>
    <row r="5317" spans="1:7" x14ac:dyDescent="0.2">
      <c r="A5317" s="3" t="s">
        <v>1072</v>
      </c>
      <c r="B5317" s="4">
        <v>45322</v>
      </c>
      <c r="C5317" s="3" t="s">
        <v>1168</v>
      </c>
      <c r="D5317" s="3" t="s">
        <v>1372</v>
      </c>
      <c r="E5317" s="3" t="s">
        <v>1158</v>
      </c>
      <c r="F5317" s="3">
        <v>600</v>
      </c>
      <c r="G5317" s="3">
        <v>6600</v>
      </c>
    </row>
    <row r="5318" spans="1:7" x14ac:dyDescent="0.2">
      <c r="A5318" s="3" t="s">
        <v>1072</v>
      </c>
      <c r="B5318" s="4">
        <v>45322</v>
      </c>
      <c r="C5318" s="3" t="s">
        <v>1168</v>
      </c>
      <c r="D5318" s="3" t="s">
        <v>1373</v>
      </c>
      <c r="E5318" s="3" t="s">
        <v>1092</v>
      </c>
      <c r="F5318" s="3">
        <v>2178</v>
      </c>
      <c r="G5318" s="3">
        <v>11063.41</v>
      </c>
    </row>
    <row r="5319" spans="1:7" x14ac:dyDescent="0.2">
      <c r="A5319" s="3" t="s">
        <v>1072</v>
      </c>
      <c r="B5319" s="4">
        <v>45322</v>
      </c>
      <c r="C5319" s="3" t="s">
        <v>1168</v>
      </c>
      <c r="D5319" s="3" t="s">
        <v>1737</v>
      </c>
      <c r="E5319" s="3" t="s">
        <v>1148</v>
      </c>
      <c r="F5319" s="3">
        <v>718.93</v>
      </c>
      <c r="G5319" s="3">
        <v>2875.72</v>
      </c>
    </row>
    <row r="5320" spans="1:7" x14ac:dyDescent="0.2">
      <c r="A5320" s="3" t="s">
        <v>1072</v>
      </c>
      <c r="B5320" s="4">
        <v>45322</v>
      </c>
      <c r="C5320" s="3" t="s">
        <v>1168</v>
      </c>
      <c r="D5320" s="3" t="s">
        <v>1714</v>
      </c>
      <c r="E5320" s="3" t="s">
        <v>1091</v>
      </c>
      <c r="F5320" s="3">
        <v>0</v>
      </c>
      <c r="G5320" s="3">
        <v>4498.72</v>
      </c>
    </row>
    <row r="5321" spans="1:7" x14ac:dyDescent="0.2">
      <c r="A5321" s="3" t="s">
        <v>1069</v>
      </c>
      <c r="B5321" s="4">
        <v>45322</v>
      </c>
      <c r="C5321" s="3" t="s">
        <v>1168</v>
      </c>
      <c r="D5321" s="3" t="s">
        <v>1232</v>
      </c>
      <c r="E5321" s="3" t="s">
        <v>1105</v>
      </c>
      <c r="F5321" s="3">
        <v>600</v>
      </c>
      <c r="G5321" s="3">
        <v>6600</v>
      </c>
    </row>
    <row r="5322" spans="1:7" x14ac:dyDescent="0.2">
      <c r="A5322" s="3" t="s">
        <v>1074</v>
      </c>
      <c r="B5322" s="4">
        <v>45322</v>
      </c>
      <c r="C5322" s="3" t="s">
        <v>1168</v>
      </c>
      <c r="D5322" s="3" t="s">
        <v>1232</v>
      </c>
      <c r="E5322" s="3" t="s">
        <v>1105</v>
      </c>
      <c r="F5322" s="3">
        <v>600</v>
      </c>
      <c r="G5322" s="3">
        <v>6600</v>
      </c>
    </row>
    <row r="5323" spans="1:7" x14ac:dyDescent="0.2">
      <c r="A5323" s="3" t="s">
        <v>1069</v>
      </c>
      <c r="B5323" s="4">
        <v>45322</v>
      </c>
      <c r="C5323" s="3" t="s">
        <v>1168</v>
      </c>
      <c r="D5323" s="3" t="s">
        <v>1262</v>
      </c>
      <c r="E5323" s="3" t="s">
        <v>1127</v>
      </c>
      <c r="F5323" s="3">
        <v>0</v>
      </c>
      <c r="G5323" s="3">
        <v>526.32000000000005</v>
      </c>
    </row>
    <row r="5324" spans="1:7" x14ac:dyDescent="0.2">
      <c r="A5324" s="3" t="s">
        <v>1072</v>
      </c>
      <c r="B5324" s="4">
        <v>45322</v>
      </c>
      <c r="C5324" s="3" t="s">
        <v>1168</v>
      </c>
      <c r="D5324" s="3" t="s">
        <v>1374</v>
      </c>
      <c r="E5324" s="3" t="s">
        <v>1108</v>
      </c>
      <c r="F5324" s="3">
        <v>0</v>
      </c>
      <c r="G5324" s="3">
        <v>4000</v>
      </c>
    </row>
    <row r="5325" spans="1:7" x14ac:dyDescent="0.2">
      <c r="A5325" s="3" t="s">
        <v>1072</v>
      </c>
      <c r="B5325" s="4">
        <v>45322</v>
      </c>
      <c r="C5325" s="3" t="s">
        <v>1168</v>
      </c>
      <c r="D5325" s="3" t="s">
        <v>1375</v>
      </c>
      <c r="E5325" s="3" t="s">
        <v>1100</v>
      </c>
      <c r="F5325" s="3">
        <v>0</v>
      </c>
      <c r="G5325" s="3">
        <v>11566.33</v>
      </c>
    </row>
    <row r="5326" spans="1:7" x14ac:dyDescent="0.2">
      <c r="A5326" s="3" t="s">
        <v>1072</v>
      </c>
      <c r="B5326" s="4">
        <v>45322</v>
      </c>
      <c r="C5326" s="3" t="s">
        <v>1168</v>
      </c>
      <c r="D5326" s="3" t="s">
        <v>1378</v>
      </c>
      <c r="E5326" s="3" t="s">
        <v>1143</v>
      </c>
      <c r="F5326" s="3">
        <v>95761.31</v>
      </c>
      <c r="G5326" s="3">
        <v>944073.07</v>
      </c>
    </row>
    <row r="5327" spans="1:7" x14ac:dyDescent="0.2">
      <c r="A5327" s="3" t="s">
        <v>1072</v>
      </c>
      <c r="B5327" s="4">
        <v>45322</v>
      </c>
      <c r="C5327" s="3" t="s">
        <v>1168</v>
      </c>
      <c r="D5327" s="3" t="s">
        <v>1379</v>
      </c>
      <c r="E5327" s="3" t="s">
        <v>1107</v>
      </c>
      <c r="F5327" s="3">
        <v>5237.2299999999996</v>
      </c>
      <c r="G5327" s="3">
        <v>50468.37</v>
      </c>
    </row>
    <row r="5328" spans="1:7" x14ac:dyDescent="0.2">
      <c r="A5328" s="3" t="s">
        <v>1072</v>
      </c>
      <c r="B5328" s="4">
        <v>45322</v>
      </c>
      <c r="C5328" s="3" t="s">
        <v>1168</v>
      </c>
      <c r="D5328" s="3" t="s">
        <v>1380</v>
      </c>
      <c r="E5328" s="3" t="s">
        <v>1125</v>
      </c>
      <c r="F5328" s="3">
        <v>3004.75</v>
      </c>
      <c r="G5328" s="3">
        <v>28007.9</v>
      </c>
    </row>
    <row r="5329" spans="1:7" x14ac:dyDescent="0.2">
      <c r="A5329" s="3" t="s">
        <v>1072</v>
      </c>
      <c r="B5329" s="4">
        <v>45322</v>
      </c>
      <c r="C5329" s="3" t="s">
        <v>1168</v>
      </c>
      <c r="D5329" s="3" t="s">
        <v>1381</v>
      </c>
      <c r="E5329" s="3" t="s">
        <v>1130</v>
      </c>
      <c r="F5329" s="3">
        <v>3004.75</v>
      </c>
      <c r="G5329" s="3">
        <v>28007.9</v>
      </c>
    </row>
    <row r="5330" spans="1:7" x14ac:dyDescent="0.2">
      <c r="A5330" s="3" t="s">
        <v>1072</v>
      </c>
      <c r="B5330" s="4">
        <v>45322</v>
      </c>
      <c r="C5330" s="3" t="s">
        <v>1168</v>
      </c>
      <c r="D5330" s="3" t="s">
        <v>1458</v>
      </c>
      <c r="E5330" s="3" t="s">
        <v>1113</v>
      </c>
      <c r="F5330" s="3">
        <v>0</v>
      </c>
      <c r="G5330" s="3">
        <v>15075.35</v>
      </c>
    </row>
    <row r="5331" spans="1:7" x14ac:dyDescent="0.2">
      <c r="A5331" s="3" t="s">
        <v>1072</v>
      </c>
      <c r="B5331" s="4">
        <v>45322</v>
      </c>
      <c r="C5331" s="3" t="s">
        <v>1168</v>
      </c>
      <c r="D5331" s="3" t="s">
        <v>1459</v>
      </c>
      <c r="E5331" s="3" t="s">
        <v>1139</v>
      </c>
      <c r="F5331" s="3">
        <v>0</v>
      </c>
      <c r="G5331" s="3">
        <v>4562.1000000000004</v>
      </c>
    </row>
    <row r="5332" spans="1:7" x14ac:dyDescent="0.2">
      <c r="A5332" s="3" t="s">
        <v>1069</v>
      </c>
      <c r="B5332" s="4">
        <v>45322</v>
      </c>
      <c r="C5332" s="3" t="s">
        <v>1172</v>
      </c>
      <c r="D5332" s="3" t="s">
        <v>1173</v>
      </c>
      <c r="E5332" s="3" t="s">
        <v>1174</v>
      </c>
      <c r="F5332" s="3">
        <v>0</v>
      </c>
      <c r="G5332" s="3">
        <v>-100</v>
      </c>
    </row>
    <row r="5333" spans="1:7" x14ac:dyDescent="0.2">
      <c r="A5333" s="3" t="s">
        <v>1072</v>
      </c>
      <c r="B5333" s="4">
        <v>45322</v>
      </c>
      <c r="C5333" s="3" t="s">
        <v>1172</v>
      </c>
      <c r="D5333" s="3" t="s">
        <v>1382</v>
      </c>
      <c r="E5333" s="3" t="s">
        <v>1383</v>
      </c>
      <c r="F5333" s="3">
        <v>0</v>
      </c>
      <c r="G5333" s="3">
        <v>-120</v>
      </c>
    </row>
    <row r="5334" spans="1:7" x14ac:dyDescent="0.2">
      <c r="A5334" s="3" t="s">
        <v>1072</v>
      </c>
      <c r="B5334" s="4">
        <v>45322</v>
      </c>
      <c r="C5334" s="3" t="s">
        <v>1172</v>
      </c>
      <c r="D5334" s="3" t="s">
        <v>1384</v>
      </c>
      <c r="E5334" s="3" t="s">
        <v>1385</v>
      </c>
      <c r="F5334" s="3">
        <v>0</v>
      </c>
      <c r="G5334" s="3">
        <v>-296075.58</v>
      </c>
    </row>
    <row r="5335" spans="1:7" x14ac:dyDescent="0.2">
      <c r="A5335" s="3" t="s">
        <v>1069</v>
      </c>
      <c r="B5335" s="4">
        <v>45322</v>
      </c>
      <c r="C5335" s="3" t="s">
        <v>1172</v>
      </c>
      <c r="D5335" s="3" t="s">
        <v>1384</v>
      </c>
      <c r="E5335" s="3" t="s">
        <v>1385</v>
      </c>
      <c r="F5335" s="3">
        <v>0</v>
      </c>
      <c r="G5335" s="3">
        <v>-17843179.579999998</v>
      </c>
    </row>
    <row r="5336" spans="1:7" x14ac:dyDescent="0.2">
      <c r="A5336" s="3" t="s">
        <v>1074</v>
      </c>
      <c r="B5336" s="4">
        <v>45322</v>
      </c>
      <c r="C5336" s="3" t="s">
        <v>1172</v>
      </c>
      <c r="D5336" s="3" t="s">
        <v>1384</v>
      </c>
      <c r="E5336" s="3" t="s">
        <v>1385</v>
      </c>
      <c r="F5336" s="3">
        <v>0</v>
      </c>
      <c r="G5336" s="3">
        <v>70398.12</v>
      </c>
    </row>
    <row r="5337" spans="1:7" x14ac:dyDescent="0.2">
      <c r="A5337" s="3" t="s">
        <v>1069</v>
      </c>
      <c r="B5337" s="4">
        <v>45322</v>
      </c>
      <c r="C5337" s="3" t="s">
        <v>1180</v>
      </c>
      <c r="D5337" s="3" t="s">
        <v>1241</v>
      </c>
      <c r="E5337" s="3" t="s">
        <v>1242</v>
      </c>
      <c r="F5337" s="3">
        <v>0</v>
      </c>
      <c r="G5337" s="3">
        <v>17562360.850000001</v>
      </c>
    </row>
    <row r="5338" spans="1:7" x14ac:dyDescent="0.2">
      <c r="A5338" s="3" t="s">
        <v>1069</v>
      </c>
      <c r="B5338" s="4">
        <v>45322</v>
      </c>
      <c r="C5338" s="3" t="s">
        <v>1180</v>
      </c>
      <c r="D5338" s="3" t="s">
        <v>1733</v>
      </c>
      <c r="E5338" s="3" t="s">
        <v>1734</v>
      </c>
      <c r="F5338" s="3">
        <v>0</v>
      </c>
      <c r="G5338" s="3">
        <v>13457359</v>
      </c>
    </row>
    <row r="5339" spans="1:7" x14ac:dyDescent="0.2">
      <c r="A5339" s="3" t="s">
        <v>1072</v>
      </c>
      <c r="B5339" s="4">
        <v>45322</v>
      </c>
      <c r="C5339" s="3" t="s">
        <v>1180</v>
      </c>
      <c r="D5339" s="3" t="s">
        <v>1483</v>
      </c>
      <c r="E5339" s="3" t="s">
        <v>1177</v>
      </c>
      <c r="F5339" s="3">
        <v>1010000</v>
      </c>
      <c r="G5339" s="3">
        <v>-4057423.63</v>
      </c>
    </row>
    <row r="5340" spans="1:7" x14ac:dyDescent="0.2">
      <c r="A5340" s="3" t="s">
        <v>1072</v>
      </c>
      <c r="B5340" s="4">
        <v>45322</v>
      </c>
      <c r="C5340" s="3" t="s">
        <v>1180</v>
      </c>
      <c r="D5340" s="3" t="s">
        <v>1388</v>
      </c>
      <c r="E5340" s="3" t="s">
        <v>1389</v>
      </c>
      <c r="F5340" s="3">
        <v>0</v>
      </c>
      <c r="G5340" s="3">
        <v>-4342.5</v>
      </c>
    </row>
    <row r="5341" spans="1:7" x14ac:dyDescent="0.2">
      <c r="A5341" s="3" t="s">
        <v>1072</v>
      </c>
      <c r="B5341" s="4">
        <v>45322</v>
      </c>
      <c r="C5341" s="3" t="s">
        <v>1180</v>
      </c>
      <c r="D5341" s="3" t="s">
        <v>1723</v>
      </c>
      <c r="E5341" s="3" t="s">
        <v>1724</v>
      </c>
      <c r="F5341" s="3">
        <v>0</v>
      </c>
      <c r="G5341" s="3">
        <v>4702.3500000000004</v>
      </c>
    </row>
    <row r="5342" spans="1:7" x14ac:dyDescent="0.2">
      <c r="A5342" s="3" t="s">
        <v>1072</v>
      </c>
      <c r="B5342" s="4">
        <v>45322</v>
      </c>
      <c r="C5342" s="3" t="s">
        <v>1180</v>
      </c>
      <c r="D5342" s="3" t="s">
        <v>1390</v>
      </c>
      <c r="E5342" s="3" t="s">
        <v>1391</v>
      </c>
      <c r="F5342" s="3">
        <v>0</v>
      </c>
      <c r="G5342" s="3">
        <v>-1571000</v>
      </c>
    </row>
    <row r="5343" spans="1:7" x14ac:dyDescent="0.2">
      <c r="A5343" s="3" t="s">
        <v>1072</v>
      </c>
      <c r="B5343" s="4">
        <v>45322</v>
      </c>
      <c r="C5343" s="3" t="s">
        <v>1180</v>
      </c>
      <c r="D5343" s="3" t="s">
        <v>1392</v>
      </c>
      <c r="E5343" s="3" t="s">
        <v>1393</v>
      </c>
      <c r="F5343" s="3">
        <v>0</v>
      </c>
      <c r="G5343" s="3">
        <v>4342.5</v>
      </c>
    </row>
    <row r="5344" spans="1:7" x14ac:dyDescent="0.2">
      <c r="A5344" s="3" t="s">
        <v>1072</v>
      </c>
      <c r="B5344" s="4">
        <v>45322</v>
      </c>
      <c r="C5344" s="3" t="s">
        <v>1180</v>
      </c>
      <c r="D5344" s="3" t="s">
        <v>1394</v>
      </c>
      <c r="E5344" s="3" t="s">
        <v>1256</v>
      </c>
      <c r="F5344" s="3">
        <v>600</v>
      </c>
      <c r="G5344" s="3">
        <v>-18200</v>
      </c>
    </row>
    <row r="5345" spans="1:7" x14ac:dyDescent="0.2">
      <c r="A5345" s="3" t="s">
        <v>1072</v>
      </c>
      <c r="B5345" s="4">
        <v>45322</v>
      </c>
      <c r="C5345" s="3" t="s">
        <v>1180</v>
      </c>
      <c r="D5345" s="3" t="s">
        <v>1395</v>
      </c>
      <c r="E5345" s="3" t="s">
        <v>1396</v>
      </c>
      <c r="F5345" s="3">
        <v>-800000</v>
      </c>
      <c r="G5345" s="3">
        <v>-22774738.420000002</v>
      </c>
    </row>
    <row r="5346" spans="1:7" x14ac:dyDescent="0.2">
      <c r="A5346" s="3" t="s">
        <v>1072</v>
      </c>
      <c r="B5346" s="4">
        <v>45322</v>
      </c>
      <c r="C5346" s="3" t="s">
        <v>1180</v>
      </c>
      <c r="D5346" s="3" t="s">
        <v>1397</v>
      </c>
      <c r="E5346" s="3" t="s">
        <v>1398</v>
      </c>
      <c r="F5346" s="3">
        <v>600</v>
      </c>
      <c r="G5346" s="3">
        <v>-200789.44</v>
      </c>
    </row>
    <row r="5347" spans="1:7" x14ac:dyDescent="0.2">
      <c r="A5347" s="3" t="s">
        <v>1072</v>
      </c>
      <c r="B5347" s="4">
        <v>45322</v>
      </c>
      <c r="C5347" s="3" t="s">
        <v>1180</v>
      </c>
      <c r="D5347" s="3" t="s">
        <v>1512</v>
      </c>
      <c r="E5347" s="3" t="s">
        <v>1513</v>
      </c>
      <c r="F5347" s="3">
        <v>-1430000</v>
      </c>
      <c r="G5347" s="3">
        <v>24962687.399999999</v>
      </c>
    </row>
    <row r="5348" spans="1:7" x14ac:dyDescent="0.2">
      <c r="A5348" s="3" t="s">
        <v>1072</v>
      </c>
      <c r="B5348" s="4">
        <v>45322</v>
      </c>
      <c r="C5348" s="3" t="s">
        <v>1180</v>
      </c>
      <c r="D5348" s="3" t="s">
        <v>1399</v>
      </c>
      <c r="E5348" s="3" t="s">
        <v>1400</v>
      </c>
      <c r="F5348" s="3">
        <v>0</v>
      </c>
      <c r="G5348" s="3">
        <v>137399</v>
      </c>
    </row>
    <row r="5349" spans="1:7" x14ac:dyDescent="0.2">
      <c r="A5349" s="3" t="s">
        <v>1074</v>
      </c>
      <c r="B5349" s="4">
        <v>45322</v>
      </c>
      <c r="C5349" s="3" t="s">
        <v>1175</v>
      </c>
      <c r="D5349" s="3" t="s">
        <v>1492</v>
      </c>
      <c r="E5349" s="3" t="s">
        <v>1493</v>
      </c>
      <c r="F5349" s="3">
        <v>3512117.92</v>
      </c>
      <c r="G5349" s="3">
        <v>-56638123.020000003</v>
      </c>
    </row>
    <row r="5350" spans="1:7" x14ac:dyDescent="0.2">
      <c r="A5350" s="3" t="s">
        <v>1069</v>
      </c>
      <c r="B5350" s="4">
        <v>45322</v>
      </c>
      <c r="C5350" s="3" t="s">
        <v>1175</v>
      </c>
      <c r="D5350" s="3" t="s">
        <v>1178</v>
      </c>
      <c r="E5350" s="3" t="s">
        <v>1179</v>
      </c>
      <c r="F5350" s="3">
        <v>800000</v>
      </c>
      <c r="G5350" s="3">
        <v>22774738.420000002</v>
      </c>
    </row>
    <row r="5351" spans="1:7" x14ac:dyDescent="0.2">
      <c r="A5351" s="3" t="s">
        <v>1069</v>
      </c>
      <c r="B5351" s="4">
        <v>45322</v>
      </c>
      <c r="C5351" s="3" t="s">
        <v>1175</v>
      </c>
      <c r="D5351" s="3" t="s">
        <v>1233</v>
      </c>
      <c r="E5351" s="3" t="s">
        <v>1234</v>
      </c>
      <c r="F5351" s="3">
        <v>0</v>
      </c>
      <c r="G5351" s="3">
        <v>4094275</v>
      </c>
    </row>
    <row r="5352" spans="1:7" x14ac:dyDescent="0.2">
      <c r="A5352" s="3" t="s">
        <v>1069</v>
      </c>
      <c r="B5352" s="4">
        <v>45322</v>
      </c>
      <c r="C5352" s="3" t="s">
        <v>1175</v>
      </c>
      <c r="D5352" s="3" t="s">
        <v>1494</v>
      </c>
      <c r="E5352" s="3" t="s">
        <v>1495</v>
      </c>
      <c r="F5352" s="3">
        <v>-3512118.45</v>
      </c>
      <c r="G5352" s="3">
        <v>56636922.490000002</v>
      </c>
    </row>
    <row r="5353" spans="1:7" x14ac:dyDescent="0.2">
      <c r="A5353" s="3" t="s">
        <v>1069</v>
      </c>
      <c r="B5353" s="4">
        <v>45322</v>
      </c>
      <c r="C5353" s="3" t="s">
        <v>1175</v>
      </c>
      <c r="D5353" s="3" t="s">
        <v>1756</v>
      </c>
      <c r="E5353" s="3" t="s">
        <v>1757</v>
      </c>
      <c r="F5353" s="3">
        <v>10000</v>
      </c>
      <c r="G5353" s="3">
        <v>10000</v>
      </c>
    </row>
    <row r="5354" spans="1:7" x14ac:dyDescent="0.2">
      <c r="A5354" s="3" t="s">
        <v>1069</v>
      </c>
      <c r="B5354" s="4">
        <v>45322</v>
      </c>
      <c r="C5354" s="3" t="s">
        <v>1175</v>
      </c>
      <c r="D5354" s="3" t="s">
        <v>1516</v>
      </c>
      <c r="E5354" s="3" t="s">
        <v>1400</v>
      </c>
      <c r="F5354" s="3">
        <v>-10000</v>
      </c>
      <c r="G5354" s="3">
        <v>32100</v>
      </c>
    </row>
    <row r="5355" spans="1:7" x14ac:dyDescent="0.2">
      <c r="A5355" s="3" t="s">
        <v>1069</v>
      </c>
      <c r="B5355" s="4">
        <v>45322</v>
      </c>
      <c r="C5355" s="3" t="s">
        <v>1175</v>
      </c>
      <c r="D5355" s="3" t="s">
        <v>1738</v>
      </c>
      <c r="E5355" s="3" t="s">
        <v>1739</v>
      </c>
      <c r="F5355" s="3">
        <v>0</v>
      </c>
      <c r="G5355" s="3">
        <v>500</v>
      </c>
    </row>
    <row r="5356" spans="1:7" x14ac:dyDescent="0.2">
      <c r="A5356" s="3" t="s">
        <v>1069</v>
      </c>
      <c r="B5356" s="4">
        <v>45322</v>
      </c>
      <c r="C5356" s="3" t="s">
        <v>1180</v>
      </c>
      <c r="D5356" s="3" t="s">
        <v>1748</v>
      </c>
      <c r="E5356" s="3" t="s">
        <v>1749</v>
      </c>
      <c r="F5356" s="3">
        <v>0</v>
      </c>
      <c r="G5356" s="3">
        <v>1304260.8700000001</v>
      </c>
    </row>
    <row r="5357" spans="1:7" x14ac:dyDescent="0.2">
      <c r="A5357" s="3" t="s">
        <v>1069</v>
      </c>
      <c r="B5357" s="4">
        <v>45322</v>
      </c>
      <c r="C5357" s="3" t="s">
        <v>1180</v>
      </c>
      <c r="D5357" s="3" t="s">
        <v>1750</v>
      </c>
      <c r="E5357" s="3" t="s">
        <v>1751</v>
      </c>
      <c r="F5357" s="3">
        <v>0</v>
      </c>
      <c r="G5357" s="3">
        <v>1356434.78</v>
      </c>
    </row>
    <row r="5358" spans="1:7" x14ac:dyDescent="0.2">
      <c r="A5358" s="3" t="s">
        <v>1069</v>
      </c>
      <c r="B5358" s="4">
        <v>45322</v>
      </c>
      <c r="C5358" s="3" t="s">
        <v>1180</v>
      </c>
      <c r="D5358" s="3" t="s">
        <v>1752</v>
      </c>
      <c r="E5358" s="3" t="s">
        <v>1753</v>
      </c>
      <c r="F5358" s="3">
        <v>0</v>
      </c>
      <c r="G5358" s="3">
        <v>1373826.09</v>
      </c>
    </row>
    <row r="5359" spans="1:7" x14ac:dyDescent="0.2">
      <c r="A5359" s="3" t="s">
        <v>1069</v>
      </c>
      <c r="B5359" s="4">
        <v>45322</v>
      </c>
      <c r="C5359" s="3" t="s">
        <v>1180</v>
      </c>
      <c r="D5359" s="3" t="s">
        <v>1754</v>
      </c>
      <c r="E5359" s="3" t="s">
        <v>1755</v>
      </c>
      <c r="F5359" s="3">
        <v>0</v>
      </c>
      <c r="G5359" s="3">
        <v>1391217.39</v>
      </c>
    </row>
    <row r="5360" spans="1:7" x14ac:dyDescent="0.2">
      <c r="A5360" s="3" t="s">
        <v>1069</v>
      </c>
      <c r="B5360" s="4">
        <v>45322</v>
      </c>
      <c r="C5360" s="3" t="s">
        <v>1180</v>
      </c>
      <c r="D5360" s="3" t="s">
        <v>1740</v>
      </c>
      <c r="E5360" s="3" t="s">
        <v>1741</v>
      </c>
      <c r="F5360" s="3">
        <v>0</v>
      </c>
      <c r="G5360" s="3">
        <v>1304260.8700000001</v>
      </c>
    </row>
    <row r="5361" spans="1:7" x14ac:dyDescent="0.2">
      <c r="A5361" s="3" t="s">
        <v>1072</v>
      </c>
      <c r="B5361" s="4">
        <v>45322</v>
      </c>
      <c r="C5361" s="3" t="s">
        <v>1180</v>
      </c>
      <c r="D5361" s="3" t="s">
        <v>1409</v>
      </c>
      <c r="E5361" s="3" t="s">
        <v>1410</v>
      </c>
      <c r="F5361" s="3">
        <v>0</v>
      </c>
      <c r="G5361" s="3">
        <v>216064.1</v>
      </c>
    </row>
    <row r="5362" spans="1:7" x14ac:dyDescent="0.2">
      <c r="A5362" s="3" t="s">
        <v>1072</v>
      </c>
      <c r="B5362" s="4">
        <v>45322</v>
      </c>
      <c r="C5362" s="3" t="s">
        <v>1180</v>
      </c>
      <c r="D5362" s="3" t="s">
        <v>1411</v>
      </c>
      <c r="E5362" s="3" t="s">
        <v>1412</v>
      </c>
      <c r="F5362" s="3">
        <v>0</v>
      </c>
      <c r="G5362" s="3">
        <v>-216063.1</v>
      </c>
    </row>
    <row r="5363" spans="1:7" x14ac:dyDescent="0.2">
      <c r="A5363" s="3" t="s">
        <v>1072</v>
      </c>
      <c r="B5363" s="4">
        <v>45322</v>
      </c>
      <c r="C5363" s="3" t="s">
        <v>1180</v>
      </c>
      <c r="D5363" s="3" t="s">
        <v>1413</v>
      </c>
      <c r="E5363" s="3" t="s">
        <v>1414</v>
      </c>
      <c r="F5363" s="3">
        <v>0</v>
      </c>
      <c r="G5363" s="3">
        <v>178152.48</v>
      </c>
    </row>
    <row r="5364" spans="1:7" x14ac:dyDescent="0.2">
      <c r="A5364" s="3" t="s">
        <v>1072</v>
      </c>
      <c r="B5364" s="4">
        <v>45322</v>
      </c>
      <c r="C5364" s="3" t="s">
        <v>1180</v>
      </c>
      <c r="D5364" s="3" t="s">
        <v>1415</v>
      </c>
      <c r="E5364" s="3" t="s">
        <v>1416</v>
      </c>
      <c r="F5364" s="3">
        <v>-4562.87</v>
      </c>
      <c r="G5364" s="3">
        <v>-84735.74</v>
      </c>
    </row>
    <row r="5365" spans="1:7" x14ac:dyDescent="0.2">
      <c r="A5365" s="3" t="s">
        <v>1072</v>
      </c>
      <c r="B5365" s="4">
        <v>45322</v>
      </c>
      <c r="C5365" s="3" t="s">
        <v>1180</v>
      </c>
      <c r="D5365" s="3" t="s">
        <v>1462</v>
      </c>
      <c r="E5365" s="3" t="s">
        <v>1463</v>
      </c>
      <c r="F5365" s="3">
        <v>0</v>
      </c>
      <c r="G5365" s="3">
        <v>37955.300000000003</v>
      </c>
    </row>
    <row r="5366" spans="1:7" x14ac:dyDescent="0.2">
      <c r="A5366" s="3" t="s">
        <v>1072</v>
      </c>
      <c r="B5366" s="4">
        <v>45322</v>
      </c>
      <c r="C5366" s="3" t="s">
        <v>1180</v>
      </c>
      <c r="D5366" s="3" t="s">
        <v>1484</v>
      </c>
      <c r="E5366" s="3" t="s">
        <v>1485</v>
      </c>
      <c r="F5366" s="3">
        <v>-547.67999999999995</v>
      </c>
      <c r="G5366" s="3">
        <v>-11919</v>
      </c>
    </row>
    <row r="5367" spans="1:7" x14ac:dyDescent="0.2">
      <c r="A5367" s="3" t="s">
        <v>1072</v>
      </c>
      <c r="B5367" s="4">
        <v>45322</v>
      </c>
      <c r="C5367" s="3" t="s">
        <v>1180</v>
      </c>
      <c r="D5367" s="3" t="s">
        <v>1417</v>
      </c>
      <c r="E5367" s="3" t="s">
        <v>1418</v>
      </c>
      <c r="F5367" s="3">
        <v>0</v>
      </c>
      <c r="G5367" s="3">
        <v>71322</v>
      </c>
    </row>
    <row r="5368" spans="1:7" x14ac:dyDescent="0.2">
      <c r="A5368" s="3" t="s">
        <v>1072</v>
      </c>
      <c r="B5368" s="4">
        <v>45322</v>
      </c>
      <c r="C5368" s="3" t="s">
        <v>1180</v>
      </c>
      <c r="D5368" s="3" t="s">
        <v>1419</v>
      </c>
      <c r="E5368" s="3" t="s">
        <v>1420</v>
      </c>
      <c r="F5368" s="3">
        <v>-1188.71</v>
      </c>
      <c r="G5368" s="3">
        <v>-14210.53</v>
      </c>
    </row>
    <row r="5369" spans="1:7" x14ac:dyDescent="0.2">
      <c r="A5369" s="3" t="s">
        <v>1069</v>
      </c>
      <c r="B5369" s="4">
        <v>45322</v>
      </c>
      <c r="C5369" s="3" t="s">
        <v>1180</v>
      </c>
      <c r="D5369" s="3" t="s">
        <v>1421</v>
      </c>
      <c r="E5369" s="3" t="s">
        <v>1422</v>
      </c>
      <c r="F5369" s="3">
        <v>0</v>
      </c>
      <c r="G5369" s="3">
        <v>874505.75</v>
      </c>
    </row>
    <row r="5370" spans="1:7" x14ac:dyDescent="0.2">
      <c r="A5370" s="3" t="s">
        <v>1074</v>
      </c>
      <c r="B5370" s="4">
        <v>45322</v>
      </c>
      <c r="C5370" s="3" t="s">
        <v>1180</v>
      </c>
      <c r="D5370" s="3" t="s">
        <v>1421</v>
      </c>
      <c r="E5370" s="3" t="s">
        <v>1533</v>
      </c>
      <c r="F5370" s="3">
        <v>0</v>
      </c>
      <c r="G5370" s="3">
        <v>2472501.08</v>
      </c>
    </row>
    <row r="5371" spans="1:7" x14ac:dyDescent="0.2">
      <c r="A5371" s="3" t="s">
        <v>1069</v>
      </c>
      <c r="B5371" s="4">
        <v>45322</v>
      </c>
      <c r="C5371" s="3" t="s">
        <v>1180</v>
      </c>
      <c r="D5371" s="3" t="s">
        <v>1214</v>
      </c>
      <c r="E5371" s="3" t="s">
        <v>1215</v>
      </c>
      <c r="F5371" s="3">
        <v>0</v>
      </c>
      <c r="G5371" s="3">
        <v>26200000</v>
      </c>
    </row>
    <row r="5372" spans="1:7" x14ac:dyDescent="0.2">
      <c r="A5372" s="3" t="s">
        <v>1069</v>
      </c>
      <c r="B5372" s="4">
        <v>45322</v>
      </c>
      <c r="C5372" s="3" t="s">
        <v>1180</v>
      </c>
      <c r="D5372" s="3" t="s">
        <v>1216</v>
      </c>
      <c r="E5372" s="3" t="s">
        <v>1217</v>
      </c>
      <c r="F5372" s="3">
        <v>0</v>
      </c>
      <c r="G5372" s="3">
        <v>68427</v>
      </c>
    </row>
    <row r="5373" spans="1:7" x14ac:dyDescent="0.2">
      <c r="A5373" s="3" t="s">
        <v>1069</v>
      </c>
      <c r="B5373" s="4">
        <v>45322</v>
      </c>
      <c r="C5373" s="3" t="s">
        <v>1180</v>
      </c>
      <c r="D5373" s="3" t="s">
        <v>1218</v>
      </c>
      <c r="E5373" s="3" t="s">
        <v>1219</v>
      </c>
      <c r="F5373" s="3">
        <v>0</v>
      </c>
      <c r="G5373" s="3">
        <v>103812</v>
      </c>
    </row>
    <row r="5374" spans="1:7" x14ac:dyDescent="0.2">
      <c r="A5374" s="3" t="s">
        <v>1069</v>
      </c>
      <c r="B5374" s="4">
        <v>45322</v>
      </c>
      <c r="C5374" s="3" t="s">
        <v>1180</v>
      </c>
      <c r="D5374" s="3" t="s">
        <v>1197</v>
      </c>
      <c r="E5374" s="3" t="s">
        <v>1198</v>
      </c>
      <c r="F5374" s="3">
        <v>0</v>
      </c>
      <c r="G5374" s="3">
        <v>314087</v>
      </c>
    </row>
    <row r="5375" spans="1:7" x14ac:dyDescent="0.2">
      <c r="A5375" s="3" t="s">
        <v>1074</v>
      </c>
      <c r="B5375" s="4">
        <v>45322</v>
      </c>
      <c r="C5375" s="3" t="s">
        <v>1180</v>
      </c>
      <c r="D5375" s="3" t="s">
        <v>1197</v>
      </c>
      <c r="E5375" s="3" t="s">
        <v>1550</v>
      </c>
      <c r="F5375" s="3">
        <v>-82041.59</v>
      </c>
      <c r="G5375" s="3">
        <v>690236.91</v>
      </c>
    </row>
    <row r="5376" spans="1:7" x14ac:dyDescent="0.2">
      <c r="A5376" s="3" t="s">
        <v>1069</v>
      </c>
      <c r="B5376" s="4">
        <v>45322</v>
      </c>
      <c r="C5376" s="3" t="s">
        <v>1180</v>
      </c>
      <c r="D5376" s="3" t="s">
        <v>1496</v>
      </c>
      <c r="E5376" s="3" t="s">
        <v>1497</v>
      </c>
      <c r="F5376" s="3">
        <v>0</v>
      </c>
      <c r="G5376" s="3">
        <v>139500</v>
      </c>
    </row>
    <row r="5377" spans="1:7" x14ac:dyDescent="0.2">
      <c r="A5377" s="3" t="s">
        <v>1069</v>
      </c>
      <c r="B5377" s="4">
        <v>45322</v>
      </c>
      <c r="C5377" s="3" t="s">
        <v>1180</v>
      </c>
      <c r="D5377" s="3" t="s">
        <v>1181</v>
      </c>
      <c r="E5377" s="3" t="s">
        <v>1182</v>
      </c>
      <c r="F5377" s="3">
        <v>0</v>
      </c>
      <c r="G5377" s="3">
        <v>8557641.8000000007</v>
      </c>
    </row>
    <row r="5378" spans="1:7" x14ac:dyDescent="0.2">
      <c r="A5378" s="3" t="s">
        <v>1069</v>
      </c>
      <c r="B5378" s="4">
        <v>45322</v>
      </c>
      <c r="C5378" s="3" t="s">
        <v>1180</v>
      </c>
      <c r="D5378" s="3" t="s">
        <v>1263</v>
      </c>
      <c r="E5378" s="3" t="s">
        <v>1264</v>
      </c>
      <c r="F5378" s="3">
        <v>0</v>
      </c>
      <c r="G5378" s="3">
        <v>13807.78</v>
      </c>
    </row>
    <row r="5379" spans="1:7" x14ac:dyDescent="0.2">
      <c r="A5379" s="3" t="s">
        <v>1069</v>
      </c>
      <c r="B5379" s="4">
        <v>45322</v>
      </c>
      <c r="C5379" s="3" t="s">
        <v>1180</v>
      </c>
      <c r="D5379" s="3" t="s">
        <v>1202</v>
      </c>
      <c r="E5379" s="3" t="s">
        <v>1203</v>
      </c>
      <c r="F5379" s="3">
        <v>0</v>
      </c>
      <c r="G5379" s="3">
        <v>197060.09</v>
      </c>
    </row>
    <row r="5380" spans="1:7" x14ac:dyDescent="0.2">
      <c r="A5380" s="3" t="s">
        <v>1074</v>
      </c>
      <c r="B5380" s="4">
        <v>45322</v>
      </c>
      <c r="C5380" s="3" t="s">
        <v>1180</v>
      </c>
      <c r="D5380" s="3" t="s">
        <v>1202</v>
      </c>
      <c r="E5380" s="3" t="s">
        <v>1577</v>
      </c>
      <c r="F5380" s="3">
        <v>0</v>
      </c>
      <c r="G5380" s="3">
        <v>321942.46999999997</v>
      </c>
    </row>
    <row r="5381" spans="1:7" x14ac:dyDescent="0.2">
      <c r="A5381" s="3" t="s">
        <v>1069</v>
      </c>
      <c r="B5381" s="4">
        <v>45322</v>
      </c>
      <c r="C5381" s="3" t="s">
        <v>1180</v>
      </c>
      <c r="D5381" s="3" t="s">
        <v>1204</v>
      </c>
      <c r="E5381" s="3" t="s">
        <v>1205</v>
      </c>
      <c r="F5381" s="3">
        <v>0</v>
      </c>
      <c r="G5381" s="3">
        <v>7500</v>
      </c>
    </row>
    <row r="5382" spans="1:7" x14ac:dyDescent="0.2">
      <c r="A5382" s="3" t="s">
        <v>1074</v>
      </c>
      <c r="B5382" s="4">
        <v>45322</v>
      </c>
      <c r="C5382" s="3" t="s">
        <v>1180</v>
      </c>
      <c r="D5382" s="3" t="s">
        <v>1204</v>
      </c>
      <c r="E5382" s="3" t="s">
        <v>1673</v>
      </c>
      <c r="F5382" s="3">
        <v>0</v>
      </c>
      <c r="G5382" s="3">
        <v>114370.5</v>
      </c>
    </row>
    <row r="5383" spans="1:7" x14ac:dyDescent="0.2">
      <c r="A5383" s="3" t="s">
        <v>1069</v>
      </c>
      <c r="B5383" s="4">
        <v>45322</v>
      </c>
      <c r="C5383" s="3" t="s">
        <v>1180</v>
      </c>
      <c r="D5383" s="3" t="s">
        <v>1199</v>
      </c>
      <c r="E5383" s="3" t="s">
        <v>1200</v>
      </c>
      <c r="F5383" s="3">
        <v>0</v>
      </c>
      <c r="G5383" s="3">
        <v>146256.38</v>
      </c>
    </row>
    <row r="5384" spans="1:7" x14ac:dyDescent="0.2">
      <c r="A5384" s="3" t="s">
        <v>1069</v>
      </c>
      <c r="B5384" s="4">
        <v>45322</v>
      </c>
      <c r="C5384" s="3" t="s">
        <v>1180</v>
      </c>
      <c r="D5384" s="3" t="s">
        <v>1486</v>
      </c>
      <c r="E5384" s="3" t="s">
        <v>1487</v>
      </c>
      <c r="F5384" s="3">
        <v>0</v>
      </c>
      <c r="G5384" s="3">
        <v>20600</v>
      </c>
    </row>
    <row r="5385" spans="1:7" x14ac:dyDescent="0.2">
      <c r="A5385" s="3" t="s">
        <v>1069</v>
      </c>
      <c r="B5385" s="4">
        <v>45322</v>
      </c>
      <c r="C5385" s="3" t="s">
        <v>1180</v>
      </c>
      <c r="D5385" s="3" t="s">
        <v>1220</v>
      </c>
      <c r="E5385" s="3" t="s">
        <v>1221</v>
      </c>
      <c r="F5385" s="3">
        <v>0</v>
      </c>
      <c r="G5385" s="3">
        <v>15175</v>
      </c>
    </row>
    <row r="5386" spans="1:7" x14ac:dyDescent="0.2">
      <c r="A5386" s="3" t="s">
        <v>1069</v>
      </c>
      <c r="B5386" s="4">
        <v>45322</v>
      </c>
      <c r="C5386" s="3" t="s">
        <v>1180</v>
      </c>
      <c r="D5386" s="3" t="s">
        <v>1498</v>
      </c>
      <c r="E5386" s="3" t="s">
        <v>1499</v>
      </c>
      <c r="F5386" s="3">
        <v>0</v>
      </c>
      <c r="G5386" s="3">
        <v>570856.07999999996</v>
      </c>
    </row>
    <row r="5387" spans="1:7" x14ac:dyDescent="0.2">
      <c r="A5387" s="3" t="s">
        <v>1069</v>
      </c>
      <c r="B5387" s="4">
        <v>45322</v>
      </c>
      <c r="C5387" s="3" t="s">
        <v>1180</v>
      </c>
      <c r="D5387" s="3" t="s">
        <v>1183</v>
      </c>
      <c r="E5387" s="3" t="s">
        <v>1184</v>
      </c>
      <c r="F5387" s="3">
        <v>0</v>
      </c>
      <c r="G5387" s="3">
        <v>47748851.509999998</v>
      </c>
    </row>
    <row r="5388" spans="1:7" x14ac:dyDescent="0.2">
      <c r="A5388" s="3" t="s">
        <v>1074</v>
      </c>
      <c r="B5388" s="4">
        <v>45322</v>
      </c>
      <c r="C5388" s="3" t="s">
        <v>1180</v>
      </c>
      <c r="D5388" s="3" t="s">
        <v>1183</v>
      </c>
      <c r="E5388" s="3" t="s">
        <v>1631</v>
      </c>
      <c r="F5388" s="3">
        <v>4442252.29</v>
      </c>
      <c r="G5388" s="3">
        <v>44104051.780000001</v>
      </c>
    </row>
    <row r="5389" spans="1:7" x14ac:dyDescent="0.2">
      <c r="A5389" s="3" t="s">
        <v>1069</v>
      </c>
      <c r="B5389" s="4">
        <v>45322</v>
      </c>
      <c r="C5389" s="3" t="s">
        <v>1180</v>
      </c>
      <c r="D5389" s="3" t="s">
        <v>1222</v>
      </c>
      <c r="E5389" s="3" t="s">
        <v>1223</v>
      </c>
      <c r="F5389" s="3">
        <v>0</v>
      </c>
      <c r="G5389" s="3">
        <v>3850818.04</v>
      </c>
    </row>
    <row r="5390" spans="1:7" x14ac:dyDescent="0.2">
      <c r="A5390" s="3" t="s">
        <v>1074</v>
      </c>
      <c r="B5390" s="4">
        <v>45322</v>
      </c>
      <c r="C5390" s="3" t="s">
        <v>1180</v>
      </c>
      <c r="D5390" s="3" t="s">
        <v>1222</v>
      </c>
      <c r="E5390" s="3" t="s">
        <v>1664</v>
      </c>
      <c r="F5390" s="3">
        <v>0</v>
      </c>
      <c r="G5390" s="3">
        <v>1826086.96</v>
      </c>
    </row>
    <row r="5391" spans="1:7" x14ac:dyDescent="0.2">
      <c r="A5391" s="3" t="s">
        <v>1069</v>
      </c>
      <c r="B5391" s="4">
        <v>45322</v>
      </c>
      <c r="C5391" s="3" t="s">
        <v>1180</v>
      </c>
      <c r="D5391" s="3" t="s">
        <v>1235</v>
      </c>
      <c r="E5391" s="3" t="s">
        <v>1236</v>
      </c>
      <c r="F5391" s="3">
        <v>0</v>
      </c>
      <c r="G5391" s="3">
        <v>782608.07</v>
      </c>
    </row>
    <row r="5392" spans="1:7" x14ac:dyDescent="0.2">
      <c r="A5392" s="3" t="s">
        <v>1074</v>
      </c>
      <c r="B5392" s="4">
        <v>45322</v>
      </c>
      <c r="C5392" s="3" t="s">
        <v>1180</v>
      </c>
      <c r="D5392" s="3" t="s">
        <v>1235</v>
      </c>
      <c r="E5392" s="3" t="s">
        <v>1715</v>
      </c>
      <c r="F5392" s="3">
        <v>0</v>
      </c>
      <c r="G5392" s="3">
        <v>217391.3</v>
      </c>
    </row>
    <row r="5393" spans="1:7" x14ac:dyDescent="0.2">
      <c r="A5393" s="3" t="s">
        <v>1069</v>
      </c>
      <c r="B5393" s="4">
        <v>45322</v>
      </c>
      <c r="C5393" s="3" t="s">
        <v>1180</v>
      </c>
      <c r="D5393" s="3" t="s">
        <v>1206</v>
      </c>
      <c r="E5393" s="3" t="s">
        <v>1207</v>
      </c>
      <c r="F5393" s="3">
        <v>0</v>
      </c>
      <c r="G5393" s="3">
        <v>166550</v>
      </c>
    </row>
    <row r="5394" spans="1:7" x14ac:dyDescent="0.2">
      <c r="A5394" s="3" t="s">
        <v>1074</v>
      </c>
      <c r="B5394" s="4">
        <v>45322</v>
      </c>
      <c r="C5394" s="3" t="s">
        <v>1180</v>
      </c>
      <c r="D5394" s="3" t="s">
        <v>1206</v>
      </c>
      <c r="E5394" s="3" t="s">
        <v>1697</v>
      </c>
      <c r="F5394" s="3">
        <v>0</v>
      </c>
      <c r="G5394" s="3">
        <v>2834.7</v>
      </c>
    </row>
    <row r="5395" spans="1:7" x14ac:dyDescent="0.2">
      <c r="A5395" s="3" t="s">
        <v>1069</v>
      </c>
      <c r="B5395" s="4">
        <v>45322</v>
      </c>
      <c r="C5395" s="3" t="s">
        <v>1180</v>
      </c>
      <c r="D5395" s="3" t="s">
        <v>1208</v>
      </c>
      <c r="E5395" s="3" t="s">
        <v>1209</v>
      </c>
      <c r="F5395" s="3">
        <v>0</v>
      </c>
      <c r="G5395" s="3">
        <v>45000</v>
      </c>
    </row>
    <row r="5396" spans="1:7" x14ac:dyDescent="0.2">
      <c r="A5396" s="3" t="s">
        <v>1069</v>
      </c>
      <c r="B5396" s="4">
        <v>45322</v>
      </c>
      <c r="C5396" s="3" t="s">
        <v>1180</v>
      </c>
      <c r="D5396" s="3" t="s">
        <v>1259</v>
      </c>
      <c r="E5396" s="3" t="s">
        <v>1260</v>
      </c>
      <c r="F5396" s="3">
        <v>6000</v>
      </c>
      <c r="G5396" s="3">
        <v>197000</v>
      </c>
    </row>
    <row r="5397" spans="1:7" x14ac:dyDescent="0.2">
      <c r="A5397" s="3" t="s">
        <v>1074</v>
      </c>
      <c r="B5397" s="4">
        <v>45322</v>
      </c>
      <c r="C5397" s="3" t="s">
        <v>1180</v>
      </c>
      <c r="D5397" s="3" t="s">
        <v>1674</v>
      </c>
      <c r="E5397" s="3" t="s">
        <v>1675</v>
      </c>
      <c r="F5397" s="3">
        <v>0</v>
      </c>
      <c r="G5397" s="3">
        <v>666877.14</v>
      </c>
    </row>
    <row r="5398" spans="1:7" x14ac:dyDescent="0.2">
      <c r="A5398" s="3" t="s">
        <v>1074</v>
      </c>
      <c r="B5398" s="4">
        <v>45322</v>
      </c>
      <c r="C5398" s="3" t="s">
        <v>1180</v>
      </c>
      <c r="D5398" s="3" t="s">
        <v>1578</v>
      </c>
      <c r="E5398" s="3" t="s">
        <v>1579</v>
      </c>
      <c r="F5398" s="3">
        <v>0</v>
      </c>
      <c r="G5398" s="3">
        <v>66190.11</v>
      </c>
    </row>
    <row r="5399" spans="1:7" x14ac:dyDescent="0.2">
      <c r="A5399" s="3" t="s">
        <v>1069</v>
      </c>
      <c r="B5399" s="4">
        <v>45322</v>
      </c>
      <c r="C5399" s="3" t="s">
        <v>1180</v>
      </c>
      <c r="D5399" s="3" t="s">
        <v>1265</v>
      </c>
      <c r="E5399" s="3" t="s">
        <v>1266</v>
      </c>
      <c r="F5399" s="3">
        <v>0</v>
      </c>
      <c r="G5399" s="3">
        <v>3252759.95</v>
      </c>
    </row>
    <row r="5400" spans="1:7" x14ac:dyDescent="0.2">
      <c r="A5400" s="3" t="s">
        <v>1074</v>
      </c>
      <c r="B5400" s="4">
        <v>45322</v>
      </c>
      <c r="C5400" s="3" t="s">
        <v>1180</v>
      </c>
      <c r="D5400" s="3" t="s">
        <v>1265</v>
      </c>
      <c r="E5400" s="3" t="s">
        <v>1518</v>
      </c>
      <c r="F5400" s="3">
        <v>0</v>
      </c>
      <c r="G5400" s="3">
        <v>1673231.19</v>
      </c>
    </row>
    <row r="5401" spans="1:7" x14ac:dyDescent="0.2">
      <c r="A5401" s="3" t="s">
        <v>1069</v>
      </c>
      <c r="B5401" s="4">
        <v>45322</v>
      </c>
      <c r="C5401" s="3" t="s">
        <v>1180</v>
      </c>
      <c r="D5401" s="3" t="s">
        <v>1423</v>
      </c>
      <c r="E5401" s="3" t="s">
        <v>1424</v>
      </c>
      <c r="F5401" s="3">
        <v>0</v>
      </c>
      <c r="G5401" s="3">
        <v>622274.51</v>
      </c>
    </row>
    <row r="5402" spans="1:7" x14ac:dyDescent="0.2">
      <c r="A5402" s="3" t="s">
        <v>1074</v>
      </c>
      <c r="B5402" s="4">
        <v>45322</v>
      </c>
      <c r="C5402" s="3" t="s">
        <v>1180</v>
      </c>
      <c r="D5402" s="3" t="s">
        <v>1519</v>
      </c>
      <c r="E5402" s="3" t="s">
        <v>1551</v>
      </c>
      <c r="F5402" s="3">
        <v>0</v>
      </c>
      <c r="G5402" s="3">
        <v>76530</v>
      </c>
    </row>
    <row r="5403" spans="1:7" x14ac:dyDescent="0.2">
      <c r="A5403" s="3" t="s">
        <v>1069</v>
      </c>
      <c r="B5403" s="4">
        <v>45322</v>
      </c>
      <c r="C5403" s="3" t="s">
        <v>1180</v>
      </c>
      <c r="D5403" s="3" t="s">
        <v>1519</v>
      </c>
      <c r="E5403" s="3" t="s">
        <v>1520</v>
      </c>
      <c r="F5403" s="3">
        <v>0</v>
      </c>
      <c r="G5403" s="3">
        <v>985049.68</v>
      </c>
    </row>
    <row r="5404" spans="1:7" x14ac:dyDescent="0.2">
      <c r="A5404" s="3" t="s">
        <v>1074</v>
      </c>
      <c r="B5404" s="4">
        <v>45322</v>
      </c>
      <c r="C5404" s="3" t="s">
        <v>1180</v>
      </c>
      <c r="D5404" s="3" t="s">
        <v>1521</v>
      </c>
      <c r="E5404" s="3" t="s">
        <v>1522</v>
      </c>
      <c r="F5404" s="3">
        <v>1400</v>
      </c>
      <c r="G5404" s="3">
        <v>28600</v>
      </c>
    </row>
    <row r="5405" spans="1:7" x14ac:dyDescent="0.2">
      <c r="A5405" s="3" t="s">
        <v>1074</v>
      </c>
      <c r="B5405" s="4">
        <v>45322</v>
      </c>
      <c r="C5405" s="3" t="s">
        <v>1180</v>
      </c>
      <c r="D5405" s="3" t="s">
        <v>1534</v>
      </c>
      <c r="E5405" s="3" t="s">
        <v>1535</v>
      </c>
      <c r="F5405" s="3">
        <v>204347.83</v>
      </c>
      <c r="G5405" s="3">
        <v>2358695.65</v>
      </c>
    </row>
    <row r="5406" spans="1:7" x14ac:dyDescent="0.2">
      <c r="A5406" s="3" t="s">
        <v>1074</v>
      </c>
      <c r="B5406" s="4">
        <v>45322</v>
      </c>
      <c r="C5406" s="3" t="s">
        <v>1180</v>
      </c>
      <c r="D5406" s="3" t="s">
        <v>1610</v>
      </c>
      <c r="E5406" s="3" t="s">
        <v>1611</v>
      </c>
      <c r="F5406" s="3">
        <v>0</v>
      </c>
      <c r="G5406" s="3">
        <v>1540502.11</v>
      </c>
    </row>
    <row r="5407" spans="1:7" x14ac:dyDescent="0.2">
      <c r="A5407" s="3" t="s">
        <v>1074</v>
      </c>
      <c r="B5407" s="4">
        <v>45322</v>
      </c>
      <c r="C5407" s="3" t="s">
        <v>1180</v>
      </c>
      <c r="D5407" s="3" t="s">
        <v>1653</v>
      </c>
      <c r="E5407" s="3" t="s">
        <v>1654</v>
      </c>
      <c r="F5407" s="3">
        <v>0</v>
      </c>
      <c r="G5407" s="3">
        <v>16307183.050000001</v>
      </c>
    </row>
    <row r="5408" spans="1:7" x14ac:dyDescent="0.2">
      <c r="A5408" s="3" t="s">
        <v>1069</v>
      </c>
      <c r="B5408" s="4">
        <v>45322</v>
      </c>
      <c r="C5408" s="3" t="s">
        <v>1180</v>
      </c>
      <c r="D5408" s="3" t="s">
        <v>1536</v>
      </c>
      <c r="E5408" s="3" t="s">
        <v>1537</v>
      </c>
      <c r="F5408" s="3">
        <v>0</v>
      </c>
      <c r="G5408" s="3">
        <v>2148883.15</v>
      </c>
    </row>
    <row r="5409" spans="1:7" x14ac:dyDescent="0.2">
      <c r="A5409" s="3" t="s">
        <v>1069</v>
      </c>
      <c r="B5409" s="4">
        <v>45322</v>
      </c>
      <c r="C5409" s="3" t="s">
        <v>1180</v>
      </c>
      <c r="D5409" s="3" t="s">
        <v>1665</v>
      </c>
      <c r="E5409" s="3" t="s">
        <v>1666</v>
      </c>
      <c r="F5409" s="3">
        <v>0</v>
      </c>
      <c r="G5409" s="3">
        <v>1068455</v>
      </c>
    </row>
    <row r="5410" spans="1:7" x14ac:dyDescent="0.2">
      <c r="A5410" s="3" t="s">
        <v>1074</v>
      </c>
      <c r="B5410" s="4">
        <v>45322</v>
      </c>
      <c r="C5410" s="3" t="s">
        <v>1180</v>
      </c>
      <c r="D5410" s="3" t="s">
        <v>1665</v>
      </c>
      <c r="E5410" s="3" t="s">
        <v>1716</v>
      </c>
      <c r="F5410" s="3">
        <v>0</v>
      </c>
      <c r="G5410" s="3">
        <v>2188325.96</v>
      </c>
    </row>
    <row r="5411" spans="1:7" x14ac:dyDescent="0.2">
      <c r="A5411" s="3" t="s">
        <v>1069</v>
      </c>
      <c r="B5411" s="4">
        <v>45322</v>
      </c>
      <c r="C5411" s="3" t="s">
        <v>1180</v>
      </c>
      <c r="D5411" s="3" t="s">
        <v>1655</v>
      </c>
      <c r="E5411" s="3" t="s">
        <v>1656</v>
      </c>
      <c r="F5411" s="3">
        <v>0</v>
      </c>
      <c r="G5411" s="3">
        <v>-24427668.440000001</v>
      </c>
    </row>
    <row r="5412" spans="1:7" x14ac:dyDescent="0.2">
      <c r="A5412" s="3" t="s">
        <v>1072</v>
      </c>
      <c r="B5412" s="4">
        <v>45322</v>
      </c>
      <c r="C5412" s="3" t="s">
        <v>1180</v>
      </c>
      <c r="D5412" s="3" t="s">
        <v>1425</v>
      </c>
      <c r="E5412" s="3" t="s">
        <v>1426</v>
      </c>
      <c r="F5412" s="3">
        <v>0</v>
      </c>
      <c r="G5412" s="3">
        <v>29600</v>
      </c>
    </row>
    <row r="5413" spans="1:7" x14ac:dyDescent="0.2">
      <c r="A5413" s="3" t="s">
        <v>1072</v>
      </c>
      <c r="B5413" s="4">
        <v>45322</v>
      </c>
      <c r="C5413" s="3" t="s">
        <v>1180</v>
      </c>
      <c r="D5413" s="3" t="s">
        <v>1427</v>
      </c>
      <c r="E5413" s="3" t="s">
        <v>1428</v>
      </c>
      <c r="F5413" s="3">
        <v>2308590.13</v>
      </c>
      <c r="G5413" s="3">
        <v>5424127.7400000002</v>
      </c>
    </row>
    <row r="5414" spans="1:7" x14ac:dyDescent="0.2">
      <c r="A5414" s="3" t="s">
        <v>1069</v>
      </c>
      <c r="B5414" s="4">
        <v>45322</v>
      </c>
      <c r="C5414" s="3" t="s">
        <v>1180</v>
      </c>
      <c r="D5414" s="3" t="s">
        <v>1427</v>
      </c>
      <c r="E5414" s="3" t="s">
        <v>1428</v>
      </c>
      <c r="F5414" s="3">
        <v>1695.67</v>
      </c>
      <c r="G5414" s="3">
        <v>371025.69</v>
      </c>
    </row>
    <row r="5415" spans="1:7" x14ac:dyDescent="0.2">
      <c r="A5415" s="3" t="s">
        <v>1074</v>
      </c>
      <c r="B5415" s="4">
        <v>45322</v>
      </c>
      <c r="C5415" s="3" t="s">
        <v>1180</v>
      </c>
      <c r="D5415" s="3" t="s">
        <v>1427</v>
      </c>
      <c r="E5415" s="3" t="s">
        <v>1428</v>
      </c>
      <c r="F5415" s="3">
        <v>77.05</v>
      </c>
      <c r="G5415" s="3">
        <v>309.74</v>
      </c>
    </row>
    <row r="5416" spans="1:7" x14ac:dyDescent="0.2">
      <c r="A5416" s="3" t="s">
        <v>1072</v>
      </c>
      <c r="B5416" s="4">
        <v>45322</v>
      </c>
      <c r="C5416" s="3" t="s">
        <v>1180</v>
      </c>
      <c r="D5416" s="3" t="s">
        <v>1742</v>
      </c>
      <c r="E5416" s="3" t="s">
        <v>1743</v>
      </c>
      <c r="F5416" s="3">
        <v>-1755.17</v>
      </c>
      <c r="G5416" s="3">
        <v>-3510.34</v>
      </c>
    </row>
    <row r="5417" spans="1:7" x14ac:dyDescent="0.2">
      <c r="A5417" s="3" t="s">
        <v>1069</v>
      </c>
      <c r="B5417" s="4">
        <v>45322</v>
      </c>
      <c r="C5417" s="3" t="s">
        <v>1180</v>
      </c>
      <c r="D5417" s="3" t="s">
        <v>1187</v>
      </c>
      <c r="E5417" s="3" t="s">
        <v>1188</v>
      </c>
      <c r="F5417" s="3">
        <v>3099673.61</v>
      </c>
      <c r="G5417" s="3">
        <v>3193068.99</v>
      </c>
    </row>
    <row r="5418" spans="1:7" x14ac:dyDescent="0.2">
      <c r="A5418" s="3" t="s">
        <v>1072</v>
      </c>
      <c r="B5418" s="4">
        <v>45322</v>
      </c>
      <c r="C5418" s="3" t="s">
        <v>1180</v>
      </c>
      <c r="D5418" s="3" t="s">
        <v>1187</v>
      </c>
      <c r="E5418" s="3" t="s">
        <v>1433</v>
      </c>
      <c r="F5418" s="3">
        <v>335026.51</v>
      </c>
      <c r="G5418" s="3">
        <v>367902.47</v>
      </c>
    </row>
    <row r="5419" spans="1:7" x14ac:dyDescent="0.2">
      <c r="A5419" s="3" t="s">
        <v>1072</v>
      </c>
      <c r="B5419" s="4">
        <v>45322</v>
      </c>
      <c r="C5419" s="3" t="s">
        <v>1180</v>
      </c>
      <c r="D5419" s="3" t="s">
        <v>1189</v>
      </c>
      <c r="E5419" s="3" t="s">
        <v>1434</v>
      </c>
      <c r="F5419" s="3">
        <v>0</v>
      </c>
      <c r="G5419" s="3">
        <v>-1188</v>
      </c>
    </row>
    <row r="5420" spans="1:7" x14ac:dyDescent="0.2">
      <c r="A5420" s="3" t="s">
        <v>1072</v>
      </c>
      <c r="B5420" s="4">
        <v>45322</v>
      </c>
      <c r="C5420" s="3" t="s">
        <v>1180</v>
      </c>
      <c r="D5420" s="3" t="s">
        <v>1435</v>
      </c>
      <c r="E5420" s="3" t="s">
        <v>1436</v>
      </c>
      <c r="F5420" s="3">
        <v>0</v>
      </c>
      <c r="G5420" s="3">
        <v>571.54999999999995</v>
      </c>
    </row>
    <row r="5421" spans="1:7" x14ac:dyDescent="0.2">
      <c r="A5421" s="3" t="s">
        <v>1069</v>
      </c>
      <c r="B5421" s="4">
        <v>45322</v>
      </c>
      <c r="C5421" s="3" t="s">
        <v>1180</v>
      </c>
      <c r="D5421" s="3" t="s">
        <v>1435</v>
      </c>
      <c r="E5421" s="3" t="s">
        <v>1434</v>
      </c>
      <c r="F5421" s="3">
        <v>0</v>
      </c>
      <c r="G5421" s="3">
        <v>8620</v>
      </c>
    </row>
    <row r="5422" spans="1:7" x14ac:dyDescent="0.2">
      <c r="A5422" s="3" t="s">
        <v>1069</v>
      </c>
      <c r="B5422" s="4">
        <v>45322</v>
      </c>
      <c r="C5422" s="3" t="s">
        <v>1180</v>
      </c>
      <c r="D5422" s="3" t="s">
        <v>1243</v>
      </c>
      <c r="E5422" s="3" t="s">
        <v>1244</v>
      </c>
      <c r="F5422" s="3">
        <v>0</v>
      </c>
      <c r="G5422" s="3">
        <v>871.91</v>
      </c>
    </row>
    <row r="5423" spans="1:7" x14ac:dyDescent="0.2">
      <c r="A5423" s="3" t="s">
        <v>1069</v>
      </c>
      <c r="B5423" s="4">
        <v>45322</v>
      </c>
      <c r="C5423" s="3" t="s">
        <v>1180</v>
      </c>
      <c r="D5423" s="3" t="s">
        <v>1245</v>
      </c>
      <c r="E5423" s="3" t="s">
        <v>1246</v>
      </c>
      <c r="F5423" s="3">
        <v>-5132986.59</v>
      </c>
      <c r="G5423" s="3">
        <v>12614876.369999999</v>
      </c>
    </row>
    <row r="5424" spans="1:7" x14ac:dyDescent="0.2">
      <c r="A5424" s="3" t="s">
        <v>1069</v>
      </c>
      <c r="B5424" s="4">
        <v>45322</v>
      </c>
      <c r="C5424" s="3" t="s">
        <v>1180</v>
      </c>
      <c r="D5424" s="3" t="s">
        <v>1727</v>
      </c>
      <c r="E5424" s="3" t="s">
        <v>1728</v>
      </c>
      <c r="F5424" s="3">
        <v>150000</v>
      </c>
      <c r="G5424" s="3">
        <v>150500</v>
      </c>
    </row>
    <row r="5425" spans="1:7" x14ac:dyDescent="0.2">
      <c r="A5425" s="3" t="s">
        <v>1072</v>
      </c>
      <c r="B5425" s="4">
        <v>45322</v>
      </c>
      <c r="C5425" s="3" t="s">
        <v>1175</v>
      </c>
      <c r="D5425" s="3" t="s">
        <v>1437</v>
      </c>
      <c r="E5425" s="3" t="s">
        <v>1438</v>
      </c>
      <c r="F5425" s="3">
        <v>0.27</v>
      </c>
      <c r="G5425" s="3">
        <v>-0.55000000000000004</v>
      </c>
    </row>
    <row r="5426" spans="1:7" x14ac:dyDescent="0.2">
      <c r="A5426" s="3" t="s">
        <v>1069</v>
      </c>
      <c r="B5426" s="4">
        <v>45322</v>
      </c>
      <c r="C5426" s="3" t="s">
        <v>1175</v>
      </c>
      <c r="D5426" s="3" t="s">
        <v>1437</v>
      </c>
      <c r="E5426" s="3" t="s">
        <v>1438</v>
      </c>
      <c r="F5426" s="3">
        <v>-0.1</v>
      </c>
      <c r="G5426" s="3">
        <v>0.04</v>
      </c>
    </row>
    <row r="5427" spans="1:7" x14ac:dyDescent="0.2">
      <c r="A5427" s="3" t="s">
        <v>1074</v>
      </c>
      <c r="B5427" s="4">
        <v>45322</v>
      </c>
      <c r="C5427" s="3" t="s">
        <v>1175</v>
      </c>
      <c r="D5427" s="3" t="s">
        <v>1437</v>
      </c>
      <c r="E5427" s="3" t="s">
        <v>1438</v>
      </c>
      <c r="F5427" s="3">
        <v>0</v>
      </c>
      <c r="G5427" s="3">
        <v>-0.03</v>
      </c>
    </row>
    <row r="5428" spans="1:7" x14ac:dyDescent="0.2">
      <c r="A5428" s="3" t="s">
        <v>1072</v>
      </c>
      <c r="B5428" s="4">
        <v>45322</v>
      </c>
      <c r="C5428" s="3" t="s">
        <v>1175</v>
      </c>
      <c r="D5428" s="3" t="s">
        <v>1191</v>
      </c>
      <c r="E5428" s="3" t="s">
        <v>1192</v>
      </c>
      <c r="F5428" s="3">
        <v>-539720.01</v>
      </c>
      <c r="G5428" s="3">
        <v>-1010591.94</v>
      </c>
    </row>
    <row r="5429" spans="1:7" x14ac:dyDescent="0.2">
      <c r="A5429" s="3" t="s">
        <v>1069</v>
      </c>
      <c r="B5429" s="4">
        <v>45322</v>
      </c>
      <c r="C5429" s="3" t="s">
        <v>1175</v>
      </c>
      <c r="D5429" s="3" t="s">
        <v>1191</v>
      </c>
      <c r="E5429" s="3" t="s">
        <v>1192</v>
      </c>
      <c r="F5429" s="3">
        <v>4683510.1399999997</v>
      </c>
      <c r="G5429" s="3">
        <v>-168369943.99000001</v>
      </c>
    </row>
    <row r="5430" spans="1:7" x14ac:dyDescent="0.2">
      <c r="A5430" s="3" t="s">
        <v>1074</v>
      </c>
      <c r="B5430" s="4">
        <v>45322</v>
      </c>
      <c r="C5430" s="3" t="s">
        <v>1175</v>
      </c>
      <c r="D5430" s="3" t="s">
        <v>1191</v>
      </c>
      <c r="E5430" s="3" t="s">
        <v>1192</v>
      </c>
      <c r="F5430" s="3">
        <v>-2700103.19</v>
      </c>
      <c r="G5430" s="3">
        <v>-1747584.15</v>
      </c>
    </row>
    <row r="5431" spans="1:7" x14ac:dyDescent="0.2">
      <c r="A5431" s="3" t="s">
        <v>1072</v>
      </c>
      <c r="B5431" s="4">
        <v>45322</v>
      </c>
      <c r="C5431" s="3" t="s">
        <v>1175</v>
      </c>
      <c r="D5431" s="3" t="s">
        <v>1488</v>
      </c>
      <c r="E5431" s="3" t="s">
        <v>1489</v>
      </c>
      <c r="F5431" s="3">
        <v>0</v>
      </c>
      <c r="G5431" s="3">
        <v>1309</v>
      </c>
    </row>
    <row r="5432" spans="1:7" x14ac:dyDescent="0.2">
      <c r="A5432" s="3" t="s">
        <v>1072</v>
      </c>
      <c r="B5432" s="4">
        <v>45322</v>
      </c>
      <c r="C5432" s="3" t="s">
        <v>1175</v>
      </c>
      <c r="D5432" s="3" t="s">
        <v>1439</v>
      </c>
      <c r="E5432" s="3" t="s">
        <v>1440</v>
      </c>
      <c r="F5432" s="3">
        <v>-1755.17</v>
      </c>
      <c r="G5432" s="3">
        <v>0</v>
      </c>
    </row>
    <row r="5433" spans="1:7" x14ac:dyDescent="0.2">
      <c r="A5433" s="3" t="s">
        <v>1072</v>
      </c>
      <c r="B5433" s="4">
        <v>45322</v>
      </c>
      <c r="C5433" s="3" t="s">
        <v>1175</v>
      </c>
      <c r="D5433" s="3" t="s">
        <v>1441</v>
      </c>
      <c r="E5433" s="3" t="s">
        <v>1442</v>
      </c>
      <c r="F5433" s="3">
        <v>6664.04</v>
      </c>
      <c r="G5433" s="3">
        <v>-107008.04</v>
      </c>
    </row>
    <row r="5434" spans="1:7" x14ac:dyDescent="0.2">
      <c r="A5434" s="3" t="s">
        <v>1072</v>
      </c>
      <c r="B5434" s="4">
        <v>45322</v>
      </c>
      <c r="C5434" s="3" t="s">
        <v>1175</v>
      </c>
      <c r="D5434" s="3" t="s">
        <v>1464</v>
      </c>
      <c r="E5434" s="3" t="s">
        <v>1465</v>
      </c>
      <c r="F5434" s="3">
        <v>0</v>
      </c>
      <c r="G5434" s="3">
        <v>-49413.95</v>
      </c>
    </row>
    <row r="5435" spans="1:7" x14ac:dyDescent="0.2">
      <c r="A5435" s="3" t="s">
        <v>1072</v>
      </c>
      <c r="B5435" s="4">
        <v>45322</v>
      </c>
      <c r="C5435" s="3" t="s">
        <v>1175</v>
      </c>
      <c r="D5435" s="3" t="s">
        <v>1729</v>
      </c>
      <c r="E5435" s="3" t="s">
        <v>1730</v>
      </c>
      <c r="F5435" s="3">
        <v>0</v>
      </c>
      <c r="G5435" s="3">
        <v>130000</v>
      </c>
    </row>
    <row r="5436" spans="1:7" x14ac:dyDescent="0.2">
      <c r="A5436" s="3" t="s">
        <v>1072</v>
      </c>
      <c r="B5436" s="4">
        <v>45322</v>
      </c>
      <c r="C5436" s="3" t="s">
        <v>1175</v>
      </c>
      <c r="D5436" s="3" t="s">
        <v>1193</v>
      </c>
      <c r="E5436" s="3" t="s">
        <v>1443</v>
      </c>
      <c r="F5436" s="3">
        <v>-205115.27</v>
      </c>
      <c r="G5436" s="3">
        <v>-246893.19</v>
      </c>
    </row>
    <row r="5437" spans="1:7" x14ac:dyDescent="0.2">
      <c r="A5437" s="3" t="s">
        <v>1069</v>
      </c>
      <c r="B5437" s="4">
        <v>45322</v>
      </c>
      <c r="C5437" s="3" t="s">
        <v>1175</v>
      </c>
      <c r="D5437" s="3" t="s">
        <v>1193</v>
      </c>
      <c r="E5437" s="3" t="s">
        <v>1194</v>
      </c>
      <c r="F5437" s="3">
        <v>22321.45</v>
      </c>
      <c r="G5437" s="3">
        <v>-3371625.12</v>
      </c>
    </row>
    <row r="5438" spans="1:7" x14ac:dyDescent="0.2">
      <c r="A5438" s="3" t="s">
        <v>1074</v>
      </c>
      <c r="B5438" s="4">
        <v>45322</v>
      </c>
      <c r="C5438" s="3" t="s">
        <v>1175</v>
      </c>
      <c r="D5438" s="3" t="s">
        <v>1193</v>
      </c>
      <c r="E5438" s="3" t="s">
        <v>1194</v>
      </c>
      <c r="F5438" s="3">
        <v>-286903.90000000002</v>
      </c>
      <c r="G5438" s="3">
        <v>6388299.8399999999</v>
      </c>
    </row>
    <row r="5439" spans="1:7" x14ac:dyDescent="0.2">
      <c r="A5439" s="3" t="s">
        <v>1072</v>
      </c>
      <c r="B5439" s="4">
        <v>45322</v>
      </c>
      <c r="C5439" s="3" t="s">
        <v>1175</v>
      </c>
      <c r="D5439" s="3" t="s">
        <v>1731</v>
      </c>
      <c r="E5439" s="3" t="s">
        <v>1732</v>
      </c>
      <c r="F5439" s="3">
        <v>0</v>
      </c>
      <c r="G5439" s="3">
        <v>-1869.8</v>
      </c>
    </row>
    <row r="5440" spans="1:7" x14ac:dyDescent="0.2">
      <c r="A5440" s="3" t="s">
        <v>1069</v>
      </c>
      <c r="B5440" s="4">
        <v>45322</v>
      </c>
      <c r="C5440" s="3" t="s">
        <v>1175</v>
      </c>
      <c r="D5440" s="3" t="s">
        <v>1657</v>
      </c>
      <c r="E5440" s="3" t="s">
        <v>1658</v>
      </c>
      <c r="F5440" s="3">
        <v>0</v>
      </c>
      <c r="G5440" s="3">
        <v>59039.93</v>
      </c>
    </row>
    <row r="5441" spans="1:7" x14ac:dyDescent="0.2">
      <c r="A5441" s="3" t="s">
        <v>1074</v>
      </c>
      <c r="B5441" s="4">
        <v>45322</v>
      </c>
      <c r="C5441" s="3" t="s">
        <v>1175</v>
      </c>
      <c r="D5441" s="3" t="s">
        <v>1717</v>
      </c>
      <c r="E5441" s="3" t="s">
        <v>1718</v>
      </c>
      <c r="F5441" s="3">
        <v>0</v>
      </c>
      <c r="G5441" s="3">
        <v>-0.4</v>
      </c>
    </row>
    <row r="5442" spans="1:7" x14ac:dyDescent="0.2">
      <c r="A5442" s="3" t="s">
        <v>1072</v>
      </c>
      <c r="B5442" s="4">
        <v>45322</v>
      </c>
      <c r="C5442" s="3" t="s">
        <v>1175</v>
      </c>
      <c r="D5442" s="3" t="s">
        <v>1444</v>
      </c>
      <c r="E5442" s="3" t="s">
        <v>1445</v>
      </c>
      <c r="F5442" s="3">
        <v>0</v>
      </c>
      <c r="G5442" s="3">
        <v>1869.8</v>
      </c>
    </row>
    <row r="5443" spans="1:7" x14ac:dyDescent="0.2">
      <c r="A5443" s="3" t="s">
        <v>1072</v>
      </c>
      <c r="B5443" s="4">
        <v>45322</v>
      </c>
      <c r="C5443" s="3" t="s">
        <v>1180</v>
      </c>
      <c r="D5443" s="3" t="s">
        <v>1758</v>
      </c>
      <c r="E5443" s="3" t="s">
        <v>1743</v>
      </c>
      <c r="F5443" s="3">
        <v>-1755.17</v>
      </c>
      <c r="G5443" s="3">
        <v>-3510.34</v>
      </c>
    </row>
    <row r="5444" spans="1:7" x14ac:dyDescent="0.2">
      <c r="A5444" s="3" t="s">
        <v>1072</v>
      </c>
      <c r="B5444" s="4">
        <v>45322</v>
      </c>
      <c r="C5444" s="3" t="s">
        <v>1175</v>
      </c>
      <c r="D5444" s="3" t="s">
        <v>1446</v>
      </c>
      <c r="E5444" s="3" t="s">
        <v>1447</v>
      </c>
      <c r="F5444" s="3">
        <v>0</v>
      </c>
      <c r="G5444" s="3">
        <v>-254.99</v>
      </c>
    </row>
    <row r="5445" spans="1:7" x14ac:dyDescent="0.2">
      <c r="A5445" s="3" t="s">
        <v>1069</v>
      </c>
      <c r="B5445" s="4">
        <v>45323</v>
      </c>
      <c r="C5445" s="3" t="s">
        <v>1210</v>
      </c>
      <c r="D5445" s="3" t="s">
        <v>1552</v>
      </c>
      <c r="E5445" s="3" t="s">
        <v>1553</v>
      </c>
      <c r="F5445" s="3">
        <v>0</v>
      </c>
      <c r="G5445" s="3">
        <v>-28096347.829999998</v>
      </c>
    </row>
    <row r="5446" spans="1:7" x14ac:dyDescent="0.2">
      <c r="A5446" s="3" t="s">
        <v>1074</v>
      </c>
      <c r="B5446" s="4">
        <v>45323</v>
      </c>
      <c r="C5446" s="3" t="s">
        <v>1210</v>
      </c>
      <c r="D5446" s="3" t="s">
        <v>1552</v>
      </c>
      <c r="E5446" s="3" t="s">
        <v>1700</v>
      </c>
      <c r="F5446" s="3">
        <v>-1477391.3</v>
      </c>
      <c r="G5446" s="3">
        <v>-31349478.300000001</v>
      </c>
    </row>
    <row r="5447" spans="1:7" x14ac:dyDescent="0.2">
      <c r="A5447" s="3" t="s">
        <v>1069</v>
      </c>
      <c r="B5447" s="4">
        <v>45323</v>
      </c>
      <c r="C5447" s="3" t="s">
        <v>1210</v>
      </c>
      <c r="D5447" s="3" t="s">
        <v>1554</v>
      </c>
      <c r="E5447" s="3" t="s">
        <v>1555</v>
      </c>
      <c r="F5447" s="3">
        <v>0</v>
      </c>
      <c r="G5447" s="3">
        <v>-102388.85</v>
      </c>
    </row>
    <row r="5448" spans="1:7" x14ac:dyDescent="0.2">
      <c r="A5448" s="3" t="s">
        <v>1074</v>
      </c>
      <c r="B5448" s="4">
        <v>45323</v>
      </c>
      <c r="C5448" s="3" t="s">
        <v>1210</v>
      </c>
      <c r="D5448" s="3" t="s">
        <v>1554</v>
      </c>
      <c r="E5448" s="3" t="s">
        <v>1701</v>
      </c>
      <c r="F5448" s="3">
        <v>-1200</v>
      </c>
      <c r="G5448" s="3">
        <v>-89896.76</v>
      </c>
    </row>
    <row r="5449" spans="1:7" x14ac:dyDescent="0.2">
      <c r="A5449" s="3" t="s">
        <v>1072</v>
      </c>
      <c r="B5449" s="4">
        <v>45323</v>
      </c>
      <c r="C5449" s="3" t="s">
        <v>1210</v>
      </c>
      <c r="D5449" s="3" t="s">
        <v>1448</v>
      </c>
      <c r="E5449" s="3" t="s">
        <v>1449</v>
      </c>
      <c r="F5449" s="3">
        <v>0</v>
      </c>
      <c r="G5449" s="3">
        <v>-55267592.850000001</v>
      </c>
    </row>
    <row r="5450" spans="1:7" x14ac:dyDescent="0.2">
      <c r="A5450" s="3" t="s">
        <v>1072</v>
      </c>
      <c r="B5450" s="4">
        <v>45323</v>
      </c>
      <c r="C5450" s="3" t="s">
        <v>1210</v>
      </c>
      <c r="D5450" s="3" t="s">
        <v>1273</v>
      </c>
      <c r="E5450" s="3" t="s">
        <v>1274</v>
      </c>
      <c r="F5450" s="3">
        <v>0</v>
      </c>
      <c r="G5450" s="3">
        <v>3490.94</v>
      </c>
    </row>
    <row r="5451" spans="1:7" x14ac:dyDescent="0.2">
      <c r="A5451" s="3" t="s">
        <v>1069</v>
      </c>
      <c r="B5451" s="4">
        <v>45323</v>
      </c>
      <c r="C5451" s="3" t="s">
        <v>1210</v>
      </c>
      <c r="D5451" s="3" t="s">
        <v>1685</v>
      </c>
      <c r="E5451" s="3" t="s">
        <v>1686</v>
      </c>
      <c r="F5451" s="3">
        <v>-18500</v>
      </c>
      <c r="G5451" s="3">
        <v>-352912.32</v>
      </c>
    </row>
    <row r="5452" spans="1:7" x14ac:dyDescent="0.2">
      <c r="A5452" s="3" t="s">
        <v>1074</v>
      </c>
      <c r="B5452" s="4">
        <v>45323</v>
      </c>
      <c r="C5452" s="3" t="s">
        <v>1210</v>
      </c>
      <c r="D5452" s="3" t="s">
        <v>1685</v>
      </c>
      <c r="E5452" s="3" t="s">
        <v>1686</v>
      </c>
      <c r="F5452" s="3">
        <v>0</v>
      </c>
      <c r="G5452" s="3">
        <v>-13883</v>
      </c>
    </row>
    <row r="5453" spans="1:7" x14ac:dyDescent="0.2">
      <c r="A5453" s="3" t="s">
        <v>1069</v>
      </c>
      <c r="B5453" s="4">
        <v>45323</v>
      </c>
      <c r="C5453" s="3" t="s">
        <v>1168</v>
      </c>
      <c r="D5453" s="3" t="s">
        <v>1687</v>
      </c>
      <c r="E5453" s="3" t="s">
        <v>1688</v>
      </c>
      <c r="F5453" s="3">
        <v>0</v>
      </c>
      <c r="G5453" s="3">
        <v>45300.43</v>
      </c>
    </row>
    <row r="5454" spans="1:7" x14ac:dyDescent="0.2">
      <c r="A5454" s="3" t="s">
        <v>1074</v>
      </c>
      <c r="B5454" s="4">
        <v>45323</v>
      </c>
      <c r="C5454" s="3" t="s">
        <v>1168</v>
      </c>
      <c r="D5454" s="3" t="s">
        <v>1514</v>
      </c>
      <c r="E5454" s="3" t="s">
        <v>1676</v>
      </c>
      <c r="F5454" s="3">
        <v>0</v>
      </c>
      <c r="G5454" s="3">
        <v>237142.94</v>
      </c>
    </row>
    <row r="5455" spans="1:7" x14ac:dyDescent="0.2">
      <c r="A5455" s="3" t="s">
        <v>1069</v>
      </c>
      <c r="B5455" s="4">
        <v>45323</v>
      </c>
      <c r="C5455" s="3" t="s">
        <v>1168</v>
      </c>
      <c r="D5455" s="3" t="s">
        <v>1531</v>
      </c>
      <c r="E5455" s="3" t="s">
        <v>1532</v>
      </c>
      <c r="F5455" s="3">
        <v>0</v>
      </c>
      <c r="G5455" s="3">
        <v>685713.49</v>
      </c>
    </row>
    <row r="5456" spans="1:7" x14ac:dyDescent="0.2">
      <c r="A5456" s="3" t="s">
        <v>1074</v>
      </c>
      <c r="B5456" s="4">
        <v>45323</v>
      </c>
      <c r="C5456" s="3" t="s">
        <v>1168</v>
      </c>
      <c r="D5456" s="3" t="s">
        <v>1531</v>
      </c>
      <c r="E5456" s="3" t="s">
        <v>1532</v>
      </c>
      <c r="F5456" s="3">
        <v>79153.850000000006</v>
      </c>
      <c r="G5456" s="3">
        <v>749936.7</v>
      </c>
    </row>
    <row r="5457" spans="1:7" x14ac:dyDescent="0.2">
      <c r="A5457" s="3" t="s">
        <v>1074</v>
      </c>
      <c r="B5457" s="4">
        <v>45323</v>
      </c>
      <c r="C5457" s="3" t="s">
        <v>1168</v>
      </c>
      <c r="D5457" s="3" t="s">
        <v>1638</v>
      </c>
      <c r="E5457" s="3" t="s">
        <v>1677</v>
      </c>
      <c r="F5457" s="3">
        <v>0</v>
      </c>
      <c r="G5457" s="3">
        <v>79174.94</v>
      </c>
    </row>
    <row r="5458" spans="1:7" x14ac:dyDescent="0.2">
      <c r="A5458" s="3" t="s">
        <v>1069</v>
      </c>
      <c r="B5458" s="4">
        <v>45323</v>
      </c>
      <c r="C5458" s="3" t="s">
        <v>1168</v>
      </c>
      <c r="D5458" s="3" t="s">
        <v>1638</v>
      </c>
      <c r="E5458" s="3" t="s">
        <v>1639</v>
      </c>
      <c r="F5458" s="3">
        <v>0</v>
      </c>
      <c r="G5458" s="3">
        <v>10540</v>
      </c>
    </row>
    <row r="5459" spans="1:7" x14ac:dyDescent="0.2">
      <c r="A5459" s="3" t="s">
        <v>1069</v>
      </c>
      <c r="B5459" s="4">
        <v>45323</v>
      </c>
      <c r="C5459" s="3" t="s">
        <v>1168</v>
      </c>
      <c r="D5459" s="3" t="s">
        <v>1540</v>
      </c>
      <c r="E5459" s="3" t="s">
        <v>1541</v>
      </c>
      <c r="F5459" s="3">
        <v>0</v>
      </c>
      <c r="G5459" s="3">
        <v>44864.59</v>
      </c>
    </row>
    <row r="5460" spans="1:7" x14ac:dyDescent="0.2">
      <c r="A5460" s="3" t="s">
        <v>1069</v>
      </c>
      <c r="B5460" s="4">
        <v>45323</v>
      </c>
      <c r="C5460" s="3" t="s">
        <v>1168</v>
      </c>
      <c r="D5460" s="3" t="s">
        <v>1556</v>
      </c>
      <c r="E5460" s="3" t="s">
        <v>1557</v>
      </c>
      <c r="F5460" s="3">
        <v>0</v>
      </c>
      <c r="G5460" s="3">
        <v>381069.48</v>
      </c>
    </row>
    <row r="5461" spans="1:7" x14ac:dyDescent="0.2">
      <c r="A5461" s="3" t="s">
        <v>1069</v>
      </c>
      <c r="B5461" s="4">
        <v>45323</v>
      </c>
      <c r="C5461" s="3" t="s">
        <v>1168</v>
      </c>
      <c r="D5461" s="3" t="s">
        <v>1558</v>
      </c>
      <c r="E5461" s="3" t="s">
        <v>1559</v>
      </c>
      <c r="F5461" s="3">
        <v>0</v>
      </c>
      <c r="G5461" s="3">
        <v>1405686.97</v>
      </c>
    </row>
    <row r="5462" spans="1:7" x14ac:dyDescent="0.2">
      <c r="A5462" s="3" t="s">
        <v>1074</v>
      </c>
      <c r="B5462" s="4">
        <v>45323</v>
      </c>
      <c r="C5462" s="3" t="s">
        <v>1168</v>
      </c>
      <c r="D5462" s="3" t="s">
        <v>1558</v>
      </c>
      <c r="E5462" s="3" t="s">
        <v>1702</v>
      </c>
      <c r="F5462" s="3">
        <v>73908.7</v>
      </c>
      <c r="G5462" s="3">
        <v>1569034.76</v>
      </c>
    </row>
    <row r="5463" spans="1:7" x14ac:dyDescent="0.2">
      <c r="A5463" s="3" t="s">
        <v>1069</v>
      </c>
      <c r="B5463" s="4">
        <v>45323</v>
      </c>
      <c r="C5463" s="3" t="s">
        <v>1168</v>
      </c>
      <c r="D5463" s="3" t="s">
        <v>1640</v>
      </c>
      <c r="E5463" s="3" t="s">
        <v>1641</v>
      </c>
      <c r="F5463" s="3">
        <v>0</v>
      </c>
      <c r="G5463" s="3">
        <v>1005.47</v>
      </c>
    </row>
    <row r="5464" spans="1:7" x14ac:dyDescent="0.2">
      <c r="A5464" s="3" t="s">
        <v>1074</v>
      </c>
      <c r="B5464" s="4">
        <v>45323</v>
      </c>
      <c r="C5464" s="3" t="s">
        <v>1168</v>
      </c>
      <c r="D5464" s="3" t="s">
        <v>1640</v>
      </c>
      <c r="E5464" s="3" t="s">
        <v>1689</v>
      </c>
      <c r="F5464" s="3">
        <v>0</v>
      </c>
      <c r="G5464" s="3">
        <v>6212.85</v>
      </c>
    </row>
    <row r="5465" spans="1:7" x14ac:dyDescent="0.2">
      <c r="A5465" s="3" t="s">
        <v>1069</v>
      </c>
      <c r="B5465" s="4">
        <v>45323</v>
      </c>
      <c r="C5465" s="3" t="s">
        <v>1168</v>
      </c>
      <c r="D5465" s="3" t="s">
        <v>1659</v>
      </c>
      <c r="E5465" s="3" t="s">
        <v>1660</v>
      </c>
      <c r="F5465" s="3">
        <v>0</v>
      </c>
      <c r="G5465" s="3">
        <v>250</v>
      </c>
    </row>
    <row r="5466" spans="1:7" x14ac:dyDescent="0.2">
      <c r="A5466" s="3" t="s">
        <v>1074</v>
      </c>
      <c r="B5466" s="4">
        <v>45323</v>
      </c>
      <c r="C5466" s="3" t="s">
        <v>1168</v>
      </c>
      <c r="D5466" s="3" t="s">
        <v>1659</v>
      </c>
      <c r="E5466" s="3" t="s">
        <v>1660</v>
      </c>
      <c r="F5466" s="3">
        <v>0</v>
      </c>
      <c r="G5466" s="3">
        <v>473.92</v>
      </c>
    </row>
    <row r="5467" spans="1:7" x14ac:dyDescent="0.2">
      <c r="A5467" s="3" t="s">
        <v>1069</v>
      </c>
      <c r="B5467" s="4">
        <v>45323</v>
      </c>
      <c r="C5467" s="3" t="s">
        <v>1168</v>
      </c>
      <c r="D5467" s="3" t="s">
        <v>1678</v>
      </c>
      <c r="E5467" s="3" t="s">
        <v>1679</v>
      </c>
      <c r="F5467" s="3">
        <v>0</v>
      </c>
      <c r="G5467" s="3">
        <v>31600</v>
      </c>
    </row>
    <row r="5468" spans="1:7" x14ac:dyDescent="0.2">
      <c r="A5468" s="3" t="s">
        <v>1072</v>
      </c>
      <c r="B5468" s="4">
        <v>45323</v>
      </c>
      <c r="C5468" s="3" t="s">
        <v>1168</v>
      </c>
      <c r="D5468" s="3" t="s">
        <v>1661</v>
      </c>
      <c r="E5468" s="3" t="s">
        <v>1662</v>
      </c>
      <c r="F5468" s="3">
        <v>0</v>
      </c>
      <c r="G5468" s="3">
        <v>286.95999999999998</v>
      </c>
    </row>
    <row r="5469" spans="1:7" x14ac:dyDescent="0.2">
      <c r="A5469" s="3" t="s">
        <v>1072</v>
      </c>
      <c r="B5469" s="4">
        <v>45323</v>
      </c>
      <c r="C5469" s="3" t="s">
        <v>1168</v>
      </c>
      <c r="D5469" s="3" t="s">
        <v>1680</v>
      </c>
      <c r="E5469" s="3" t="s">
        <v>1681</v>
      </c>
      <c r="F5469" s="3">
        <v>0</v>
      </c>
      <c r="G5469" s="3">
        <v>86.96</v>
      </c>
    </row>
    <row r="5470" spans="1:7" x14ac:dyDescent="0.2">
      <c r="A5470" s="3" t="s">
        <v>1072</v>
      </c>
      <c r="B5470" s="4">
        <v>45323</v>
      </c>
      <c r="C5470" s="3" t="s">
        <v>1168</v>
      </c>
      <c r="D5470" s="3" t="s">
        <v>1669</v>
      </c>
      <c r="E5470" s="3" t="s">
        <v>1670</v>
      </c>
      <c r="F5470" s="3">
        <v>0</v>
      </c>
      <c r="G5470" s="3">
        <v>30620.97</v>
      </c>
    </row>
    <row r="5471" spans="1:7" x14ac:dyDescent="0.2">
      <c r="A5471" s="3" t="s">
        <v>1072</v>
      </c>
      <c r="B5471" s="4">
        <v>45323</v>
      </c>
      <c r="C5471" s="3" t="s">
        <v>1168</v>
      </c>
      <c r="D5471" s="3" t="s">
        <v>1735</v>
      </c>
      <c r="E5471" s="3" t="s">
        <v>1736</v>
      </c>
      <c r="F5471" s="3">
        <v>0</v>
      </c>
      <c r="G5471" s="3">
        <v>7408.46</v>
      </c>
    </row>
    <row r="5472" spans="1:7" x14ac:dyDescent="0.2">
      <c r="A5472" s="3" t="s">
        <v>1072</v>
      </c>
      <c r="B5472" s="4">
        <v>45323</v>
      </c>
      <c r="C5472" s="3" t="s">
        <v>1168</v>
      </c>
      <c r="D5472" s="3" t="s">
        <v>1703</v>
      </c>
      <c r="E5472" s="3" t="s">
        <v>1704</v>
      </c>
      <c r="F5472" s="3">
        <v>0</v>
      </c>
      <c r="G5472" s="3">
        <v>10516.44</v>
      </c>
    </row>
    <row r="5473" spans="1:7" x14ac:dyDescent="0.2">
      <c r="A5473" s="3" t="s">
        <v>1072</v>
      </c>
      <c r="B5473" s="4">
        <v>45323</v>
      </c>
      <c r="C5473" s="3" t="s">
        <v>1168</v>
      </c>
      <c r="D5473" s="3" t="s">
        <v>1682</v>
      </c>
      <c r="E5473" s="3" t="s">
        <v>1683</v>
      </c>
      <c r="F5473" s="3">
        <v>0</v>
      </c>
      <c r="G5473" s="3">
        <v>152255.67999999999</v>
      </c>
    </row>
    <row r="5474" spans="1:7" x14ac:dyDescent="0.2">
      <c r="A5474" s="3" t="s">
        <v>1072</v>
      </c>
      <c r="B5474" s="4">
        <v>45323</v>
      </c>
      <c r="C5474" s="3" t="s">
        <v>1168</v>
      </c>
      <c r="D5474" s="3" t="s">
        <v>1281</v>
      </c>
      <c r="E5474" s="3" t="s">
        <v>1282</v>
      </c>
      <c r="F5474" s="3">
        <v>0</v>
      </c>
      <c r="G5474" s="3">
        <v>352147.74</v>
      </c>
    </row>
    <row r="5475" spans="1:7" x14ac:dyDescent="0.2">
      <c r="A5475" s="3" t="s">
        <v>1072</v>
      </c>
      <c r="B5475" s="4">
        <v>45323</v>
      </c>
      <c r="C5475" s="3" t="s">
        <v>1168</v>
      </c>
      <c r="D5475" s="3" t="s">
        <v>1283</v>
      </c>
      <c r="E5475" s="3" t="s">
        <v>1284</v>
      </c>
      <c r="F5475" s="3">
        <v>0</v>
      </c>
      <c r="G5475" s="3">
        <v>160505.70000000001</v>
      </c>
    </row>
    <row r="5476" spans="1:7" x14ac:dyDescent="0.2">
      <c r="A5476" s="3" t="s">
        <v>1072</v>
      </c>
      <c r="B5476" s="4">
        <v>45323</v>
      </c>
      <c r="C5476" s="3" t="s">
        <v>1168</v>
      </c>
      <c r="D5476" s="3" t="s">
        <v>1285</v>
      </c>
      <c r="E5476" s="3" t="s">
        <v>1286</v>
      </c>
      <c r="F5476" s="3">
        <v>0</v>
      </c>
      <c r="G5476" s="3">
        <v>19969.43</v>
      </c>
    </row>
    <row r="5477" spans="1:7" x14ac:dyDescent="0.2">
      <c r="A5477" s="3" t="s">
        <v>1072</v>
      </c>
      <c r="B5477" s="4">
        <v>45323</v>
      </c>
      <c r="C5477" s="3" t="s">
        <v>1168</v>
      </c>
      <c r="D5477" s="3" t="s">
        <v>1705</v>
      </c>
      <c r="E5477" s="3" t="s">
        <v>1706</v>
      </c>
      <c r="F5477" s="3">
        <v>0</v>
      </c>
      <c r="G5477" s="3">
        <v>26340.75</v>
      </c>
    </row>
    <row r="5478" spans="1:7" x14ac:dyDescent="0.2">
      <c r="A5478" s="3" t="s">
        <v>1072</v>
      </c>
      <c r="B5478" s="4">
        <v>45323</v>
      </c>
      <c r="C5478" s="3" t="s">
        <v>1168</v>
      </c>
      <c r="D5478" s="3" t="s">
        <v>1299</v>
      </c>
      <c r="E5478" s="3" t="s">
        <v>1300</v>
      </c>
      <c r="F5478" s="3">
        <v>300</v>
      </c>
      <c r="G5478" s="3">
        <v>300</v>
      </c>
    </row>
    <row r="5479" spans="1:7" x14ac:dyDescent="0.2">
      <c r="A5479" s="3" t="s">
        <v>1072</v>
      </c>
      <c r="B5479" s="4">
        <v>45323</v>
      </c>
      <c r="C5479" s="3" t="s">
        <v>1168</v>
      </c>
      <c r="D5479" s="3" t="s">
        <v>1301</v>
      </c>
      <c r="E5479" s="3" t="s">
        <v>1302</v>
      </c>
      <c r="F5479" s="3">
        <v>0</v>
      </c>
      <c r="G5479" s="3">
        <v>760.87</v>
      </c>
    </row>
    <row r="5480" spans="1:7" x14ac:dyDescent="0.2">
      <c r="A5480" s="3" t="s">
        <v>1072</v>
      </c>
      <c r="B5480" s="4">
        <v>45323</v>
      </c>
      <c r="C5480" s="3" t="s">
        <v>1168</v>
      </c>
      <c r="D5480" s="3" t="s">
        <v>1305</v>
      </c>
      <c r="E5480" s="3" t="s">
        <v>1306</v>
      </c>
      <c r="F5480" s="3">
        <v>0</v>
      </c>
      <c r="G5480" s="3">
        <v>27752.22</v>
      </c>
    </row>
    <row r="5481" spans="1:7" x14ac:dyDescent="0.2">
      <c r="A5481" s="3" t="s">
        <v>1072</v>
      </c>
      <c r="B5481" s="4">
        <v>45323</v>
      </c>
      <c r="C5481" s="3" t="s">
        <v>1168</v>
      </c>
      <c r="D5481" s="3" t="s">
        <v>1690</v>
      </c>
      <c r="E5481" s="3" t="s">
        <v>1691</v>
      </c>
      <c r="F5481" s="3">
        <v>0</v>
      </c>
      <c r="G5481" s="3">
        <v>7565.57</v>
      </c>
    </row>
    <row r="5482" spans="1:7" x14ac:dyDescent="0.2">
      <c r="A5482" s="3" t="s">
        <v>1072</v>
      </c>
      <c r="B5482" s="4">
        <v>45323</v>
      </c>
      <c r="C5482" s="3" t="s">
        <v>1168</v>
      </c>
      <c r="D5482" s="3" t="s">
        <v>1311</v>
      </c>
      <c r="E5482" s="3" t="s">
        <v>1312</v>
      </c>
      <c r="F5482" s="3">
        <v>0</v>
      </c>
      <c r="G5482" s="3">
        <v>680</v>
      </c>
    </row>
    <row r="5483" spans="1:7" x14ac:dyDescent="0.2">
      <c r="A5483" s="3" t="s">
        <v>1072</v>
      </c>
      <c r="B5483" s="4">
        <v>45323</v>
      </c>
      <c r="C5483" s="3" t="s">
        <v>1168</v>
      </c>
      <c r="D5483" s="3" t="s">
        <v>1315</v>
      </c>
      <c r="E5483" s="3" t="s">
        <v>1316</v>
      </c>
      <c r="F5483" s="3">
        <v>0</v>
      </c>
      <c r="G5483" s="3">
        <v>1129.57</v>
      </c>
    </row>
    <row r="5484" spans="1:7" x14ac:dyDescent="0.2">
      <c r="A5484" s="3" t="s">
        <v>1072</v>
      </c>
      <c r="B5484" s="4">
        <v>45323</v>
      </c>
      <c r="C5484" s="3" t="s">
        <v>1168</v>
      </c>
      <c r="D5484" s="3" t="s">
        <v>1450</v>
      </c>
      <c r="E5484" s="3" t="s">
        <v>1451</v>
      </c>
      <c r="F5484" s="3">
        <v>0</v>
      </c>
      <c r="G5484" s="3">
        <v>1639839.08</v>
      </c>
    </row>
    <row r="5485" spans="1:7" x14ac:dyDescent="0.2">
      <c r="A5485" s="3" t="s">
        <v>1072</v>
      </c>
      <c r="B5485" s="4">
        <v>45323</v>
      </c>
      <c r="C5485" s="3" t="s">
        <v>1168</v>
      </c>
      <c r="D5485" s="3" t="s">
        <v>1452</v>
      </c>
      <c r="E5485" s="3" t="s">
        <v>1453</v>
      </c>
      <c r="F5485" s="3">
        <v>2901.76</v>
      </c>
      <c r="G5485" s="3">
        <v>346725.3</v>
      </c>
    </row>
    <row r="5486" spans="1:7" x14ac:dyDescent="0.2">
      <c r="A5486" s="3" t="s">
        <v>1072</v>
      </c>
      <c r="B5486" s="4">
        <v>45323</v>
      </c>
      <c r="C5486" s="3" t="s">
        <v>1168</v>
      </c>
      <c r="D5486" s="3" t="s">
        <v>1454</v>
      </c>
      <c r="E5486" s="3" t="s">
        <v>1455</v>
      </c>
      <c r="F5486" s="3">
        <v>0</v>
      </c>
      <c r="G5486" s="3">
        <v>694.78</v>
      </c>
    </row>
    <row r="5487" spans="1:7" x14ac:dyDescent="0.2">
      <c r="A5487" s="3" t="s">
        <v>1072</v>
      </c>
      <c r="B5487" s="4">
        <v>45323</v>
      </c>
      <c r="C5487" s="3" t="s">
        <v>1168</v>
      </c>
      <c r="D5487" s="3" t="s">
        <v>1468</v>
      </c>
      <c r="E5487" s="3" t="s">
        <v>1469</v>
      </c>
      <c r="F5487" s="3">
        <v>1849.57</v>
      </c>
      <c r="G5487" s="3">
        <v>19178.810000000001</v>
      </c>
    </row>
    <row r="5488" spans="1:7" x14ac:dyDescent="0.2">
      <c r="A5488" s="3" t="s">
        <v>1072</v>
      </c>
      <c r="B5488" s="4">
        <v>45323</v>
      </c>
      <c r="C5488" s="3" t="s">
        <v>1168</v>
      </c>
      <c r="D5488" s="3" t="s">
        <v>1620</v>
      </c>
      <c r="E5488" s="3" t="s">
        <v>1621</v>
      </c>
      <c r="F5488" s="3">
        <v>0</v>
      </c>
      <c r="G5488" s="3">
        <v>33532.379999999997</v>
      </c>
    </row>
    <row r="5489" spans="1:7" x14ac:dyDescent="0.2">
      <c r="A5489" s="3" t="s">
        <v>1072</v>
      </c>
      <c r="B5489" s="4">
        <v>45323</v>
      </c>
      <c r="C5489" s="3" t="s">
        <v>1168</v>
      </c>
      <c r="D5489" s="3" t="s">
        <v>1542</v>
      </c>
      <c r="E5489" s="3" t="s">
        <v>1543</v>
      </c>
      <c r="F5489" s="3">
        <v>32750.81</v>
      </c>
      <c r="G5489" s="3">
        <v>43389028.590000004</v>
      </c>
    </row>
    <row r="5490" spans="1:7" x14ac:dyDescent="0.2">
      <c r="A5490" s="3" t="s">
        <v>1072</v>
      </c>
      <c r="B5490" s="4">
        <v>45323</v>
      </c>
      <c r="C5490" s="3" t="s">
        <v>1168</v>
      </c>
      <c r="D5490" s="3" t="s">
        <v>1527</v>
      </c>
      <c r="E5490" s="3" t="s">
        <v>1528</v>
      </c>
      <c r="F5490" s="3">
        <v>0</v>
      </c>
      <c r="G5490" s="3">
        <v>549196.86</v>
      </c>
    </row>
    <row r="5491" spans="1:7" x14ac:dyDescent="0.2">
      <c r="A5491" s="3" t="s">
        <v>1072</v>
      </c>
      <c r="B5491" s="4">
        <v>45323</v>
      </c>
      <c r="C5491" s="3" t="s">
        <v>1168</v>
      </c>
      <c r="D5491" s="3" t="s">
        <v>1560</v>
      </c>
      <c r="E5491" s="3" t="s">
        <v>1561</v>
      </c>
      <c r="F5491" s="3">
        <v>0</v>
      </c>
      <c r="G5491" s="3">
        <v>17292.48</v>
      </c>
    </row>
    <row r="5492" spans="1:7" x14ac:dyDescent="0.2">
      <c r="A5492" s="3" t="s">
        <v>1072</v>
      </c>
      <c r="B5492" s="4">
        <v>45323</v>
      </c>
      <c r="C5492" s="3" t="s">
        <v>1210</v>
      </c>
      <c r="D5492" s="3" t="s">
        <v>1509</v>
      </c>
      <c r="E5492" s="3" t="s">
        <v>1510</v>
      </c>
      <c r="F5492" s="3">
        <v>0</v>
      </c>
      <c r="G5492" s="3">
        <v>-2599.73</v>
      </c>
    </row>
    <row r="5493" spans="1:7" x14ac:dyDescent="0.2">
      <c r="A5493" s="3" t="s">
        <v>1072</v>
      </c>
      <c r="B5493" s="4">
        <v>45323</v>
      </c>
      <c r="C5493" s="3" t="s">
        <v>1210</v>
      </c>
      <c r="D5493" s="3" t="s">
        <v>1323</v>
      </c>
      <c r="E5493" s="3" t="s">
        <v>1324</v>
      </c>
      <c r="F5493" s="3">
        <v>0</v>
      </c>
      <c r="G5493" s="3">
        <v>-34.229999999999997</v>
      </c>
    </row>
    <row r="5494" spans="1:7" x14ac:dyDescent="0.2">
      <c r="A5494" s="3" t="s">
        <v>1069</v>
      </c>
      <c r="B5494" s="4">
        <v>45323</v>
      </c>
      <c r="C5494" s="3" t="s">
        <v>1210</v>
      </c>
      <c r="D5494" s="3" t="s">
        <v>1744</v>
      </c>
      <c r="E5494" s="3" t="s">
        <v>1745</v>
      </c>
      <c r="F5494" s="3">
        <v>0</v>
      </c>
      <c r="G5494" s="3">
        <v>-5546.16</v>
      </c>
    </row>
    <row r="5495" spans="1:7" x14ac:dyDescent="0.2">
      <c r="A5495" s="3" t="s">
        <v>1069</v>
      </c>
      <c r="B5495" s="4">
        <v>45323</v>
      </c>
      <c r="C5495" s="3" t="s">
        <v>1210</v>
      </c>
      <c r="D5495" s="3" t="s">
        <v>1249</v>
      </c>
      <c r="E5495" s="3" t="s">
        <v>1250</v>
      </c>
      <c r="F5495" s="3">
        <v>0</v>
      </c>
      <c r="G5495" s="3">
        <v>-2655207.5499999998</v>
      </c>
    </row>
    <row r="5496" spans="1:7" x14ac:dyDescent="0.2">
      <c r="A5496" s="3" t="s">
        <v>1069</v>
      </c>
      <c r="B5496" s="4">
        <v>45323</v>
      </c>
      <c r="C5496" s="3" t="s">
        <v>1168</v>
      </c>
      <c r="D5496" s="3" t="s">
        <v>1692</v>
      </c>
      <c r="E5496" s="3" t="s">
        <v>1149</v>
      </c>
      <c r="F5496" s="3">
        <v>0</v>
      </c>
      <c r="G5496" s="3">
        <v>15024.96</v>
      </c>
    </row>
    <row r="5497" spans="1:7" x14ac:dyDescent="0.2">
      <c r="A5497" s="3" t="s">
        <v>1069</v>
      </c>
      <c r="B5497" s="4">
        <v>45323</v>
      </c>
      <c r="C5497" s="3" t="s">
        <v>1168</v>
      </c>
      <c r="D5497" s="3" t="s">
        <v>1226</v>
      </c>
      <c r="E5497" s="3" t="s">
        <v>1126</v>
      </c>
      <c r="F5497" s="3">
        <v>0</v>
      </c>
      <c r="G5497" s="3">
        <v>3050</v>
      </c>
    </row>
    <row r="5498" spans="1:7" x14ac:dyDescent="0.2">
      <c r="A5498" s="3" t="s">
        <v>1072</v>
      </c>
      <c r="B5498" s="4">
        <v>45323</v>
      </c>
      <c r="C5498" s="3" t="s">
        <v>1168</v>
      </c>
      <c r="D5498" s="3" t="s">
        <v>1325</v>
      </c>
      <c r="E5498" s="3" t="s">
        <v>1073</v>
      </c>
      <c r="F5498" s="3">
        <v>0</v>
      </c>
      <c r="G5498" s="3">
        <v>1280</v>
      </c>
    </row>
    <row r="5499" spans="1:7" x14ac:dyDescent="0.2">
      <c r="A5499" s="3" t="s">
        <v>1072</v>
      </c>
      <c r="B5499" s="4">
        <v>45323</v>
      </c>
      <c r="C5499" s="3" t="s">
        <v>1168</v>
      </c>
      <c r="D5499" s="3" t="s">
        <v>1326</v>
      </c>
      <c r="E5499" s="3" t="s">
        <v>1088</v>
      </c>
      <c r="F5499" s="3">
        <v>0</v>
      </c>
      <c r="G5499" s="3">
        <v>11170</v>
      </c>
    </row>
    <row r="5500" spans="1:7" x14ac:dyDescent="0.2">
      <c r="A5500" s="3" t="s">
        <v>1072</v>
      </c>
      <c r="B5500" s="4">
        <v>45323</v>
      </c>
      <c r="C5500" s="3" t="s">
        <v>1168</v>
      </c>
      <c r="D5500" s="3" t="s">
        <v>1169</v>
      </c>
      <c r="E5500" s="3" t="s">
        <v>1079</v>
      </c>
      <c r="F5500" s="3">
        <v>0</v>
      </c>
      <c r="G5500" s="3">
        <v>10975</v>
      </c>
    </row>
    <row r="5501" spans="1:7" x14ac:dyDescent="0.2">
      <c r="A5501" s="3" t="s">
        <v>1069</v>
      </c>
      <c r="B5501" s="4">
        <v>45323</v>
      </c>
      <c r="C5501" s="3" t="s">
        <v>1168</v>
      </c>
      <c r="D5501" s="3" t="s">
        <v>1169</v>
      </c>
      <c r="E5501" s="3" t="s">
        <v>1079</v>
      </c>
      <c r="F5501" s="3">
        <v>500</v>
      </c>
      <c r="G5501" s="3">
        <v>179414.34</v>
      </c>
    </row>
    <row r="5502" spans="1:7" x14ac:dyDescent="0.2">
      <c r="A5502" s="3" t="s">
        <v>1074</v>
      </c>
      <c r="B5502" s="4">
        <v>45323</v>
      </c>
      <c r="C5502" s="3" t="s">
        <v>1168</v>
      </c>
      <c r="D5502" s="3" t="s">
        <v>1169</v>
      </c>
      <c r="E5502" s="3" t="s">
        <v>1079</v>
      </c>
      <c r="F5502" s="3">
        <v>0</v>
      </c>
      <c r="G5502" s="3">
        <v>52857.72</v>
      </c>
    </row>
    <row r="5503" spans="1:7" x14ac:dyDescent="0.2">
      <c r="A5503" s="3" t="s">
        <v>1069</v>
      </c>
      <c r="B5503" s="4">
        <v>45323</v>
      </c>
      <c r="C5503" s="3" t="s">
        <v>1168</v>
      </c>
      <c r="D5503" s="3" t="s">
        <v>1261</v>
      </c>
      <c r="E5503" s="3" t="s">
        <v>1145</v>
      </c>
      <c r="F5503" s="3">
        <v>0</v>
      </c>
      <c r="G5503" s="3">
        <v>12480</v>
      </c>
    </row>
    <row r="5504" spans="1:7" x14ac:dyDescent="0.2">
      <c r="A5504" s="3" t="s">
        <v>1072</v>
      </c>
      <c r="B5504" s="4">
        <v>45323</v>
      </c>
      <c r="C5504" s="3" t="s">
        <v>1168</v>
      </c>
      <c r="D5504" s="3" t="s">
        <v>1648</v>
      </c>
      <c r="E5504" s="3" t="s">
        <v>1084</v>
      </c>
      <c r="F5504" s="3">
        <v>0</v>
      </c>
      <c r="G5504" s="3">
        <v>295</v>
      </c>
    </row>
    <row r="5505" spans="1:7" x14ac:dyDescent="0.2">
      <c r="A5505" s="3" t="s">
        <v>1069</v>
      </c>
      <c r="B5505" s="4">
        <v>45323</v>
      </c>
      <c r="C5505" s="3" t="s">
        <v>1168</v>
      </c>
      <c r="D5505" s="3" t="s">
        <v>1624</v>
      </c>
      <c r="E5505" s="3" t="s">
        <v>1118</v>
      </c>
      <c r="F5505" s="3">
        <v>0</v>
      </c>
      <c r="G5505" s="3">
        <v>10250</v>
      </c>
    </row>
    <row r="5506" spans="1:7" x14ac:dyDescent="0.2">
      <c r="A5506" s="3" t="s">
        <v>1074</v>
      </c>
      <c r="B5506" s="4">
        <v>45323</v>
      </c>
      <c r="C5506" s="3" t="s">
        <v>1168</v>
      </c>
      <c r="D5506" s="3" t="s">
        <v>1624</v>
      </c>
      <c r="E5506" s="3" t="s">
        <v>1160</v>
      </c>
      <c r="F5506" s="3">
        <v>0</v>
      </c>
      <c r="G5506" s="3">
        <v>17855</v>
      </c>
    </row>
    <row r="5507" spans="1:7" x14ac:dyDescent="0.2">
      <c r="A5507" s="3" t="s">
        <v>1074</v>
      </c>
      <c r="B5507" s="4">
        <v>45323</v>
      </c>
      <c r="C5507" s="3" t="s">
        <v>1168</v>
      </c>
      <c r="D5507" s="3" t="s">
        <v>1649</v>
      </c>
      <c r="E5507" s="3" t="s">
        <v>1117</v>
      </c>
      <c r="F5507" s="3">
        <v>0</v>
      </c>
      <c r="G5507" s="3">
        <v>14569.1</v>
      </c>
    </row>
    <row r="5508" spans="1:7" x14ac:dyDescent="0.2">
      <c r="A5508" s="3" t="s">
        <v>1072</v>
      </c>
      <c r="B5508" s="4">
        <v>45323</v>
      </c>
      <c r="C5508" s="3" t="s">
        <v>1168</v>
      </c>
      <c r="D5508" s="3" t="s">
        <v>1339</v>
      </c>
      <c r="E5508" s="3" t="s">
        <v>1087</v>
      </c>
      <c r="F5508" s="3">
        <v>0</v>
      </c>
      <c r="G5508" s="3">
        <v>1597</v>
      </c>
    </row>
    <row r="5509" spans="1:7" x14ac:dyDescent="0.2">
      <c r="A5509" s="3" t="s">
        <v>1074</v>
      </c>
      <c r="B5509" s="4">
        <v>45323</v>
      </c>
      <c r="C5509" s="3" t="s">
        <v>1168</v>
      </c>
      <c r="D5509" s="3" t="s">
        <v>1707</v>
      </c>
      <c r="E5509" s="3" t="s">
        <v>1118</v>
      </c>
      <c r="F5509" s="3">
        <v>0</v>
      </c>
      <c r="G5509" s="3">
        <v>18500</v>
      </c>
    </row>
    <row r="5510" spans="1:7" x14ac:dyDescent="0.2">
      <c r="A5510" s="3" t="s">
        <v>1072</v>
      </c>
      <c r="B5510" s="4">
        <v>45323</v>
      </c>
      <c r="C5510" s="3" t="s">
        <v>1168</v>
      </c>
      <c r="D5510" s="3" t="s">
        <v>1195</v>
      </c>
      <c r="E5510" s="3" t="s">
        <v>1085</v>
      </c>
      <c r="F5510" s="3">
        <v>0</v>
      </c>
      <c r="G5510" s="3">
        <v>20862.05</v>
      </c>
    </row>
    <row r="5511" spans="1:7" x14ac:dyDescent="0.2">
      <c r="A5511" s="3" t="s">
        <v>1069</v>
      </c>
      <c r="B5511" s="4">
        <v>45323</v>
      </c>
      <c r="C5511" s="3" t="s">
        <v>1168</v>
      </c>
      <c r="D5511" s="3" t="s">
        <v>1195</v>
      </c>
      <c r="E5511" s="3" t="s">
        <v>1085</v>
      </c>
      <c r="F5511" s="3">
        <v>0</v>
      </c>
      <c r="G5511" s="3">
        <v>4750.68</v>
      </c>
    </row>
    <row r="5512" spans="1:7" x14ac:dyDescent="0.2">
      <c r="A5512" s="3" t="s">
        <v>1072</v>
      </c>
      <c r="B5512" s="4">
        <v>45323</v>
      </c>
      <c r="C5512" s="3" t="s">
        <v>1168</v>
      </c>
      <c r="D5512" s="3" t="s">
        <v>1340</v>
      </c>
      <c r="E5512" s="3" t="s">
        <v>1141</v>
      </c>
      <c r="F5512" s="3">
        <v>0</v>
      </c>
      <c r="G5512" s="3">
        <v>1211.8900000000001</v>
      </c>
    </row>
    <row r="5513" spans="1:7" x14ac:dyDescent="0.2">
      <c r="A5513" s="3" t="s">
        <v>1072</v>
      </c>
      <c r="B5513" s="4">
        <v>45323</v>
      </c>
      <c r="C5513" s="3" t="s">
        <v>1168</v>
      </c>
      <c r="D5513" s="3" t="s">
        <v>1708</v>
      </c>
      <c r="E5513" s="3" t="s">
        <v>1140</v>
      </c>
      <c r="F5513" s="3">
        <v>0</v>
      </c>
      <c r="G5513" s="3">
        <v>4123</v>
      </c>
    </row>
    <row r="5514" spans="1:7" x14ac:dyDescent="0.2">
      <c r="A5514" s="3" t="s">
        <v>1072</v>
      </c>
      <c r="B5514" s="4">
        <v>45323</v>
      </c>
      <c r="C5514" s="3" t="s">
        <v>1168</v>
      </c>
      <c r="D5514" s="3" t="s">
        <v>1341</v>
      </c>
      <c r="E5514" s="3" t="s">
        <v>1135</v>
      </c>
      <c r="F5514" s="3">
        <v>0</v>
      </c>
      <c r="G5514" s="3">
        <v>26779.67</v>
      </c>
    </row>
    <row r="5515" spans="1:7" x14ac:dyDescent="0.2">
      <c r="A5515" s="3" t="s">
        <v>1072</v>
      </c>
      <c r="B5515" s="4">
        <v>45323</v>
      </c>
      <c r="C5515" s="3" t="s">
        <v>1168</v>
      </c>
      <c r="D5515" s="3" t="s">
        <v>1342</v>
      </c>
      <c r="E5515" s="3" t="s">
        <v>1080</v>
      </c>
      <c r="F5515" s="3">
        <v>0</v>
      </c>
      <c r="G5515" s="3">
        <v>6402.65</v>
      </c>
    </row>
    <row r="5516" spans="1:7" x14ac:dyDescent="0.2">
      <c r="A5516" s="3" t="s">
        <v>1072</v>
      </c>
      <c r="B5516" s="4">
        <v>45323</v>
      </c>
      <c r="C5516" s="3" t="s">
        <v>1168</v>
      </c>
      <c r="D5516" s="3" t="s">
        <v>1504</v>
      </c>
      <c r="E5516" s="3" t="s">
        <v>1142</v>
      </c>
      <c r="F5516" s="3">
        <v>0</v>
      </c>
      <c r="G5516" s="3">
        <v>43074</v>
      </c>
    </row>
    <row r="5517" spans="1:7" x14ac:dyDescent="0.2">
      <c r="A5517" s="3" t="s">
        <v>1069</v>
      </c>
      <c r="B5517" s="4">
        <v>45323</v>
      </c>
      <c r="C5517" s="3" t="s">
        <v>1168</v>
      </c>
      <c r="D5517" s="3" t="s">
        <v>1251</v>
      </c>
      <c r="E5517" s="3" t="s">
        <v>1095</v>
      </c>
      <c r="F5517" s="3">
        <v>0</v>
      </c>
      <c r="G5517" s="3">
        <v>1290791.1399999999</v>
      </c>
    </row>
    <row r="5518" spans="1:7" x14ac:dyDescent="0.2">
      <c r="A5518" s="3" t="s">
        <v>1072</v>
      </c>
      <c r="B5518" s="4">
        <v>45323</v>
      </c>
      <c r="C5518" s="3" t="s">
        <v>1168</v>
      </c>
      <c r="D5518" s="3" t="s">
        <v>1348</v>
      </c>
      <c r="E5518" s="3" t="s">
        <v>1095</v>
      </c>
      <c r="F5518" s="3">
        <v>0</v>
      </c>
      <c r="G5518" s="3">
        <v>1361002.88</v>
      </c>
    </row>
    <row r="5519" spans="1:7" x14ac:dyDescent="0.2">
      <c r="A5519" s="3" t="s">
        <v>1069</v>
      </c>
      <c r="B5519" s="4">
        <v>45323</v>
      </c>
      <c r="C5519" s="3" t="s">
        <v>1168</v>
      </c>
      <c r="D5519" s="3" t="s">
        <v>1252</v>
      </c>
      <c r="E5519" s="3" t="s">
        <v>1120</v>
      </c>
      <c r="F5519" s="3">
        <v>0</v>
      </c>
      <c r="G5519" s="3">
        <v>26300</v>
      </c>
    </row>
    <row r="5520" spans="1:7" x14ac:dyDescent="0.2">
      <c r="A5520" s="3" t="s">
        <v>1074</v>
      </c>
      <c r="B5520" s="4">
        <v>45323</v>
      </c>
      <c r="C5520" s="3" t="s">
        <v>1168</v>
      </c>
      <c r="D5520" s="3" t="s">
        <v>1252</v>
      </c>
      <c r="E5520" s="3" t="s">
        <v>1120</v>
      </c>
      <c r="F5520" s="3">
        <v>0</v>
      </c>
      <c r="G5520" s="3">
        <v>76750</v>
      </c>
    </row>
    <row r="5521" spans="1:7" x14ac:dyDescent="0.2">
      <c r="A5521" s="3" t="s">
        <v>1072</v>
      </c>
      <c r="B5521" s="4">
        <v>45323</v>
      </c>
      <c r="C5521" s="3" t="s">
        <v>1168</v>
      </c>
      <c r="D5521" s="3" t="s">
        <v>1349</v>
      </c>
      <c r="E5521" s="3" t="s">
        <v>1089</v>
      </c>
      <c r="F5521" s="3">
        <v>0</v>
      </c>
      <c r="G5521" s="3">
        <v>331.09</v>
      </c>
    </row>
    <row r="5522" spans="1:7" x14ac:dyDescent="0.2">
      <c r="A5522" s="3" t="s">
        <v>1072</v>
      </c>
      <c r="B5522" s="4">
        <v>45323</v>
      </c>
      <c r="C5522" s="3" t="s">
        <v>1168</v>
      </c>
      <c r="D5522" s="3" t="s">
        <v>1350</v>
      </c>
      <c r="E5522" s="3" t="s">
        <v>1115</v>
      </c>
      <c r="F5522" s="3">
        <v>0</v>
      </c>
      <c r="G5522" s="3">
        <v>41812.75</v>
      </c>
    </row>
    <row r="5523" spans="1:7" x14ac:dyDescent="0.2">
      <c r="A5523" s="3" t="s">
        <v>1072</v>
      </c>
      <c r="B5523" s="4">
        <v>45323</v>
      </c>
      <c r="C5523" s="3" t="s">
        <v>1168</v>
      </c>
      <c r="D5523" s="3" t="s">
        <v>1351</v>
      </c>
      <c r="E5523" s="3" t="s">
        <v>1096</v>
      </c>
      <c r="F5523" s="3">
        <v>0</v>
      </c>
      <c r="G5523" s="3">
        <v>11084.97</v>
      </c>
    </row>
    <row r="5524" spans="1:7" x14ac:dyDescent="0.2">
      <c r="A5524" s="3" t="s">
        <v>1072</v>
      </c>
      <c r="B5524" s="4">
        <v>45323</v>
      </c>
      <c r="C5524" s="3" t="s">
        <v>1168</v>
      </c>
      <c r="D5524" s="3" t="s">
        <v>1474</v>
      </c>
      <c r="E5524" s="3" t="s">
        <v>1114</v>
      </c>
      <c r="F5524" s="3">
        <v>0</v>
      </c>
      <c r="G5524" s="3">
        <v>6024.45</v>
      </c>
    </row>
    <row r="5525" spans="1:7" x14ac:dyDescent="0.2">
      <c r="A5525" s="3" t="s">
        <v>1069</v>
      </c>
      <c r="B5525" s="4">
        <v>45323</v>
      </c>
      <c r="C5525" s="3" t="s">
        <v>1168</v>
      </c>
      <c r="D5525" s="3" t="s">
        <v>1229</v>
      </c>
      <c r="E5525" s="3" t="s">
        <v>1136</v>
      </c>
      <c r="F5525" s="3">
        <v>0</v>
      </c>
      <c r="G5525" s="3">
        <v>223859.69</v>
      </c>
    </row>
    <row r="5526" spans="1:7" x14ac:dyDescent="0.2">
      <c r="A5526" s="3" t="s">
        <v>1072</v>
      </c>
      <c r="B5526" s="4">
        <v>45323</v>
      </c>
      <c r="C5526" s="3" t="s">
        <v>1168</v>
      </c>
      <c r="D5526" s="3" t="s">
        <v>1229</v>
      </c>
      <c r="E5526" s="3" t="s">
        <v>1106</v>
      </c>
      <c r="F5526" s="3">
        <v>0</v>
      </c>
      <c r="G5526" s="3">
        <v>60974.720000000001</v>
      </c>
    </row>
    <row r="5527" spans="1:7" x14ac:dyDescent="0.2">
      <c r="A5527" s="3" t="s">
        <v>1069</v>
      </c>
      <c r="B5527" s="4">
        <v>45323</v>
      </c>
      <c r="C5527" s="3" t="s">
        <v>1168</v>
      </c>
      <c r="D5527" s="3" t="s">
        <v>1230</v>
      </c>
      <c r="E5527" s="3" t="s">
        <v>1109</v>
      </c>
      <c r="F5527" s="3">
        <v>0</v>
      </c>
      <c r="G5527" s="3">
        <v>94012.1</v>
      </c>
    </row>
    <row r="5528" spans="1:7" x14ac:dyDescent="0.2">
      <c r="A5528" s="3" t="s">
        <v>1074</v>
      </c>
      <c r="B5528" s="4">
        <v>45323</v>
      </c>
      <c r="C5528" s="3" t="s">
        <v>1168</v>
      </c>
      <c r="D5528" s="3" t="s">
        <v>1230</v>
      </c>
      <c r="E5528" s="3" t="s">
        <v>1077</v>
      </c>
      <c r="F5528" s="3">
        <v>752.09</v>
      </c>
      <c r="G5528" s="3">
        <v>771.73</v>
      </c>
    </row>
    <row r="5529" spans="1:7" x14ac:dyDescent="0.2">
      <c r="A5529" s="3" t="s">
        <v>1069</v>
      </c>
      <c r="B5529" s="4">
        <v>45323</v>
      </c>
      <c r="C5529" s="3" t="s">
        <v>1168</v>
      </c>
      <c r="D5529" s="3" t="s">
        <v>1564</v>
      </c>
      <c r="E5529" s="3" t="s">
        <v>1101</v>
      </c>
      <c r="F5529" s="3">
        <v>0</v>
      </c>
      <c r="G5529" s="3">
        <v>46978.37</v>
      </c>
    </row>
    <row r="5530" spans="1:7" x14ac:dyDescent="0.2">
      <c r="A5530" s="3" t="s">
        <v>1069</v>
      </c>
      <c r="B5530" s="4">
        <v>45323</v>
      </c>
      <c r="C5530" s="3" t="s">
        <v>1168</v>
      </c>
      <c r="D5530" s="3" t="s">
        <v>1196</v>
      </c>
      <c r="E5530" s="3" t="s">
        <v>1131</v>
      </c>
      <c r="F5530" s="3">
        <v>0</v>
      </c>
      <c r="G5530" s="3">
        <v>39.47</v>
      </c>
    </row>
    <row r="5531" spans="1:7" x14ac:dyDescent="0.2">
      <c r="A5531" s="3" t="s">
        <v>1069</v>
      </c>
      <c r="B5531" s="4">
        <v>45323</v>
      </c>
      <c r="C5531" s="3" t="s">
        <v>1168</v>
      </c>
      <c r="D5531" s="3" t="s">
        <v>1663</v>
      </c>
      <c r="E5531" s="3" t="s">
        <v>1082</v>
      </c>
      <c r="F5531" s="3">
        <v>0</v>
      </c>
      <c r="G5531" s="3">
        <v>3156.51</v>
      </c>
    </row>
    <row r="5532" spans="1:7" x14ac:dyDescent="0.2">
      <c r="A5532" s="3" t="s">
        <v>1072</v>
      </c>
      <c r="B5532" s="4">
        <v>45323</v>
      </c>
      <c r="C5532" s="3" t="s">
        <v>1168</v>
      </c>
      <c r="D5532" s="3" t="s">
        <v>1759</v>
      </c>
      <c r="E5532" s="3" t="s">
        <v>1760</v>
      </c>
      <c r="F5532" s="3">
        <v>0</v>
      </c>
      <c r="G5532" s="3">
        <v>105</v>
      </c>
    </row>
    <row r="5533" spans="1:7" x14ac:dyDescent="0.2">
      <c r="A5533" s="3" t="s">
        <v>1069</v>
      </c>
      <c r="B5533" s="4">
        <v>45323</v>
      </c>
      <c r="C5533" s="3" t="s">
        <v>1168</v>
      </c>
      <c r="D5533" s="3" t="s">
        <v>1544</v>
      </c>
      <c r="E5533" s="3" t="s">
        <v>1159</v>
      </c>
      <c r="F5533" s="3">
        <v>15124.94</v>
      </c>
      <c r="G5533" s="3">
        <v>132571.96</v>
      </c>
    </row>
    <row r="5534" spans="1:7" x14ac:dyDescent="0.2">
      <c r="A5534" s="3" t="s">
        <v>1072</v>
      </c>
      <c r="B5534" s="4">
        <v>45323</v>
      </c>
      <c r="C5534" s="3" t="s">
        <v>1168</v>
      </c>
      <c r="D5534" s="3" t="s">
        <v>1354</v>
      </c>
      <c r="E5534" s="3" t="s">
        <v>1078</v>
      </c>
      <c r="F5534" s="3">
        <v>2828.34</v>
      </c>
      <c r="G5534" s="3">
        <v>27607.83</v>
      </c>
    </row>
    <row r="5535" spans="1:7" x14ac:dyDescent="0.2">
      <c r="A5535" s="3" t="s">
        <v>1072</v>
      </c>
      <c r="B5535" s="4">
        <v>45323</v>
      </c>
      <c r="C5535" s="3" t="s">
        <v>1168</v>
      </c>
      <c r="D5535" s="3" t="s">
        <v>1709</v>
      </c>
      <c r="E5535" s="3" t="s">
        <v>1081</v>
      </c>
      <c r="F5535" s="3">
        <v>0</v>
      </c>
      <c r="G5535" s="3">
        <v>24242.76</v>
      </c>
    </row>
    <row r="5536" spans="1:7" x14ac:dyDescent="0.2">
      <c r="A5536" s="3" t="s">
        <v>1069</v>
      </c>
      <c r="B5536" s="4">
        <v>45323</v>
      </c>
      <c r="C5536" s="3" t="s">
        <v>1168</v>
      </c>
      <c r="D5536" s="3" t="s">
        <v>1456</v>
      </c>
      <c r="E5536" s="3" t="s">
        <v>1457</v>
      </c>
      <c r="F5536" s="3">
        <v>0</v>
      </c>
      <c r="G5536" s="3">
        <v>-533.79999999999995</v>
      </c>
    </row>
    <row r="5537" spans="1:7" x14ac:dyDescent="0.2">
      <c r="A5537" s="3" t="s">
        <v>1069</v>
      </c>
      <c r="B5537" s="4">
        <v>45323</v>
      </c>
      <c r="C5537" s="3" t="s">
        <v>1168</v>
      </c>
      <c r="D5537" s="3" t="s">
        <v>1565</v>
      </c>
      <c r="E5537" s="3" t="s">
        <v>1566</v>
      </c>
      <c r="F5537" s="3">
        <v>0</v>
      </c>
      <c r="G5537" s="3">
        <v>167246.17000000001</v>
      </c>
    </row>
    <row r="5538" spans="1:7" x14ac:dyDescent="0.2">
      <c r="A5538" s="3" t="s">
        <v>1069</v>
      </c>
      <c r="B5538" s="4">
        <v>45323</v>
      </c>
      <c r="C5538" s="3" t="s">
        <v>1168</v>
      </c>
      <c r="D5538" s="3" t="s">
        <v>1567</v>
      </c>
      <c r="E5538" s="3" t="s">
        <v>1568</v>
      </c>
      <c r="F5538" s="3">
        <v>0</v>
      </c>
      <c r="G5538" s="3">
        <v>72942.48</v>
      </c>
    </row>
    <row r="5539" spans="1:7" x14ac:dyDescent="0.2">
      <c r="A5539" s="3" t="s">
        <v>1069</v>
      </c>
      <c r="B5539" s="4">
        <v>45323</v>
      </c>
      <c r="C5539" s="3" t="s">
        <v>1168</v>
      </c>
      <c r="D5539" s="3" t="s">
        <v>1569</v>
      </c>
      <c r="E5539" s="3" t="s">
        <v>1570</v>
      </c>
      <c r="F5539" s="3">
        <v>0</v>
      </c>
      <c r="G5539" s="3">
        <v>44124.67</v>
      </c>
    </row>
    <row r="5540" spans="1:7" x14ac:dyDescent="0.2">
      <c r="A5540" s="3" t="s">
        <v>1069</v>
      </c>
      <c r="B5540" s="4">
        <v>45323</v>
      </c>
      <c r="C5540" s="3" t="s">
        <v>1168</v>
      </c>
      <c r="D5540" s="3" t="s">
        <v>1608</v>
      </c>
      <c r="E5540" s="3" t="s">
        <v>1609</v>
      </c>
      <c r="F5540" s="3">
        <v>0</v>
      </c>
      <c r="G5540" s="3">
        <v>11678.33</v>
      </c>
    </row>
    <row r="5541" spans="1:7" x14ac:dyDescent="0.2">
      <c r="A5541" s="3" t="s">
        <v>1074</v>
      </c>
      <c r="B5541" s="4">
        <v>45323</v>
      </c>
      <c r="C5541" s="3" t="s">
        <v>1168</v>
      </c>
      <c r="D5541" s="3" t="s">
        <v>1608</v>
      </c>
      <c r="E5541" s="3" t="s">
        <v>1609</v>
      </c>
      <c r="F5541" s="3">
        <v>4217.51</v>
      </c>
      <c r="G5541" s="3">
        <v>16145.22</v>
      </c>
    </row>
    <row r="5542" spans="1:7" x14ac:dyDescent="0.2">
      <c r="A5542" s="3" t="s">
        <v>1069</v>
      </c>
      <c r="B5542" s="4">
        <v>45323</v>
      </c>
      <c r="C5542" s="3" t="s">
        <v>1168</v>
      </c>
      <c r="D5542" s="3" t="s">
        <v>1627</v>
      </c>
      <c r="E5542" s="3" t="s">
        <v>1628</v>
      </c>
      <c r="F5542" s="3">
        <v>0</v>
      </c>
      <c r="G5542" s="3">
        <v>1252.24</v>
      </c>
    </row>
    <row r="5543" spans="1:7" x14ac:dyDescent="0.2">
      <c r="A5543" s="3" t="s">
        <v>1074</v>
      </c>
      <c r="B5543" s="4">
        <v>45323</v>
      </c>
      <c r="C5543" s="3" t="s">
        <v>1168</v>
      </c>
      <c r="D5543" s="3" t="s">
        <v>1627</v>
      </c>
      <c r="E5543" s="3" t="s">
        <v>1628</v>
      </c>
      <c r="F5543" s="3">
        <v>143.84</v>
      </c>
      <c r="G5543" s="3">
        <v>31152.74</v>
      </c>
    </row>
    <row r="5544" spans="1:7" x14ac:dyDescent="0.2">
      <c r="A5544" s="3" t="s">
        <v>1069</v>
      </c>
      <c r="B5544" s="4">
        <v>45323</v>
      </c>
      <c r="C5544" s="3" t="s">
        <v>1168</v>
      </c>
      <c r="D5544" s="3" t="s">
        <v>1693</v>
      </c>
      <c r="E5544" s="3" t="s">
        <v>1694</v>
      </c>
      <c r="F5544" s="3">
        <v>0</v>
      </c>
      <c r="G5544" s="3">
        <v>5515.07</v>
      </c>
    </row>
    <row r="5545" spans="1:7" x14ac:dyDescent="0.2">
      <c r="A5545" s="3" t="s">
        <v>1074</v>
      </c>
      <c r="B5545" s="4">
        <v>45323</v>
      </c>
      <c r="C5545" s="3" t="s">
        <v>1168</v>
      </c>
      <c r="D5545" s="3" t="s">
        <v>1693</v>
      </c>
      <c r="E5545" s="3" t="s">
        <v>1694</v>
      </c>
      <c r="F5545" s="3">
        <v>0</v>
      </c>
      <c r="G5545" s="3">
        <v>33734.300000000003</v>
      </c>
    </row>
    <row r="5546" spans="1:7" x14ac:dyDescent="0.2">
      <c r="A5546" s="3" t="s">
        <v>1069</v>
      </c>
      <c r="B5546" s="4">
        <v>45323</v>
      </c>
      <c r="C5546" s="3" t="s">
        <v>1168</v>
      </c>
      <c r="D5546" s="3" t="s">
        <v>1695</v>
      </c>
      <c r="E5546" s="3" t="s">
        <v>1696</v>
      </c>
      <c r="F5546" s="3">
        <v>0</v>
      </c>
      <c r="G5546" s="3">
        <v>591.78</v>
      </c>
    </row>
    <row r="5547" spans="1:7" x14ac:dyDescent="0.2">
      <c r="A5547" s="3" t="s">
        <v>1074</v>
      </c>
      <c r="B5547" s="4">
        <v>45323</v>
      </c>
      <c r="C5547" s="3" t="s">
        <v>1168</v>
      </c>
      <c r="D5547" s="3" t="s">
        <v>1695</v>
      </c>
      <c r="E5547" s="3" t="s">
        <v>1696</v>
      </c>
      <c r="F5547" s="3">
        <v>0</v>
      </c>
      <c r="G5547" s="3">
        <v>69137.8</v>
      </c>
    </row>
    <row r="5548" spans="1:7" x14ac:dyDescent="0.2">
      <c r="A5548" s="3" t="s">
        <v>1074</v>
      </c>
      <c r="B5548" s="4">
        <v>45323</v>
      </c>
      <c r="C5548" s="3" t="s">
        <v>1168</v>
      </c>
      <c r="D5548" s="3" t="s">
        <v>1650</v>
      </c>
      <c r="E5548" s="3" t="s">
        <v>1651</v>
      </c>
      <c r="F5548" s="3">
        <v>1909.93</v>
      </c>
      <c r="G5548" s="3">
        <v>4447.83</v>
      </c>
    </row>
    <row r="5549" spans="1:7" x14ac:dyDescent="0.2">
      <c r="A5549" s="3" t="s">
        <v>1074</v>
      </c>
      <c r="B5549" s="4">
        <v>45323</v>
      </c>
      <c r="C5549" s="3" t="s">
        <v>1168</v>
      </c>
      <c r="D5549" s="3" t="s">
        <v>1710</v>
      </c>
      <c r="E5549" s="3" t="s">
        <v>1711</v>
      </c>
      <c r="F5549" s="3">
        <v>3821.92</v>
      </c>
      <c r="G5549" s="3">
        <v>9531.51</v>
      </c>
    </row>
    <row r="5550" spans="1:7" x14ac:dyDescent="0.2">
      <c r="A5550" s="3" t="s">
        <v>1074</v>
      </c>
      <c r="B5550" s="4">
        <v>45323</v>
      </c>
      <c r="C5550" s="3" t="s">
        <v>1168</v>
      </c>
      <c r="D5550" s="3" t="s">
        <v>1712</v>
      </c>
      <c r="E5550" s="3" t="s">
        <v>1713</v>
      </c>
      <c r="F5550" s="3">
        <v>0</v>
      </c>
      <c r="G5550" s="3">
        <v>19334.38</v>
      </c>
    </row>
    <row r="5551" spans="1:7" x14ac:dyDescent="0.2">
      <c r="A5551" s="3" t="s">
        <v>1074</v>
      </c>
      <c r="B5551" s="4">
        <v>45323</v>
      </c>
      <c r="C5551" s="3" t="s">
        <v>1168</v>
      </c>
      <c r="D5551" s="3" t="s">
        <v>1719</v>
      </c>
      <c r="E5551" s="3" t="s">
        <v>1720</v>
      </c>
      <c r="F5551" s="3">
        <v>0</v>
      </c>
      <c r="G5551" s="3">
        <v>9131.51</v>
      </c>
    </row>
    <row r="5552" spans="1:7" x14ac:dyDescent="0.2">
      <c r="A5552" s="3" t="s">
        <v>1069</v>
      </c>
      <c r="B5552" s="4">
        <v>45323</v>
      </c>
      <c r="C5552" s="3" t="s">
        <v>1168</v>
      </c>
      <c r="D5552" s="3" t="s">
        <v>1571</v>
      </c>
      <c r="E5552" s="3" t="s">
        <v>1572</v>
      </c>
      <c r="F5552" s="3">
        <v>0</v>
      </c>
      <c r="G5552" s="3">
        <v>400367.2</v>
      </c>
    </row>
    <row r="5553" spans="1:7" x14ac:dyDescent="0.2">
      <c r="A5553" s="3" t="s">
        <v>1074</v>
      </c>
      <c r="B5553" s="4">
        <v>45323</v>
      </c>
      <c r="C5553" s="3" t="s">
        <v>1168</v>
      </c>
      <c r="D5553" s="3" t="s">
        <v>1571</v>
      </c>
      <c r="E5553" s="3" t="s">
        <v>1572</v>
      </c>
      <c r="F5553" s="3">
        <v>70767.12</v>
      </c>
      <c r="G5553" s="3">
        <v>754665.75</v>
      </c>
    </row>
    <row r="5554" spans="1:7" x14ac:dyDescent="0.2">
      <c r="A5554" s="3" t="s">
        <v>1069</v>
      </c>
      <c r="B5554" s="4">
        <v>45323</v>
      </c>
      <c r="C5554" s="3" t="s">
        <v>1168</v>
      </c>
      <c r="D5554" s="3" t="s">
        <v>1573</v>
      </c>
      <c r="E5554" s="3" t="s">
        <v>1574</v>
      </c>
      <c r="F5554" s="3">
        <v>0</v>
      </c>
      <c r="G5554" s="3">
        <v>333349.31</v>
      </c>
    </row>
    <row r="5555" spans="1:7" x14ac:dyDescent="0.2">
      <c r="A5555" s="3" t="s">
        <v>1069</v>
      </c>
      <c r="B5555" s="4">
        <v>45323</v>
      </c>
      <c r="C5555" s="3" t="s">
        <v>1168</v>
      </c>
      <c r="D5555" s="3" t="s">
        <v>1629</v>
      </c>
      <c r="E5555" s="3" t="s">
        <v>1630</v>
      </c>
      <c r="F5555" s="3">
        <v>0</v>
      </c>
      <c r="G5555" s="3">
        <v>47473.98</v>
      </c>
    </row>
    <row r="5556" spans="1:7" x14ac:dyDescent="0.2">
      <c r="A5556" s="3" t="s">
        <v>1074</v>
      </c>
      <c r="B5556" s="4">
        <v>45323</v>
      </c>
      <c r="C5556" s="3" t="s">
        <v>1168</v>
      </c>
      <c r="D5556" s="3" t="s">
        <v>1629</v>
      </c>
      <c r="E5556" s="3" t="s">
        <v>1630</v>
      </c>
      <c r="F5556" s="3">
        <v>0</v>
      </c>
      <c r="G5556" s="3">
        <v>273806.02</v>
      </c>
    </row>
    <row r="5557" spans="1:7" x14ac:dyDescent="0.2">
      <c r="A5557" s="3" t="s">
        <v>1069</v>
      </c>
      <c r="B5557" s="4">
        <v>45323</v>
      </c>
      <c r="C5557" s="3" t="s">
        <v>1168</v>
      </c>
      <c r="D5557" s="3" t="s">
        <v>1575</v>
      </c>
      <c r="E5557" s="3" t="s">
        <v>1576</v>
      </c>
      <c r="F5557" s="3">
        <v>0</v>
      </c>
      <c r="G5557" s="3">
        <v>3197167.68</v>
      </c>
    </row>
    <row r="5558" spans="1:7" x14ac:dyDescent="0.2">
      <c r="A5558" s="3" t="s">
        <v>1074</v>
      </c>
      <c r="B5558" s="4">
        <v>45323</v>
      </c>
      <c r="C5558" s="3" t="s">
        <v>1168</v>
      </c>
      <c r="D5558" s="3" t="s">
        <v>1575</v>
      </c>
      <c r="E5558" s="3" t="s">
        <v>1576</v>
      </c>
      <c r="F5558" s="3">
        <v>170952</v>
      </c>
      <c r="G5558" s="3">
        <v>3094577.72</v>
      </c>
    </row>
    <row r="5559" spans="1:7" x14ac:dyDescent="0.2">
      <c r="A5559" s="3" t="s">
        <v>1072</v>
      </c>
      <c r="B5559" s="4">
        <v>45323</v>
      </c>
      <c r="C5559" s="3" t="s">
        <v>1168</v>
      </c>
      <c r="D5559" s="3" t="s">
        <v>1671</v>
      </c>
      <c r="E5559" s="3" t="s">
        <v>1119</v>
      </c>
      <c r="F5559" s="3">
        <v>0</v>
      </c>
      <c r="G5559" s="3">
        <v>5202.88</v>
      </c>
    </row>
    <row r="5560" spans="1:7" x14ac:dyDescent="0.2">
      <c r="A5560" s="3" t="s">
        <v>1074</v>
      </c>
      <c r="B5560" s="4">
        <v>45323</v>
      </c>
      <c r="C5560" s="3" t="s">
        <v>1168</v>
      </c>
      <c r="D5560" s="3" t="s">
        <v>1746</v>
      </c>
      <c r="E5560" s="3" t="s">
        <v>1134</v>
      </c>
      <c r="F5560" s="3">
        <v>0</v>
      </c>
      <c r="G5560" s="3">
        <v>66011.509999999995</v>
      </c>
    </row>
    <row r="5561" spans="1:7" x14ac:dyDescent="0.2">
      <c r="A5561" s="3" t="s">
        <v>1074</v>
      </c>
      <c r="B5561" s="4">
        <v>45323</v>
      </c>
      <c r="C5561" s="3" t="s">
        <v>1168</v>
      </c>
      <c r="D5561" s="3" t="s">
        <v>1721</v>
      </c>
      <c r="E5561" s="3" t="s">
        <v>1152</v>
      </c>
      <c r="F5561" s="3">
        <v>5189</v>
      </c>
      <c r="G5561" s="3">
        <v>10049.540000000001</v>
      </c>
    </row>
    <row r="5562" spans="1:7" x14ac:dyDescent="0.2">
      <c r="A5562" s="3" t="s">
        <v>1069</v>
      </c>
      <c r="B5562" s="4">
        <v>45323</v>
      </c>
      <c r="C5562" s="3" t="s">
        <v>1168</v>
      </c>
      <c r="D5562" s="3" t="s">
        <v>1684</v>
      </c>
      <c r="E5562" s="3" t="s">
        <v>1102</v>
      </c>
      <c r="F5562" s="3">
        <v>0</v>
      </c>
      <c r="G5562" s="3">
        <v>76865.83</v>
      </c>
    </row>
    <row r="5563" spans="1:7" x14ac:dyDescent="0.2">
      <c r="A5563" s="3" t="s">
        <v>1069</v>
      </c>
      <c r="B5563" s="4">
        <v>45323</v>
      </c>
      <c r="C5563" s="3" t="s">
        <v>1168</v>
      </c>
      <c r="D5563" s="3" t="s">
        <v>1722</v>
      </c>
      <c r="E5563" s="3" t="s">
        <v>1116</v>
      </c>
      <c r="F5563" s="3">
        <v>96.6</v>
      </c>
      <c r="G5563" s="3">
        <v>28169.52</v>
      </c>
    </row>
    <row r="5564" spans="1:7" x14ac:dyDescent="0.2">
      <c r="A5564" s="3" t="s">
        <v>1074</v>
      </c>
      <c r="B5564" s="4">
        <v>45323</v>
      </c>
      <c r="C5564" s="3" t="s">
        <v>1168</v>
      </c>
      <c r="D5564" s="3" t="s">
        <v>1747</v>
      </c>
      <c r="E5564" s="3" t="s">
        <v>1133</v>
      </c>
      <c r="F5564" s="3">
        <v>0</v>
      </c>
      <c r="G5564" s="3">
        <v>11879.1</v>
      </c>
    </row>
    <row r="5565" spans="1:7" x14ac:dyDescent="0.2">
      <c r="A5565" s="3" t="s">
        <v>1074</v>
      </c>
      <c r="B5565" s="4">
        <v>45323</v>
      </c>
      <c r="C5565" s="3" t="s">
        <v>1168</v>
      </c>
      <c r="D5565" s="3" t="s">
        <v>1549</v>
      </c>
      <c r="E5565" s="3" t="s">
        <v>1154</v>
      </c>
      <c r="F5565" s="3">
        <v>0</v>
      </c>
      <c r="G5565" s="3">
        <v>400000</v>
      </c>
    </row>
    <row r="5566" spans="1:7" x14ac:dyDescent="0.2">
      <c r="A5566" s="3" t="s">
        <v>1069</v>
      </c>
      <c r="B5566" s="4">
        <v>45323</v>
      </c>
      <c r="C5566" s="3" t="s">
        <v>1168</v>
      </c>
      <c r="D5566" s="3" t="s">
        <v>1253</v>
      </c>
      <c r="E5566" s="3" t="s">
        <v>1103</v>
      </c>
      <c r="F5566" s="3">
        <v>0</v>
      </c>
      <c r="G5566" s="3">
        <v>128656.07</v>
      </c>
    </row>
    <row r="5567" spans="1:7" x14ac:dyDescent="0.2">
      <c r="A5567" s="3" t="s">
        <v>1072</v>
      </c>
      <c r="B5567" s="4">
        <v>45323</v>
      </c>
      <c r="C5567" s="3" t="s">
        <v>1168</v>
      </c>
      <c r="D5567" s="3" t="s">
        <v>1672</v>
      </c>
      <c r="E5567" s="3" t="s">
        <v>1097</v>
      </c>
      <c r="F5567" s="3">
        <v>0</v>
      </c>
      <c r="G5567" s="3">
        <v>362</v>
      </c>
    </row>
    <row r="5568" spans="1:7" x14ac:dyDescent="0.2">
      <c r="A5568" s="3" t="s">
        <v>1069</v>
      </c>
      <c r="B5568" s="4">
        <v>45323</v>
      </c>
      <c r="C5568" s="3" t="s">
        <v>1168</v>
      </c>
      <c r="D5568" s="3" t="s">
        <v>1672</v>
      </c>
      <c r="E5568" s="3" t="s">
        <v>1097</v>
      </c>
      <c r="F5568" s="3">
        <v>0</v>
      </c>
      <c r="G5568" s="3">
        <v>20</v>
      </c>
    </row>
    <row r="5569" spans="1:7" x14ac:dyDescent="0.2">
      <c r="A5569" s="3" t="s">
        <v>1072</v>
      </c>
      <c r="B5569" s="4">
        <v>45323</v>
      </c>
      <c r="C5569" s="3" t="s">
        <v>1168</v>
      </c>
      <c r="D5569" s="3" t="s">
        <v>1357</v>
      </c>
      <c r="E5569" s="3" t="s">
        <v>1157</v>
      </c>
      <c r="F5569" s="3">
        <v>0</v>
      </c>
      <c r="G5569" s="3">
        <v>40495.31</v>
      </c>
    </row>
    <row r="5570" spans="1:7" x14ac:dyDescent="0.2">
      <c r="A5570" s="3" t="s">
        <v>1072</v>
      </c>
      <c r="B5570" s="4">
        <v>45323</v>
      </c>
      <c r="C5570" s="3" t="s">
        <v>1168</v>
      </c>
      <c r="D5570" s="3" t="s">
        <v>1358</v>
      </c>
      <c r="E5570" s="3" t="s">
        <v>1122</v>
      </c>
      <c r="F5570" s="3">
        <v>0</v>
      </c>
      <c r="G5570" s="3">
        <v>3668.3</v>
      </c>
    </row>
    <row r="5571" spans="1:7" x14ac:dyDescent="0.2">
      <c r="A5571" s="3" t="s">
        <v>1072</v>
      </c>
      <c r="B5571" s="4">
        <v>45323</v>
      </c>
      <c r="C5571" s="3" t="s">
        <v>1168</v>
      </c>
      <c r="D5571" s="3" t="s">
        <v>1359</v>
      </c>
      <c r="E5571" s="3" t="s">
        <v>1086</v>
      </c>
      <c r="F5571" s="3">
        <v>0</v>
      </c>
      <c r="G5571" s="3">
        <v>1069</v>
      </c>
    </row>
    <row r="5572" spans="1:7" x14ac:dyDescent="0.2">
      <c r="A5572" s="3" t="s">
        <v>1072</v>
      </c>
      <c r="B5572" s="4">
        <v>45323</v>
      </c>
      <c r="C5572" s="3" t="s">
        <v>1168</v>
      </c>
      <c r="D5572" s="3" t="s">
        <v>1201</v>
      </c>
      <c r="E5572" s="3" t="s">
        <v>1112</v>
      </c>
      <c r="F5572" s="3">
        <v>0</v>
      </c>
      <c r="G5572" s="3">
        <v>45147.94</v>
      </c>
    </row>
    <row r="5573" spans="1:7" x14ac:dyDescent="0.2">
      <c r="A5573" s="3" t="s">
        <v>1072</v>
      </c>
      <c r="B5573" s="4">
        <v>45323</v>
      </c>
      <c r="C5573" s="3" t="s">
        <v>1168</v>
      </c>
      <c r="D5573" s="3" t="s">
        <v>1360</v>
      </c>
      <c r="E5573" s="3" t="s">
        <v>1098</v>
      </c>
      <c r="F5573" s="3">
        <v>751.46</v>
      </c>
      <c r="G5573" s="3">
        <v>24440.97</v>
      </c>
    </row>
    <row r="5574" spans="1:7" x14ac:dyDescent="0.2">
      <c r="A5574" s="3" t="s">
        <v>1072</v>
      </c>
      <c r="B5574" s="4">
        <v>45323</v>
      </c>
      <c r="C5574" s="3" t="s">
        <v>1168</v>
      </c>
      <c r="D5574" s="3" t="s">
        <v>1361</v>
      </c>
      <c r="E5574" s="3" t="s">
        <v>1121</v>
      </c>
      <c r="F5574" s="3">
        <v>31820</v>
      </c>
      <c r="G5574" s="3">
        <v>364080</v>
      </c>
    </row>
    <row r="5575" spans="1:7" x14ac:dyDescent="0.2">
      <c r="A5575" s="3" t="s">
        <v>1072</v>
      </c>
      <c r="B5575" s="4">
        <v>45323</v>
      </c>
      <c r="C5575" s="3" t="s">
        <v>1168</v>
      </c>
      <c r="D5575" s="3" t="s">
        <v>1231</v>
      </c>
      <c r="E5575" s="3" t="s">
        <v>1083</v>
      </c>
      <c r="F5575" s="3">
        <v>989.75</v>
      </c>
      <c r="G5575" s="3">
        <v>28332.880000000001</v>
      </c>
    </row>
    <row r="5576" spans="1:7" x14ac:dyDescent="0.2">
      <c r="A5576" s="3" t="s">
        <v>1069</v>
      </c>
      <c r="B5576" s="4">
        <v>45323</v>
      </c>
      <c r="C5576" s="3" t="s">
        <v>1168</v>
      </c>
      <c r="D5576" s="3" t="s">
        <v>1231</v>
      </c>
      <c r="E5576" s="3" t="s">
        <v>1070</v>
      </c>
      <c r="F5576" s="3">
        <v>0</v>
      </c>
      <c r="G5576" s="3">
        <v>211633.66</v>
      </c>
    </row>
    <row r="5577" spans="1:7" x14ac:dyDescent="0.2">
      <c r="A5577" s="3" t="s">
        <v>1072</v>
      </c>
      <c r="B5577" s="4">
        <v>45323</v>
      </c>
      <c r="C5577" s="3" t="s">
        <v>1168</v>
      </c>
      <c r="D5577" s="3" t="s">
        <v>1254</v>
      </c>
      <c r="E5577" s="3" t="s">
        <v>1075</v>
      </c>
      <c r="F5577" s="3">
        <v>520</v>
      </c>
      <c r="G5577" s="3">
        <v>16626.12</v>
      </c>
    </row>
    <row r="5578" spans="1:7" x14ac:dyDescent="0.2">
      <c r="A5578" s="3" t="s">
        <v>1069</v>
      </c>
      <c r="B5578" s="4">
        <v>45323</v>
      </c>
      <c r="C5578" s="3" t="s">
        <v>1168</v>
      </c>
      <c r="D5578" s="3" t="s">
        <v>1254</v>
      </c>
      <c r="E5578" s="3" t="s">
        <v>1075</v>
      </c>
      <c r="F5578" s="3">
        <v>0</v>
      </c>
      <c r="G5578" s="3">
        <v>34547.279999999999</v>
      </c>
    </row>
    <row r="5579" spans="1:7" x14ac:dyDescent="0.2">
      <c r="A5579" s="3" t="s">
        <v>1074</v>
      </c>
      <c r="B5579" s="4">
        <v>45323</v>
      </c>
      <c r="C5579" s="3" t="s">
        <v>1168</v>
      </c>
      <c r="D5579" s="3" t="s">
        <v>1254</v>
      </c>
      <c r="E5579" s="3" t="s">
        <v>1075</v>
      </c>
      <c r="F5579" s="3">
        <v>0</v>
      </c>
      <c r="G5579" s="3">
        <v>23147.119999999999</v>
      </c>
    </row>
    <row r="5580" spans="1:7" x14ac:dyDescent="0.2">
      <c r="A5580" s="3" t="s">
        <v>1072</v>
      </c>
      <c r="B5580" s="4">
        <v>45323</v>
      </c>
      <c r="C5580" s="3" t="s">
        <v>1168</v>
      </c>
      <c r="D5580" s="3" t="s">
        <v>1362</v>
      </c>
      <c r="E5580" s="3" t="s">
        <v>1123</v>
      </c>
      <c r="F5580" s="3">
        <v>0</v>
      </c>
      <c r="G5580" s="3">
        <v>4236868.55</v>
      </c>
    </row>
    <row r="5581" spans="1:7" x14ac:dyDescent="0.2">
      <c r="A5581" s="3" t="s">
        <v>1072</v>
      </c>
      <c r="B5581" s="4">
        <v>45323</v>
      </c>
      <c r="C5581" s="3" t="s">
        <v>1168</v>
      </c>
      <c r="D5581" s="3" t="s">
        <v>1365</v>
      </c>
      <c r="E5581" s="3" t="s">
        <v>1090</v>
      </c>
      <c r="F5581" s="3">
        <v>0</v>
      </c>
      <c r="G5581" s="3">
        <v>5192.13</v>
      </c>
    </row>
    <row r="5582" spans="1:7" x14ac:dyDescent="0.2">
      <c r="A5582" s="3" t="s">
        <v>1072</v>
      </c>
      <c r="B5582" s="4">
        <v>45323</v>
      </c>
      <c r="C5582" s="3" t="s">
        <v>1168</v>
      </c>
      <c r="D5582" s="3" t="s">
        <v>1511</v>
      </c>
      <c r="E5582" s="3" t="s">
        <v>1104</v>
      </c>
      <c r="F5582" s="3">
        <v>0</v>
      </c>
      <c r="G5582" s="3">
        <v>2005.99</v>
      </c>
    </row>
    <row r="5583" spans="1:7" x14ac:dyDescent="0.2">
      <c r="A5583" s="3" t="s">
        <v>1069</v>
      </c>
      <c r="B5583" s="4">
        <v>45323</v>
      </c>
      <c r="C5583" s="3" t="s">
        <v>1168</v>
      </c>
      <c r="D5583" s="3" t="s">
        <v>1366</v>
      </c>
      <c r="E5583" s="3" t="s">
        <v>1104</v>
      </c>
      <c r="F5583" s="3">
        <v>0</v>
      </c>
      <c r="G5583" s="3">
        <v>7198.71</v>
      </c>
    </row>
    <row r="5584" spans="1:7" x14ac:dyDescent="0.2">
      <c r="A5584" s="3" t="s">
        <v>1072</v>
      </c>
      <c r="B5584" s="4">
        <v>45323</v>
      </c>
      <c r="C5584" s="3" t="s">
        <v>1168</v>
      </c>
      <c r="D5584" s="3" t="s">
        <v>1366</v>
      </c>
      <c r="E5584" s="3" t="s">
        <v>1144</v>
      </c>
      <c r="F5584" s="3">
        <v>0</v>
      </c>
      <c r="G5584" s="3">
        <v>33441.99</v>
      </c>
    </row>
    <row r="5585" spans="1:7" x14ac:dyDescent="0.2">
      <c r="A5585" s="3" t="s">
        <v>1069</v>
      </c>
      <c r="B5585" s="4">
        <v>45323</v>
      </c>
      <c r="C5585" s="3" t="s">
        <v>1168</v>
      </c>
      <c r="D5585" s="3" t="s">
        <v>1213</v>
      </c>
      <c r="E5585" s="3" t="s">
        <v>1150</v>
      </c>
      <c r="F5585" s="3">
        <v>374.64</v>
      </c>
      <c r="G5585" s="3">
        <v>4676.3900000000003</v>
      </c>
    </row>
    <row r="5586" spans="1:7" x14ac:dyDescent="0.2">
      <c r="A5586" s="3" t="s">
        <v>1072</v>
      </c>
      <c r="B5586" s="4">
        <v>45323</v>
      </c>
      <c r="C5586" s="3" t="s">
        <v>1168</v>
      </c>
      <c r="D5586" s="3" t="s">
        <v>1367</v>
      </c>
      <c r="E5586" s="3" t="s">
        <v>1147</v>
      </c>
      <c r="F5586" s="3">
        <v>0</v>
      </c>
      <c r="G5586" s="3">
        <v>3452.7</v>
      </c>
    </row>
    <row r="5587" spans="1:7" x14ac:dyDescent="0.2">
      <c r="A5587" s="3" t="s">
        <v>1072</v>
      </c>
      <c r="B5587" s="4">
        <v>45323</v>
      </c>
      <c r="C5587" s="3" t="s">
        <v>1168</v>
      </c>
      <c r="D5587" s="3" t="s">
        <v>1368</v>
      </c>
      <c r="E5587" s="3" t="s">
        <v>1124</v>
      </c>
      <c r="F5587" s="3">
        <v>0</v>
      </c>
      <c r="G5587" s="3">
        <v>36787.25</v>
      </c>
    </row>
    <row r="5588" spans="1:7" x14ac:dyDescent="0.2">
      <c r="A5588" s="3" t="s">
        <v>1072</v>
      </c>
      <c r="B5588" s="4">
        <v>45323</v>
      </c>
      <c r="C5588" s="3" t="s">
        <v>1168</v>
      </c>
      <c r="D5588" s="3" t="s">
        <v>1369</v>
      </c>
      <c r="E5588" s="3" t="s">
        <v>1099</v>
      </c>
      <c r="F5588" s="3">
        <v>0</v>
      </c>
      <c r="G5588" s="3">
        <v>13527.97</v>
      </c>
    </row>
    <row r="5589" spans="1:7" x14ac:dyDescent="0.2">
      <c r="A5589" s="3" t="s">
        <v>1072</v>
      </c>
      <c r="B5589" s="4">
        <v>45323</v>
      </c>
      <c r="C5589" s="3" t="s">
        <v>1168</v>
      </c>
      <c r="D5589" s="3" t="s">
        <v>1370</v>
      </c>
      <c r="E5589" s="3" t="s">
        <v>1129</v>
      </c>
      <c r="F5589" s="3">
        <v>0</v>
      </c>
      <c r="G5589" s="3">
        <v>7470</v>
      </c>
    </row>
    <row r="5590" spans="1:7" x14ac:dyDescent="0.2">
      <c r="A5590" s="3" t="s">
        <v>1072</v>
      </c>
      <c r="B5590" s="4">
        <v>45323</v>
      </c>
      <c r="C5590" s="3" t="s">
        <v>1168</v>
      </c>
      <c r="D5590" s="3" t="s">
        <v>1371</v>
      </c>
      <c r="E5590" s="3" t="s">
        <v>1093</v>
      </c>
      <c r="F5590" s="3">
        <v>0</v>
      </c>
      <c r="G5590" s="3">
        <v>10825.49</v>
      </c>
    </row>
    <row r="5591" spans="1:7" x14ac:dyDescent="0.2">
      <c r="A5591" s="3" t="s">
        <v>1072</v>
      </c>
      <c r="B5591" s="4">
        <v>45323</v>
      </c>
      <c r="C5591" s="3" t="s">
        <v>1168</v>
      </c>
      <c r="D5591" s="3" t="s">
        <v>1372</v>
      </c>
      <c r="E5591" s="3" t="s">
        <v>1158</v>
      </c>
      <c r="F5591" s="3">
        <v>0</v>
      </c>
      <c r="G5591" s="3">
        <v>6600</v>
      </c>
    </row>
    <row r="5592" spans="1:7" x14ac:dyDescent="0.2">
      <c r="A5592" s="3" t="s">
        <v>1072</v>
      </c>
      <c r="B5592" s="4">
        <v>45323</v>
      </c>
      <c r="C5592" s="3" t="s">
        <v>1168</v>
      </c>
      <c r="D5592" s="3" t="s">
        <v>1373</v>
      </c>
      <c r="E5592" s="3" t="s">
        <v>1092</v>
      </c>
      <c r="F5592" s="3">
        <v>0</v>
      </c>
      <c r="G5592" s="3">
        <v>11063.41</v>
      </c>
    </row>
    <row r="5593" spans="1:7" x14ac:dyDescent="0.2">
      <c r="A5593" s="3" t="s">
        <v>1072</v>
      </c>
      <c r="B5593" s="4">
        <v>45323</v>
      </c>
      <c r="C5593" s="3" t="s">
        <v>1168</v>
      </c>
      <c r="D5593" s="3" t="s">
        <v>1737</v>
      </c>
      <c r="E5593" s="3" t="s">
        <v>1148</v>
      </c>
      <c r="F5593" s="3">
        <v>718.93</v>
      </c>
      <c r="G5593" s="3">
        <v>3594.65</v>
      </c>
    </row>
    <row r="5594" spans="1:7" x14ac:dyDescent="0.2">
      <c r="A5594" s="3" t="s">
        <v>1072</v>
      </c>
      <c r="B5594" s="4">
        <v>45323</v>
      </c>
      <c r="C5594" s="3" t="s">
        <v>1168</v>
      </c>
      <c r="D5594" s="3" t="s">
        <v>1714</v>
      </c>
      <c r="E5594" s="3" t="s">
        <v>1091</v>
      </c>
      <c r="F5594" s="3">
        <v>0</v>
      </c>
      <c r="G5594" s="3">
        <v>4498.72</v>
      </c>
    </row>
    <row r="5595" spans="1:7" x14ac:dyDescent="0.2">
      <c r="A5595" s="3" t="s">
        <v>1069</v>
      </c>
      <c r="B5595" s="4">
        <v>45323</v>
      </c>
      <c r="C5595" s="3" t="s">
        <v>1168</v>
      </c>
      <c r="D5595" s="3" t="s">
        <v>1232</v>
      </c>
      <c r="E5595" s="3" t="s">
        <v>1105</v>
      </c>
      <c r="F5595" s="3">
        <v>0</v>
      </c>
      <c r="G5595" s="3">
        <v>6600</v>
      </c>
    </row>
    <row r="5596" spans="1:7" x14ac:dyDescent="0.2">
      <c r="A5596" s="3" t="s">
        <v>1074</v>
      </c>
      <c r="B5596" s="4">
        <v>45323</v>
      </c>
      <c r="C5596" s="3" t="s">
        <v>1168</v>
      </c>
      <c r="D5596" s="3" t="s">
        <v>1232</v>
      </c>
      <c r="E5596" s="3" t="s">
        <v>1105</v>
      </c>
      <c r="F5596" s="3">
        <v>0</v>
      </c>
      <c r="G5596" s="3">
        <v>6600</v>
      </c>
    </row>
    <row r="5597" spans="1:7" x14ac:dyDescent="0.2">
      <c r="A5597" s="3" t="s">
        <v>1069</v>
      </c>
      <c r="B5597" s="4">
        <v>45323</v>
      </c>
      <c r="C5597" s="3" t="s">
        <v>1168</v>
      </c>
      <c r="D5597" s="3" t="s">
        <v>1262</v>
      </c>
      <c r="E5597" s="3" t="s">
        <v>1127</v>
      </c>
      <c r="F5597" s="3">
        <v>0</v>
      </c>
      <c r="G5597" s="3">
        <v>526.32000000000005</v>
      </c>
    </row>
    <row r="5598" spans="1:7" x14ac:dyDescent="0.2">
      <c r="A5598" s="3" t="s">
        <v>1072</v>
      </c>
      <c r="B5598" s="4">
        <v>45323</v>
      </c>
      <c r="C5598" s="3" t="s">
        <v>1168</v>
      </c>
      <c r="D5598" s="3" t="s">
        <v>1374</v>
      </c>
      <c r="E5598" s="3" t="s">
        <v>1108</v>
      </c>
      <c r="F5598" s="3">
        <v>0</v>
      </c>
      <c r="G5598" s="3">
        <v>4000</v>
      </c>
    </row>
    <row r="5599" spans="1:7" x14ac:dyDescent="0.2">
      <c r="A5599" s="3" t="s">
        <v>1072</v>
      </c>
      <c r="B5599" s="4">
        <v>45323</v>
      </c>
      <c r="C5599" s="3" t="s">
        <v>1168</v>
      </c>
      <c r="D5599" s="3" t="s">
        <v>1375</v>
      </c>
      <c r="E5599" s="3" t="s">
        <v>1100</v>
      </c>
      <c r="F5599" s="3">
        <v>0</v>
      </c>
      <c r="G5599" s="3">
        <v>11566.33</v>
      </c>
    </row>
    <row r="5600" spans="1:7" x14ac:dyDescent="0.2">
      <c r="A5600" s="3" t="s">
        <v>1072</v>
      </c>
      <c r="B5600" s="4">
        <v>45323</v>
      </c>
      <c r="C5600" s="3" t="s">
        <v>1168</v>
      </c>
      <c r="D5600" s="3" t="s">
        <v>1378</v>
      </c>
      <c r="E5600" s="3" t="s">
        <v>1143</v>
      </c>
      <c r="F5600" s="3">
        <v>0</v>
      </c>
      <c r="G5600" s="3">
        <v>944073.07</v>
      </c>
    </row>
    <row r="5601" spans="1:7" x14ac:dyDescent="0.2">
      <c r="A5601" s="3" t="s">
        <v>1072</v>
      </c>
      <c r="B5601" s="4">
        <v>45323</v>
      </c>
      <c r="C5601" s="3" t="s">
        <v>1168</v>
      </c>
      <c r="D5601" s="3" t="s">
        <v>1379</v>
      </c>
      <c r="E5601" s="3" t="s">
        <v>1107</v>
      </c>
      <c r="F5601" s="3">
        <v>0</v>
      </c>
      <c r="G5601" s="3">
        <v>50468.37</v>
      </c>
    </row>
    <row r="5602" spans="1:7" x14ac:dyDescent="0.2">
      <c r="A5602" s="3" t="s">
        <v>1072</v>
      </c>
      <c r="B5602" s="4">
        <v>45323</v>
      </c>
      <c r="C5602" s="3" t="s">
        <v>1168</v>
      </c>
      <c r="D5602" s="3" t="s">
        <v>1380</v>
      </c>
      <c r="E5602" s="3" t="s">
        <v>1125</v>
      </c>
      <c r="F5602" s="3">
        <v>0</v>
      </c>
      <c r="G5602" s="3">
        <v>28007.9</v>
      </c>
    </row>
    <row r="5603" spans="1:7" x14ac:dyDescent="0.2">
      <c r="A5603" s="3" t="s">
        <v>1072</v>
      </c>
      <c r="B5603" s="4">
        <v>45323</v>
      </c>
      <c r="C5603" s="3" t="s">
        <v>1168</v>
      </c>
      <c r="D5603" s="3" t="s">
        <v>1381</v>
      </c>
      <c r="E5603" s="3" t="s">
        <v>1130</v>
      </c>
      <c r="F5603" s="3">
        <v>0</v>
      </c>
      <c r="G5603" s="3">
        <v>28007.9</v>
      </c>
    </row>
    <row r="5604" spans="1:7" x14ac:dyDescent="0.2">
      <c r="A5604" s="3" t="s">
        <v>1072</v>
      </c>
      <c r="B5604" s="4">
        <v>45323</v>
      </c>
      <c r="C5604" s="3" t="s">
        <v>1168</v>
      </c>
      <c r="D5604" s="3" t="s">
        <v>1458</v>
      </c>
      <c r="E5604" s="3" t="s">
        <v>1113</v>
      </c>
      <c r="F5604" s="3">
        <v>0</v>
      </c>
      <c r="G5604" s="3">
        <v>15075.35</v>
      </c>
    </row>
    <row r="5605" spans="1:7" x14ac:dyDescent="0.2">
      <c r="A5605" s="3" t="s">
        <v>1072</v>
      </c>
      <c r="B5605" s="4">
        <v>45323</v>
      </c>
      <c r="C5605" s="3" t="s">
        <v>1168</v>
      </c>
      <c r="D5605" s="3" t="s">
        <v>1459</v>
      </c>
      <c r="E5605" s="3" t="s">
        <v>1139</v>
      </c>
      <c r="F5605" s="3">
        <v>0</v>
      </c>
      <c r="G5605" s="3">
        <v>4562.1000000000004</v>
      </c>
    </row>
    <row r="5606" spans="1:7" x14ac:dyDescent="0.2">
      <c r="A5606" s="3" t="s">
        <v>1069</v>
      </c>
      <c r="B5606" s="4">
        <v>45323</v>
      </c>
      <c r="C5606" s="3" t="s">
        <v>1172</v>
      </c>
      <c r="D5606" s="3" t="s">
        <v>1173</v>
      </c>
      <c r="E5606" s="3" t="s">
        <v>1174</v>
      </c>
      <c r="F5606" s="3">
        <v>0</v>
      </c>
      <c r="G5606" s="3">
        <v>-100</v>
      </c>
    </row>
    <row r="5607" spans="1:7" x14ac:dyDescent="0.2">
      <c r="A5607" s="3" t="s">
        <v>1072</v>
      </c>
      <c r="B5607" s="4">
        <v>45323</v>
      </c>
      <c r="C5607" s="3" t="s">
        <v>1172</v>
      </c>
      <c r="D5607" s="3" t="s">
        <v>1382</v>
      </c>
      <c r="E5607" s="3" t="s">
        <v>1383</v>
      </c>
      <c r="F5607" s="3">
        <v>0</v>
      </c>
      <c r="G5607" s="3">
        <v>-120</v>
      </c>
    </row>
    <row r="5608" spans="1:7" x14ac:dyDescent="0.2">
      <c r="A5608" s="3" t="s">
        <v>1072</v>
      </c>
      <c r="B5608" s="4">
        <v>45323</v>
      </c>
      <c r="C5608" s="3" t="s">
        <v>1172</v>
      </c>
      <c r="D5608" s="3" t="s">
        <v>1384</v>
      </c>
      <c r="E5608" s="3" t="s">
        <v>1385</v>
      </c>
      <c r="F5608" s="3">
        <v>0</v>
      </c>
      <c r="G5608" s="3">
        <v>-296075.58</v>
      </c>
    </row>
    <row r="5609" spans="1:7" x14ac:dyDescent="0.2">
      <c r="A5609" s="3" t="s">
        <v>1069</v>
      </c>
      <c r="B5609" s="4">
        <v>45323</v>
      </c>
      <c r="C5609" s="3" t="s">
        <v>1172</v>
      </c>
      <c r="D5609" s="3" t="s">
        <v>1384</v>
      </c>
      <c r="E5609" s="3" t="s">
        <v>1385</v>
      </c>
      <c r="F5609" s="3">
        <v>0</v>
      </c>
      <c r="G5609" s="3">
        <v>-17843179.579999998</v>
      </c>
    </row>
    <row r="5610" spans="1:7" x14ac:dyDescent="0.2">
      <c r="A5610" s="3" t="s">
        <v>1074</v>
      </c>
      <c r="B5610" s="4">
        <v>45323</v>
      </c>
      <c r="C5610" s="3" t="s">
        <v>1172</v>
      </c>
      <c r="D5610" s="3" t="s">
        <v>1384</v>
      </c>
      <c r="E5610" s="3" t="s">
        <v>1385</v>
      </c>
      <c r="F5610" s="3">
        <v>0</v>
      </c>
      <c r="G5610" s="3">
        <v>70398.12</v>
      </c>
    </row>
    <row r="5611" spans="1:7" x14ac:dyDescent="0.2">
      <c r="A5611" s="3" t="s">
        <v>1069</v>
      </c>
      <c r="B5611" s="4">
        <v>45323</v>
      </c>
      <c r="C5611" s="3" t="s">
        <v>1180</v>
      </c>
      <c r="D5611" s="3" t="s">
        <v>1241</v>
      </c>
      <c r="E5611" s="3" t="s">
        <v>1242</v>
      </c>
      <c r="F5611" s="3">
        <v>0</v>
      </c>
      <c r="G5611" s="3">
        <v>17562360.850000001</v>
      </c>
    </row>
    <row r="5612" spans="1:7" x14ac:dyDescent="0.2">
      <c r="A5612" s="3" t="s">
        <v>1069</v>
      </c>
      <c r="B5612" s="4">
        <v>45323</v>
      </c>
      <c r="C5612" s="3" t="s">
        <v>1180</v>
      </c>
      <c r="D5612" s="3" t="s">
        <v>1733</v>
      </c>
      <c r="E5612" s="3" t="s">
        <v>1734</v>
      </c>
      <c r="F5612" s="3">
        <v>0</v>
      </c>
      <c r="G5612" s="3">
        <v>13457359</v>
      </c>
    </row>
    <row r="5613" spans="1:7" x14ac:dyDescent="0.2">
      <c r="A5613" s="3" t="s">
        <v>1072</v>
      </c>
      <c r="B5613" s="4">
        <v>45323</v>
      </c>
      <c r="C5613" s="3" t="s">
        <v>1180</v>
      </c>
      <c r="D5613" s="3" t="s">
        <v>1483</v>
      </c>
      <c r="E5613" s="3" t="s">
        <v>1177</v>
      </c>
      <c r="F5613" s="3">
        <v>0</v>
      </c>
      <c r="G5613" s="3">
        <v>-4057423.63</v>
      </c>
    </row>
    <row r="5614" spans="1:7" x14ac:dyDescent="0.2">
      <c r="A5614" s="3" t="s">
        <v>1072</v>
      </c>
      <c r="B5614" s="4">
        <v>45323</v>
      </c>
      <c r="C5614" s="3" t="s">
        <v>1180</v>
      </c>
      <c r="D5614" s="3" t="s">
        <v>1388</v>
      </c>
      <c r="E5614" s="3" t="s">
        <v>1389</v>
      </c>
      <c r="F5614" s="3">
        <v>0</v>
      </c>
      <c r="G5614" s="3">
        <v>-4342.5</v>
      </c>
    </row>
    <row r="5615" spans="1:7" x14ac:dyDescent="0.2">
      <c r="A5615" s="3" t="s">
        <v>1072</v>
      </c>
      <c r="B5615" s="4">
        <v>45323</v>
      </c>
      <c r="C5615" s="3" t="s">
        <v>1180</v>
      </c>
      <c r="D5615" s="3" t="s">
        <v>1723</v>
      </c>
      <c r="E5615" s="3" t="s">
        <v>1724</v>
      </c>
      <c r="F5615" s="3">
        <v>0</v>
      </c>
      <c r="G5615" s="3">
        <v>4702.3500000000004</v>
      </c>
    </row>
    <row r="5616" spans="1:7" x14ac:dyDescent="0.2">
      <c r="A5616" s="3" t="s">
        <v>1072</v>
      </c>
      <c r="B5616" s="4">
        <v>45323</v>
      </c>
      <c r="C5616" s="3" t="s">
        <v>1180</v>
      </c>
      <c r="D5616" s="3" t="s">
        <v>1390</v>
      </c>
      <c r="E5616" s="3" t="s">
        <v>1391</v>
      </c>
      <c r="F5616" s="3">
        <v>0</v>
      </c>
      <c r="G5616" s="3">
        <v>-1571000</v>
      </c>
    </row>
    <row r="5617" spans="1:7" x14ac:dyDescent="0.2">
      <c r="A5617" s="3" t="s">
        <v>1072</v>
      </c>
      <c r="B5617" s="4">
        <v>45323</v>
      </c>
      <c r="C5617" s="3" t="s">
        <v>1180</v>
      </c>
      <c r="D5617" s="3" t="s">
        <v>1392</v>
      </c>
      <c r="E5617" s="3" t="s">
        <v>1393</v>
      </c>
      <c r="F5617" s="3">
        <v>0</v>
      </c>
      <c r="G5617" s="3">
        <v>4342.5</v>
      </c>
    </row>
    <row r="5618" spans="1:7" x14ac:dyDescent="0.2">
      <c r="A5618" s="3" t="s">
        <v>1072</v>
      </c>
      <c r="B5618" s="4">
        <v>45323</v>
      </c>
      <c r="C5618" s="3" t="s">
        <v>1180</v>
      </c>
      <c r="D5618" s="3" t="s">
        <v>1394</v>
      </c>
      <c r="E5618" s="3" t="s">
        <v>1256</v>
      </c>
      <c r="F5618" s="3">
        <v>0</v>
      </c>
      <c r="G5618" s="3">
        <v>-18200</v>
      </c>
    </row>
    <row r="5619" spans="1:7" x14ac:dyDescent="0.2">
      <c r="A5619" s="3" t="s">
        <v>1072</v>
      </c>
      <c r="B5619" s="4">
        <v>45323</v>
      </c>
      <c r="C5619" s="3" t="s">
        <v>1180</v>
      </c>
      <c r="D5619" s="3" t="s">
        <v>1395</v>
      </c>
      <c r="E5619" s="3" t="s">
        <v>1396</v>
      </c>
      <c r="F5619" s="3">
        <v>0</v>
      </c>
      <c r="G5619" s="3">
        <v>-22774738.420000002</v>
      </c>
    </row>
    <row r="5620" spans="1:7" x14ac:dyDescent="0.2">
      <c r="A5620" s="3" t="s">
        <v>1072</v>
      </c>
      <c r="B5620" s="4">
        <v>45323</v>
      </c>
      <c r="C5620" s="3" t="s">
        <v>1180</v>
      </c>
      <c r="D5620" s="3" t="s">
        <v>1397</v>
      </c>
      <c r="E5620" s="3" t="s">
        <v>1398</v>
      </c>
      <c r="F5620" s="3">
        <v>0</v>
      </c>
      <c r="G5620" s="3">
        <v>-200789.44</v>
      </c>
    </row>
    <row r="5621" spans="1:7" x14ac:dyDescent="0.2">
      <c r="A5621" s="3" t="s">
        <v>1072</v>
      </c>
      <c r="B5621" s="4">
        <v>45323</v>
      </c>
      <c r="C5621" s="3" t="s">
        <v>1180</v>
      </c>
      <c r="D5621" s="3" t="s">
        <v>1512</v>
      </c>
      <c r="E5621" s="3" t="s">
        <v>1513</v>
      </c>
      <c r="F5621" s="3">
        <v>0</v>
      </c>
      <c r="G5621" s="3">
        <v>24962687.399999999</v>
      </c>
    </row>
    <row r="5622" spans="1:7" x14ac:dyDescent="0.2">
      <c r="A5622" s="3" t="s">
        <v>1072</v>
      </c>
      <c r="B5622" s="4">
        <v>45323</v>
      </c>
      <c r="C5622" s="3" t="s">
        <v>1180</v>
      </c>
      <c r="D5622" s="3" t="s">
        <v>1399</v>
      </c>
      <c r="E5622" s="3" t="s">
        <v>1400</v>
      </c>
      <c r="F5622" s="3">
        <v>0</v>
      </c>
      <c r="G5622" s="3">
        <v>137399</v>
      </c>
    </row>
    <row r="5623" spans="1:7" x14ac:dyDescent="0.2">
      <c r="A5623" s="3" t="s">
        <v>1074</v>
      </c>
      <c r="B5623" s="4">
        <v>45323</v>
      </c>
      <c r="C5623" s="3" t="s">
        <v>1175</v>
      </c>
      <c r="D5623" s="3" t="s">
        <v>1492</v>
      </c>
      <c r="E5623" s="3" t="s">
        <v>1493</v>
      </c>
      <c r="F5623" s="3">
        <v>605617.11</v>
      </c>
      <c r="G5623" s="3">
        <v>-56032505.909999996</v>
      </c>
    </row>
    <row r="5624" spans="1:7" x14ac:dyDescent="0.2">
      <c r="A5624" s="3" t="s">
        <v>1069</v>
      </c>
      <c r="B5624" s="4">
        <v>45323</v>
      </c>
      <c r="C5624" s="3" t="s">
        <v>1175</v>
      </c>
      <c r="D5624" s="3" t="s">
        <v>1178</v>
      </c>
      <c r="E5624" s="3" t="s">
        <v>1179</v>
      </c>
      <c r="F5624" s="3">
        <v>0</v>
      </c>
      <c r="G5624" s="3">
        <v>22774738.420000002</v>
      </c>
    </row>
    <row r="5625" spans="1:7" x14ac:dyDescent="0.2">
      <c r="A5625" s="3" t="s">
        <v>1069</v>
      </c>
      <c r="B5625" s="4">
        <v>45323</v>
      </c>
      <c r="C5625" s="3" t="s">
        <v>1175</v>
      </c>
      <c r="D5625" s="3" t="s">
        <v>1233</v>
      </c>
      <c r="E5625" s="3" t="s">
        <v>1234</v>
      </c>
      <c r="F5625" s="3">
        <v>0</v>
      </c>
      <c r="G5625" s="3">
        <v>4094275</v>
      </c>
    </row>
    <row r="5626" spans="1:7" x14ac:dyDescent="0.2">
      <c r="A5626" s="3" t="s">
        <v>1069</v>
      </c>
      <c r="B5626" s="4">
        <v>45323</v>
      </c>
      <c r="C5626" s="3" t="s">
        <v>1175</v>
      </c>
      <c r="D5626" s="3" t="s">
        <v>1494</v>
      </c>
      <c r="E5626" s="3" t="s">
        <v>1495</v>
      </c>
      <c r="F5626" s="3">
        <v>-605617.11</v>
      </c>
      <c r="G5626" s="3">
        <v>56031305.380000003</v>
      </c>
    </row>
    <row r="5627" spans="1:7" x14ac:dyDescent="0.2">
      <c r="A5627" s="3" t="s">
        <v>1069</v>
      </c>
      <c r="B5627" s="4">
        <v>45323</v>
      </c>
      <c r="C5627" s="3" t="s">
        <v>1175</v>
      </c>
      <c r="D5627" s="3" t="s">
        <v>1756</v>
      </c>
      <c r="E5627" s="3" t="s">
        <v>1757</v>
      </c>
      <c r="F5627" s="3">
        <v>0</v>
      </c>
      <c r="G5627" s="3">
        <v>10000</v>
      </c>
    </row>
    <row r="5628" spans="1:7" x14ac:dyDescent="0.2">
      <c r="A5628" s="3" t="s">
        <v>1069</v>
      </c>
      <c r="B5628" s="4">
        <v>45323</v>
      </c>
      <c r="C5628" s="3" t="s">
        <v>1175</v>
      </c>
      <c r="D5628" s="3" t="s">
        <v>1516</v>
      </c>
      <c r="E5628" s="3" t="s">
        <v>1400</v>
      </c>
      <c r="F5628" s="3">
        <v>0</v>
      </c>
      <c r="G5628" s="3">
        <v>32100</v>
      </c>
    </row>
    <row r="5629" spans="1:7" x14ac:dyDescent="0.2">
      <c r="A5629" s="3" t="s">
        <v>1069</v>
      </c>
      <c r="B5629" s="4">
        <v>45323</v>
      </c>
      <c r="C5629" s="3" t="s">
        <v>1175</v>
      </c>
      <c r="D5629" s="3" t="s">
        <v>1738</v>
      </c>
      <c r="E5629" s="3" t="s">
        <v>1739</v>
      </c>
      <c r="F5629" s="3">
        <v>0</v>
      </c>
      <c r="G5629" s="3">
        <v>500</v>
      </c>
    </row>
    <row r="5630" spans="1:7" x14ac:dyDescent="0.2">
      <c r="A5630" s="3" t="s">
        <v>1069</v>
      </c>
      <c r="B5630" s="4">
        <v>45323</v>
      </c>
      <c r="C5630" s="3" t="s">
        <v>1180</v>
      </c>
      <c r="D5630" s="3" t="s">
        <v>1748</v>
      </c>
      <c r="E5630" s="3" t="s">
        <v>1749</v>
      </c>
      <c r="F5630" s="3">
        <v>0</v>
      </c>
      <c r="G5630" s="3">
        <v>1304260.8700000001</v>
      </c>
    </row>
    <row r="5631" spans="1:7" x14ac:dyDescent="0.2">
      <c r="A5631" s="3" t="s">
        <v>1069</v>
      </c>
      <c r="B5631" s="4">
        <v>45323</v>
      </c>
      <c r="C5631" s="3" t="s">
        <v>1180</v>
      </c>
      <c r="D5631" s="3" t="s">
        <v>1750</v>
      </c>
      <c r="E5631" s="3" t="s">
        <v>1751</v>
      </c>
      <c r="F5631" s="3">
        <v>0</v>
      </c>
      <c r="G5631" s="3">
        <v>1356434.78</v>
      </c>
    </row>
    <row r="5632" spans="1:7" x14ac:dyDescent="0.2">
      <c r="A5632" s="3" t="s">
        <v>1069</v>
      </c>
      <c r="B5632" s="4">
        <v>45323</v>
      </c>
      <c r="C5632" s="3" t="s">
        <v>1180</v>
      </c>
      <c r="D5632" s="3" t="s">
        <v>1752</v>
      </c>
      <c r="E5632" s="3" t="s">
        <v>1753</v>
      </c>
      <c r="F5632" s="3">
        <v>0</v>
      </c>
      <c r="G5632" s="3">
        <v>1373826.09</v>
      </c>
    </row>
    <row r="5633" spans="1:7" x14ac:dyDescent="0.2">
      <c r="A5633" s="3" t="s">
        <v>1069</v>
      </c>
      <c r="B5633" s="4">
        <v>45323</v>
      </c>
      <c r="C5633" s="3" t="s">
        <v>1180</v>
      </c>
      <c r="D5633" s="3" t="s">
        <v>1754</v>
      </c>
      <c r="E5633" s="3" t="s">
        <v>1755</v>
      </c>
      <c r="F5633" s="3">
        <v>0</v>
      </c>
      <c r="G5633" s="3">
        <v>1391217.39</v>
      </c>
    </row>
    <row r="5634" spans="1:7" x14ac:dyDescent="0.2">
      <c r="A5634" s="3" t="s">
        <v>1069</v>
      </c>
      <c r="B5634" s="4">
        <v>45323</v>
      </c>
      <c r="C5634" s="3" t="s">
        <v>1180</v>
      </c>
      <c r="D5634" s="3" t="s">
        <v>1740</v>
      </c>
      <c r="E5634" s="3" t="s">
        <v>1741</v>
      </c>
      <c r="F5634" s="3">
        <v>0</v>
      </c>
      <c r="G5634" s="3">
        <v>1304260.8700000001</v>
      </c>
    </row>
    <row r="5635" spans="1:7" x14ac:dyDescent="0.2">
      <c r="A5635" s="3" t="s">
        <v>1072</v>
      </c>
      <c r="B5635" s="4">
        <v>45323</v>
      </c>
      <c r="C5635" s="3" t="s">
        <v>1180</v>
      </c>
      <c r="D5635" s="3" t="s">
        <v>1409</v>
      </c>
      <c r="E5635" s="3" t="s">
        <v>1410</v>
      </c>
      <c r="F5635" s="3">
        <v>0</v>
      </c>
      <c r="G5635" s="3">
        <v>216064.1</v>
      </c>
    </row>
    <row r="5636" spans="1:7" x14ac:dyDescent="0.2">
      <c r="A5636" s="3" t="s">
        <v>1072</v>
      </c>
      <c r="B5636" s="4">
        <v>45323</v>
      </c>
      <c r="C5636" s="3" t="s">
        <v>1180</v>
      </c>
      <c r="D5636" s="3" t="s">
        <v>1411</v>
      </c>
      <c r="E5636" s="3" t="s">
        <v>1412</v>
      </c>
      <c r="F5636" s="3">
        <v>0</v>
      </c>
      <c r="G5636" s="3">
        <v>-216063.1</v>
      </c>
    </row>
    <row r="5637" spans="1:7" x14ac:dyDescent="0.2">
      <c r="A5637" s="3" t="s">
        <v>1072</v>
      </c>
      <c r="B5637" s="4">
        <v>45323</v>
      </c>
      <c r="C5637" s="3" t="s">
        <v>1180</v>
      </c>
      <c r="D5637" s="3" t="s">
        <v>1413</v>
      </c>
      <c r="E5637" s="3" t="s">
        <v>1414</v>
      </c>
      <c r="F5637" s="3">
        <v>0</v>
      </c>
      <c r="G5637" s="3">
        <v>178152.48</v>
      </c>
    </row>
    <row r="5638" spans="1:7" x14ac:dyDescent="0.2">
      <c r="A5638" s="3" t="s">
        <v>1072</v>
      </c>
      <c r="B5638" s="4">
        <v>45323</v>
      </c>
      <c r="C5638" s="3" t="s">
        <v>1180</v>
      </c>
      <c r="D5638" s="3" t="s">
        <v>1415</v>
      </c>
      <c r="E5638" s="3" t="s">
        <v>1416</v>
      </c>
      <c r="F5638" s="3">
        <v>0</v>
      </c>
      <c r="G5638" s="3">
        <v>-84735.74</v>
      </c>
    </row>
    <row r="5639" spans="1:7" x14ac:dyDescent="0.2">
      <c r="A5639" s="3" t="s">
        <v>1072</v>
      </c>
      <c r="B5639" s="4">
        <v>45323</v>
      </c>
      <c r="C5639" s="3" t="s">
        <v>1180</v>
      </c>
      <c r="D5639" s="3" t="s">
        <v>1462</v>
      </c>
      <c r="E5639" s="3" t="s">
        <v>1463</v>
      </c>
      <c r="F5639" s="3">
        <v>0</v>
      </c>
      <c r="G5639" s="3">
        <v>37955.300000000003</v>
      </c>
    </row>
    <row r="5640" spans="1:7" x14ac:dyDescent="0.2">
      <c r="A5640" s="3" t="s">
        <v>1072</v>
      </c>
      <c r="B5640" s="4">
        <v>45323</v>
      </c>
      <c r="C5640" s="3" t="s">
        <v>1180</v>
      </c>
      <c r="D5640" s="3" t="s">
        <v>1484</v>
      </c>
      <c r="E5640" s="3" t="s">
        <v>1485</v>
      </c>
      <c r="F5640" s="3">
        <v>0</v>
      </c>
      <c r="G5640" s="3">
        <v>-11919</v>
      </c>
    </row>
    <row r="5641" spans="1:7" x14ac:dyDescent="0.2">
      <c r="A5641" s="3" t="s">
        <v>1072</v>
      </c>
      <c r="B5641" s="4">
        <v>45323</v>
      </c>
      <c r="C5641" s="3" t="s">
        <v>1180</v>
      </c>
      <c r="D5641" s="3" t="s">
        <v>1417</v>
      </c>
      <c r="E5641" s="3" t="s">
        <v>1418</v>
      </c>
      <c r="F5641" s="3">
        <v>0</v>
      </c>
      <c r="G5641" s="3">
        <v>71322</v>
      </c>
    </row>
    <row r="5642" spans="1:7" x14ac:dyDescent="0.2">
      <c r="A5642" s="3" t="s">
        <v>1072</v>
      </c>
      <c r="B5642" s="4">
        <v>45323</v>
      </c>
      <c r="C5642" s="3" t="s">
        <v>1180</v>
      </c>
      <c r="D5642" s="3" t="s">
        <v>1419</v>
      </c>
      <c r="E5642" s="3" t="s">
        <v>1420</v>
      </c>
      <c r="F5642" s="3">
        <v>0</v>
      </c>
      <c r="G5642" s="3">
        <v>-14210.53</v>
      </c>
    </row>
    <row r="5643" spans="1:7" x14ac:dyDescent="0.2">
      <c r="A5643" s="3" t="s">
        <v>1069</v>
      </c>
      <c r="B5643" s="4">
        <v>45323</v>
      </c>
      <c r="C5643" s="3" t="s">
        <v>1180</v>
      </c>
      <c r="D5643" s="3" t="s">
        <v>1421</v>
      </c>
      <c r="E5643" s="3" t="s">
        <v>1422</v>
      </c>
      <c r="F5643" s="3">
        <v>0</v>
      </c>
      <c r="G5643" s="3">
        <v>874505.75</v>
      </c>
    </row>
    <row r="5644" spans="1:7" x14ac:dyDescent="0.2">
      <c r="A5644" s="3" t="s">
        <v>1074</v>
      </c>
      <c r="B5644" s="4">
        <v>45323</v>
      </c>
      <c r="C5644" s="3" t="s">
        <v>1180</v>
      </c>
      <c r="D5644" s="3" t="s">
        <v>1421</v>
      </c>
      <c r="E5644" s="3" t="s">
        <v>1533</v>
      </c>
      <c r="F5644" s="3">
        <v>0</v>
      </c>
      <c r="G5644" s="3">
        <v>2472501.08</v>
      </c>
    </row>
    <row r="5645" spans="1:7" x14ac:dyDescent="0.2">
      <c r="A5645" s="3" t="s">
        <v>1069</v>
      </c>
      <c r="B5645" s="4">
        <v>45323</v>
      </c>
      <c r="C5645" s="3" t="s">
        <v>1180</v>
      </c>
      <c r="D5645" s="3" t="s">
        <v>1214</v>
      </c>
      <c r="E5645" s="3" t="s">
        <v>1215</v>
      </c>
      <c r="F5645" s="3">
        <v>0</v>
      </c>
      <c r="G5645" s="3">
        <v>26200000</v>
      </c>
    </row>
    <row r="5646" spans="1:7" x14ac:dyDescent="0.2">
      <c r="A5646" s="3" t="s">
        <v>1069</v>
      </c>
      <c r="B5646" s="4">
        <v>45323</v>
      </c>
      <c r="C5646" s="3" t="s">
        <v>1180</v>
      </c>
      <c r="D5646" s="3" t="s">
        <v>1216</v>
      </c>
      <c r="E5646" s="3" t="s">
        <v>1217</v>
      </c>
      <c r="F5646" s="3">
        <v>0</v>
      </c>
      <c r="G5646" s="3">
        <v>68427</v>
      </c>
    </row>
    <row r="5647" spans="1:7" x14ac:dyDescent="0.2">
      <c r="A5647" s="3" t="s">
        <v>1069</v>
      </c>
      <c r="B5647" s="4">
        <v>45323</v>
      </c>
      <c r="C5647" s="3" t="s">
        <v>1180</v>
      </c>
      <c r="D5647" s="3" t="s">
        <v>1218</v>
      </c>
      <c r="E5647" s="3" t="s">
        <v>1219</v>
      </c>
      <c r="F5647" s="3">
        <v>0</v>
      </c>
      <c r="G5647" s="3">
        <v>103812</v>
      </c>
    </row>
    <row r="5648" spans="1:7" x14ac:dyDescent="0.2">
      <c r="A5648" s="3" t="s">
        <v>1069</v>
      </c>
      <c r="B5648" s="4">
        <v>45323</v>
      </c>
      <c r="C5648" s="3" t="s">
        <v>1180</v>
      </c>
      <c r="D5648" s="3" t="s">
        <v>1197</v>
      </c>
      <c r="E5648" s="3" t="s">
        <v>1198</v>
      </c>
      <c r="F5648" s="3">
        <v>0</v>
      </c>
      <c r="G5648" s="3">
        <v>314087</v>
      </c>
    </row>
    <row r="5649" spans="1:7" x14ac:dyDescent="0.2">
      <c r="A5649" s="3" t="s">
        <v>1074</v>
      </c>
      <c r="B5649" s="4">
        <v>45323</v>
      </c>
      <c r="C5649" s="3" t="s">
        <v>1180</v>
      </c>
      <c r="D5649" s="3" t="s">
        <v>1197</v>
      </c>
      <c r="E5649" s="3" t="s">
        <v>1550</v>
      </c>
      <c r="F5649" s="3">
        <v>0</v>
      </c>
      <c r="G5649" s="3">
        <v>690236.91</v>
      </c>
    </row>
    <row r="5650" spans="1:7" x14ac:dyDescent="0.2">
      <c r="A5650" s="3" t="s">
        <v>1069</v>
      </c>
      <c r="B5650" s="4">
        <v>45323</v>
      </c>
      <c r="C5650" s="3" t="s">
        <v>1180</v>
      </c>
      <c r="D5650" s="3" t="s">
        <v>1496</v>
      </c>
      <c r="E5650" s="3" t="s">
        <v>1497</v>
      </c>
      <c r="F5650" s="3">
        <v>0</v>
      </c>
      <c r="G5650" s="3">
        <v>139500</v>
      </c>
    </row>
    <row r="5651" spans="1:7" x14ac:dyDescent="0.2">
      <c r="A5651" s="3" t="s">
        <v>1069</v>
      </c>
      <c r="B5651" s="4">
        <v>45323</v>
      </c>
      <c r="C5651" s="3" t="s">
        <v>1180</v>
      </c>
      <c r="D5651" s="3" t="s">
        <v>1181</v>
      </c>
      <c r="E5651" s="3" t="s">
        <v>1182</v>
      </c>
      <c r="F5651" s="3">
        <v>0</v>
      </c>
      <c r="G5651" s="3">
        <v>8557641.8000000007</v>
      </c>
    </row>
    <row r="5652" spans="1:7" x14ac:dyDescent="0.2">
      <c r="A5652" s="3" t="s">
        <v>1069</v>
      </c>
      <c r="B5652" s="4">
        <v>45323</v>
      </c>
      <c r="C5652" s="3" t="s">
        <v>1180</v>
      </c>
      <c r="D5652" s="3" t="s">
        <v>1263</v>
      </c>
      <c r="E5652" s="3" t="s">
        <v>1264</v>
      </c>
      <c r="F5652" s="3">
        <v>0</v>
      </c>
      <c r="G5652" s="3">
        <v>13807.78</v>
      </c>
    </row>
    <row r="5653" spans="1:7" x14ac:dyDescent="0.2">
      <c r="A5653" s="3" t="s">
        <v>1069</v>
      </c>
      <c r="B5653" s="4">
        <v>45323</v>
      </c>
      <c r="C5653" s="3" t="s">
        <v>1180</v>
      </c>
      <c r="D5653" s="3" t="s">
        <v>1202</v>
      </c>
      <c r="E5653" s="3" t="s">
        <v>1203</v>
      </c>
      <c r="F5653" s="3">
        <v>0</v>
      </c>
      <c r="G5653" s="3">
        <v>197060.09</v>
      </c>
    </row>
    <row r="5654" spans="1:7" x14ac:dyDescent="0.2">
      <c r="A5654" s="3" t="s">
        <v>1074</v>
      </c>
      <c r="B5654" s="4">
        <v>45323</v>
      </c>
      <c r="C5654" s="3" t="s">
        <v>1180</v>
      </c>
      <c r="D5654" s="3" t="s">
        <v>1202</v>
      </c>
      <c r="E5654" s="3" t="s">
        <v>1577</v>
      </c>
      <c r="F5654" s="3">
        <v>0</v>
      </c>
      <c r="G5654" s="3">
        <v>321942.46999999997</v>
      </c>
    </row>
    <row r="5655" spans="1:7" x14ac:dyDescent="0.2">
      <c r="A5655" s="3" t="s">
        <v>1069</v>
      </c>
      <c r="B5655" s="4">
        <v>45323</v>
      </c>
      <c r="C5655" s="3" t="s">
        <v>1180</v>
      </c>
      <c r="D5655" s="3" t="s">
        <v>1204</v>
      </c>
      <c r="E5655" s="3" t="s">
        <v>1205</v>
      </c>
      <c r="F5655" s="3">
        <v>0</v>
      </c>
      <c r="G5655" s="3">
        <v>7500</v>
      </c>
    </row>
    <row r="5656" spans="1:7" x14ac:dyDescent="0.2">
      <c r="A5656" s="3" t="s">
        <v>1074</v>
      </c>
      <c r="B5656" s="4">
        <v>45323</v>
      </c>
      <c r="C5656" s="3" t="s">
        <v>1180</v>
      </c>
      <c r="D5656" s="3" t="s">
        <v>1204</v>
      </c>
      <c r="E5656" s="3" t="s">
        <v>1673</v>
      </c>
      <c r="F5656" s="3">
        <v>0</v>
      </c>
      <c r="G5656" s="3">
        <v>114370.5</v>
      </c>
    </row>
    <row r="5657" spans="1:7" x14ac:dyDescent="0.2">
      <c r="A5657" s="3" t="s">
        <v>1069</v>
      </c>
      <c r="B5657" s="4">
        <v>45323</v>
      </c>
      <c r="C5657" s="3" t="s">
        <v>1180</v>
      </c>
      <c r="D5657" s="3" t="s">
        <v>1199</v>
      </c>
      <c r="E5657" s="3" t="s">
        <v>1200</v>
      </c>
      <c r="F5657" s="3">
        <v>0</v>
      </c>
      <c r="G5657" s="3">
        <v>146256.38</v>
      </c>
    </row>
    <row r="5658" spans="1:7" x14ac:dyDescent="0.2">
      <c r="A5658" s="3" t="s">
        <v>1069</v>
      </c>
      <c r="B5658" s="4">
        <v>45323</v>
      </c>
      <c r="C5658" s="3" t="s">
        <v>1180</v>
      </c>
      <c r="D5658" s="3" t="s">
        <v>1486</v>
      </c>
      <c r="E5658" s="3" t="s">
        <v>1487</v>
      </c>
      <c r="F5658" s="3">
        <v>0</v>
      </c>
      <c r="G5658" s="3">
        <v>20600</v>
      </c>
    </row>
    <row r="5659" spans="1:7" x14ac:dyDescent="0.2">
      <c r="A5659" s="3" t="s">
        <v>1069</v>
      </c>
      <c r="B5659" s="4">
        <v>45323</v>
      </c>
      <c r="C5659" s="3" t="s">
        <v>1180</v>
      </c>
      <c r="D5659" s="3" t="s">
        <v>1220</v>
      </c>
      <c r="E5659" s="3" t="s">
        <v>1221</v>
      </c>
      <c r="F5659" s="3">
        <v>0</v>
      </c>
      <c r="G5659" s="3">
        <v>15175</v>
      </c>
    </row>
    <row r="5660" spans="1:7" x14ac:dyDescent="0.2">
      <c r="A5660" s="3" t="s">
        <v>1069</v>
      </c>
      <c r="B5660" s="4">
        <v>45323</v>
      </c>
      <c r="C5660" s="3" t="s">
        <v>1180</v>
      </c>
      <c r="D5660" s="3" t="s">
        <v>1498</v>
      </c>
      <c r="E5660" s="3" t="s">
        <v>1499</v>
      </c>
      <c r="F5660" s="3">
        <v>0</v>
      </c>
      <c r="G5660" s="3">
        <v>570856.07999999996</v>
      </c>
    </row>
    <row r="5661" spans="1:7" x14ac:dyDescent="0.2">
      <c r="A5661" s="3" t="s">
        <v>1069</v>
      </c>
      <c r="B5661" s="4">
        <v>45323</v>
      </c>
      <c r="C5661" s="3" t="s">
        <v>1180</v>
      </c>
      <c r="D5661" s="3" t="s">
        <v>1183</v>
      </c>
      <c r="E5661" s="3" t="s">
        <v>1184</v>
      </c>
      <c r="F5661" s="3">
        <v>0</v>
      </c>
      <c r="G5661" s="3">
        <v>47748851.509999998</v>
      </c>
    </row>
    <row r="5662" spans="1:7" x14ac:dyDescent="0.2">
      <c r="A5662" s="3" t="s">
        <v>1074</v>
      </c>
      <c r="B5662" s="4">
        <v>45323</v>
      </c>
      <c r="C5662" s="3" t="s">
        <v>1180</v>
      </c>
      <c r="D5662" s="3" t="s">
        <v>1183</v>
      </c>
      <c r="E5662" s="3" t="s">
        <v>1631</v>
      </c>
      <c r="F5662" s="3">
        <v>0</v>
      </c>
      <c r="G5662" s="3">
        <v>44104051.780000001</v>
      </c>
    </row>
    <row r="5663" spans="1:7" x14ac:dyDescent="0.2">
      <c r="A5663" s="3" t="s">
        <v>1069</v>
      </c>
      <c r="B5663" s="4">
        <v>45323</v>
      </c>
      <c r="C5663" s="3" t="s">
        <v>1180</v>
      </c>
      <c r="D5663" s="3" t="s">
        <v>1222</v>
      </c>
      <c r="E5663" s="3" t="s">
        <v>1223</v>
      </c>
      <c r="F5663" s="3">
        <v>0</v>
      </c>
      <c r="G5663" s="3">
        <v>3850818.04</v>
      </c>
    </row>
    <row r="5664" spans="1:7" x14ac:dyDescent="0.2">
      <c r="A5664" s="3" t="s">
        <v>1074</v>
      </c>
      <c r="B5664" s="4">
        <v>45323</v>
      </c>
      <c r="C5664" s="3" t="s">
        <v>1180</v>
      </c>
      <c r="D5664" s="3" t="s">
        <v>1222</v>
      </c>
      <c r="E5664" s="3" t="s">
        <v>1664</v>
      </c>
      <c r="F5664" s="3">
        <v>0</v>
      </c>
      <c r="G5664" s="3">
        <v>1826086.96</v>
      </c>
    </row>
    <row r="5665" spans="1:7" x14ac:dyDescent="0.2">
      <c r="A5665" s="3" t="s">
        <v>1069</v>
      </c>
      <c r="B5665" s="4">
        <v>45323</v>
      </c>
      <c r="C5665" s="3" t="s">
        <v>1180</v>
      </c>
      <c r="D5665" s="3" t="s">
        <v>1235</v>
      </c>
      <c r="E5665" s="3" t="s">
        <v>1236</v>
      </c>
      <c r="F5665" s="3">
        <v>0</v>
      </c>
      <c r="G5665" s="3">
        <v>782608.07</v>
      </c>
    </row>
    <row r="5666" spans="1:7" x14ac:dyDescent="0.2">
      <c r="A5666" s="3" t="s">
        <v>1074</v>
      </c>
      <c r="B5666" s="4">
        <v>45323</v>
      </c>
      <c r="C5666" s="3" t="s">
        <v>1180</v>
      </c>
      <c r="D5666" s="3" t="s">
        <v>1235</v>
      </c>
      <c r="E5666" s="3" t="s">
        <v>1715</v>
      </c>
      <c r="F5666" s="3">
        <v>0</v>
      </c>
      <c r="G5666" s="3">
        <v>217391.3</v>
      </c>
    </row>
    <row r="5667" spans="1:7" x14ac:dyDescent="0.2">
      <c r="A5667" s="3" t="s">
        <v>1069</v>
      </c>
      <c r="B5667" s="4">
        <v>45323</v>
      </c>
      <c r="C5667" s="3" t="s">
        <v>1180</v>
      </c>
      <c r="D5667" s="3" t="s">
        <v>1206</v>
      </c>
      <c r="E5667" s="3" t="s">
        <v>1207</v>
      </c>
      <c r="F5667" s="3">
        <v>0</v>
      </c>
      <c r="G5667" s="3">
        <v>166550</v>
      </c>
    </row>
    <row r="5668" spans="1:7" x14ac:dyDescent="0.2">
      <c r="A5668" s="3" t="s">
        <v>1074</v>
      </c>
      <c r="B5668" s="4">
        <v>45323</v>
      </c>
      <c r="C5668" s="3" t="s">
        <v>1180</v>
      </c>
      <c r="D5668" s="3" t="s">
        <v>1206</v>
      </c>
      <c r="E5668" s="3" t="s">
        <v>1697</v>
      </c>
      <c r="F5668" s="3">
        <v>0</v>
      </c>
      <c r="G5668" s="3">
        <v>2834.7</v>
      </c>
    </row>
    <row r="5669" spans="1:7" x14ac:dyDescent="0.2">
      <c r="A5669" s="3" t="s">
        <v>1069</v>
      </c>
      <c r="B5669" s="4">
        <v>45323</v>
      </c>
      <c r="C5669" s="3" t="s">
        <v>1180</v>
      </c>
      <c r="D5669" s="3" t="s">
        <v>1208</v>
      </c>
      <c r="E5669" s="3" t="s">
        <v>1209</v>
      </c>
      <c r="F5669" s="3">
        <v>0</v>
      </c>
      <c r="G5669" s="3">
        <v>45000</v>
      </c>
    </row>
    <row r="5670" spans="1:7" x14ac:dyDescent="0.2">
      <c r="A5670" s="3" t="s">
        <v>1069</v>
      </c>
      <c r="B5670" s="4">
        <v>45323</v>
      </c>
      <c r="C5670" s="3" t="s">
        <v>1180</v>
      </c>
      <c r="D5670" s="3" t="s">
        <v>1259</v>
      </c>
      <c r="E5670" s="3" t="s">
        <v>1260</v>
      </c>
      <c r="F5670" s="3">
        <v>0</v>
      </c>
      <c r="G5670" s="3">
        <v>197000</v>
      </c>
    </row>
    <row r="5671" spans="1:7" x14ac:dyDescent="0.2">
      <c r="A5671" s="3" t="s">
        <v>1074</v>
      </c>
      <c r="B5671" s="4">
        <v>45323</v>
      </c>
      <c r="C5671" s="3" t="s">
        <v>1180</v>
      </c>
      <c r="D5671" s="3" t="s">
        <v>1674</v>
      </c>
      <c r="E5671" s="3" t="s">
        <v>1675</v>
      </c>
      <c r="F5671" s="3">
        <v>0</v>
      </c>
      <c r="G5671" s="3">
        <v>666877.14</v>
      </c>
    </row>
    <row r="5672" spans="1:7" x14ac:dyDescent="0.2">
      <c r="A5672" s="3" t="s">
        <v>1074</v>
      </c>
      <c r="B5672" s="4">
        <v>45323</v>
      </c>
      <c r="C5672" s="3" t="s">
        <v>1180</v>
      </c>
      <c r="D5672" s="3" t="s">
        <v>1578</v>
      </c>
      <c r="E5672" s="3" t="s">
        <v>1579</v>
      </c>
      <c r="F5672" s="3">
        <v>0</v>
      </c>
      <c r="G5672" s="3">
        <v>66190.11</v>
      </c>
    </row>
    <row r="5673" spans="1:7" x14ac:dyDescent="0.2">
      <c r="A5673" s="3" t="s">
        <v>1069</v>
      </c>
      <c r="B5673" s="4">
        <v>45323</v>
      </c>
      <c r="C5673" s="3" t="s">
        <v>1180</v>
      </c>
      <c r="D5673" s="3" t="s">
        <v>1265</v>
      </c>
      <c r="E5673" s="3" t="s">
        <v>1266</v>
      </c>
      <c r="F5673" s="3">
        <v>0</v>
      </c>
      <c r="G5673" s="3">
        <v>3252759.95</v>
      </c>
    </row>
    <row r="5674" spans="1:7" x14ac:dyDescent="0.2">
      <c r="A5674" s="3" t="s">
        <v>1074</v>
      </c>
      <c r="B5674" s="4">
        <v>45323</v>
      </c>
      <c r="C5674" s="3" t="s">
        <v>1180</v>
      </c>
      <c r="D5674" s="3" t="s">
        <v>1265</v>
      </c>
      <c r="E5674" s="3" t="s">
        <v>1518</v>
      </c>
      <c r="F5674" s="3">
        <v>0</v>
      </c>
      <c r="G5674" s="3">
        <v>1673231.19</v>
      </c>
    </row>
    <row r="5675" spans="1:7" x14ac:dyDescent="0.2">
      <c r="A5675" s="3" t="s">
        <v>1069</v>
      </c>
      <c r="B5675" s="4">
        <v>45323</v>
      </c>
      <c r="C5675" s="3" t="s">
        <v>1180</v>
      </c>
      <c r="D5675" s="3" t="s">
        <v>1423</v>
      </c>
      <c r="E5675" s="3" t="s">
        <v>1424</v>
      </c>
      <c r="F5675" s="3">
        <v>0</v>
      </c>
      <c r="G5675" s="3">
        <v>622274.51</v>
      </c>
    </row>
    <row r="5676" spans="1:7" x14ac:dyDescent="0.2">
      <c r="A5676" s="3" t="s">
        <v>1074</v>
      </c>
      <c r="B5676" s="4">
        <v>45323</v>
      </c>
      <c r="C5676" s="3" t="s">
        <v>1180</v>
      </c>
      <c r="D5676" s="3" t="s">
        <v>1519</v>
      </c>
      <c r="E5676" s="3" t="s">
        <v>1551</v>
      </c>
      <c r="F5676" s="3">
        <v>0</v>
      </c>
      <c r="G5676" s="3">
        <v>76530</v>
      </c>
    </row>
    <row r="5677" spans="1:7" x14ac:dyDescent="0.2">
      <c r="A5677" s="3" t="s">
        <v>1069</v>
      </c>
      <c r="B5677" s="4">
        <v>45323</v>
      </c>
      <c r="C5677" s="3" t="s">
        <v>1180</v>
      </c>
      <c r="D5677" s="3" t="s">
        <v>1519</v>
      </c>
      <c r="E5677" s="3" t="s">
        <v>1520</v>
      </c>
      <c r="F5677" s="3">
        <v>0</v>
      </c>
      <c r="G5677" s="3">
        <v>985049.68</v>
      </c>
    </row>
    <row r="5678" spans="1:7" x14ac:dyDescent="0.2">
      <c r="A5678" s="3" t="s">
        <v>1074</v>
      </c>
      <c r="B5678" s="4">
        <v>45323</v>
      </c>
      <c r="C5678" s="3" t="s">
        <v>1180</v>
      </c>
      <c r="D5678" s="3" t="s">
        <v>1521</v>
      </c>
      <c r="E5678" s="3" t="s">
        <v>1522</v>
      </c>
      <c r="F5678" s="3">
        <v>0</v>
      </c>
      <c r="G5678" s="3">
        <v>28600</v>
      </c>
    </row>
    <row r="5679" spans="1:7" x14ac:dyDescent="0.2">
      <c r="A5679" s="3" t="s">
        <v>1074</v>
      </c>
      <c r="B5679" s="4">
        <v>45323</v>
      </c>
      <c r="C5679" s="3" t="s">
        <v>1180</v>
      </c>
      <c r="D5679" s="3" t="s">
        <v>1534</v>
      </c>
      <c r="E5679" s="3" t="s">
        <v>1535</v>
      </c>
      <c r="F5679" s="3">
        <v>0</v>
      </c>
      <c r="G5679" s="3">
        <v>2358695.65</v>
      </c>
    </row>
    <row r="5680" spans="1:7" x14ac:dyDescent="0.2">
      <c r="A5680" s="3" t="s">
        <v>1074</v>
      </c>
      <c r="B5680" s="4">
        <v>45323</v>
      </c>
      <c r="C5680" s="3" t="s">
        <v>1180</v>
      </c>
      <c r="D5680" s="3" t="s">
        <v>1610</v>
      </c>
      <c r="E5680" s="3" t="s">
        <v>1611</v>
      </c>
      <c r="F5680" s="3">
        <v>0</v>
      </c>
      <c r="G5680" s="3">
        <v>1540502.11</v>
      </c>
    </row>
    <row r="5681" spans="1:7" x14ac:dyDescent="0.2">
      <c r="A5681" s="3" t="s">
        <v>1074</v>
      </c>
      <c r="B5681" s="4">
        <v>45323</v>
      </c>
      <c r="C5681" s="3" t="s">
        <v>1180</v>
      </c>
      <c r="D5681" s="3" t="s">
        <v>1653</v>
      </c>
      <c r="E5681" s="3" t="s">
        <v>1654</v>
      </c>
      <c r="F5681" s="3">
        <v>0</v>
      </c>
      <c r="G5681" s="3">
        <v>16307183.050000001</v>
      </c>
    </row>
    <row r="5682" spans="1:7" x14ac:dyDescent="0.2">
      <c r="A5682" s="3" t="s">
        <v>1069</v>
      </c>
      <c r="B5682" s="4">
        <v>45323</v>
      </c>
      <c r="C5682" s="3" t="s">
        <v>1180</v>
      </c>
      <c r="D5682" s="3" t="s">
        <v>1536</v>
      </c>
      <c r="E5682" s="3" t="s">
        <v>1537</v>
      </c>
      <c r="F5682" s="3">
        <v>0</v>
      </c>
      <c r="G5682" s="3">
        <v>2148883.15</v>
      </c>
    </row>
    <row r="5683" spans="1:7" x14ac:dyDescent="0.2">
      <c r="A5683" s="3" t="s">
        <v>1069</v>
      </c>
      <c r="B5683" s="4">
        <v>45323</v>
      </c>
      <c r="C5683" s="3" t="s">
        <v>1180</v>
      </c>
      <c r="D5683" s="3" t="s">
        <v>1665</v>
      </c>
      <c r="E5683" s="3" t="s">
        <v>1666</v>
      </c>
      <c r="F5683" s="3">
        <v>0</v>
      </c>
      <c r="G5683" s="3">
        <v>1068455</v>
      </c>
    </row>
    <row r="5684" spans="1:7" x14ac:dyDescent="0.2">
      <c r="A5684" s="3" t="s">
        <v>1074</v>
      </c>
      <c r="B5684" s="4">
        <v>45323</v>
      </c>
      <c r="C5684" s="3" t="s">
        <v>1180</v>
      </c>
      <c r="D5684" s="3" t="s">
        <v>1665</v>
      </c>
      <c r="E5684" s="3" t="s">
        <v>1716</v>
      </c>
      <c r="F5684" s="3">
        <v>0</v>
      </c>
      <c r="G5684" s="3">
        <v>2188325.96</v>
      </c>
    </row>
    <row r="5685" spans="1:7" x14ac:dyDescent="0.2">
      <c r="A5685" s="3" t="s">
        <v>1069</v>
      </c>
      <c r="B5685" s="4">
        <v>45323</v>
      </c>
      <c r="C5685" s="3" t="s">
        <v>1180</v>
      </c>
      <c r="D5685" s="3" t="s">
        <v>1655</v>
      </c>
      <c r="E5685" s="3" t="s">
        <v>1656</v>
      </c>
      <c r="F5685" s="3">
        <v>0</v>
      </c>
      <c r="G5685" s="3">
        <v>-24427668.440000001</v>
      </c>
    </row>
    <row r="5686" spans="1:7" x14ac:dyDescent="0.2">
      <c r="A5686" s="3" t="s">
        <v>1072</v>
      </c>
      <c r="B5686" s="4">
        <v>45323</v>
      </c>
      <c r="C5686" s="3" t="s">
        <v>1180</v>
      </c>
      <c r="D5686" s="3" t="s">
        <v>1425</v>
      </c>
      <c r="E5686" s="3" t="s">
        <v>1426</v>
      </c>
      <c r="F5686" s="3">
        <v>0</v>
      </c>
      <c r="G5686" s="3">
        <v>29600</v>
      </c>
    </row>
    <row r="5687" spans="1:7" x14ac:dyDescent="0.2">
      <c r="A5687" s="3" t="s">
        <v>1072</v>
      </c>
      <c r="B5687" s="4">
        <v>45323</v>
      </c>
      <c r="C5687" s="3" t="s">
        <v>1180</v>
      </c>
      <c r="D5687" s="3" t="s">
        <v>1427</v>
      </c>
      <c r="E5687" s="3" t="s">
        <v>1428</v>
      </c>
      <c r="F5687" s="3">
        <v>0</v>
      </c>
      <c r="G5687" s="3">
        <v>5424127.7400000002</v>
      </c>
    </row>
    <row r="5688" spans="1:7" x14ac:dyDescent="0.2">
      <c r="A5688" s="3" t="s">
        <v>1069</v>
      </c>
      <c r="B5688" s="4">
        <v>45323</v>
      </c>
      <c r="C5688" s="3" t="s">
        <v>1180</v>
      </c>
      <c r="D5688" s="3" t="s">
        <v>1427</v>
      </c>
      <c r="E5688" s="3" t="s">
        <v>1428</v>
      </c>
      <c r="F5688" s="3">
        <v>0</v>
      </c>
      <c r="G5688" s="3">
        <v>371025.69</v>
      </c>
    </row>
    <row r="5689" spans="1:7" x14ac:dyDescent="0.2">
      <c r="A5689" s="3" t="s">
        <v>1074</v>
      </c>
      <c r="B5689" s="4">
        <v>45323</v>
      </c>
      <c r="C5689" s="3" t="s">
        <v>1180</v>
      </c>
      <c r="D5689" s="3" t="s">
        <v>1427</v>
      </c>
      <c r="E5689" s="3" t="s">
        <v>1428</v>
      </c>
      <c r="F5689" s="3">
        <v>729265.62</v>
      </c>
      <c r="G5689" s="3">
        <v>729575.36</v>
      </c>
    </row>
    <row r="5690" spans="1:7" x14ac:dyDescent="0.2">
      <c r="A5690" s="3" t="s">
        <v>1069</v>
      </c>
      <c r="B5690" s="4">
        <v>45323</v>
      </c>
      <c r="C5690" s="3" t="s">
        <v>1180</v>
      </c>
      <c r="D5690" s="3" t="s">
        <v>1187</v>
      </c>
      <c r="E5690" s="3" t="s">
        <v>1188</v>
      </c>
      <c r="F5690" s="3">
        <v>-399024.52</v>
      </c>
      <c r="G5690" s="3">
        <v>2794044.47</v>
      </c>
    </row>
    <row r="5691" spans="1:7" x14ac:dyDescent="0.2">
      <c r="A5691" s="3" t="s">
        <v>1072</v>
      </c>
      <c r="B5691" s="4">
        <v>45323</v>
      </c>
      <c r="C5691" s="3" t="s">
        <v>1180</v>
      </c>
      <c r="D5691" s="3" t="s">
        <v>1187</v>
      </c>
      <c r="E5691" s="3" t="s">
        <v>1433</v>
      </c>
      <c r="F5691" s="3">
        <v>-13547.58</v>
      </c>
      <c r="G5691" s="3">
        <v>353576.79</v>
      </c>
    </row>
    <row r="5692" spans="1:7" x14ac:dyDescent="0.2">
      <c r="A5692" s="3" t="s">
        <v>1072</v>
      </c>
      <c r="B5692" s="4">
        <v>45323</v>
      </c>
      <c r="C5692" s="3" t="s">
        <v>1180</v>
      </c>
      <c r="D5692" s="3" t="s">
        <v>1189</v>
      </c>
      <c r="E5692" s="3" t="s">
        <v>1434</v>
      </c>
      <c r="F5692" s="3">
        <v>0</v>
      </c>
      <c r="G5692" s="3">
        <v>-1188</v>
      </c>
    </row>
    <row r="5693" spans="1:7" x14ac:dyDescent="0.2">
      <c r="A5693" s="3" t="s">
        <v>1072</v>
      </c>
      <c r="B5693" s="4">
        <v>45323</v>
      </c>
      <c r="C5693" s="3" t="s">
        <v>1180</v>
      </c>
      <c r="D5693" s="3" t="s">
        <v>1435</v>
      </c>
      <c r="E5693" s="3" t="s">
        <v>1436</v>
      </c>
      <c r="F5693" s="3">
        <v>0</v>
      </c>
      <c r="G5693" s="3">
        <v>571.54999999999995</v>
      </c>
    </row>
    <row r="5694" spans="1:7" x14ac:dyDescent="0.2">
      <c r="A5694" s="3" t="s">
        <v>1069</v>
      </c>
      <c r="B5694" s="4">
        <v>45323</v>
      </c>
      <c r="C5694" s="3" t="s">
        <v>1180</v>
      </c>
      <c r="D5694" s="3" t="s">
        <v>1435</v>
      </c>
      <c r="E5694" s="3" t="s">
        <v>1434</v>
      </c>
      <c r="F5694" s="3">
        <v>0</v>
      </c>
      <c r="G5694" s="3">
        <v>8620</v>
      </c>
    </row>
    <row r="5695" spans="1:7" x14ac:dyDescent="0.2">
      <c r="A5695" s="3" t="s">
        <v>1069</v>
      </c>
      <c r="B5695" s="4">
        <v>45323</v>
      </c>
      <c r="C5695" s="3" t="s">
        <v>1180</v>
      </c>
      <c r="D5695" s="3" t="s">
        <v>1243</v>
      </c>
      <c r="E5695" s="3" t="s">
        <v>1244</v>
      </c>
      <c r="F5695" s="3">
        <v>0</v>
      </c>
      <c r="G5695" s="3">
        <v>871.91</v>
      </c>
    </row>
    <row r="5696" spans="1:7" x14ac:dyDescent="0.2">
      <c r="A5696" s="3" t="s">
        <v>1069</v>
      </c>
      <c r="B5696" s="4">
        <v>45323</v>
      </c>
      <c r="C5696" s="3" t="s">
        <v>1180</v>
      </c>
      <c r="D5696" s="3" t="s">
        <v>1245</v>
      </c>
      <c r="E5696" s="3" t="s">
        <v>1246</v>
      </c>
      <c r="F5696" s="3">
        <v>0</v>
      </c>
      <c r="G5696" s="3">
        <v>12614876.369999999</v>
      </c>
    </row>
    <row r="5697" spans="1:7" x14ac:dyDescent="0.2">
      <c r="A5697" s="3" t="s">
        <v>1069</v>
      </c>
      <c r="B5697" s="4">
        <v>45323</v>
      </c>
      <c r="C5697" s="3" t="s">
        <v>1180</v>
      </c>
      <c r="D5697" s="3" t="s">
        <v>1727</v>
      </c>
      <c r="E5697" s="3" t="s">
        <v>1728</v>
      </c>
      <c r="F5697" s="3">
        <v>0</v>
      </c>
      <c r="G5697" s="3">
        <v>150500</v>
      </c>
    </row>
    <row r="5698" spans="1:7" x14ac:dyDescent="0.2">
      <c r="A5698" s="3" t="s">
        <v>1072</v>
      </c>
      <c r="B5698" s="4">
        <v>45323</v>
      </c>
      <c r="C5698" s="3" t="s">
        <v>1175</v>
      </c>
      <c r="D5698" s="3" t="s">
        <v>1437</v>
      </c>
      <c r="E5698" s="3" t="s">
        <v>1438</v>
      </c>
      <c r="F5698" s="3">
        <v>0.01</v>
      </c>
      <c r="G5698" s="3">
        <v>-0.48</v>
      </c>
    </row>
    <row r="5699" spans="1:7" x14ac:dyDescent="0.2">
      <c r="A5699" s="3" t="s">
        <v>1069</v>
      </c>
      <c r="B5699" s="4">
        <v>45323</v>
      </c>
      <c r="C5699" s="3" t="s">
        <v>1175</v>
      </c>
      <c r="D5699" s="3" t="s">
        <v>1437</v>
      </c>
      <c r="E5699" s="3" t="s">
        <v>1438</v>
      </c>
      <c r="F5699" s="3">
        <v>0</v>
      </c>
      <c r="G5699" s="3">
        <v>0.04</v>
      </c>
    </row>
    <row r="5700" spans="1:7" x14ac:dyDescent="0.2">
      <c r="A5700" s="3" t="s">
        <v>1074</v>
      </c>
      <c r="B5700" s="4">
        <v>45323</v>
      </c>
      <c r="C5700" s="3" t="s">
        <v>1175</v>
      </c>
      <c r="D5700" s="3" t="s">
        <v>1437</v>
      </c>
      <c r="E5700" s="3" t="s">
        <v>1438</v>
      </c>
      <c r="F5700" s="3">
        <v>0</v>
      </c>
      <c r="G5700" s="3">
        <v>-0.03</v>
      </c>
    </row>
    <row r="5701" spans="1:7" x14ac:dyDescent="0.2">
      <c r="A5701" s="3" t="s">
        <v>1072</v>
      </c>
      <c r="B5701" s="4">
        <v>45323</v>
      </c>
      <c r="C5701" s="3" t="s">
        <v>1175</v>
      </c>
      <c r="D5701" s="3" t="s">
        <v>1191</v>
      </c>
      <c r="E5701" s="3" t="s">
        <v>1192</v>
      </c>
      <c r="F5701" s="3">
        <v>-73004.160000000003</v>
      </c>
      <c r="G5701" s="3">
        <v>-1083596.1000000001</v>
      </c>
    </row>
    <row r="5702" spans="1:7" x14ac:dyDescent="0.2">
      <c r="A5702" s="3" t="s">
        <v>1069</v>
      </c>
      <c r="B5702" s="4">
        <v>45323</v>
      </c>
      <c r="C5702" s="3" t="s">
        <v>1175</v>
      </c>
      <c r="D5702" s="3" t="s">
        <v>1191</v>
      </c>
      <c r="E5702" s="3" t="s">
        <v>1192</v>
      </c>
      <c r="F5702" s="3">
        <v>1004720.51</v>
      </c>
      <c r="G5702" s="3">
        <v>-167365223.47999999</v>
      </c>
    </row>
    <row r="5703" spans="1:7" x14ac:dyDescent="0.2">
      <c r="A5703" s="3" t="s">
        <v>1074</v>
      </c>
      <c r="B5703" s="4">
        <v>45323</v>
      </c>
      <c r="C5703" s="3" t="s">
        <v>1175</v>
      </c>
      <c r="D5703" s="3" t="s">
        <v>1191</v>
      </c>
      <c r="E5703" s="3" t="s">
        <v>1192</v>
      </c>
      <c r="F5703" s="3">
        <v>-66779.67</v>
      </c>
      <c r="G5703" s="3">
        <v>-1814363.82</v>
      </c>
    </row>
    <row r="5704" spans="1:7" x14ac:dyDescent="0.2">
      <c r="A5704" s="3" t="s">
        <v>1072</v>
      </c>
      <c r="B5704" s="4">
        <v>45323</v>
      </c>
      <c r="C5704" s="3" t="s">
        <v>1175</v>
      </c>
      <c r="D5704" s="3" t="s">
        <v>1488</v>
      </c>
      <c r="E5704" s="3" t="s">
        <v>1489</v>
      </c>
      <c r="F5704" s="3">
        <v>0</v>
      </c>
      <c r="G5704" s="3">
        <v>1309</v>
      </c>
    </row>
    <row r="5705" spans="1:7" x14ac:dyDescent="0.2">
      <c r="A5705" s="3" t="s">
        <v>1072</v>
      </c>
      <c r="B5705" s="4">
        <v>45323</v>
      </c>
      <c r="C5705" s="3" t="s">
        <v>1175</v>
      </c>
      <c r="D5705" s="3" t="s">
        <v>1441</v>
      </c>
      <c r="E5705" s="3" t="s">
        <v>1442</v>
      </c>
      <c r="F5705" s="3">
        <v>0</v>
      </c>
      <c r="G5705" s="3">
        <v>-107008.04</v>
      </c>
    </row>
    <row r="5706" spans="1:7" x14ac:dyDescent="0.2">
      <c r="A5706" s="3" t="s">
        <v>1072</v>
      </c>
      <c r="B5706" s="4">
        <v>45323</v>
      </c>
      <c r="C5706" s="3" t="s">
        <v>1175</v>
      </c>
      <c r="D5706" s="3" t="s">
        <v>1464</v>
      </c>
      <c r="E5706" s="3" t="s">
        <v>1465</v>
      </c>
      <c r="F5706" s="3">
        <v>0</v>
      </c>
      <c r="G5706" s="3">
        <v>-49413.95</v>
      </c>
    </row>
    <row r="5707" spans="1:7" x14ac:dyDescent="0.2">
      <c r="A5707" s="3" t="s">
        <v>1072</v>
      </c>
      <c r="B5707" s="4">
        <v>45323</v>
      </c>
      <c r="C5707" s="3" t="s">
        <v>1175</v>
      </c>
      <c r="D5707" s="3" t="s">
        <v>1729</v>
      </c>
      <c r="E5707" s="3" t="s">
        <v>1730</v>
      </c>
      <c r="F5707" s="3">
        <v>0</v>
      </c>
      <c r="G5707" s="3">
        <v>130000</v>
      </c>
    </row>
    <row r="5708" spans="1:7" x14ac:dyDescent="0.2">
      <c r="A5708" s="3" t="s">
        <v>1072</v>
      </c>
      <c r="B5708" s="4">
        <v>45323</v>
      </c>
      <c r="C5708" s="3" t="s">
        <v>1175</v>
      </c>
      <c r="D5708" s="3" t="s">
        <v>1193</v>
      </c>
      <c r="E5708" s="3" t="s">
        <v>1443</v>
      </c>
      <c r="F5708" s="3">
        <v>11121.11</v>
      </c>
      <c r="G5708" s="3">
        <v>-235772.08</v>
      </c>
    </row>
    <row r="5709" spans="1:7" x14ac:dyDescent="0.2">
      <c r="A5709" s="3" t="s">
        <v>1069</v>
      </c>
      <c r="B5709" s="4">
        <v>45323</v>
      </c>
      <c r="C5709" s="3" t="s">
        <v>1175</v>
      </c>
      <c r="D5709" s="3" t="s">
        <v>1193</v>
      </c>
      <c r="E5709" s="3" t="s">
        <v>1194</v>
      </c>
      <c r="F5709" s="3">
        <v>2324.94</v>
      </c>
      <c r="G5709" s="3">
        <v>-3369300.18</v>
      </c>
    </row>
    <row r="5710" spans="1:7" x14ac:dyDescent="0.2">
      <c r="A5710" s="3" t="s">
        <v>1074</v>
      </c>
      <c r="B5710" s="4">
        <v>45323</v>
      </c>
      <c r="C5710" s="3" t="s">
        <v>1175</v>
      </c>
      <c r="D5710" s="3" t="s">
        <v>1193</v>
      </c>
      <c r="E5710" s="3" t="s">
        <v>1194</v>
      </c>
      <c r="F5710" s="3">
        <v>-200327.72</v>
      </c>
      <c r="G5710" s="3">
        <v>6187972.1200000001</v>
      </c>
    </row>
    <row r="5711" spans="1:7" x14ac:dyDescent="0.2">
      <c r="A5711" s="3" t="s">
        <v>1072</v>
      </c>
      <c r="B5711" s="4">
        <v>45323</v>
      </c>
      <c r="C5711" s="3" t="s">
        <v>1175</v>
      </c>
      <c r="D5711" s="3" t="s">
        <v>1731</v>
      </c>
      <c r="E5711" s="3" t="s">
        <v>1732</v>
      </c>
      <c r="F5711" s="3">
        <v>0</v>
      </c>
      <c r="G5711" s="3">
        <v>-1869.8</v>
      </c>
    </row>
    <row r="5712" spans="1:7" x14ac:dyDescent="0.2">
      <c r="A5712" s="3" t="s">
        <v>1069</v>
      </c>
      <c r="B5712" s="4">
        <v>45323</v>
      </c>
      <c r="C5712" s="3" t="s">
        <v>1175</v>
      </c>
      <c r="D5712" s="3" t="s">
        <v>1657</v>
      </c>
      <c r="E5712" s="3" t="s">
        <v>1658</v>
      </c>
      <c r="F5712" s="3">
        <v>0</v>
      </c>
      <c r="G5712" s="3">
        <v>59039.93</v>
      </c>
    </row>
    <row r="5713" spans="1:7" x14ac:dyDescent="0.2">
      <c r="A5713" s="3" t="s">
        <v>1074</v>
      </c>
      <c r="B5713" s="4">
        <v>45323</v>
      </c>
      <c r="C5713" s="3" t="s">
        <v>1175</v>
      </c>
      <c r="D5713" s="3" t="s">
        <v>1717</v>
      </c>
      <c r="E5713" s="3" t="s">
        <v>1718</v>
      </c>
      <c r="F5713" s="3">
        <v>0</v>
      </c>
      <c r="G5713" s="3">
        <v>-0.4</v>
      </c>
    </row>
    <row r="5714" spans="1:7" x14ac:dyDescent="0.2">
      <c r="A5714" s="3" t="s">
        <v>1072</v>
      </c>
      <c r="B5714" s="4">
        <v>45323</v>
      </c>
      <c r="C5714" s="3" t="s">
        <v>1175</v>
      </c>
      <c r="D5714" s="3" t="s">
        <v>1444</v>
      </c>
      <c r="E5714" s="3" t="s">
        <v>1445</v>
      </c>
      <c r="F5714" s="3">
        <v>0</v>
      </c>
      <c r="G5714" s="3">
        <v>1869.8</v>
      </c>
    </row>
    <row r="5715" spans="1:7" x14ac:dyDescent="0.2">
      <c r="A5715" s="3" t="s">
        <v>1072</v>
      </c>
      <c r="B5715" s="4">
        <v>45323</v>
      </c>
      <c r="C5715" s="3" t="s">
        <v>1180</v>
      </c>
      <c r="D5715" s="3" t="s">
        <v>1758</v>
      </c>
      <c r="E5715" s="3" t="s">
        <v>1743</v>
      </c>
      <c r="F5715" s="3">
        <v>0</v>
      </c>
      <c r="G5715" s="3">
        <v>-3510.34</v>
      </c>
    </row>
    <row r="5716" spans="1:7" x14ac:dyDescent="0.2">
      <c r="A5716" s="3" t="s">
        <v>1072</v>
      </c>
      <c r="B5716" s="4">
        <v>45323</v>
      </c>
      <c r="C5716" s="3" t="s">
        <v>1175</v>
      </c>
      <c r="D5716" s="3" t="s">
        <v>1446</v>
      </c>
      <c r="E5716" s="3" t="s">
        <v>1447</v>
      </c>
      <c r="F5716" s="3">
        <v>0</v>
      </c>
      <c r="G5716" s="3">
        <v>-254.99</v>
      </c>
    </row>
    <row r="5717" spans="1:7" x14ac:dyDescent="0.2">
      <c r="A5717" s="3" t="s">
        <v>1069</v>
      </c>
      <c r="B5717" s="4">
        <v>45351</v>
      </c>
      <c r="C5717" s="3" t="s">
        <v>1210</v>
      </c>
      <c r="D5717" s="3" t="s">
        <v>1552</v>
      </c>
      <c r="E5717" s="3" t="s">
        <v>1553</v>
      </c>
      <c r="F5717" s="3">
        <v>0</v>
      </c>
      <c r="G5717" s="3">
        <v>-28096347.829999998</v>
      </c>
    </row>
    <row r="5718" spans="1:7" x14ac:dyDescent="0.2">
      <c r="A5718" s="3" t="s">
        <v>1074</v>
      </c>
      <c r="B5718" s="4">
        <v>45351</v>
      </c>
      <c r="C5718" s="3" t="s">
        <v>1210</v>
      </c>
      <c r="D5718" s="3" t="s">
        <v>1552</v>
      </c>
      <c r="E5718" s="3" t="s">
        <v>1700</v>
      </c>
      <c r="F5718" s="3">
        <v>-11155043.48</v>
      </c>
      <c r="G5718" s="3">
        <v>-41027130.479999997</v>
      </c>
    </row>
    <row r="5719" spans="1:7" x14ac:dyDescent="0.2">
      <c r="A5719" s="3" t="s">
        <v>1069</v>
      </c>
      <c r="B5719" s="4">
        <v>45351</v>
      </c>
      <c r="C5719" s="3" t="s">
        <v>1210</v>
      </c>
      <c r="D5719" s="3" t="s">
        <v>1554</v>
      </c>
      <c r="E5719" s="3" t="s">
        <v>1555</v>
      </c>
      <c r="F5719" s="3">
        <v>0</v>
      </c>
      <c r="G5719" s="3">
        <v>-102388.85</v>
      </c>
    </row>
    <row r="5720" spans="1:7" x14ac:dyDescent="0.2">
      <c r="A5720" s="3" t="s">
        <v>1074</v>
      </c>
      <c r="B5720" s="4">
        <v>45351</v>
      </c>
      <c r="C5720" s="3" t="s">
        <v>1210</v>
      </c>
      <c r="D5720" s="3" t="s">
        <v>1554</v>
      </c>
      <c r="E5720" s="3" t="s">
        <v>1701</v>
      </c>
      <c r="F5720" s="3">
        <v>-8400</v>
      </c>
      <c r="G5720" s="3">
        <v>-97096.76</v>
      </c>
    </row>
    <row r="5721" spans="1:7" x14ac:dyDescent="0.2">
      <c r="A5721" s="3" t="s">
        <v>1072</v>
      </c>
      <c r="B5721" s="4">
        <v>45351</v>
      </c>
      <c r="C5721" s="3" t="s">
        <v>1210</v>
      </c>
      <c r="D5721" s="3" t="s">
        <v>1448</v>
      </c>
      <c r="E5721" s="3" t="s">
        <v>1449</v>
      </c>
      <c r="F5721" s="3">
        <v>-3921739.13</v>
      </c>
      <c r="G5721" s="3">
        <v>-59189331.979999997</v>
      </c>
    </row>
    <row r="5722" spans="1:7" x14ac:dyDescent="0.2">
      <c r="A5722" s="3" t="s">
        <v>1072</v>
      </c>
      <c r="B5722" s="4">
        <v>45351</v>
      </c>
      <c r="C5722" s="3" t="s">
        <v>1210</v>
      </c>
      <c r="D5722" s="3" t="s">
        <v>1273</v>
      </c>
      <c r="E5722" s="3" t="s">
        <v>1274</v>
      </c>
      <c r="F5722" s="3">
        <v>0</v>
      </c>
      <c r="G5722" s="3">
        <v>3490.94</v>
      </c>
    </row>
    <row r="5723" spans="1:7" x14ac:dyDescent="0.2">
      <c r="A5723" s="3" t="s">
        <v>1069</v>
      </c>
      <c r="B5723" s="4">
        <v>45351</v>
      </c>
      <c r="C5723" s="3" t="s">
        <v>1210</v>
      </c>
      <c r="D5723" s="3" t="s">
        <v>1685</v>
      </c>
      <c r="E5723" s="3" t="s">
        <v>1686</v>
      </c>
      <c r="F5723" s="3">
        <v>-86500</v>
      </c>
      <c r="G5723" s="3">
        <v>-420912.32</v>
      </c>
    </row>
    <row r="5724" spans="1:7" x14ac:dyDescent="0.2">
      <c r="A5724" s="3" t="s">
        <v>1074</v>
      </c>
      <c r="B5724" s="4">
        <v>45351</v>
      </c>
      <c r="C5724" s="3" t="s">
        <v>1210</v>
      </c>
      <c r="D5724" s="3" t="s">
        <v>1685</v>
      </c>
      <c r="E5724" s="3" t="s">
        <v>1686</v>
      </c>
      <c r="F5724" s="3">
        <v>0</v>
      </c>
      <c r="G5724" s="3">
        <v>-13883</v>
      </c>
    </row>
    <row r="5725" spans="1:7" x14ac:dyDescent="0.2">
      <c r="A5725" s="3" t="s">
        <v>1069</v>
      </c>
      <c r="B5725" s="4">
        <v>45351</v>
      </c>
      <c r="C5725" s="3" t="s">
        <v>1168</v>
      </c>
      <c r="D5725" s="3" t="s">
        <v>1687</v>
      </c>
      <c r="E5725" s="3" t="s">
        <v>1688</v>
      </c>
      <c r="F5725" s="3">
        <v>0</v>
      </c>
      <c r="G5725" s="3">
        <v>45300.43</v>
      </c>
    </row>
    <row r="5726" spans="1:7" x14ac:dyDescent="0.2">
      <c r="A5726" s="3" t="s">
        <v>1074</v>
      </c>
      <c r="B5726" s="4">
        <v>45351</v>
      </c>
      <c r="C5726" s="3" t="s">
        <v>1168</v>
      </c>
      <c r="D5726" s="3" t="s">
        <v>1514</v>
      </c>
      <c r="E5726" s="3" t="s">
        <v>1676</v>
      </c>
      <c r="F5726" s="3">
        <v>8890.9599999999991</v>
      </c>
      <c r="G5726" s="3">
        <v>246033.9</v>
      </c>
    </row>
    <row r="5727" spans="1:7" x14ac:dyDescent="0.2">
      <c r="A5727" s="3" t="s">
        <v>1069</v>
      </c>
      <c r="B5727" s="4">
        <v>45351</v>
      </c>
      <c r="C5727" s="3" t="s">
        <v>1168</v>
      </c>
      <c r="D5727" s="3" t="s">
        <v>1531</v>
      </c>
      <c r="E5727" s="3" t="s">
        <v>1532</v>
      </c>
      <c r="F5727" s="3">
        <v>0</v>
      </c>
      <c r="G5727" s="3">
        <v>685713.49</v>
      </c>
    </row>
    <row r="5728" spans="1:7" x14ac:dyDescent="0.2">
      <c r="A5728" s="3" t="s">
        <v>1074</v>
      </c>
      <c r="B5728" s="4">
        <v>45351</v>
      </c>
      <c r="C5728" s="3" t="s">
        <v>1168</v>
      </c>
      <c r="D5728" s="3" t="s">
        <v>1531</v>
      </c>
      <c r="E5728" s="3" t="s">
        <v>1532</v>
      </c>
      <c r="F5728" s="3">
        <v>276922.46000000002</v>
      </c>
      <c r="G5728" s="3">
        <v>947705.31</v>
      </c>
    </row>
    <row r="5729" spans="1:7" x14ac:dyDescent="0.2">
      <c r="A5729" s="3" t="s">
        <v>1074</v>
      </c>
      <c r="B5729" s="4">
        <v>45351</v>
      </c>
      <c r="C5729" s="3" t="s">
        <v>1168</v>
      </c>
      <c r="D5729" s="3" t="s">
        <v>1638</v>
      </c>
      <c r="E5729" s="3" t="s">
        <v>1677</v>
      </c>
      <c r="F5729" s="3">
        <v>0</v>
      </c>
      <c r="G5729" s="3">
        <v>79174.94</v>
      </c>
    </row>
    <row r="5730" spans="1:7" x14ac:dyDescent="0.2">
      <c r="A5730" s="3" t="s">
        <v>1069</v>
      </c>
      <c r="B5730" s="4">
        <v>45351</v>
      </c>
      <c r="C5730" s="3" t="s">
        <v>1168</v>
      </c>
      <c r="D5730" s="3" t="s">
        <v>1638</v>
      </c>
      <c r="E5730" s="3" t="s">
        <v>1639</v>
      </c>
      <c r="F5730" s="3">
        <v>0</v>
      </c>
      <c r="G5730" s="3">
        <v>10540</v>
      </c>
    </row>
    <row r="5731" spans="1:7" x14ac:dyDescent="0.2">
      <c r="A5731" s="3" t="s">
        <v>1069</v>
      </c>
      <c r="B5731" s="4">
        <v>45351</v>
      </c>
      <c r="C5731" s="3" t="s">
        <v>1168</v>
      </c>
      <c r="D5731" s="3" t="s">
        <v>1540</v>
      </c>
      <c r="E5731" s="3" t="s">
        <v>1541</v>
      </c>
      <c r="F5731" s="3">
        <v>0</v>
      </c>
      <c r="G5731" s="3">
        <v>44864.59</v>
      </c>
    </row>
    <row r="5732" spans="1:7" x14ac:dyDescent="0.2">
      <c r="A5732" s="3" t="s">
        <v>1069</v>
      </c>
      <c r="B5732" s="4">
        <v>45351</v>
      </c>
      <c r="C5732" s="3" t="s">
        <v>1168</v>
      </c>
      <c r="D5732" s="3" t="s">
        <v>1556</v>
      </c>
      <c r="E5732" s="3" t="s">
        <v>1557</v>
      </c>
      <c r="F5732" s="3">
        <v>0</v>
      </c>
      <c r="G5732" s="3">
        <v>381069.48</v>
      </c>
    </row>
    <row r="5733" spans="1:7" x14ac:dyDescent="0.2">
      <c r="A5733" s="3" t="s">
        <v>1069</v>
      </c>
      <c r="B5733" s="4">
        <v>45351</v>
      </c>
      <c r="C5733" s="3" t="s">
        <v>1168</v>
      </c>
      <c r="D5733" s="3" t="s">
        <v>1558</v>
      </c>
      <c r="E5733" s="3" t="s">
        <v>1559</v>
      </c>
      <c r="F5733" s="3">
        <v>0</v>
      </c>
      <c r="G5733" s="3">
        <v>1405686.97</v>
      </c>
    </row>
    <row r="5734" spans="1:7" x14ac:dyDescent="0.2">
      <c r="A5734" s="3" t="s">
        <v>1074</v>
      </c>
      <c r="B5734" s="4">
        <v>45351</v>
      </c>
      <c r="C5734" s="3" t="s">
        <v>1168</v>
      </c>
      <c r="D5734" s="3" t="s">
        <v>1558</v>
      </c>
      <c r="E5734" s="3" t="s">
        <v>1702</v>
      </c>
      <c r="F5734" s="3">
        <v>556486.98</v>
      </c>
      <c r="G5734" s="3">
        <v>2051613.04</v>
      </c>
    </row>
    <row r="5735" spans="1:7" x14ac:dyDescent="0.2">
      <c r="A5735" s="3" t="s">
        <v>1069</v>
      </c>
      <c r="B5735" s="4">
        <v>45351</v>
      </c>
      <c r="C5735" s="3" t="s">
        <v>1168</v>
      </c>
      <c r="D5735" s="3" t="s">
        <v>1640</v>
      </c>
      <c r="E5735" s="3" t="s">
        <v>1641</v>
      </c>
      <c r="F5735" s="3">
        <v>0</v>
      </c>
      <c r="G5735" s="3">
        <v>1005.47</v>
      </c>
    </row>
    <row r="5736" spans="1:7" x14ac:dyDescent="0.2">
      <c r="A5736" s="3" t="s">
        <v>1074</v>
      </c>
      <c r="B5736" s="4">
        <v>45351</v>
      </c>
      <c r="C5736" s="3" t="s">
        <v>1168</v>
      </c>
      <c r="D5736" s="3" t="s">
        <v>1640</v>
      </c>
      <c r="E5736" s="3" t="s">
        <v>1689</v>
      </c>
      <c r="F5736" s="3">
        <v>0</v>
      </c>
      <c r="G5736" s="3">
        <v>6212.85</v>
      </c>
    </row>
    <row r="5737" spans="1:7" x14ac:dyDescent="0.2">
      <c r="A5737" s="3" t="s">
        <v>1069</v>
      </c>
      <c r="B5737" s="4">
        <v>45351</v>
      </c>
      <c r="C5737" s="3" t="s">
        <v>1168</v>
      </c>
      <c r="D5737" s="3" t="s">
        <v>1659</v>
      </c>
      <c r="E5737" s="3" t="s">
        <v>1660</v>
      </c>
      <c r="F5737" s="3">
        <v>0</v>
      </c>
      <c r="G5737" s="3">
        <v>250</v>
      </c>
    </row>
    <row r="5738" spans="1:7" x14ac:dyDescent="0.2">
      <c r="A5738" s="3" t="s">
        <v>1074</v>
      </c>
      <c r="B5738" s="4">
        <v>45351</v>
      </c>
      <c r="C5738" s="3" t="s">
        <v>1168</v>
      </c>
      <c r="D5738" s="3" t="s">
        <v>1659</v>
      </c>
      <c r="E5738" s="3" t="s">
        <v>1660</v>
      </c>
      <c r="F5738" s="3">
        <v>700</v>
      </c>
      <c r="G5738" s="3">
        <v>1173.92</v>
      </c>
    </row>
    <row r="5739" spans="1:7" x14ac:dyDescent="0.2">
      <c r="A5739" s="3" t="s">
        <v>1069</v>
      </c>
      <c r="B5739" s="4">
        <v>45351</v>
      </c>
      <c r="C5739" s="3" t="s">
        <v>1168</v>
      </c>
      <c r="D5739" s="3" t="s">
        <v>1678</v>
      </c>
      <c r="E5739" s="3" t="s">
        <v>1679</v>
      </c>
      <c r="F5739" s="3">
        <v>0</v>
      </c>
      <c r="G5739" s="3">
        <v>31600</v>
      </c>
    </row>
    <row r="5740" spans="1:7" x14ac:dyDescent="0.2">
      <c r="A5740" s="3" t="s">
        <v>1072</v>
      </c>
      <c r="B5740" s="4">
        <v>45351</v>
      </c>
      <c r="C5740" s="3" t="s">
        <v>1168</v>
      </c>
      <c r="D5740" s="3" t="s">
        <v>1661</v>
      </c>
      <c r="E5740" s="3" t="s">
        <v>1662</v>
      </c>
      <c r="F5740" s="3">
        <v>0</v>
      </c>
      <c r="G5740" s="3">
        <v>286.95999999999998</v>
      </c>
    </row>
    <row r="5741" spans="1:7" x14ac:dyDescent="0.2">
      <c r="A5741" s="3" t="s">
        <v>1072</v>
      </c>
      <c r="B5741" s="4">
        <v>45351</v>
      </c>
      <c r="C5741" s="3" t="s">
        <v>1168</v>
      </c>
      <c r="D5741" s="3" t="s">
        <v>1680</v>
      </c>
      <c r="E5741" s="3" t="s">
        <v>1681</v>
      </c>
      <c r="F5741" s="3">
        <v>0</v>
      </c>
      <c r="G5741" s="3">
        <v>86.96</v>
      </c>
    </row>
    <row r="5742" spans="1:7" x14ac:dyDescent="0.2">
      <c r="A5742" s="3" t="s">
        <v>1072</v>
      </c>
      <c r="B5742" s="4">
        <v>45351</v>
      </c>
      <c r="C5742" s="3" t="s">
        <v>1168</v>
      </c>
      <c r="D5742" s="3" t="s">
        <v>1669</v>
      </c>
      <c r="E5742" s="3" t="s">
        <v>1670</v>
      </c>
      <c r="F5742" s="3">
        <v>0</v>
      </c>
      <c r="G5742" s="3">
        <v>30620.97</v>
      </c>
    </row>
    <row r="5743" spans="1:7" x14ac:dyDescent="0.2">
      <c r="A5743" s="3" t="s">
        <v>1072</v>
      </c>
      <c r="B5743" s="4">
        <v>45351</v>
      </c>
      <c r="C5743" s="3" t="s">
        <v>1168</v>
      </c>
      <c r="D5743" s="3" t="s">
        <v>1735</v>
      </c>
      <c r="E5743" s="3" t="s">
        <v>1736</v>
      </c>
      <c r="F5743" s="3">
        <v>0</v>
      </c>
      <c r="G5743" s="3">
        <v>7408.46</v>
      </c>
    </row>
    <row r="5744" spans="1:7" x14ac:dyDescent="0.2">
      <c r="A5744" s="3" t="s">
        <v>1072</v>
      </c>
      <c r="B5744" s="4">
        <v>45351</v>
      </c>
      <c r="C5744" s="3" t="s">
        <v>1168</v>
      </c>
      <c r="D5744" s="3" t="s">
        <v>1703</v>
      </c>
      <c r="E5744" s="3" t="s">
        <v>1704</v>
      </c>
      <c r="F5744" s="3">
        <v>0</v>
      </c>
      <c r="G5744" s="3">
        <v>10516.44</v>
      </c>
    </row>
    <row r="5745" spans="1:7" x14ac:dyDescent="0.2">
      <c r="A5745" s="3" t="s">
        <v>1072</v>
      </c>
      <c r="B5745" s="4">
        <v>45351</v>
      </c>
      <c r="C5745" s="3" t="s">
        <v>1168</v>
      </c>
      <c r="D5745" s="3" t="s">
        <v>1682</v>
      </c>
      <c r="E5745" s="3" t="s">
        <v>1683</v>
      </c>
      <c r="F5745" s="3">
        <v>0</v>
      </c>
      <c r="G5745" s="3">
        <v>152255.67999999999</v>
      </c>
    </row>
    <row r="5746" spans="1:7" x14ac:dyDescent="0.2">
      <c r="A5746" s="3" t="s">
        <v>1072</v>
      </c>
      <c r="B5746" s="4">
        <v>45351</v>
      </c>
      <c r="C5746" s="3" t="s">
        <v>1168</v>
      </c>
      <c r="D5746" s="3" t="s">
        <v>1281</v>
      </c>
      <c r="E5746" s="3" t="s">
        <v>1282</v>
      </c>
      <c r="F5746" s="3">
        <v>1525</v>
      </c>
      <c r="G5746" s="3">
        <v>353672.74</v>
      </c>
    </row>
    <row r="5747" spans="1:7" x14ac:dyDescent="0.2">
      <c r="A5747" s="3" t="s">
        <v>1072</v>
      </c>
      <c r="B5747" s="4">
        <v>45351</v>
      </c>
      <c r="C5747" s="3" t="s">
        <v>1168</v>
      </c>
      <c r="D5747" s="3" t="s">
        <v>1283</v>
      </c>
      <c r="E5747" s="3" t="s">
        <v>1284</v>
      </c>
      <c r="F5747" s="3">
        <v>20.87</v>
      </c>
      <c r="G5747" s="3">
        <v>160526.57</v>
      </c>
    </row>
    <row r="5748" spans="1:7" x14ac:dyDescent="0.2">
      <c r="A5748" s="3" t="s">
        <v>1072</v>
      </c>
      <c r="B5748" s="4">
        <v>45351</v>
      </c>
      <c r="C5748" s="3" t="s">
        <v>1168</v>
      </c>
      <c r="D5748" s="3" t="s">
        <v>1285</v>
      </c>
      <c r="E5748" s="3" t="s">
        <v>1286</v>
      </c>
      <c r="F5748" s="3">
        <v>0</v>
      </c>
      <c r="G5748" s="3">
        <v>19969.43</v>
      </c>
    </row>
    <row r="5749" spans="1:7" x14ac:dyDescent="0.2">
      <c r="A5749" s="3" t="s">
        <v>1072</v>
      </c>
      <c r="B5749" s="4">
        <v>45351</v>
      </c>
      <c r="C5749" s="3" t="s">
        <v>1168</v>
      </c>
      <c r="D5749" s="3" t="s">
        <v>1705</v>
      </c>
      <c r="E5749" s="3" t="s">
        <v>1706</v>
      </c>
      <c r="F5749" s="3">
        <v>0</v>
      </c>
      <c r="G5749" s="3">
        <v>26340.75</v>
      </c>
    </row>
    <row r="5750" spans="1:7" x14ac:dyDescent="0.2">
      <c r="A5750" s="3" t="s">
        <v>1072</v>
      </c>
      <c r="B5750" s="4">
        <v>45351</v>
      </c>
      <c r="C5750" s="3" t="s">
        <v>1168</v>
      </c>
      <c r="D5750" s="3" t="s">
        <v>1299</v>
      </c>
      <c r="E5750" s="3" t="s">
        <v>1300</v>
      </c>
      <c r="F5750" s="3">
        <v>300</v>
      </c>
      <c r="G5750" s="3">
        <v>300</v>
      </c>
    </row>
    <row r="5751" spans="1:7" x14ac:dyDescent="0.2">
      <c r="A5751" s="3" t="s">
        <v>1072</v>
      </c>
      <c r="B5751" s="4">
        <v>45351</v>
      </c>
      <c r="C5751" s="3" t="s">
        <v>1168</v>
      </c>
      <c r="D5751" s="3" t="s">
        <v>1301</v>
      </c>
      <c r="E5751" s="3" t="s">
        <v>1302</v>
      </c>
      <c r="F5751" s="3">
        <v>0</v>
      </c>
      <c r="G5751" s="3">
        <v>760.87</v>
      </c>
    </row>
    <row r="5752" spans="1:7" x14ac:dyDescent="0.2">
      <c r="A5752" s="3" t="s">
        <v>1072</v>
      </c>
      <c r="B5752" s="4">
        <v>45351</v>
      </c>
      <c r="C5752" s="3" t="s">
        <v>1168</v>
      </c>
      <c r="D5752" s="3" t="s">
        <v>1305</v>
      </c>
      <c r="E5752" s="3" t="s">
        <v>1306</v>
      </c>
      <c r="F5752" s="3">
        <v>848</v>
      </c>
      <c r="G5752" s="3">
        <v>28600.22</v>
      </c>
    </row>
    <row r="5753" spans="1:7" x14ac:dyDescent="0.2">
      <c r="A5753" s="3" t="s">
        <v>1072</v>
      </c>
      <c r="B5753" s="4">
        <v>45351</v>
      </c>
      <c r="C5753" s="3" t="s">
        <v>1168</v>
      </c>
      <c r="D5753" s="3" t="s">
        <v>1690</v>
      </c>
      <c r="E5753" s="3" t="s">
        <v>1691</v>
      </c>
      <c r="F5753" s="3">
        <v>0</v>
      </c>
      <c r="G5753" s="3">
        <v>7565.57</v>
      </c>
    </row>
    <row r="5754" spans="1:7" x14ac:dyDescent="0.2">
      <c r="A5754" s="3" t="s">
        <v>1072</v>
      </c>
      <c r="B5754" s="4">
        <v>45351</v>
      </c>
      <c r="C5754" s="3" t="s">
        <v>1168</v>
      </c>
      <c r="D5754" s="3" t="s">
        <v>1311</v>
      </c>
      <c r="E5754" s="3" t="s">
        <v>1312</v>
      </c>
      <c r="F5754" s="3">
        <v>0</v>
      </c>
      <c r="G5754" s="3">
        <v>680</v>
      </c>
    </row>
    <row r="5755" spans="1:7" x14ac:dyDescent="0.2">
      <c r="A5755" s="3" t="s">
        <v>1072</v>
      </c>
      <c r="B5755" s="4">
        <v>45351</v>
      </c>
      <c r="C5755" s="3" t="s">
        <v>1168</v>
      </c>
      <c r="D5755" s="3" t="s">
        <v>1315</v>
      </c>
      <c r="E5755" s="3" t="s">
        <v>1316</v>
      </c>
      <c r="F5755" s="3">
        <v>0</v>
      </c>
      <c r="G5755" s="3">
        <v>1129.57</v>
      </c>
    </row>
    <row r="5756" spans="1:7" x14ac:dyDescent="0.2">
      <c r="A5756" s="3" t="s">
        <v>1072</v>
      </c>
      <c r="B5756" s="4">
        <v>45351</v>
      </c>
      <c r="C5756" s="3" t="s">
        <v>1168</v>
      </c>
      <c r="D5756" s="3" t="s">
        <v>1450</v>
      </c>
      <c r="E5756" s="3" t="s">
        <v>1451</v>
      </c>
      <c r="F5756" s="3">
        <v>390</v>
      </c>
      <c r="G5756" s="3">
        <v>1640229.08</v>
      </c>
    </row>
    <row r="5757" spans="1:7" x14ac:dyDescent="0.2">
      <c r="A5757" s="3" t="s">
        <v>1072</v>
      </c>
      <c r="B5757" s="4">
        <v>45351</v>
      </c>
      <c r="C5757" s="3" t="s">
        <v>1168</v>
      </c>
      <c r="D5757" s="3" t="s">
        <v>1452</v>
      </c>
      <c r="E5757" s="3" t="s">
        <v>1453</v>
      </c>
      <c r="F5757" s="3">
        <v>3282.19</v>
      </c>
      <c r="G5757" s="3">
        <v>347105.73</v>
      </c>
    </row>
    <row r="5758" spans="1:7" x14ac:dyDescent="0.2">
      <c r="A5758" s="3" t="s">
        <v>1072</v>
      </c>
      <c r="B5758" s="4">
        <v>45351</v>
      </c>
      <c r="C5758" s="3" t="s">
        <v>1168</v>
      </c>
      <c r="D5758" s="3" t="s">
        <v>1454</v>
      </c>
      <c r="E5758" s="3" t="s">
        <v>1455</v>
      </c>
      <c r="F5758" s="3">
        <v>0</v>
      </c>
      <c r="G5758" s="3">
        <v>694.78</v>
      </c>
    </row>
    <row r="5759" spans="1:7" x14ac:dyDescent="0.2">
      <c r="A5759" s="3" t="s">
        <v>1072</v>
      </c>
      <c r="B5759" s="4">
        <v>45351</v>
      </c>
      <c r="C5759" s="3" t="s">
        <v>1168</v>
      </c>
      <c r="D5759" s="3" t="s">
        <v>1761</v>
      </c>
      <c r="E5759" s="3" t="s">
        <v>1762</v>
      </c>
      <c r="F5759" s="3">
        <v>6144.78</v>
      </c>
      <c r="G5759" s="3">
        <v>6144.78</v>
      </c>
    </row>
    <row r="5760" spans="1:7" x14ac:dyDescent="0.2">
      <c r="A5760" s="3" t="s">
        <v>1072</v>
      </c>
      <c r="B5760" s="4">
        <v>45351</v>
      </c>
      <c r="C5760" s="3" t="s">
        <v>1168</v>
      </c>
      <c r="D5760" s="3" t="s">
        <v>1468</v>
      </c>
      <c r="E5760" s="3" t="s">
        <v>1469</v>
      </c>
      <c r="F5760" s="3">
        <v>1849.57</v>
      </c>
      <c r="G5760" s="3">
        <v>19178.810000000001</v>
      </c>
    </row>
    <row r="5761" spans="1:7" x14ac:dyDescent="0.2">
      <c r="A5761" s="3" t="s">
        <v>1072</v>
      </c>
      <c r="B5761" s="4">
        <v>45351</v>
      </c>
      <c r="C5761" s="3" t="s">
        <v>1168</v>
      </c>
      <c r="D5761" s="3" t="s">
        <v>1620</v>
      </c>
      <c r="E5761" s="3" t="s">
        <v>1621</v>
      </c>
      <c r="F5761" s="3">
        <v>2256.52</v>
      </c>
      <c r="G5761" s="3">
        <v>35788.9</v>
      </c>
    </row>
    <row r="5762" spans="1:7" x14ac:dyDescent="0.2">
      <c r="A5762" s="3" t="s">
        <v>1072</v>
      </c>
      <c r="B5762" s="4">
        <v>45351</v>
      </c>
      <c r="C5762" s="3" t="s">
        <v>1168</v>
      </c>
      <c r="D5762" s="3" t="s">
        <v>1542</v>
      </c>
      <c r="E5762" s="3" t="s">
        <v>1543</v>
      </c>
      <c r="F5762" s="3">
        <v>4423042.03</v>
      </c>
      <c r="G5762" s="3">
        <v>47779319.810000002</v>
      </c>
    </row>
    <row r="5763" spans="1:7" x14ac:dyDescent="0.2">
      <c r="A5763" s="3" t="s">
        <v>1072</v>
      </c>
      <c r="B5763" s="4">
        <v>45351</v>
      </c>
      <c r="C5763" s="3" t="s">
        <v>1168</v>
      </c>
      <c r="D5763" s="3" t="s">
        <v>1527</v>
      </c>
      <c r="E5763" s="3" t="s">
        <v>1528</v>
      </c>
      <c r="F5763" s="3">
        <v>5069.8</v>
      </c>
      <c r="G5763" s="3">
        <v>554266.66</v>
      </c>
    </row>
    <row r="5764" spans="1:7" x14ac:dyDescent="0.2">
      <c r="A5764" s="3" t="s">
        <v>1072</v>
      </c>
      <c r="B5764" s="4">
        <v>45351</v>
      </c>
      <c r="C5764" s="3" t="s">
        <v>1168</v>
      </c>
      <c r="D5764" s="3" t="s">
        <v>1560</v>
      </c>
      <c r="E5764" s="3" t="s">
        <v>1561</v>
      </c>
      <c r="F5764" s="3">
        <v>0</v>
      </c>
      <c r="G5764" s="3">
        <v>17292.48</v>
      </c>
    </row>
    <row r="5765" spans="1:7" x14ac:dyDescent="0.2">
      <c r="A5765" s="3" t="s">
        <v>1072</v>
      </c>
      <c r="B5765" s="4">
        <v>45351</v>
      </c>
      <c r="C5765" s="3" t="s">
        <v>1168</v>
      </c>
      <c r="D5765" s="3" t="s">
        <v>1763</v>
      </c>
      <c r="E5765" s="3" t="s">
        <v>1764</v>
      </c>
      <c r="F5765" s="3">
        <v>33121.74</v>
      </c>
      <c r="G5765" s="3">
        <v>33121.74</v>
      </c>
    </row>
    <row r="5766" spans="1:7" x14ac:dyDescent="0.2">
      <c r="A5766" s="3" t="s">
        <v>1072</v>
      </c>
      <c r="B5766" s="4">
        <v>45351</v>
      </c>
      <c r="C5766" s="3" t="s">
        <v>1210</v>
      </c>
      <c r="D5766" s="3" t="s">
        <v>1509</v>
      </c>
      <c r="E5766" s="3" t="s">
        <v>1510</v>
      </c>
      <c r="F5766" s="3">
        <v>-70.13</v>
      </c>
      <c r="G5766" s="3">
        <v>-2669.86</v>
      </c>
    </row>
    <row r="5767" spans="1:7" x14ac:dyDescent="0.2">
      <c r="A5767" s="3" t="s">
        <v>1072</v>
      </c>
      <c r="B5767" s="4">
        <v>45351</v>
      </c>
      <c r="C5767" s="3" t="s">
        <v>1210</v>
      </c>
      <c r="D5767" s="3" t="s">
        <v>1323</v>
      </c>
      <c r="E5767" s="3" t="s">
        <v>1324</v>
      </c>
      <c r="F5767" s="3">
        <v>0</v>
      </c>
      <c r="G5767" s="3">
        <v>-34.229999999999997</v>
      </c>
    </row>
    <row r="5768" spans="1:7" x14ac:dyDescent="0.2">
      <c r="A5768" s="3" t="s">
        <v>1069</v>
      </c>
      <c r="B5768" s="4">
        <v>45351</v>
      </c>
      <c r="C5768" s="3" t="s">
        <v>1210</v>
      </c>
      <c r="D5768" s="3" t="s">
        <v>1744</v>
      </c>
      <c r="E5768" s="3" t="s">
        <v>1745</v>
      </c>
      <c r="F5768" s="3">
        <v>0</v>
      </c>
      <c r="G5768" s="3">
        <v>-5546.16</v>
      </c>
    </row>
    <row r="5769" spans="1:7" x14ac:dyDescent="0.2">
      <c r="A5769" s="3" t="s">
        <v>1069</v>
      </c>
      <c r="B5769" s="4">
        <v>45351</v>
      </c>
      <c r="C5769" s="3" t="s">
        <v>1210</v>
      </c>
      <c r="D5769" s="3" t="s">
        <v>1249</v>
      </c>
      <c r="E5769" s="3" t="s">
        <v>1250</v>
      </c>
      <c r="F5769" s="3">
        <v>-98307.51</v>
      </c>
      <c r="G5769" s="3">
        <v>-2753515.06</v>
      </c>
    </row>
    <row r="5770" spans="1:7" x14ac:dyDescent="0.2">
      <c r="A5770" s="3" t="s">
        <v>1069</v>
      </c>
      <c r="B5770" s="4">
        <v>45351</v>
      </c>
      <c r="C5770" s="3" t="s">
        <v>1168</v>
      </c>
      <c r="D5770" s="3" t="s">
        <v>1692</v>
      </c>
      <c r="E5770" s="3" t="s">
        <v>1149</v>
      </c>
      <c r="F5770" s="3">
        <v>0</v>
      </c>
      <c r="G5770" s="3">
        <v>15024.96</v>
      </c>
    </row>
    <row r="5771" spans="1:7" x14ac:dyDescent="0.2">
      <c r="A5771" s="3" t="s">
        <v>1069</v>
      </c>
      <c r="B5771" s="4">
        <v>45351</v>
      </c>
      <c r="C5771" s="3" t="s">
        <v>1168</v>
      </c>
      <c r="D5771" s="3" t="s">
        <v>1226</v>
      </c>
      <c r="E5771" s="3" t="s">
        <v>1126</v>
      </c>
      <c r="F5771" s="3">
        <v>0</v>
      </c>
      <c r="G5771" s="3">
        <v>3050</v>
      </c>
    </row>
    <row r="5772" spans="1:7" x14ac:dyDescent="0.2">
      <c r="A5772" s="3" t="s">
        <v>1072</v>
      </c>
      <c r="B5772" s="4">
        <v>45351</v>
      </c>
      <c r="C5772" s="3" t="s">
        <v>1168</v>
      </c>
      <c r="D5772" s="3" t="s">
        <v>1325</v>
      </c>
      <c r="E5772" s="3" t="s">
        <v>1073</v>
      </c>
      <c r="F5772" s="3">
        <v>0</v>
      </c>
      <c r="G5772" s="3">
        <v>1280</v>
      </c>
    </row>
    <row r="5773" spans="1:7" x14ac:dyDescent="0.2">
      <c r="A5773" s="3" t="s">
        <v>1072</v>
      </c>
      <c r="B5773" s="4">
        <v>45351</v>
      </c>
      <c r="C5773" s="3" t="s">
        <v>1168</v>
      </c>
      <c r="D5773" s="3" t="s">
        <v>1326</v>
      </c>
      <c r="E5773" s="3" t="s">
        <v>1088</v>
      </c>
      <c r="F5773" s="3">
        <v>0</v>
      </c>
      <c r="G5773" s="3">
        <v>11170</v>
      </c>
    </row>
    <row r="5774" spans="1:7" x14ac:dyDescent="0.2">
      <c r="A5774" s="3" t="s">
        <v>1072</v>
      </c>
      <c r="B5774" s="4">
        <v>45351</v>
      </c>
      <c r="C5774" s="3" t="s">
        <v>1168</v>
      </c>
      <c r="D5774" s="3" t="s">
        <v>1169</v>
      </c>
      <c r="E5774" s="3" t="s">
        <v>1079</v>
      </c>
      <c r="F5774" s="3">
        <v>0</v>
      </c>
      <c r="G5774" s="3">
        <v>10975</v>
      </c>
    </row>
    <row r="5775" spans="1:7" x14ac:dyDescent="0.2">
      <c r="A5775" s="3" t="s">
        <v>1069</v>
      </c>
      <c r="B5775" s="4">
        <v>45351</v>
      </c>
      <c r="C5775" s="3" t="s">
        <v>1168</v>
      </c>
      <c r="D5775" s="3" t="s">
        <v>1169</v>
      </c>
      <c r="E5775" s="3" t="s">
        <v>1079</v>
      </c>
      <c r="F5775" s="3">
        <v>22000</v>
      </c>
      <c r="G5775" s="3">
        <v>200914.34</v>
      </c>
    </row>
    <row r="5776" spans="1:7" x14ac:dyDescent="0.2">
      <c r="A5776" s="3" t="s">
        <v>1074</v>
      </c>
      <c r="B5776" s="4">
        <v>45351</v>
      </c>
      <c r="C5776" s="3" t="s">
        <v>1168</v>
      </c>
      <c r="D5776" s="3" t="s">
        <v>1169</v>
      </c>
      <c r="E5776" s="3" t="s">
        <v>1079</v>
      </c>
      <c r="F5776" s="3">
        <v>0</v>
      </c>
      <c r="G5776" s="3">
        <v>52857.72</v>
      </c>
    </row>
    <row r="5777" spans="1:7" x14ac:dyDescent="0.2">
      <c r="A5777" s="3" t="s">
        <v>1069</v>
      </c>
      <c r="B5777" s="4">
        <v>45351</v>
      </c>
      <c r="C5777" s="3" t="s">
        <v>1168</v>
      </c>
      <c r="D5777" s="3" t="s">
        <v>1261</v>
      </c>
      <c r="E5777" s="3" t="s">
        <v>1145</v>
      </c>
      <c r="F5777" s="3">
        <v>0</v>
      </c>
      <c r="G5777" s="3">
        <v>12480</v>
      </c>
    </row>
    <row r="5778" spans="1:7" x14ac:dyDescent="0.2">
      <c r="A5778" s="3" t="s">
        <v>1072</v>
      </c>
      <c r="B5778" s="4">
        <v>45351</v>
      </c>
      <c r="C5778" s="3" t="s">
        <v>1168</v>
      </c>
      <c r="D5778" s="3" t="s">
        <v>1648</v>
      </c>
      <c r="E5778" s="3" t="s">
        <v>1084</v>
      </c>
      <c r="F5778" s="3">
        <v>0</v>
      </c>
      <c r="G5778" s="3">
        <v>295</v>
      </c>
    </row>
    <row r="5779" spans="1:7" x14ac:dyDescent="0.2">
      <c r="A5779" s="3" t="s">
        <v>1069</v>
      </c>
      <c r="B5779" s="4">
        <v>45351</v>
      </c>
      <c r="C5779" s="3" t="s">
        <v>1168</v>
      </c>
      <c r="D5779" s="3" t="s">
        <v>1624</v>
      </c>
      <c r="E5779" s="3" t="s">
        <v>1118</v>
      </c>
      <c r="F5779" s="3">
        <v>0</v>
      </c>
      <c r="G5779" s="3">
        <v>10250</v>
      </c>
    </row>
    <row r="5780" spans="1:7" x14ac:dyDescent="0.2">
      <c r="A5780" s="3" t="s">
        <v>1074</v>
      </c>
      <c r="B5780" s="4">
        <v>45351</v>
      </c>
      <c r="C5780" s="3" t="s">
        <v>1168</v>
      </c>
      <c r="D5780" s="3" t="s">
        <v>1624</v>
      </c>
      <c r="E5780" s="3" t="s">
        <v>1160</v>
      </c>
      <c r="F5780" s="3">
        <v>0</v>
      </c>
      <c r="G5780" s="3">
        <v>17855</v>
      </c>
    </row>
    <row r="5781" spans="1:7" x14ac:dyDescent="0.2">
      <c r="A5781" s="3" t="s">
        <v>1074</v>
      </c>
      <c r="B5781" s="4">
        <v>45351</v>
      </c>
      <c r="C5781" s="3" t="s">
        <v>1168</v>
      </c>
      <c r="D5781" s="3" t="s">
        <v>1649</v>
      </c>
      <c r="E5781" s="3" t="s">
        <v>1117</v>
      </c>
      <c r="F5781" s="3">
        <v>0</v>
      </c>
      <c r="G5781" s="3">
        <v>14569.1</v>
      </c>
    </row>
    <row r="5782" spans="1:7" x14ac:dyDescent="0.2">
      <c r="A5782" s="3" t="s">
        <v>1072</v>
      </c>
      <c r="B5782" s="4">
        <v>45351</v>
      </c>
      <c r="C5782" s="3" t="s">
        <v>1168</v>
      </c>
      <c r="D5782" s="3" t="s">
        <v>1339</v>
      </c>
      <c r="E5782" s="3" t="s">
        <v>1087</v>
      </c>
      <c r="F5782" s="3">
        <v>0</v>
      </c>
      <c r="G5782" s="3">
        <v>1597</v>
      </c>
    </row>
    <row r="5783" spans="1:7" x14ac:dyDescent="0.2">
      <c r="A5783" s="3" t="s">
        <v>1074</v>
      </c>
      <c r="B5783" s="4">
        <v>45351</v>
      </c>
      <c r="C5783" s="3" t="s">
        <v>1168</v>
      </c>
      <c r="D5783" s="3" t="s">
        <v>1707</v>
      </c>
      <c r="E5783" s="3" t="s">
        <v>1118</v>
      </c>
      <c r="F5783" s="3">
        <v>0</v>
      </c>
      <c r="G5783" s="3">
        <v>18500</v>
      </c>
    </row>
    <row r="5784" spans="1:7" x14ac:dyDescent="0.2">
      <c r="A5784" s="3" t="s">
        <v>1072</v>
      </c>
      <c r="B5784" s="4">
        <v>45351</v>
      </c>
      <c r="C5784" s="3" t="s">
        <v>1168</v>
      </c>
      <c r="D5784" s="3" t="s">
        <v>1195</v>
      </c>
      <c r="E5784" s="3" t="s">
        <v>1085</v>
      </c>
      <c r="F5784" s="3">
        <v>1074.49</v>
      </c>
      <c r="G5784" s="3">
        <v>21936.54</v>
      </c>
    </row>
    <row r="5785" spans="1:7" x14ac:dyDescent="0.2">
      <c r="A5785" s="3" t="s">
        <v>1069</v>
      </c>
      <c r="B5785" s="4">
        <v>45351</v>
      </c>
      <c r="C5785" s="3" t="s">
        <v>1168</v>
      </c>
      <c r="D5785" s="3" t="s">
        <v>1195</v>
      </c>
      <c r="E5785" s="3" t="s">
        <v>1085</v>
      </c>
      <c r="F5785" s="3">
        <v>259.69</v>
      </c>
      <c r="G5785" s="3">
        <v>5010.37</v>
      </c>
    </row>
    <row r="5786" spans="1:7" x14ac:dyDescent="0.2">
      <c r="A5786" s="3" t="s">
        <v>1072</v>
      </c>
      <c r="B5786" s="4">
        <v>45351</v>
      </c>
      <c r="C5786" s="3" t="s">
        <v>1168</v>
      </c>
      <c r="D5786" s="3" t="s">
        <v>1340</v>
      </c>
      <c r="E5786" s="3" t="s">
        <v>1141</v>
      </c>
      <c r="F5786" s="3">
        <v>0</v>
      </c>
      <c r="G5786" s="3">
        <v>1211.8900000000001</v>
      </c>
    </row>
    <row r="5787" spans="1:7" x14ac:dyDescent="0.2">
      <c r="A5787" s="3" t="s">
        <v>1072</v>
      </c>
      <c r="B5787" s="4">
        <v>45351</v>
      </c>
      <c r="C5787" s="3" t="s">
        <v>1168</v>
      </c>
      <c r="D5787" s="3" t="s">
        <v>1708</v>
      </c>
      <c r="E5787" s="3" t="s">
        <v>1140</v>
      </c>
      <c r="F5787" s="3">
        <v>0</v>
      </c>
      <c r="G5787" s="3">
        <v>4123</v>
      </c>
    </row>
    <row r="5788" spans="1:7" x14ac:dyDescent="0.2">
      <c r="A5788" s="3" t="s">
        <v>1072</v>
      </c>
      <c r="B5788" s="4">
        <v>45351</v>
      </c>
      <c r="C5788" s="3" t="s">
        <v>1168</v>
      </c>
      <c r="D5788" s="3" t="s">
        <v>1341</v>
      </c>
      <c r="E5788" s="3" t="s">
        <v>1135</v>
      </c>
      <c r="F5788" s="3">
        <v>0</v>
      </c>
      <c r="G5788" s="3">
        <v>26779.67</v>
      </c>
    </row>
    <row r="5789" spans="1:7" x14ac:dyDescent="0.2">
      <c r="A5789" s="3" t="s">
        <v>1072</v>
      </c>
      <c r="B5789" s="4">
        <v>45351</v>
      </c>
      <c r="C5789" s="3" t="s">
        <v>1168</v>
      </c>
      <c r="D5789" s="3" t="s">
        <v>1342</v>
      </c>
      <c r="E5789" s="3" t="s">
        <v>1080</v>
      </c>
      <c r="F5789" s="3">
        <v>350</v>
      </c>
      <c r="G5789" s="3">
        <v>6752.65</v>
      </c>
    </row>
    <row r="5790" spans="1:7" x14ac:dyDescent="0.2">
      <c r="A5790" s="3" t="s">
        <v>1072</v>
      </c>
      <c r="B5790" s="4">
        <v>45351</v>
      </c>
      <c r="C5790" s="3" t="s">
        <v>1168</v>
      </c>
      <c r="D5790" s="3" t="s">
        <v>1504</v>
      </c>
      <c r="E5790" s="3" t="s">
        <v>1142</v>
      </c>
      <c r="F5790" s="3">
        <v>4915</v>
      </c>
      <c r="G5790" s="3">
        <v>47989</v>
      </c>
    </row>
    <row r="5791" spans="1:7" x14ac:dyDescent="0.2">
      <c r="A5791" s="3" t="s">
        <v>1069</v>
      </c>
      <c r="B5791" s="4">
        <v>45351</v>
      </c>
      <c r="C5791" s="3" t="s">
        <v>1168</v>
      </c>
      <c r="D5791" s="3" t="s">
        <v>1251</v>
      </c>
      <c r="E5791" s="3" t="s">
        <v>1095</v>
      </c>
      <c r="F5791" s="3">
        <v>113979.47</v>
      </c>
      <c r="G5791" s="3">
        <v>1404770.61</v>
      </c>
    </row>
    <row r="5792" spans="1:7" x14ac:dyDescent="0.2">
      <c r="A5792" s="3" t="s">
        <v>1072</v>
      </c>
      <c r="B5792" s="4">
        <v>45351</v>
      </c>
      <c r="C5792" s="3" t="s">
        <v>1168</v>
      </c>
      <c r="D5792" s="3" t="s">
        <v>1348</v>
      </c>
      <c r="E5792" s="3" t="s">
        <v>1095</v>
      </c>
      <c r="F5792" s="3">
        <v>123093.86</v>
      </c>
      <c r="G5792" s="3">
        <v>1484096.74</v>
      </c>
    </row>
    <row r="5793" spans="1:7" x14ac:dyDescent="0.2">
      <c r="A5793" s="3" t="s">
        <v>1069</v>
      </c>
      <c r="B5793" s="4">
        <v>45351</v>
      </c>
      <c r="C5793" s="3" t="s">
        <v>1168</v>
      </c>
      <c r="D5793" s="3" t="s">
        <v>1252</v>
      </c>
      <c r="E5793" s="3" t="s">
        <v>1120</v>
      </c>
      <c r="F5793" s="3">
        <v>4200</v>
      </c>
      <c r="G5793" s="3">
        <v>30500</v>
      </c>
    </row>
    <row r="5794" spans="1:7" x14ac:dyDescent="0.2">
      <c r="A5794" s="3" t="s">
        <v>1074</v>
      </c>
      <c r="B5794" s="4">
        <v>45351</v>
      </c>
      <c r="C5794" s="3" t="s">
        <v>1168</v>
      </c>
      <c r="D5794" s="3" t="s">
        <v>1252</v>
      </c>
      <c r="E5794" s="3" t="s">
        <v>1120</v>
      </c>
      <c r="F5794" s="3">
        <v>12750</v>
      </c>
      <c r="G5794" s="3">
        <v>89500</v>
      </c>
    </row>
    <row r="5795" spans="1:7" x14ac:dyDescent="0.2">
      <c r="A5795" s="3" t="s">
        <v>1072</v>
      </c>
      <c r="B5795" s="4">
        <v>45351</v>
      </c>
      <c r="C5795" s="3" t="s">
        <v>1168</v>
      </c>
      <c r="D5795" s="3" t="s">
        <v>1349</v>
      </c>
      <c r="E5795" s="3" t="s">
        <v>1089</v>
      </c>
      <c r="F5795" s="3">
        <v>0</v>
      </c>
      <c r="G5795" s="3">
        <v>331.09</v>
      </c>
    </row>
    <row r="5796" spans="1:7" x14ac:dyDescent="0.2">
      <c r="A5796" s="3" t="s">
        <v>1072</v>
      </c>
      <c r="B5796" s="4">
        <v>45351</v>
      </c>
      <c r="C5796" s="3" t="s">
        <v>1168</v>
      </c>
      <c r="D5796" s="3" t="s">
        <v>1350</v>
      </c>
      <c r="E5796" s="3" t="s">
        <v>1115</v>
      </c>
      <c r="F5796" s="3">
        <v>4705.18</v>
      </c>
      <c r="G5796" s="3">
        <v>46517.93</v>
      </c>
    </row>
    <row r="5797" spans="1:7" x14ac:dyDescent="0.2">
      <c r="A5797" s="3" t="s">
        <v>1072</v>
      </c>
      <c r="B5797" s="4">
        <v>45351</v>
      </c>
      <c r="C5797" s="3" t="s">
        <v>1168</v>
      </c>
      <c r="D5797" s="3" t="s">
        <v>1351</v>
      </c>
      <c r="E5797" s="3" t="s">
        <v>1096</v>
      </c>
      <c r="F5797" s="3">
        <v>1188.7</v>
      </c>
      <c r="G5797" s="3">
        <v>12273.67</v>
      </c>
    </row>
    <row r="5798" spans="1:7" x14ac:dyDescent="0.2">
      <c r="A5798" s="3" t="s">
        <v>1072</v>
      </c>
      <c r="B5798" s="4">
        <v>45351</v>
      </c>
      <c r="C5798" s="3" t="s">
        <v>1168</v>
      </c>
      <c r="D5798" s="3" t="s">
        <v>1474</v>
      </c>
      <c r="E5798" s="3" t="s">
        <v>1114</v>
      </c>
      <c r="F5798" s="3">
        <v>547.66999999999996</v>
      </c>
      <c r="G5798" s="3">
        <v>6572.12</v>
      </c>
    </row>
    <row r="5799" spans="1:7" x14ac:dyDescent="0.2">
      <c r="A5799" s="3" t="s">
        <v>1069</v>
      </c>
      <c r="B5799" s="4">
        <v>45351</v>
      </c>
      <c r="C5799" s="3" t="s">
        <v>1168</v>
      </c>
      <c r="D5799" s="3" t="s">
        <v>1229</v>
      </c>
      <c r="E5799" s="3" t="s">
        <v>1136</v>
      </c>
      <c r="F5799" s="3">
        <v>0</v>
      </c>
      <c r="G5799" s="3">
        <v>223859.69</v>
      </c>
    </row>
    <row r="5800" spans="1:7" x14ac:dyDescent="0.2">
      <c r="A5800" s="3" t="s">
        <v>1072</v>
      </c>
      <c r="B5800" s="4">
        <v>45351</v>
      </c>
      <c r="C5800" s="3" t="s">
        <v>1168</v>
      </c>
      <c r="D5800" s="3" t="s">
        <v>1229</v>
      </c>
      <c r="E5800" s="3" t="s">
        <v>1106</v>
      </c>
      <c r="F5800" s="3">
        <v>8076.25</v>
      </c>
      <c r="G5800" s="3">
        <v>84356.31</v>
      </c>
    </row>
    <row r="5801" spans="1:7" x14ac:dyDescent="0.2">
      <c r="A5801" s="3" t="s">
        <v>1069</v>
      </c>
      <c r="B5801" s="4">
        <v>45351</v>
      </c>
      <c r="C5801" s="3" t="s">
        <v>1168</v>
      </c>
      <c r="D5801" s="3" t="s">
        <v>1230</v>
      </c>
      <c r="E5801" s="3" t="s">
        <v>1109</v>
      </c>
      <c r="F5801" s="3">
        <v>0</v>
      </c>
      <c r="G5801" s="3">
        <v>94012.1</v>
      </c>
    </row>
    <row r="5802" spans="1:7" x14ac:dyDescent="0.2">
      <c r="A5802" s="3" t="s">
        <v>1074</v>
      </c>
      <c r="B5802" s="4">
        <v>45351</v>
      </c>
      <c r="C5802" s="3" t="s">
        <v>1168</v>
      </c>
      <c r="D5802" s="3" t="s">
        <v>1230</v>
      </c>
      <c r="E5802" s="3" t="s">
        <v>1077</v>
      </c>
      <c r="F5802" s="3">
        <v>127.69</v>
      </c>
      <c r="G5802" s="3">
        <v>147.33000000000001</v>
      </c>
    </row>
    <row r="5803" spans="1:7" x14ac:dyDescent="0.2">
      <c r="A5803" s="3" t="s">
        <v>1069</v>
      </c>
      <c r="B5803" s="4">
        <v>45351</v>
      </c>
      <c r="C5803" s="3" t="s">
        <v>1168</v>
      </c>
      <c r="D5803" s="3" t="s">
        <v>1564</v>
      </c>
      <c r="E5803" s="3" t="s">
        <v>1101</v>
      </c>
      <c r="F5803" s="3">
        <v>0</v>
      </c>
      <c r="G5803" s="3">
        <v>46978.37</v>
      </c>
    </row>
    <row r="5804" spans="1:7" x14ac:dyDescent="0.2">
      <c r="A5804" s="3" t="s">
        <v>1072</v>
      </c>
      <c r="B5804" s="4">
        <v>45351</v>
      </c>
      <c r="C5804" s="3" t="s">
        <v>1168</v>
      </c>
      <c r="D5804" s="3" t="s">
        <v>1196</v>
      </c>
      <c r="E5804" s="3" t="s">
        <v>1131</v>
      </c>
      <c r="F5804" s="3">
        <v>84</v>
      </c>
      <c r="G5804" s="3">
        <v>84</v>
      </c>
    </row>
    <row r="5805" spans="1:7" x14ac:dyDescent="0.2">
      <c r="A5805" s="3" t="s">
        <v>1069</v>
      </c>
      <c r="B5805" s="4">
        <v>45351</v>
      </c>
      <c r="C5805" s="3" t="s">
        <v>1168</v>
      </c>
      <c r="D5805" s="3" t="s">
        <v>1196</v>
      </c>
      <c r="E5805" s="3" t="s">
        <v>1131</v>
      </c>
      <c r="F5805" s="3">
        <v>0</v>
      </c>
      <c r="G5805" s="3">
        <v>39.47</v>
      </c>
    </row>
    <row r="5806" spans="1:7" x14ac:dyDescent="0.2">
      <c r="A5806" s="3" t="s">
        <v>1072</v>
      </c>
      <c r="B5806" s="4">
        <v>45351</v>
      </c>
      <c r="C5806" s="3" t="s">
        <v>1168</v>
      </c>
      <c r="D5806" s="3" t="s">
        <v>1663</v>
      </c>
      <c r="E5806" s="3" t="s">
        <v>1082</v>
      </c>
      <c r="F5806" s="3">
        <v>109.95</v>
      </c>
      <c r="G5806" s="3">
        <v>109.95</v>
      </c>
    </row>
    <row r="5807" spans="1:7" x14ac:dyDescent="0.2">
      <c r="A5807" s="3" t="s">
        <v>1069</v>
      </c>
      <c r="B5807" s="4">
        <v>45351</v>
      </c>
      <c r="C5807" s="3" t="s">
        <v>1168</v>
      </c>
      <c r="D5807" s="3" t="s">
        <v>1663</v>
      </c>
      <c r="E5807" s="3" t="s">
        <v>1082</v>
      </c>
      <c r="F5807" s="3">
        <v>0</v>
      </c>
      <c r="G5807" s="3">
        <v>3156.51</v>
      </c>
    </row>
    <row r="5808" spans="1:7" x14ac:dyDescent="0.2">
      <c r="A5808" s="3" t="s">
        <v>1072</v>
      </c>
      <c r="B5808" s="4">
        <v>45351</v>
      </c>
      <c r="C5808" s="3" t="s">
        <v>1168</v>
      </c>
      <c r="D5808" s="3" t="s">
        <v>1759</v>
      </c>
      <c r="E5808" s="3" t="s">
        <v>1760</v>
      </c>
      <c r="F5808" s="3">
        <v>3478.26</v>
      </c>
      <c r="G5808" s="3">
        <v>3583.26</v>
      </c>
    </row>
    <row r="5809" spans="1:7" x14ac:dyDescent="0.2">
      <c r="A5809" s="3" t="s">
        <v>1069</v>
      </c>
      <c r="B5809" s="4">
        <v>45351</v>
      </c>
      <c r="C5809" s="3" t="s">
        <v>1168</v>
      </c>
      <c r="D5809" s="3" t="s">
        <v>1544</v>
      </c>
      <c r="E5809" s="3" t="s">
        <v>1159</v>
      </c>
      <c r="F5809" s="3">
        <v>15124.94</v>
      </c>
      <c r="G5809" s="3">
        <v>132571.96</v>
      </c>
    </row>
    <row r="5810" spans="1:7" x14ac:dyDescent="0.2">
      <c r="A5810" s="3" t="s">
        <v>1072</v>
      </c>
      <c r="B5810" s="4">
        <v>45351</v>
      </c>
      <c r="C5810" s="3" t="s">
        <v>1168</v>
      </c>
      <c r="D5810" s="3" t="s">
        <v>1354</v>
      </c>
      <c r="E5810" s="3" t="s">
        <v>1078</v>
      </c>
      <c r="F5810" s="3">
        <v>2828.34</v>
      </c>
      <c r="G5810" s="3">
        <v>27607.83</v>
      </c>
    </row>
    <row r="5811" spans="1:7" x14ac:dyDescent="0.2">
      <c r="A5811" s="3" t="s">
        <v>1072</v>
      </c>
      <c r="B5811" s="4">
        <v>45351</v>
      </c>
      <c r="C5811" s="3" t="s">
        <v>1168</v>
      </c>
      <c r="D5811" s="3" t="s">
        <v>1709</v>
      </c>
      <c r="E5811" s="3" t="s">
        <v>1081</v>
      </c>
      <c r="F5811" s="3">
        <v>0</v>
      </c>
      <c r="G5811" s="3">
        <v>24242.76</v>
      </c>
    </row>
    <row r="5812" spans="1:7" x14ac:dyDescent="0.2">
      <c r="A5812" s="3" t="s">
        <v>1069</v>
      </c>
      <c r="B5812" s="4">
        <v>45351</v>
      </c>
      <c r="C5812" s="3" t="s">
        <v>1168</v>
      </c>
      <c r="D5812" s="3" t="s">
        <v>1456</v>
      </c>
      <c r="E5812" s="3" t="s">
        <v>1457</v>
      </c>
      <c r="F5812" s="3">
        <v>0</v>
      </c>
      <c r="G5812" s="3">
        <v>-533.79999999999995</v>
      </c>
    </row>
    <row r="5813" spans="1:7" x14ac:dyDescent="0.2">
      <c r="A5813" s="3" t="s">
        <v>1069</v>
      </c>
      <c r="B5813" s="4">
        <v>45351</v>
      </c>
      <c r="C5813" s="3" t="s">
        <v>1168</v>
      </c>
      <c r="D5813" s="3" t="s">
        <v>1565</v>
      </c>
      <c r="E5813" s="3" t="s">
        <v>1566</v>
      </c>
      <c r="F5813" s="3">
        <v>0</v>
      </c>
      <c r="G5813" s="3">
        <v>167246.17000000001</v>
      </c>
    </row>
    <row r="5814" spans="1:7" x14ac:dyDescent="0.2">
      <c r="A5814" s="3" t="s">
        <v>1069</v>
      </c>
      <c r="B5814" s="4">
        <v>45351</v>
      </c>
      <c r="C5814" s="3" t="s">
        <v>1168</v>
      </c>
      <c r="D5814" s="3" t="s">
        <v>1567</v>
      </c>
      <c r="E5814" s="3" t="s">
        <v>1568</v>
      </c>
      <c r="F5814" s="3">
        <v>0</v>
      </c>
      <c r="G5814" s="3">
        <v>72942.48</v>
      </c>
    </row>
    <row r="5815" spans="1:7" x14ac:dyDescent="0.2">
      <c r="A5815" s="3" t="s">
        <v>1069</v>
      </c>
      <c r="B5815" s="4">
        <v>45351</v>
      </c>
      <c r="C5815" s="3" t="s">
        <v>1168</v>
      </c>
      <c r="D5815" s="3" t="s">
        <v>1569</v>
      </c>
      <c r="E5815" s="3" t="s">
        <v>1570</v>
      </c>
      <c r="F5815" s="3">
        <v>0</v>
      </c>
      <c r="G5815" s="3">
        <v>44124.67</v>
      </c>
    </row>
    <row r="5816" spans="1:7" x14ac:dyDescent="0.2">
      <c r="A5816" s="3" t="s">
        <v>1069</v>
      </c>
      <c r="B5816" s="4">
        <v>45351</v>
      </c>
      <c r="C5816" s="3" t="s">
        <v>1168</v>
      </c>
      <c r="D5816" s="3" t="s">
        <v>1608</v>
      </c>
      <c r="E5816" s="3" t="s">
        <v>1609</v>
      </c>
      <c r="F5816" s="3">
        <v>0</v>
      </c>
      <c r="G5816" s="3">
        <v>11678.33</v>
      </c>
    </row>
    <row r="5817" spans="1:7" x14ac:dyDescent="0.2">
      <c r="A5817" s="3" t="s">
        <v>1074</v>
      </c>
      <c r="B5817" s="4">
        <v>45351</v>
      </c>
      <c r="C5817" s="3" t="s">
        <v>1168</v>
      </c>
      <c r="D5817" s="3" t="s">
        <v>1608</v>
      </c>
      <c r="E5817" s="3" t="s">
        <v>1609</v>
      </c>
      <c r="F5817" s="3">
        <v>15655.2</v>
      </c>
      <c r="G5817" s="3">
        <v>27582.91</v>
      </c>
    </row>
    <row r="5818" spans="1:7" x14ac:dyDescent="0.2">
      <c r="A5818" s="3" t="s">
        <v>1069</v>
      </c>
      <c r="B5818" s="4">
        <v>45351</v>
      </c>
      <c r="C5818" s="3" t="s">
        <v>1168</v>
      </c>
      <c r="D5818" s="3" t="s">
        <v>1627</v>
      </c>
      <c r="E5818" s="3" t="s">
        <v>1628</v>
      </c>
      <c r="F5818" s="3">
        <v>0</v>
      </c>
      <c r="G5818" s="3">
        <v>1252.24</v>
      </c>
    </row>
    <row r="5819" spans="1:7" x14ac:dyDescent="0.2">
      <c r="A5819" s="3" t="s">
        <v>1074</v>
      </c>
      <c r="B5819" s="4">
        <v>45351</v>
      </c>
      <c r="C5819" s="3" t="s">
        <v>1168</v>
      </c>
      <c r="D5819" s="3" t="s">
        <v>1627</v>
      </c>
      <c r="E5819" s="3" t="s">
        <v>1628</v>
      </c>
      <c r="F5819" s="3">
        <v>25147.09</v>
      </c>
      <c r="G5819" s="3">
        <v>56155.99</v>
      </c>
    </row>
    <row r="5820" spans="1:7" x14ac:dyDescent="0.2">
      <c r="A5820" s="3" t="s">
        <v>1069</v>
      </c>
      <c r="B5820" s="4">
        <v>45351</v>
      </c>
      <c r="C5820" s="3" t="s">
        <v>1168</v>
      </c>
      <c r="D5820" s="3" t="s">
        <v>1693</v>
      </c>
      <c r="E5820" s="3" t="s">
        <v>1694</v>
      </c>
      <c r="F5820" s="3">
        <v>0</v>
      </c>
      <c r="G5820" s="3">
        <v>5515.07</v>
      </c>
    </row>
    <row r="5821" spans="1:7" x14ac:dyDescent="0.2">
      <c r="A5821" s="3" t="s">
        <v>1074</v>
      </c>
      <c r="B5821" s="4">
        <v>45351</v>
      </c>
      <c r="C5821" s="3" t="s">
        <v>1168</v>
      </c>
      <c r="D5821" s="3" t="s">
        <v>1693</v>
      </c>
      <c r="E5821" s="3" t="s">
        <v>1694</v>
      </c>
      <c r="F5821" s="3">
        <v>4972.6000000000004</v>
      </c>
      <c r="G5821" s="3">
        <v>38706.9</v>
      </c>
    </row>
    <row r="5822" spans="1:7" x14ac:dyDescent="0.2">
      <c r="A5822" s="3" t="s">
        <v>1069</v>
      </c>
      <c r="B5822" s="4">
        <v>45351</v>
      </c>
      <c r="C5822" s="3" t="s">
        <v>1168</v>
      </c>
      <c r="D5822" s="3" t="s">
        <v>1695</v>
      </c>
      <c r="E5822" s="3" t="s">
        <v>1696</v>
      </c>
      <c r="F5822" s="3">
        <v>0</v>
      </c>
      <c r="G5822" s="3">
        <v>591.78</v>
      </c>
    </row>
    <row r="5823" spans="1:7" x14ac:dyDescent="0.2">
      <c r="A5823" s="3" t="s">
        <v>1074</v>
      </c>
      <c r="B5823" s="4">
        <v>45351</v>
      </c>
      <c r="C5823" s="3" t="s">
        <v>1168</v>
      </c>
      <c r="D5823" s="3" t="s">
        <v>1695</v>
      </c>
      <c r="E5823" s="3" t="s">
        <v>1696</v>
      </c>
      <c r="F5823" s="3">
        <v>0</v>
      </c>
      <c r="G5823" s="3">
        <v>69137.8</v>
      </c>
    </row>
    <row r="5824" spans="1:7" x14ac:dyDescent="0.2">
      <c r="A5824" s="3" t="s">
        <v>1074</v>
      </c>
      <c r="B5824" s="4">
        <v>45351</v>
      </c>
      <c r="C5824" s="3" t="s">
        <v>1168</v>
      </c>
      <c r="D5824" s="3" t="s">
        <v>1650</v>
      </c>
      <c r="E5824" s="3" t="s">
        <v>1651</v>
      </c>
      <c r="F5824" s="3">
        <v>1909.93</v>
      </c>
      <c r="G5824" s="3">
        <v>4447.83</v>
      </c>
    </row>
    <row r="5825" spans="1:7" x14ac:dyDescent="0.2">
      <c r="A5825" s="3" t="s">
        <v>1074</v>
      </c>
      <c r="B5825" s="4">
        <v>45351</v>
      </c>
      <c r="C5825" s="3" t="s">
        <v>1168</v>
      </c>
      <c r="D5825" s="3" t="s">
        <v>1710</v>
      </c>
      <c r="E5825" s="3" t="s">
        <v>1711</v>
      </c>
      <c r="F5825" s="3">
        <v>3821.92</v>
      </c>
      <c r="G5825" s="3">
        <v>9531.51</v>
      </c>
    </row>
    <row r="5826" spans="1:7" x14ac:dyDescent="0.2">
      <c r="A5826" s="3" t="s">
        <v>1074</v>
      </c>
      <c r="B5826" s="4">
        <v>45351</v>
      </c>
      <c r="C5826" s="3" t="s">
        <v>1168</v>
      </c>
      <c r="D5826" s="3" t="s">
        <v>1712</v>
      </c>
      <c r="E5826" s="3" t="s">
        <v>1713</v>
      </c>
      <c r="F5826" s="3">
        <v>0</v>
      </c>
      <c r="G5826" s="3">
        <v>19334.38</v>
      </c>
    </row>
    <row r="5827" spans="1:7" x14ac:dyDescent="0.2">
      <c r="A5827" s="3" t="s">
        <v>1074</v>
      </c>
      <c r="B5827" s="4">
        <v>45351</v>
      </c>
      <c r="C5827" s="3" t="s">
        <v>1168</v>
      </c>
      <c r="D5827" s="3" t="s">
        <v>1719</v>
      </c>
      <c r="E5827" s="3" t="s">
        <v>1720</v>
      </c>
      <c r="F5827" s="3">
        <v>0</v>
      </c>
      <c r="G5827" s="3">
        <v>9131.51</v>
      </c>
    </row>
    <row r="5828" spans="1:7" x14ac:dyDescent="0.2">
      <c r="A5828" s="3" t="s">
        <v>1069</v>
      </c>
      <c r="B5828" s="4">
        <v>45351</v>
      </c>
      <c r="C5828" s="3" t="s">
        <v>1168</v>
      </c>
      <c r="D5828" s="3" t="s">
        <v>1571</v>
      </c>
      <c r="E5828" s="3" t="s">
        <v>1572</v>
      </c>
      <c r="F5828" s="3">
        <v>0</v>
      </c>
      <c r="G5828" s="3">
        <v>400367.2</v>
      </c>
    </row>
    <row r="5829" spans="1:7" x14ac:dyDescent="0.2">
      <c r="A5829" s="3" t="s">
        <v>1074</v>
      </c>
      <c r="B5829" s="4">
        <v>45351</v>
      </c>
      <c r="C5829" s="3" t="s">
        <v>1168</v>
      </c>
      <c r="D5829" s="3" t="s">
        <v>1571</v>
      </c>
      <c r="E5829" s="3" t="s">
        <v>1572</v>
      </c>
      <c r="F5829" s="3">
        <v>262448.15000000002</v>
      </c>
      <c r="G5829" s="3">
        <v>946346.78</v>
      </c>
    </row>
    <row r="5830" spans="1:7" x14ac:dyDescent="0.2">
      <c r="A5830" s="3" t="s">
        <v>1069</v>
      </c>
      <c r="B5830" s="4">
        <v>45351</v>
      </c>
      <c r="C5830" s="3" t="s">
        <v>1168</v>
      </c>
      <c r="D5830" s="3" t="s">
        <v>1573</v>
      </c>
      <c r="E5830" s="3" t="s">
        <v>1574</v>
      </c>
      <c r="F5830" s="3">
        <v>0</v>
      </c>
      <c r="G5830" s="3">
        <v>333349.31</v>
      </c>
    </row>
    <row r="5831" spans="1:7" x14ac:dyDescent="0.2">
      <c r="A5831" s="3" t="s">
        <v>1069</v>
      </c>
      <c r="B5831" s="4">
        <v>45351</v>
      </c>
      <c r="C5831" s="3" t="s">
        <v>1168</v>
      </c>
      <c r="D5831" s="3" t="s">
        <v>1629</v>
      </c>
      <c r="E5831" s="3" t="s">
        <v>1630</v>
      </c>
      <c r="F5831" s="3">
        <v>0</v>
      </c>
      <c r="G5831" s="3">
        <v>47473.98</v>
      </c>
    </row>
    <row r="5832" spans="1:7" x14ac:dyDescent="0.2">
      <c r="A5832" s="3" t="s">
        <v>1074</v>
      </c>
      <c r="B5832" s="4">
        <v>45351</v>
      </c>
      <c r="C5832" s="3" t="s">
        <v>1168</v>
      </c>
      <c r="D5832" s="3" t="s">
        <v>1629</v>
      </c>
      <c r="E5832" s="3" t="s">
        <v>1630</v>
      </c>
      <c r="F5832" s="3">
        <v>314189.8</v>
      </c>
      <c r="G5832" s="3">
        <v>587995.81999999995</v>
      </c>
    </row>
    <row r="5833" spans="1:7" x14ac:dyDescent="0.2">
      <c r="A5833" s="3" t="s">
        <v>1069</v>
      </c>
      <c r="B5833" s="4">
        <v>45351</v>
      </c>
      <c r="C5833" s="3" t="s">
        <v>1168</v>
      </c>
      <c r="D5833" s="3" t="s">
        <v>1575</v>
      </c>
      <c r="E5833" s="3" t="s">
        <v>1576</v>
      </c>
      <c r="F5833" s="3">
        <v>0</v>
      </c>
      <c r="G5833" s="3">
        <v>3197167.68</v>
      </c>
    </row>
    <row r="5834" spans="1:7" x14ac:dyDescent="0.2">
      <c r="A5834" s="3" t="s">
        <v>1074</v>
      </c>
      <c r="B5834" s="4">
        <v>45351</v>
      </c>
      <c r="C5834" s="3" t="s">
        <v>1168</v>
      </c>
      <c r="D5834" s="3" t="s">
        <v>1575</v>
      </c>
      <c r="E5834" s="3" t="s">
        <v>1576</v>
      </c>
      <c r="F5834" s="3">
        <v>1540729.37</v>
      </c>
      <c r="G5834" s="3">
        <v>4464355.09</v>
      </c>
    </row>
    <row r="5835" spans="1:7" x14ac:dyDescent="0.2">
      <c r="A5835" s="3" t="s">
        <v>1072</v>
      </c>
      <c r="B5835" s="4">
        <v>45351</v>
      </c>
      <c r="C5835" s="3" t="s">
        <v>1168</v>
      </c>
      <c r="D5835" s="3" t="s">
        <v>1671</v>
      </c>
      <c r="E5835" s="3" t="s">
        <v>1119</v>
      </c>
      <c r="F5835" s="3">
        <v>0</v>
      </c>
      <c r="G5835" s="3">
        <v>5202.88</v>
      </c>
    </row>
    <row r="5836" spans="1:7" x14ac:dyDescent="0.2">
      <c r="A5836" s="3" t="s">
        <v>1074</v>
      </c>
      <c r="B5836" s="4">
        <v>45351</v>
      </c>
      <c r="C5836" s="3" t="s">
        <v>1168</v>
      </c>
      <c r="D5836" s="3" t="s">
        <v>1746</v>
      </c>
      <c r="E5836" s="3" t="s">
        <v>1134</v>
      </c>
      <c r="F5836" s="3">
        <v>0</v>
      </c>
      <c r="G5836" s="3">
        <v>66011.509999999995</v>
      </c>
    </row>
    <row r="5837" spans="1:7" x14ac:dyDescent="0.2">
      <c r="A5837" s="3" t="s">
        <v>1074</v>
      </c>
      <c r="B5837" s="4">
        <v>45351</v>
      </c>
      <c r="C5837" s="3" t="s">
        <v>1168</v>
      </c>
      <c r="D5837" s="3" t="s">
        <v>1721</v>
      </c>
      <c r="E5837" s="3" t="s">
        <v>1152</v>
      </c>
      <c r="F5837" s="3">
        <v>5189</v>
      </c>
      <c r="G5837" s="3">
        <v>10049.540000000001</v>
      </c>
    </row>
    <row r="5838" spans="1:7" x14ac:dyDescent="0.2">
      <c r="A5838" s="3" t="s">
        <v>1069</v>
      </c>
      <c r="B5838" s="4">
        <v>45351</v>
      </c>
      <c r="C5838" s="3" t="s">
        <v>1168</v>
      </c>
      <c r="D5838" s="3" t="s">
        <v>1684</v>
      </c>
      <c r="E5838" s="3" t="s">
        <v>1102</v>
      </c>
      <c r="F5838" s="3">
        <v>0</v>
      </c>
      <c r="G5838" s="3">
        <v>76865.83</v>
      </c>
    </row>
    <row r="5839" spans="1:7" x14ac:dyDescent="0.2">
      <c r="A5839" s="3" t="s">
        <v>1069</v>
      </c>
      <c r="B5839" s="4">
        <v>45351</v>
      </c>
      <c r="C5839" s="3" t="s">
        <v>1168</v>
      </c>
      <c r="D5839" s="3" t="s">
        <v>1722</v>
      </c>
      <c r="E5839" s="3" t="s">
        <v>1116</v>
      </c>
      <c r="F5839" s="3">
        <v>96.6</v>
      </c>
      <c r="G5839" s="3">
        <v>28169.52</v>
      </c>
    </row>
    <row r="5840" spans="1:7" x14ac:dyDescent="0.2">
      <c r="A5840" s="3" t="s">
        <v>1074</v>
      </c>
      <c r="B5840" s="4">
        <v>45351</v>
      </c>
      <c r="C5840" s="3" t="s">
        <v>1168</v>
      </c>
      <c r="D5840" s="3" t="s">
        <v>1747</v>
      </c>
      <c r="E5840" s="3" t="s">
        <v>1133</v>
      </c>
      <c r="F5840" s="3">
        <v>0</v>
      </c>
      <c r="G5840" s="3">
        <v>11879.1</v>
      </c>
    </row>
    <row r="5841" spans="1:7" x14ac:dyDescent="0.2">
      <c r="A5841" s="3" t="s">
        <v>1074</v>
      </c>
      <c r="B5841" s="4">
        <v>45351</v>
      </c>
      <c r="C5841" s="3" t="s">
        <v>1168</v>
      </c>
      <c r="D5841" s="3" t="s">
        <v>1549</v>
      </c>
      <c r="E5841" s="3" t="s">
        <v>1154</v>
      </c>
      <c r="F5841" s="3">
        <v>0</v>
      </c>
      <c r="G5841" s="3">
        <v>400000</v>
      </c>
    </row>
    <row r="5842" spans="1:7" x14ac:dyDescent="0.2">
      <c r="A5842" s="3" t="s">
        <v>1069</v>
      </c>
      <c r="B5842" s="4">
        <v>45351</v>
      </c>
      <c r="C5842" s="3" t="s">
        <v>1168</v>
      </c>
      <c r="D5842" s="3" t="s">
        <v>1253</v>
      </c>
      <c r="E5842" s="3" t="s">
        <v>1103</v>
      </c>
      <c r="F5842" s="3">
        <v>6479.02</v>
      </c>
      <c r="G5842" s="3">
        <v>135135.09</v>
      </c>
    </row>
    <row r="5843" spans="1:7" x14ac:dyDescent="0.2">
      <c r="A5843" s="3" t="s">
        <v>1072</v>
      </c>
      <c r="B5843" s="4">
        <v>45351</v>
      </c>
      <c r="C5843" s="3" t="s">
        <v>1168</v>
      </c>
      <c r="D5843" s="3" t="s">
        <v>1672</v>
      </c>
      <c r="E5843" s="3" t="s">
        <v>1097</v>
      </c>
      <c r="F5843" s="3">
        <v>0</v>
      </c>
      <c r="G5843" s="3">
        <v>362</v>
      </c>
    </row>
    <row r="5844" spans="1:7" x14ac:dyDescent="0.2">
      <c r="A5844" s="3" t="s">
        <v>1069</v>
      </c>
      <c r="B5844" s="4">
        <v>45351</v>
      </c>
      <c r="C5844" s="3" t="s">
        <v>1168</v>
      </c>
      <c r="D5844" s="3" t="s">
        <v>1672</v>
      </c>
      <c r="E5844" s="3" t="s">
        <v>1097</v>
      </c>
      <c r="F5844" s="3">
        <v>0</v>
      </c>
      <c r="G5844" s="3">
        <v>20</v>
      </c>
    </row>
    <row r="5845" spans="1:7" x14ac:dyDescent="0.2">
      <c r="A5845" s="3" t="s">
        <v>1072</v>
      </c>
      <c r="B5845" s="4">
        <v>45351</v>
      </c>
      <c r="C5845" s="3" t="s">
        <v>1168</v>
      </c>
      <c r="D5845" s="3" t="s">
        <v>1357</v>
      </c>
      <c r="E5845" s="3" t="s">
        <v>1157</v>
      </c>
      <c r="F5845" s="3">
        <v>561.08000000000004</v>
      </c>
      <c r="G5845" s="3">
        <v>41056.39</v>
      </c>
    </row>
    <row r="5846" spans="1:7" x14ac:dyDescent="0.2">
      <c r="A5846" s="3" t="s">
        <v>1072</v>
      </c>
      <c r="B5846" s="4">
        <v>45351</v>
      </c>
      <c r="C5846" s="3" t="s">
        <v>1168</v>
      </c>
      <c r="D5846" s="3" t="s">
        <v>1358</v>
      </c>
      <c r="E5846" s="3" t="s">
        <v>1122</v>
      </c>
      <c r="F5846" s="3">
        <v>0</v>
      </c>
      <c r="G5846" s="3">
        <v>3668.3</v>
      </c>
    </row>
    <row r="5847" spans="1:7" x14ac:dyDescent="0.2">
      <c r="A5847" s="3" t="s">
        <v>1072</v>
      </c>
      <c r="B5847" s="4">
        <v>45351</v>
      </c>
      <c r="C5847" s="3" t="s">
        <v>1168</v>
      </c>
      <c r="D5847" s="3" t="s">
        <v>1359</v>
      </c>
      <c r="E5847" s="3" t="s">
        <v>1086</v>
      </c>
      <c r="F5847" s="3">
        <v>0</v>
      </c>
      <c r="G5847" s="3">
        <v>1069</v>
      </c>
    </row>
    <row r="5848" spans="1:7" x14ac:dyDescent="0.2">
      <c r="A5848" s="3" t="s">
        <v>1072</v>
      </c>
      <c r="B5848" s="4">
        <v>45351</v>
      </c>
      <c r="C5848" s="3" t="s">
        <v>1168</v>
      </c>
      <c r="D5848" s="3" t="s">
        <v>1201</v>
      </c>
      <c r="E5848" s="3" t="s">
        <v>1112</v>
      </c>
      <c r="F5848" s="3">
        <v>3720.45</v>
      </c>
      <c r="G5848" s="3">
        <v>48868.39</v>
      </c>
    </row>
    <row r="5849" spans="1:7" x14ac:dyDescent="0.2">
      <c r="A5849" s="3" t="s">
        <v>1072</v>
      </c>
      <c r="B5849" s="4">
        <v>45351</v>
      </c>
      <c r="C5849" s="3" t="s">
        <v>1168</v>
      </c>
      <c r="D5849" s="3" t="s">
        <v>1360</v>
      </c>
      <c r="E5849" s="3" t="s">
        <v>1098</v>
      </c>
      <c r="F5849" s="3">
        <v>2568.41</v>
      </c>
      <c r="G5849" s="3">
        <v>26257.919999999998</v>
      </c>
    </row>
    <row r="5850" spans="1:7" x14ac:dyDescent="0.2">
      <c r="A5850" s="3" t="s">
        <v>1072</v>
      </c>
      <c r="B5850" s="4">
        <v>45351</v>
      </c>
      <c r="C5850" s="3" t="s">
        <v>1168</v>
      </c>
      <c r="D5850" s="3" t="s">
        <v>1361</v>
      </c>
      <c r="E5850" s="3" t="s">
        <v>1121</v>
      </c>
      <c r="F5850" s="3">
        <v>31820</v>
      </c>
      <c r="G5850" s="3">
        <v>364080</v>
      </c>
    </row>
    <row r="5851" spans="1:7" x14ac:dyDescent="0.2">
      <c r="A5851" s="3" t="s">
        <v>1072</v>
      </c>
      <c r="B5851" s="4">
        <v>45351</v>
      </c>
      <c r="C5851" s="3" t="s">
        <v>1168</v>
      </c>
      <c r="D5851" s="3" t="s">
        <v>1231</v>
      </c>
      <c r="E5851" s="3" t="s">
        <v>1083</v>
      </c>
      <c r="F5851" s="3">
        <v>989.75</v>
      </c>
      <c r="G5851" s="3">
        <v>13027.54</v>
      </c>
    </row>
    <row r="5852" spans="1:7" x14ac:dyDescent="0.2">
      <c r="A5852" s="3" t="s">
        <v>1069</v>
      </c>
      <c r="B5852" s="4">
        <v>45351</v>
      </c>
      <c r="C5852" s="3" t="s">
        <v>1168</v>
      </c>
      <c r="D5852" s="3" t="s">
        <v>1231</v>
      </c>
      <c r="E5852" s="3" t="s">
        <v>1070</v>
      </c>
      <c r="F5852" s="3">
        <v>0</v>
      </c>
      <c r="G5852" s="3">
        <v>211633.66</v>
      </c>
    </row>
    <row r="5853" spans="1:7" x14ac:dyDescent="0.2">
      <c r="A5853" s="3" t="s">
        <v>1072</v>
      </c>
      <c r="B5853" s="4">
        <v>45351</v>
      </c>
      <c r="C5853" s="3" t="s">
        <v>1168</v>
      </c>
      <c r="D5853" s="3" t="s">
        <v>1254</v>
      </c>
      <c r="E5853" s="3" t="s">
        <v>1075</v>
      </c>
      <c r="F5853" s="3">
        <v>2870.3</v>
      </c>
      <c r="G5853" s="3">
        <v>18976.419999999998</v>
      </c>
    </row>
    <row r="5854" spans="1:7" x14ac:dyDescent="0.2">
      <c r="A5854" s="3" t="s">
        <v>1069</v>
      </c>
      <c r="B5854" s="4">
        <v>45351</v>
      </c>
      <c r="C5854" s="3" t="s">
        <v>1168</v>
      </c>
      <c r="D5854" s="3" t="s">
        <v>1254</v>
      </c>
      <c r="E5854" s="3" t="s">
        <v>1075</v>
      </c>
      <c r="F5854" s="3">
        <v>0</v>
      </c>
      <c r="G5854" s="3">
        <v>34547.279999999999</v>
      </c>
    </row>
    <row r="5855" spans="1:7" x14ac:dyDescent="0.2">
      <c r="A5855" s="3" t="s">
        <v>1074</v>
      </c>
      <c r="B5855" s="4">
        <v>45351</v>
      </c>
      <c r="C5855" s="3" t="s">
        <v>1168</v>
      </c>
      <c r="D5855" s="3" t="s">
        <v>1254</v>
      </c>
      <c r="E5855" s="3" t="s">
        <v>1075</v>
      </c>
      <c r="F5855" s="3">
        <v>0</v>
      </c>
      <c r="G5855" s="3">
        <v>23147.119999999999</v>
      </c>
    </row>
    <row r="5856" spans="1:7" x14ac:dyDescent="0.2">
      <c r="A5856" s="3" t="s">
        <v>1072</v>
      </c>
      <c r="B5856" s="4">
        <v>45351</v>
      </c>
      <c r="C5856" s="3" t="s">
        <v>1168</v>
      </c>
      <c r="D5856" s="3" t="s">
        <v>1362</v>
      </c>
      <c r="E5856" s="3" t="s">
        <v>1123</v>
      </c>
      <c r="F5856" s="3">
        <v>426046.63</v>
      </c>
      <c r="G5856" s="3">
        <v>4662915.18</v>
      </c>
    </row>
    <row r="5857" spans="1:7" x14ac:dyDescent="0.2">
      <c r="A5857" s="3" t="s">
        <v>1072</v>
      </c>
      <c r="B5857" s="4">
        <v>45351</v>
      </c>
      <c r="C5857" s="3" t="s">
        <v>1168</v>
      </c>
      <c r="D5857" s="3" t="s">
        <v>1365</v>
      </c>
      <c r="E5857" s="3" t="s">
        <v>1090</v>
      </c>
      <c r="F5857" s="3">
        <v>0</v>
      </c>
      <c r="G5857" s="3">
        <v>5192.13</v>
      </c>
    </row>
    <row r="5858" spans="1:7" x14ac:dyDescent="0.2">
      <c r="A5858" s="3" t="s">
        <v>1072</v>
      </c>
      <c r="B5858" s="4">
        <v>45351</v>
      </c>
      <c r="C5858" s="3" t="s">
        <v>1168</v>
      </c>
      <c r="D5858" s="3" t="s">
        <v>1511</v>
      </c>
      <c r="E5858" s="3" t="s">
        <v>1104</v>
      </c>
      <c r="F5858" s="3">
        <v>0</v>
      </c>
      <c r="G5858" s="3">
        <v>2005.99</v>
      </c>
    </row>
    <row r="5859" spans="1:7" x14ac:dyDescent="0.2">
      <c r="A5859" s="3" t="s">
        <v>1069</v>
      </c>
      <c r="B5859" s="4">
        <v>45351</v>
      </c>
      <c r="C5859" s="3" t="s">
        <v>1168</v>
      </c>
      <c r="D5859" s="3" t="s">
        <v>1366</v>
      </c>
      <c r="E5859" s="3" t="s">
        <v>1104</v>
      </c>
      <c r="F5859" s="3">
        <v>0</v>
      </c>
      <c r="G5859" s="3">
        <v>7198.71</v>
      </c>
    </row>
    <row r="5860" spans="1:7" x14ac:dyDescent="0.2">
      <c r="A5860" s="3" t="s">
        <v>1072</v>
      </c>
      <c r="B5860" s="4">
        <v>45351</v>
      </c>
      <c r="C5860" s="3" t="s">
        <v>1168</v>
      </c>
      <c r="D5860" s="3" t="s">
        <v>1366</v>
      </c>
      <c r="E5860" s="3" t="s">
        <v>1144</v>
      </c>
      <c r="F5860" s="3">
        <v>1129.57</v>
      </c>
      <c r="G5860" s="3">
        <v>34571.56</v>
      </c>
    </row>
    <row r="5861" spans="1:7" x14ac:dyDescent="0.2">
      <c r="A5861" s="3" t="s">
        <v>1069</v>
      </c>
      <c r="B5861" s="4">
        <v>45351</v>
      </c>
      <c r="C5861" s="3" t="s">
        <v>1168</v>
      </c>
      <c r="D5861" s="3" t="s">
        <v>1213</v>
      </c>
      <c r="E5861" s="3" t="s">
        <v>1150</v>
      </c>
      <c r="F5861" s="3">
        <v>374.64</v>
      </c>
      <c r="G5861" s="3">
        <v>4676.3900000000003</v>
      </c>
    </row>
    <row r="5862" spans="1:7" x14ac:dyDescent="0.2">
      <c r="A5862" s="3" t="s">
        <v>1072</v>
      </c>
      <c r="B5862" s="4">
        <v>45351</v>
      </c>
      <c r="C5862" s="3" t="s">
        <v>1168</v>
      </c>
      <c r="D5862" s="3" t="s">
        <v>1765</v>
      </c>
      <c r="E5862" s="3" t="s">
        <v>1766</v>
      </c>
      <c r="F5862" s="3">
        <v>79787.210000000006</v>
      </c>
      <c r="G5862" s="3">
        <v>79787.210000000006</v>
      </c>
    </row>
    <row r="5863" spans="1:7" x14ac:dyDescent="0.2">
      <c r="A5863" s="3" t="s">
        <v>1072</v>
      </c>
      <c r="B5863" s="4">
        <v>45351</v>
      </c>
      <c r="C5863" s="3" t="s">
        <v>1168</v>
      </c>
      <c r="D5863" s="3" t="s">
        <v>1367</v>
      </c>
      <c r="E5863" s="3" t="s">
        <v>1147</v>
      </c>
      <c r="F5863" s="3">
        <v>0</v>
      </c>
      <c r="G5863" s="3">
        <v>3452.7</v>
      </c>
    </row>
    <row r="5864" spans="1:7" x14ac:dyDescent="0.2">
      <c r="A5864" s="3" t="s">
        <v>1072</v>
      </c>
      <c r="B5864" s="4">
        <v>45351</v>
      </c>
      <c r="C5864" s="3" t="s">
        <v>1168</v>
      </c>
      <c r="D5864" s="3" t="s">
        <v>1368</v>
      </c>
      <c r="E5864" s="3" t="s">
        <v>1124</v>
      </c>
      <c r="F5864" s="3">
        <v>3056.21</v>
      </c>
      <c r="G5864" s="3">
        <v>39843.46</v>
      </c>
    </row>
    <row r="5865" spans="1:7" x14ac:dyDescent="0.2">
      <c r="A5865" s="3" t="s">
        <v>1072</v>
      </c>
      <c r="B5865" s="4">
        <v>45351</v>
      </c>
      <c r="C5865" s="3" t="s">
        <v>1168</v>
      </c>
      <c r="D5865" s="3" t="s">
        <v>1369</v>
      </c>
      <c r="E5865" s="3" t="s">
        <v>1099</v>
      </c>
      <c r="F5865" s="3">
        <v>0</v>
      </c>
      <c r="G5865" s="3">
        <v>13527.97</v>
      </c>
    </row>
    <row r="5866" spans="1:7" x14ac:dyDescent="0.2">
      <c r="A5866" s="3" t="s">
        <v>1072</v>
      </c>
      <c r="B5866" s="4">
        <v>45351</v>
      </c>
      <c r="C5866" s="3" t="s">
        <v>1168</v>
      </c>
      <c r="D5866" s="3" t="s">
        <v>1370</v>
      </c>
      <c r="E5866" s="3" t="s">
        <v>1129</v>
      </c>
      <c r="F5866" s="3">
        <v>0</v>
      </c>
      <c r="G5866" s="3">
        <v>7470</v>
      </c>
    </row>
    <row r="5867" spans="1:7" x14ac:dyDescent="0.2">
      <c r="A5867" s="3" t="s">
        <v>1072</v>
      </c>
      <c r="B5867" s="4">
        <v>45351</v>
      </c>
      <c r="C5867" s="3" t="s">
        <v>1168</v>
      </c>
      <c r="D5867" s="3" t="s">
        <v>1371</v>
      </c>
      <c r="E5867" s="3" t="s">
        <v>1093</v>
      </c>
      <c r="F5867" s="3">
        <v>0</v>
      </c>
      <c r="G5867" s="3">
        <v>10825.49</v>
      </c>
    </row>
    <row r="5868" spans="1:7" x14ac:dyDescent="0.2">
      <c r="A5868" s="3" t="s">
        <v>1072</v>
      </c>
      <c r="B5868" s="4">
        <v>45351</v>
      </c>
      <c r="C5868" s="3" t="s">
        <v>1168</v>
      </c>
      <c r="D5868" s="3" t="s">
        <v>1372</v>
      </c>
      <c r="E5868" s="3" t="s">
        <v>1158</v>
      </c>
      <c r="F5868" s="3">
        <v>600</v>
      </c>
      <c r="G5868" s="3">
        <v>7200</v>
      </c>
    </row>
    <row r="5869" spans="1:7" x14ac:dyDescent="0.2">
      <c r="A5869" s="3" t="s">
        <v>1072</v>
      </c>
      <c r="B5869" s="4">
        <v>45351</v>
      </c>
      <c r="C5869" s="3" t="s">
        <v>1168</v>
      </c>
      <c r="D5869" s="3" t="s">
        <v>1373</v>
      </c>
      <c r="E5869" s="3" t="s">
        <v>1092</v>
      </c>
      <c r="F5869" s="3">
        <v>1089</v>
      </c>
      <c r="G5869" s="3">
        <v>12152.41</v>
      </c>
    </row>
    <row r="5870" spans="1:7" x14ac:dyDescent="0.2">
      <c r="A5870" s="3" t="s">
        <v>1072</v>
      </c>
      <c r="B5870" s="4">
        <v>45351</v>
      </c>
      <c r="C5870" s="3" t="s">
        <v>1168</v>
      </c>
      <c r="D5870" s="3" t="s">
        <v>1737</v>
      </c>
      <c r="E5870" s="3" t="s">
        <v>1148</v>
      </c>
      <c r="F5870" s="3">
        <v>718.93</v>
      </c>
      <c r="G5870" s="3">
        <v>3594.65</v>
      </c>
    </row>
    <row r="5871" spans="1:7" x14ac:dyDescent="0.2">
      <c r="A5871" s="3" t="s">
        <v>1072</v>
      </c>
      <c r="B5871" s="4">
        <v>45351</v>
      </c>
      <c r="C5871" s="3" t="s">
        <v>1168</v>
      </c>
      <c r="D5871" s="3" t="s">
        <v>1714</v>
      </c>
      <c r="E5871" s="3" t="s">
        <v>1091</v>
      </c>
      <c r="F5871" s="3">
        <v>0</v>
      </c>
      <c r="G5871" s="3">
        <v>4498.72</v>
      </c>
    </row>
    <row r="5872" spans="1:7" x14ac:dyDescent="0.2">
      <c r="A5872" s="3" t="s">
        <v>1069</v>
      </c>
      <c r="B5872" s="4">
        <v>45351</v>
      </c>
      <c r="C5872" s="3" t="s">
        <v>1168</v>
      </c>
      <c r="D5872" s="3" t="s">
        <v>1232</v>
      </c>
      <c r="E5872" s="3" t="s">
        <v>1105</v>
      </c>
      <c r="F5872" s="3">
        <v>600</v>
      </c>
      <c r="G5872" s="3">
        <v>7200</v>
      </c>
    </row>
    <row r="5873" spans="1:7" x14ac:dyDescent="0.2">
      <c r="A5873" s="3" t="s">
        <v>1074</v>
      </c>
      <c r="B5873" s="4">
        <v>45351</v>
      </c>
      <c r="C5873" s="3" t="s">
        <v>1168</v>
      </c>
      <c r="D5873" s="3" t="s">
        <v>1232</v>
      </c>
      <c r="E5873" s="3" t="s">
        <v>1105</v>
      </c>
      <c r="F5873" s="3">
        <v>600</v>
      </c>
      <c r="G5873" s="3">
        <v>7200</v>
      </c>
    </row>
    <row r="5874" spans="1:7" x14ac:dyDescent="0.2">
      <c r="A5874" s="3" t="s">
        <v>1069</v>
      </c>
      <c r="B5874" s="4">
        <v>45351</v>
      </c>
      <c r="C5874" s="3" t="s">
        <v>1168</v>
      </c>
      <c r="D5874" s="3" t="s">
        <v>1262</v>
      </c>
      <c r="E5874" s="3" t="s">
        <v>1127</v>
      </c>
      <c r="F5874" s="3">
        <v>0</v>
      </c>
      <c r="G5874" s="3">
        <v>526.32000000000005</v>
      </c>
    </row>
    <row r="5875" spans="1:7" x14ac:dyDescent="0.2">
      <c r="A5875" s="3" t="s">
        <v>1072</v>
      </c>
      <c r="B5875" s="4">
        <v>45351</v>
      </c>
      <c r="C5875" s="3" t="s">
        <v>1168</v>
      </c>
      <c r="D5875" s="3" t="s">
        <v>1374</v>
      </c>
      <c r="E5875" s="3" t="s">
        <v>1108</v>
      </c>
      <c r="F5875" s="3">
        <v>0</v>
      </c>
      <c r="G5875" s="3">
        <v>4000</v>
      </c>
    </row>
    <row r="5876" spans="1:7" x14ac:dyDescent="0.2">
      <c r="A5876" s="3" t="s">
        <v>1072</v>
      </c>
      <c r="B5876" s="4">
        <v>45351</v>
      </c>
      <c r="C5876" s="3" t="s">
        <v>1168</v>
      </c>
      <c r="D5876" s="3" t="s">
        <v>1375</v>
      </c>
      <c r="E5876" s="3" t="s">
        <v>1100</v>
      </c>
      <c r="F5876" s="3">
        <v>0</v>
      </c>
      <c r="G5876" s="3">
        <v>11566.33</v>
      </c>
    </row>
    <row r="5877" spans="1:7" x14ac:dyDescent="0.2">
      <c r="A5877" s="3" t="s">
        <v>1072</v>
      </c>
      <c r="B5877" s="4">
        <v>45351</v>
      </c>
      <c r="C5877" s="3" t="s">
        <v>1168</v>
      </c>
      <c r="D5877" s="3" t="s">
        <v>1378</v>
      </c>
      <c r="E5877" s="3" t="s">
        <v>1143</v>
      </c>
      <c r="F5877" s="3">
        <v>95150.91</v>
      </c>
      <c r="G5877" s="3">
        <v>1039223.98</v>
      </c>
    </row>
    <row r="5878" spans="1:7" x14ac:dyDescent="0.2">
      <c r="A5878" s="3" t="s">
        <v>1072</v>
      </c>
      <c r="B5878" s="4">
        <v>45351</v>
      </c>
      <c r="C5878" s="3" t="s">
        <v>1168</v>
      </c>
      <c r="D5878" s="3" t="s">
        <v>1379</v>
      </c>
      <c r="E5878" s="3" t="s">
        <v>1107</v>
      </c>
      <c r="F5878" s="3">
        <v>5118.7299999999996</v>
      </c>
      <c r="G5878" s="3">
        <v>55587.1</v>
      </c>
    </row>
    <row r="5879" spans="1:7" x14ac:dyDescent="0.2">
      <c r="A5879" s="3" t="s">
        <v>1072</v>
      </c>
      <c r="B5879" s="4">
        <v>45351</v>
      </c>
      <c r="C5879" s="3" t="s">
        <v>1168</v>
      </c>
      <c r="D5879" s="3" t="s">
        <v>1380</v>
      </c>
      <c r="E5879" s="3" t="s">
        <v>1125</v>
      </c>
      <c r="F5879" s="3">
        <v>2925.01</v>
      </c>
      <c r="G5879" s="3">
        <v>30932.91</v>
      </c>
    </row>
    <row r="5880" spans="1:7" x14ac:dyDescent="0.2">
      <c r="A5880" s="3" t="s">
        <v>1072</v>
      </c>
      <c r="B5880" s="4">
        <v>45351</v>
      </c>
      <c r="C5880" s="3" t="s">
        <v>1168</v>
      </c>
      <c r="D5880" s="3" t="s">
        <v>1381</v>
      </c>
      <c r="E5880" s="3" t="s">
        <v>1130</v>
      </c>
      <c r="F5880" s="3">
        <v>2925.01</v>
      </c>
      <c r="G5880" s="3">
        <v>30932.91</v>
      </c>
    </row>
    <row r="5881" spans="1:7" x14ac:dyDescent="0.2">
      <c r="A5881" s="3" t="s">
        <v>1072</v>
      </c>
      <c r="B5881" s="4">
        <v>45351</v>
      </c>
      <c r="C5881" s="3" t="s">
        <v>1168</v>
      </c>
      <c r="D5881" s="3" t="s">
        <v>1458</v>
      </c>
      <c r="E5881" s="3" t="s">
        <v>1113</v>
      </c>
      <c r="F5881" s="3">
        <v>0</v>
      </c>
      <c r="G5881" s="3">
        <v>15075.35</v>
      </c>
    </row>
    <row r="5882" spans="1:7" x14ac:dyDescent="0.2">
      <c r="A5882" s="3" t="s">
        <v>1072</v>
      </c>
      <c r="B5882" s="4">
        <v>45351</v>
      </c>
      <c r="C5882" s="3" t="s">
        <v>1168</v>
      </c>
      <c r="D5882" s="3" t="s">
        <v>1459</v>
      </c>
      <c r="E5882" s="3" t="s">
        <v>1139</v>
      </c>
      <c r="F5882" s="3">
        <v>0</v>
      </c>
      <c r="G5882" s="3">
        <v>4562.1000000000004</v>
      </c>
    </row>
    <row r="5883" spans="1:7" x14ac:dyDescent="0.2">
      <c r="A5883" s="3" t="s">
        <v>1069</v>
      </c>
      <c r="B5883" s="4">
        <v>45351</v>
      </c>
      <c r="C5883" s="3" t="s">
        <v>1172</v>
      </c>
      <c r="D5883" s="3" t="s">
        <v>1173</v>
      </c>
      <c r="E5883" s="3" t="s">
        <v>1174</v>
      </c>
      <c r="F5883" s="3">
        <v>0</v>
      </c>
      <c r="G5883" s="3">
        <v>-100</v>
      </c>
    </row>
    <row r="5884" spans="1:7" x14ac:dyDescent="0.2">
      <c r="A5884" s="3" t="s">
        <v>1072</v>
      </c>
      <c r="B5884" s="4">
        <v>45351</v>
      </c>
      <c r="C5884" s="3" t="s">
        <v>1172</v>
      </c>
      <c r="D5884" s="3" t="s">
        <v>1382</v>
      </c>
      <c r="E5884" s="3" t="s">
        <v>1383</v>
      </c>
      <c r="F5884" s="3">
        <v>0</v>
      </c>
      <c r="G5884" s="3">
        <v>-120</v>
      </c>
    </row>
    <row r="5885" spans="1:7" x14ac:dyDescent="0.2">
      <c r="A5885" s="3" t="s">
        <v>1072</v>
      </c>
      <c r="B5885" s="4">
        <v>45351</v>
      </c>
      <c r="C5885" s="3" t="s">
        <v>1172</v>
      </c>
      <c r="D5885" s="3" t="s">
        <v>1384</v>
      </c>
      <c r="E5885" s="3" t="s">
        <v>1385</v>
      </c>
      <c r="F5885" s="3">
        <v>0</v>
      </c>
      <c r="G5885" s="3">
        <v>-296075.58</v>
      </c>
    </row>
    <row r="5886" spans="1:7" x14ac:dyDescent="0.2">
      <c r="A5886" s="3" t="s">
        <v>1069</v>
      </c>
      <c r="B5886" s="4">
        <v>45351</v>
      </c>
      <c r="C5886" s="3" t="s">
        <v>1172</v>
      </c>
      <c r="D5886" s="3" t="s">
        <v>1384</v>
      </c>
      <c r="E5886" s="3" t="s">
        <v>1385</v>
      </c>
      <c r="F5886" s="3">
        <v>0</v>
      </c>
      <c r="G5886" s="3">
        <v>-17843179.579999998</v>
      </c>
    </row>
    <row r="5887" spans="1:7" x14ac:dyDescent="0.2">
      <c r="A5887" s="3" t="s">
        <v>1074</v>
      </c>
      <c r="B5887" s="4">
        <v>45351</v>
      </c>
      <c r="C5887" s="3" t="s">
        <v>1172</v>
      </c>
      <c r="D5887" s="3" t="s">
        <v>1384</v>
      </c>
      <c r="E5887" s="3" t="s">
        <v>1385</v>
      </c>
      <c r="F5887" s="3">
        <v>0</v>
      </c>
      <c r="G5887" s="3">
        <v>70398.12</v>
      </c>
    </row>
    <row r="5888" spans="1:7" x14ac:dyDescent="0.2">
      <c r="A5888" s="3" t="s">
        <v>1069</v>
      </c>
      <c r="B5888" s="4">
        <v>45351</v>
      </c>
      <c r="C5888" s="3" t="s">
        <v>1180</v>
      </c>
      <c r="D5888" s="3" t="s">
        <v>1241</v>
      </c>
      <c r="E5888" s="3" t="s">
        <v>1242</v>
      </c>
      <c r="F5888" s="3">
        <v>0</v>
      </c>
      <c r="G5888" s="3">
        <v>17562360.850000001</v>
      </c>
    </row>
    <row r="5889" spans="1:7" x14ac:dyDescent="0.2">
      <c r="A5889" s="3" t="s">
        <v>1069</v>
      </c>
      <c r="B5889" s="4">
        <v>45351</v>
      </c>
      <c r="C5889" s="3" t="s">
        <v>1180</v>
      </c>
      <c r="D5889" s="3" t="s">
        <v>1733</v>
      </c>
      <c r="E5889" s="3" t="s">
        <v>1734</v>
      </c>
      <c r="F5889" s="3">
        <v>0</v>
      </c>
      <c r="G5889" s="3">
        <v>13457359</v>
      </c>
    </row>
    <row r="5890" spans="1:7" x14ac:dyDescent="0.2">
      <c r="A5890" s="3" t="s">
        <v>1072</v>
      </c>
      <c r="B5890" s="4">
        <v>45351</v>
      </c>
      <c r="C5890" s="3" t="s">
        <v>1180</v>
      </c>
      <c r="D5890" s="3" t="s">
        <v>1483</v>
      </c>
      <c r="E5890" s="3" t="s">
        <v>1177</v>
      </c>
      <c r="F5890" s="3">
        <v>40000</v>
      </c>
      <c r="G5890" s="3">
        <v>-4017423.63</v>
      </c>
    </row>
    <row r="5891" spans="1:7" x14ac:dyDescent="0.2">
      <c r="A5891" s="3" t="s">
        <v>1072</v>
      </c>
      <c r="B5891" s="4">
        <v>45351</v>
      </c>
      <c r="C5891" s="3" t="s">
        <v>1180</v>
      </c>
      <c r="D5891" s="3" t="s">
        <v>1388</v>
      </c>
      <c r="E5891" s="3" t="s">
        <v>1389</v>
      </c>
      <c r="F5891" s="3">
        <v>0</v>
      </c>
      <c r="G5891" s="3">
        <v>-4342.5</v>
      </c>
    </row>
    <row r="5892" spans="1:7" x14ac:dyDescent="0.2">
      <c r="A5892" s="3" t="s">
        <v>1072</v>
      </c>
      <c r="B5892" s="4">
        <v>45351</v>
      </c>
      <c r="C5892" s="3" t="s">
        <v>1180</v>
      </c>
      <c r="D5892" s="3" t="s">
        <v>1723</v>
      </c>
      <c r="E5892" s="3" t="s">
        <v>1724</v>
      </c>
      <c r="F5892" s="3">
        <v>0</v>
      </c>
      <c r="G5892" s="3">
        <v>4702.3500000000004</v>
      </c>
    </row>
    <row r="5893" spans="1:7" x14ac:dyDescent="0.2">
      <c r="A5893" s="3" t="s">
        <v>1072</v>
      </c>
      <c r="B5893" s="4">
        <v>45351</v>
      </c>
      <c r="C5893" s="3" t="s">
        <v>1180</v>
      </c>
      <c r="D5893" s="3" t="s">
        <v>1390</v>
      </c>
      <c r="E5893" s="3" t="s">
        <v>1391</v>
      </c>
      <c r="F5893" s="3">
        <v>-185000</v>
      </c>
      <c r="G5893" s="3">
        <v>-1756000</v>
      </c>
    </row>
    <row r="5894" spans="1:7" x14ac:dyDescent="0.2">
      <c r="A5894" s="3" t="s">
        <v>1072</v>
      </c>
      <c r="B5894" s="4">
        <v>45351</v>
      </c>
      <c r="C5894" s="3" t="s">
        <v>1180</v>
      </c>
      <c r="D5894" s="3" t="s">
        <v>1392</v>
      </c>
      <c r="E5894" s="3" t="s">
        <v>1393</v>
      </c>
      <c r="F5894" s="3">
        <v>0</v>
      </c>
      <c r="G5894" s="3">
        <v>4342.5</v>
      </c>
    </row>
    <row r="5895" spans="1:7" x14ac:dyDescent="0.2">
      <c r="A5895" s="3" t="s">
        <v>1072</v>
      </c>
      <c r="B5895" s="4">
        <v>45351</v>
      </c>
      <c r="C5895" s="3" t="s">
        <v>1180</v>
      </c>
      <c r="D5895" s="3" t="s">
        <v>1394</v>
      </c>
      <c r="E5895" s="3" t="s">
        <v>1256</v>
      </c>
      <c r="F5895" s="3">
        <v>600</v>
      </c>
      <c r="G5895" s="3">
        <v>-17600</v>
      </c>
    </row>
    <row r="5896" spans="1:7" x14ac:dyDescent="0.2">
      <c r="A5896" s="3" t="s">
        <v>1072</v>
      </c>
      <c r="B5896" s="4">
        <v>45351</v>
      </c>
      <c r="C5896" s="3" t="s">
        <v>1180</v>
      </c>
      <c r="D5896" s="3" t="s">
        <v>1395</v>
      </c>
      <c r="E5896" s="3" t="s">
        <v>1396</v>
      </c>
      <c r="F5896" s="3">
        <v>-3450000</v>
      </c>
      <c r="G5896" s="3">
        <v>-26224738.420000002</v>
      </c>
    </row>
    <row r="5897" spans="1:7" x14ac:dyDescent="0.2">
      <c r="A5897" s="3" t="s">
        <v>1072</v>
      </c>
      <c r="B5897" s="4">
        <v>45351</v>
      </c>
      <c r="C5897" s="3" t="s">
        <v>1180</v>
      </c>
      <c r="D5897" s="3" t="s">
        <v>1397</v>
      </c>
      <c r="E5897" s="3" t="s">
        <v>1398</v>
      </c>
      <c r="F5897" s="3">
        <v>600</v>
      </c>
      <c r="G5897" s="3">
        <v>-200189.44</v>
      </c>
    </row>
    <row r="5898" spans="1:7" x14ac:dyDescent="0.2">
      <c r="A5898" s="3" t="s">
        <v>1072</v>
      </c>
      <c r="B5898" s="4">
        <v>45351</v>
      </c>
      <c r="C5898" s="3" t="s">
        <v>1180</v>
      </c>
      <c r="D5898" s="3" t="s">
        <v>1512</v>
      </c>
      <c r="E5898" s="3" t="s">
        <v>1513</v>
      </c>
      <c r="F5898" s="3">
        <v>2580000</v>
      </c>
      <c r="G5898" s="3">
        <v>27542687.399999999</v>
      </c>
    </row>
    <row r="5899" spans="1:7" x14ac:dyDescent="0.2">
      <c r="A5899" s="3" t="s">
        <v>1072</v>
      </c>
      <c r="B5899" s="4">
        <v>45351</v>
      </c>
      <c r="C5899" s="3" t="s">
        <v>1180</v>
      </c>
      <c r="D5899" s="3" t="s">
        <v>1399</v>
      </c>
      <c r="E5899" s="3" t="s">
        <v>1400</v>
      </c>
      <c r="F5899" s="3">
        <v>130000</v>
      </c>
      <c r="G5899" s="3">
        <v>267399</v>
      </c>
    </row>
    <row r="5900" spans="1:7" x14ac:dyDescent="0.2">
      <c r="A5900" s="3" t="s">
        <v>1074</v>
      </c>
      <c r="B5900" s="4">
        <v>45351</v>
      </c>
      <c r="C5900" s="3" t="s">
        <v>1175</v>
      </c>
      <c r="D5900" s="3" t="s">
        <v>1492</v>
      </c>
      <c r="E5900" s="3" t="s">
        <v>1493</v>
      </c>
      <c r="F5900" s="3">
        <v>8537480.2200000007</v>
      </c>
      <c r="G5900" s="3">
        <v>-48100642.799999997</v>
      </c>
    </row>
    <row r="5901" spans="1:7" x14ac:dyDescent="0.2">
      <c r="A5901" s="3" t="s">
        <v>1069</v>
      </c>
      <c r="B5901" s="4">
        <v>45351</v>
      </c>
      <c r="C5901" s="3" t="s">
        <v>1175</v>
      </c>
      <c r="D5901" s="3" t="s">
        <v>1176</v>
      </c>
      <c r="E5901" s="3" t="s">
        <v>1177</v>
      </c>
      <c r="F5901" s="3">
        <v>1800000</v>
      </c>
      <c r="G5901" s="3">
        <v>1800000</v>
      </c>
    </row>
    <row r="5902" spans="1:7" x14ac:dyDescent="0.2">
      <c r="A5902" s="3" t="s">
        <v>1069</v>
      </c>
      <c r="B5902" s="4">
        <v>45351</v>
      </c>
      <c r="C5902" s="3" t="s">
        <v>1175</v>
      </c>
      <c r="D5902" s="3" t="s">
        <v>1178</v>
      </c>
      <c r="E5902" s="3" t="s">
        <v>1179</v>
      </c>
      <c r="F5902" s="3">
        <v>3200000</v>
      </c>
      <c r="G5902" s="3">
        <v>25974738.420000002</v>
      </c>
    </row>
    <row r="5903" spans="1:7" x14ac:dyDescent="0.2">
      <c r="A5903" s="3" t="s">
        <v>1069</v>
      </c>
      <c r="B5903" s="4">
        <v>45351</v>
      </c>
      <c r="C5903" s="3" t="s">
        <v>1175</v>
      </c>
      <c r="D5903" s="3" t="s">
        <v>1233</v>
      </c>
      <c r="E5903" s="3" t="s">
        <v>1234</v>
      </c>
      <c r="F5903" s="3">
        <v>80000</v>
      </c>
      <c r="G5903" s="3">
        <v>4174275</v>
      </c>
    </row>
    <row r="5904" spans="1:7" x14ac:dyDescent="0.2">
      <c r="A5904" s="3" t="s">
        <v>1069</v>
      </c>
      <c r="B5904" s="4">
        <v>45351</v>
      </c>
      <c r="C5904" s="3" t="s">
        <v>1175</v>
      </c>
      <c r="D5904" s="3" t="s">
        <v>1494</v>
      </c>
      <c r="E5904" s="3" t="s">
        <v>1495</v>
      </c>
      <c r="F5904" s="3">
        <v>-8924258.3699999992</v>
      </c>
      <c r="G5904" s="3">
        <v>47712664.119999997</v>
      </c>
    </row>
    <row r="5905" spans="1:7" x14ac:dyDescent="0.2">
      <c r="A5905" s="3" t="s">
        <v>1069</v>
      </c>
      <c r="B5905" s="4">
        <v>45351</v>
      </c>
      <c r="C5905" s="3" t="s">
        <v>1175</v>
      </c>
      <c r="D5905" s="3" t="s">
        <v>1756</v>
      </c>
      <c r="E5905" s="3" t="s">
        <v>1757</v>
      </c>
      <c r="F5905" s="3">
        <v>0</v>
      </c>
      <c r="G5905" s="3">
        <v>10000</v>
      </c>
    </row>
    <row r="5906" spans="1:7" x14ac:dyDescent="0.2">
      <c r="A5906" s="3" t="s">
        <v>1069</v>
      </c>
      <c r="B5906" s="4">
        <v>45351</v>
      </c>
      <c r="C5906" s="3" t="s">
        <v>1175</v>
      </c>
      <c r="D5906" s="3" t="s">
        <v>1516</v>
      </c>
      <c r="E5906" s="3" t="s">
        <v>1400</v>
      </c>
      <c r="F5906" s="3">
        <v>-140000</v>
      </c>
      <c r="G5906" s="3">
        <v>-107900</v>
      </c>
    </row>
    <row r="5907" spans="1:7" x14ac:dyDescent="0.2">
      <c r="A5907" s="3" t="s">
        <v>1069</v>
      </c>
      <c r="B5907" s="4">
        <v>45351</v>
      </c>
      <c r="C5907" s="3" t="s">
        <v>1175</v>
      </c>
      <c r="D5907" s="3" t="s">
        <v>1738</v>
      </c>
      <c r="E5907" s="3" t="s">
        <v>1739</v>
      </c>
      <c r="F5907" s="3">
        <v>0</v>
      </c>
      <c r="G5907" s="3">
        <v>500</v>
      </c>
    </row>
    <row r="5908" spans="1:7" x14ac:dyDescent="0.2">
      <c r="A5908" s="3" t="s">
        <v>1069</v>
      </c>
      <c r="B5908" s="4">
        <v>45351</v>
      </c>
      <c r="C5908" s="3" t="s">
        <v>1180</v>
      </c>
      <c r="D5908" s="3" t="s">
        <v>1748</v>
      </c>
      <c r="E5908" s="3" t="s">
        <v>1749</v>
      </c>
      <c r="F5908" s="3">
        <v>0</v>
      </c>
      <c r="G5908" s="3">
        <v>1304260.8700000001</v>
      </c>
    </row>
    <row r="5909" spans="1:7" x14ac:dyDescent="0.2">
      <c r="A5909" s="3" t="s">
        <v>1069</v>
      </c>
      <c r="B5909" s="4">
        <v>45351</v>
      </c>
      <c r="C5909" s="3" t="s">
        <v>1180</v>
      </c>
      <c r="D5909" s="3" t="s">
        <v>1750</v>
      </c>
      <c r="E5909" s="3" t="s">
        <v>1751</v>
      </c>
      <c r="F5909" s="3">
        <v>0</v>
      </c>
      <c r="G5909" s="3">
        <v>1356434.78</v>
      </c>
    </row>
    <row r="5910" spans="1:7" x14ac:dyDescent="0.2">
      <c r="A5910" s="3" t="s">
        <v>1069</v>
      </c>
      <c r="B5910" s="4">
        <v>45351</v>
      </c>
      <c r="C5910" s="3" t="s">
        <v>1180</v>
      </c>
      <c r="D5910" s="3" t="s">
        <v>1752</v>
      </c>
      <c r="E5910" s="3" t="s">
        <v>1753</v>
      </c>
      <c r="F5910" s="3">
        <v>0</v>
      </c>
      <c r="G5910" s="3">
        <v>1373826.09</v>
      </c>
    </row>
    <row r="5911" spans="1:7" x14ac:dyDescent="0.2">
      <c r="A5911" s="3" t="s">
        <v>1069</v>
      </c>
      <c r="B5911" s="4">
        <v>45351</v>
      </c>
      <c r="C5911" s="3" t="s">
        <v>1180</v>
      </c>
      <c r="D5911" s="3" t="s">
        <v>1754</v>
      </c>
      <c r="E5911" s="3" t="s">
        <v>1755</v>
      </c>
      <c r="F5911" s="3">
        <v>0</v>
      </c>
      <c r="G5911" s="3">
        <v>1391217.39</v>
      </c>
    </row>
    <row r="5912" spans="1:7" x14ac:dyDescent="0.2">
      <c r="A5912" s="3" t="s">
        <v>1069</v>
      </c>
      <c r="B5912" s="4">
        <v>45351</v>
      </c>
      <c r="C5912" s="3" t="s">
        <v>1180</v>
      </c>
      <c r="D5912" s="3" t="s">
        <v>1740</v>
      </c>
      <c r="E5912" s="3" t="s">
        <v>1741</v>
      </c>
      <c r="F5912" s="3">
        <v>0</v>
      </c>
      <c r="G5912" s="3">
        <v>1304260.8700000001</v>
      </c>
    </row>
    <row r="5913" spans="1:7" x14ac:dyDescent="0.2">
      <c r="A5913" s="3" t="s">
        <v>1072</v>
      </c>
      <c r="B5913" s="4">
        <v>45351</v>
      </c>
      <c r="C5913" s="3" t="s">
        <v>1180</v>
      </c>
      <c r="D5913" s="3" t="s">
        <v>1409</v>
      </c>
      <c r="E5913" s="3" t="s">
        <v>1410</v>
      </c>
      <c r="F5913" s="3">
        <v>0</v>
      </c>
      <c r="G5913" s="3">
        <v>216064.1</v>
      </c>
    </row>
    <row r="5914" spans="1:7" x14ac:dyDescent="0.2">
      <c r="A5914" s="3" t="s">
        <v>1072</v>
      </c>
      <c r="B5914" s="4">
        <v>45351</v>
      </c>
      <c r="C5914" s="3" t="s">
        <v>1180</v>
      </c>
      <c r="D5914" s="3" t="s">
        <v>1411</v>
      </c>
      <c r="E5914" s="3" t="s">
        <v>1412</v>
      </c>
      <c r="F5914" s="3">
        <v>0</v>
      </c>
      <c r="G5914" s="3">
        <v>-216063.1</v>
      </c>
    </row>
    <row r="5915" spans="1:7" x14ac:dyDescent="0.2">
      <c r="A5915" s="3" t="s">
        <v>1072</v>
      </c>
      <c r="B5915" s="4">
        <v>45351</v>
      </c>
      <c r="C5915" s="3" t="s">
        <v>1180</v>
      </c>
      <c r="D5915" s="3" t="s">
        <v>1413</v>
      </c>
      <c r="E5915" s="3" t="s">
        <v>1414</v>
      </c>
      <c r="F5915" s="3">
        <v>6086.09</v>
      </c>
      <c r="G5915" s="3">
        <v>184238.57</v>
      </c>
    </row>
    <row r="5916" spans="1:7" x14ac:dyDescent="0.2">
      <c r="A5916" s="3" t="s">
        <v>1072</v>
      </c>
      <c r="B5916" s="4">
        <v>45351</v>
      </c>
      <c r="C5916" s="3" t="s">
        <v>1180</v>
      </c>
      <c r="D5916" s="3" t="s">
        <v>1415</v>
      </c>
      <c r="E5916" s="3" t="s">
        <v>1416</v>
      </c>
      <c r="F5916" s="3">
        <v>-4705.18</v>
      </c>
      <c r="G5916" s="3">
        <v>-89440.92</v>
      </c>
    </row>
    <row r="5917" spans="1:7" x14ac:dyDescent="0.2">
      <c r="A5917" s="3" t="s">
        <v>1072</v>
      </c>
      <c r="B5917" s="4">
        <v>45351</v>
      </c>
      <c r="C5917" s="3" t="s">
        <v>1180</v>
      </c>
      <c r="D5917" s="3" t="s">
        <v>1462</v>
      </c>
      <c r="E5917" s="3" t="s">
        <v>1463</v>
      </c>
      <c r="F5917" s="3">
        <v>0</v>
      </c>
      <c r="G5917" s="3">
        <v>37955.300000000003</v>
      </c>
    </row>
    <row r="5918" spans="1:7" x14ac:dyDescent="0.2">
      <c r="A5918" s="3" t="s">
        <v>1072</v>
      </c>
      <c r="B5918" s="4">
        <v>45351</v>
      </c>
      <c r="C5918" s="3" t="s">
        <v>1180</v>
      </c>
      <c r="D5918" s="3" t="s">
        <v>1484</v>
      </c>
      <c r="E5918" s="3" t="s">
        <v>1485</v>
      </c>
      <c r="F5918" s="3">
        <v>-547.66999999999996</v>
      </c>
      <c r="G5918" s="3">
        <v>-12466.67</v>
      </c>
    </row>
    <row r="5919" spans="1:7" x14ac:dyDescent="0.2">
      <c r="A5919" s="3" t="s">
        <v>1072</v>
      </c>
      <c r="B5919" s="4">
        <v>45351</v>
      </c>
      <c r="C5919" s="3" t="s">
        <v>1180</v>
      </c>
      <c r="D5919" s="3" t="s">
        <v>1417</v>
      </c>
      <c r="E5919" s="3" t="s">
        <v>1418</v>
      </c>
      <c r="F5919" s="3">
        <v>0</v>
      </c>
      <c r="G5919" s="3">
        <v>71322</v>
      </c>
    </row>
    <row r="5920" spans="1:7" x14ac:dyDescent="0.2">
      <c r="A5920" s="3" t="s">
        <v>1072</v>
      </c>
      <c r="B5920" s="4">
        <v>45351</v>
      </c>
      <c r="C5920" s="3" t="s">
        <v>1180</v>
      </c>
      <c r="D5920" s="3" t="s">
        <v>1419</v>
      </c>
      <c r="E5920" s="3" t="s">
        <v>1420</v>
      </c>
      <c r="F5920" s="3">
        <v>-1188.7</v>
      </c>
      <c r="G5920" s="3">
        <v>-15399.23</v>
      </c>
    </row>
    <row r="5921" spans="1:7" x14ac:dyDescent="0.2">
      <c r="A5921" s="3" t="s">
        <v>1069</v>
      </c>
      <c r="B5921" s="4">
        <v>45351</v>
      </c>
      <c r="C5921" s="3" t="s">
        <v>1180</v>
      </c>
      <c r="D5921" s="3" t="s">
        <v>1421</v>
      </c>
      <c r="E5921" s="3" t="s">
        <v>1422</v>
      </c>
      <c r="F5921" s="3">
        <v>0</v>
      </c>
      <c r="G5921" s="3">
        <v>874505.75</v>
      </c>
    </row>
    <row r="5922" spans="1:7" x14ac:dyDescent="0.2">
      <c r="A5922" s="3" t="s">
        <v>1074</v>
      </c>
      <c r="B5922" s="4">
        <v>45351</v>
      </c>
      <c r="C5922" s="3" t="s">
        <v>1180</v>
      </c>
      <c r="D5922" s="3" t="s">
        <v>1421</v>
      </c>
      <c r="E5922" s="3" t="s">
        <v>1533</v>
      </c>
      <c r="F5922" s="3">
        <v>0</v>
      </c>
      <c r="G5922" s="3">
        <v>2472501.08</v>
      </c>
    </row>
    <row r="5923" spans="1:7" x14ac:dyDescent="0.2">
      <c r="A5923" s="3" t="s">
        <v>1069</v>
      </c>
      <c r="B5923" s="4">
        <v>45351</v>
      </c>
      <c r="C5923" s="3" t="s">
        <v>1180</v>
      </c>
      <c r="D5923" s="3" t="s">
        <v>1214</v>
      </c>
      <c r="E5923" s="3" t="s">
        <v>1215</v>
      </c>
      <c r="F5923" s="3">
        <v>0</v>
      </c>
      <c r="G5923" s="3">
        <v>26200000</v>
      </c>
    </row>
    <row r="5924" spans="1:7" x14ac:dyDescent="0.2">
      <c r="A5924" s="3" t="s">
        <v>1069</v>
      </c>
      <c r="B5924" s="4">
        <v>45351</v>
      </c>
      <c r="C5924" s="3" t="s">
        <v>1180</v>
      </c>
      <c r="D5924" s="3" t="s">
        <v>1216</v>
      </c>
      <c r="E5924" s="3" t="s">
        <v>1217</v>
      </c>
      <c r="F5924" s="3">
        <v>0</v>
      </c>
      <c r="G5924" s="3">
        <v>68427</v>
      </c>
    </row>
    <row r="5925" spans="1:7" x14ac:dyDescent="0.2">
      <c r="A5925" s="3" t="s">
        <v>1069</v>
      </c>
      <c r="B5925" s="4">
        <v>45351</v>
      </c>
      <c r="C5925" s="3" t="s">
        <v>1180</v>
      </c>
      <c r="D5925" s="3" t="s">
        <v>1218</v>
      </c>
      <c r="E5925" s="3" t="s">
        <v>1219</v>
      </c>
      <c r="F5925" s="3">
        <v>0</v>
      </c>
      <c r="G5925" s="3">
        <v>103812</v>
      </c>
    </row>
    <row r="5926" spans="1:7" x14ac:dyDescent="0.2">
      <c r="A5926" s="3" t="s">
        <v>1069</v>
      </c>
      <c r="B5926" s="4">
        <v>45351</v>
      </c>
      <c r="C5926" s="3" t="s">
        <v>1180</v>
      </c>
      <c r="D5926" s="3" t="s">
        <v>1197</v>
      </c>
      <c r="E5926" s="3" t="s">
        <v>1198</v>
      </c>
      <c r="F5926" s="3">
        <v>0</v>
      </c>
      <c r="G5926" s="3">
        <v>314087</v>
      </c>
    </row>
    <row r="5927" spans="1:7" x14ac:dyDescent="0.2">
      <c r="A5927" s="3" t="s">
        <v>1074</v>
      </c>
      <c r="B5927" s="4">
        <v>45351</v>
      </c>
      <c r="C5927" s="3" t="s">
        <v>1180</v>
      </c>
      <c r="D5927" s="3" t="s">
        <v>1197</v>
      </c>
      <c r="E5927" s="3" t="s">
        <v>1550</v>
      </c>
      <c r="F5927" s="3">
        <v>25315.69</v>
      </c>
      <c r="G5927" s="3">
        <v>715552.6</v>
      </c>
    </row>
    <row r="5928" spans="1:7" x14ac:dyDescent="0.2">
      <c r="A5928" s="3" t="s">
        <v>1069</v>
      </c>
      <c r="B5928" s="4">
        <v>45351</v>
      </c>
      <c r="C5928" s="3" t="s">
        <v>1180</v>
      </c>
      <c r="D5928" s="3" t="s">
        <v>1496</v>
      </c>
      <c r="E5928" s="3" t="s">
        <v>1497</v>
      </c>
      <c r="F5928" s="3">
        <v>0</v>
      </c>
      <c r="G5928" s="3">
        <v>139500</v>
      </c>
    </row>
    <row r="5929" spans="1:7" x14ac:dyDescent="0.2">
      <c r="A5929" s="3" t="s">
        <v>1069</v>
      </c>
      <c r="B5929" s="4">
        <v>45351</v>
      </c>
      <c r="C5929" s="3" t="s">
        <v>1180</v>
      </c>
      <c r="D5929" s="3" t="s">
        <v>1181</v>
      </c>
      <c r="E5929" s="3" t="s">
        <v>1182</v>
      </c>
      <c r="F5929" s="3">
        <v>0</v>
      </c>
      <c r="G5929" s="3">
        <v>8557641.8000000007</v>
      </c>
    </row>
    <row r="5930" spans="1:7" x14ac:dyDescent="0.2">
      <c r="A5930" s="3" t="s">
        <v>1069</v>
      </c>
      <c r="B5930" s="4">
        <v>45351</v>
      </c>
      <c r="C5930" s="3" t="s">
        <v>1180</v>
      </c>
      <c r="D5930" s="3" t="s">
        <v>1263</v>
      </c>
      <c r="E5930" s="3" t="s">
        <v>1264</v>
      </c>
      <c r="F5930" s="3">
        <v>0</v>
      </c>
      <c r="G5930" s="3">
        <v>13807.78</v>
      </c>
    </row>
    <row r="5931" spans="1:7" x14ac:dyDescent="0.2">
      <c r="A5931" s="3" t="s">
        <v>1069</v>
      </c>
      <c r="B5931" s="4">
        <v>45351</v>
      </c>
      <c r="C5931" s="3" t="s">
        <v>1180</v>
      </c>
      <c r="D5931" s="3" t="s">
        <v>1202</v>
      </c>
      <c r="E5931" s="3" t="s">
        <v>1203</v>
      </c>
      <c r="F5931" s="3">
        <v>0</v>
      </c>
      <c r="G5931" s="3">
        <v>197060.09</v>
      </c>
    </row>
    <row r="5932" spans="1:7" x14ac:dyDescent="0.2">
      <c r="A5932" s="3" t="s">
        <v>1074</v>
      </c>
      <c r="B5932" s="4">
        <v>45351</v>
      </c>
      <c r="C5932" s="3" t="s">
        <v>1180</v>
      </c>
      <c r="D5932" s="3" t="s">
        <v>1202</v>
      </c>
      <c r="E5932" s="3" t="s">
        <v>1577</v>
      </c>
      <c r="F5932" s="3">
        <v>0</v>
      </c>
      <c r="G5932" s="3">
        <v>321942.46999999997</v>
      </c>
    </row>
    <row r="5933" spans="1:7" x14ac:dyDescent="0.2">
      <c r="A5933" s="3" t="s">
        <v>1069</v>
      </c>
      <c r="B5933" s="4">
        <v>45351</v>
      </c>
      <c r="C5933" s="3" t="s">
        <v>1180</v>
      </c>
      <c r="D5933" s="3" t="s">
        <v>1204</v>
      </c>
      <c r="E5933" s="3" t="s">
        <v>1205</v>
      </c>
      <c r="F5933" s="3">
        <v>0</v>
      </c>
      <c r="G5933" s="3">
        <v>7500</v>
      </c>
    </row>
    <row r="5934" spans="1:7" x14ac:dyDescent="0.2">
      <c r="A5934" s="3" t="s">
        <v>1074</v>
      </c>
      <c r="B5934" s="4">
        <v>45351</v>
      </c>
      <c r="C5934" s="3" t="s">
        <v>1180</v>
      </c>
      <c r="D5934" s="3" t="s">
        <v>1204</v>
      </c>
      <c r="E5934" s="3" t="s">
        <v>1673</v>
      </c>
      <c r="F5934" s="3">
        <v>0</v>
      </c>
      <c r="G5934" s="3">
        <v>114370.5</v>
      </c>
    </row>
    <row r="5935" spans="1:7" x14ac:dyDescent="0.2">
      <c r="A5935" s="3" t="s">
        <v>1069</v>
      </c>
      <c r="B5935" s="4">
        <v>45351</v>
      </c>
      <c r="C5935" s="3" t="s">
        <v>1180</v>
      </c>
      <c r="D5935" s="3" t="s">
        <v>1199</v>
      </c>
      <c r="E5935" s="3" t="s">
        <v>1200</v>
      </c>
      <c r="F5935" s="3">
        <v>0</v>
      </c>
      <c r="G5935" s="3">
        <v>146256.38</v>
      </c>
    </row>
    <row r="5936" spans="1:7" x14ac:dyDescent="0.2">
      <c r="A5936" s="3" t="s">
        <v>1069</v>
      </c>
      <c r="B5936" s="4">
        <v>45351</v>
      </c>
      <c r="C5936" s="3" t="s">
        <v>1180</v>
      </c>
      <c r="D5936" s="3" t="s">
        <v>1486</v>
      </c>
      <c r="E5936" s="3" t="s">
        <v>1487</v>
      </c>
      <c r="F5936" s="3">
        <v>0</v>
      </c>
      <c r="G5936" s="3">
        <v>20600</v>
      </c>
    </row>
    <row r="5937" spans="1:7" x14ac:dyDescent="0.2">
      <c r="A5937" s="3" t="s">
        <v>1069</v>
      </c>
      <c r="B5937" s="4">
        <v>45351</v>
      </c>
      <c r="C5937" s="3" t="s">
        <v>1180</v>
      </c>
      <c r="D5937" s="3" t="s">
        <v>1220</v>
      </c>
      <c r="E5937" s="3" t="s">
        <v>1221</v>
      </c>
      <c r="F5937" s="3">
        <v>0</v>
      </c>
      <c r="G5937" s="3">
        <v>15175</v>
      </c>
    </row>
    <row r="5938" spans="1:7" x14ac:dyDescent="0.2">
      <c r="A5938" s="3" t="s">
        <v>1069</v>
      </c>
      <c r="B5938" s="4">
        <v>45351</v>
      </c>
      <c r="C5938" s="3" t="s">
        <v>1180</v>
      </c>
      <c r="D5938" s="3" t="s">
        <v>1498</v>
      </c>
      <c r="E5938" s="3" t="s">
        <v>1499</v>
      </c>
      <c r="F5938" s="3">
        <v>0</v>
      </c>
      <c r="G5938" s="3">
        <v>570856.07999999996</v>
      </c>
    </row>
    <row r="5939" spans="1:7" x14ac:dyDescent="0.2">
      <c r="A5939" s="3" t="s">
        <v>1069</v>
      </c>
      <c r="B5939" s="4">
        <v>45351</v>
      </c>
      <c r="C5939" s="3" t="s">
        <v>1180</v>
      </c>
      <c r="D5939" s="3" t="s">
        <v>1183</v>
      </c>
      <c r="E5939" s="3" t="s">
        <v>1184</v>
      </c>
      <c r="F5939" s="3">
        <v>0</v>
      </c>
      <c r="G5939" s="3">
        <v>47748851.509999998</v>
      </c>
    </row>
    <row r="5940" spans="1:7" x14ac:dyDescent="0.2">
      <c r="A5940" s="3" t="s">
        <v>1074</v>
      </c>
      <c r="B5940" s="4">
        <v>45351</v>
      </c>
      <c r="C5940" s="3" t="s">
        <v>1180</v>
      </c>
      <c r="D5940" s="3" t="s">
        <v>1183</v>
      </c>
      <c r="E5940" s="3" t="s">
        <v>1631</v>
      </c>
      <c r="F5940" s="3">
        <v>3921739.13</v>
      </c>
      <c r="G5940" s="3">
        <v>48025790.909999996</v>
      </c>
    </row>
    <row r="5941" spans="1:7" x14ac:dyDescent="0.2">
      <c r="A5941" s="3" t="s">
        <v>1069</v>
      </c>
      <c r="B5941" s="4">
        <v>45351</v>
      </c>
      <c r="C5941" s="3" t="s">
        <v>1180</v>
      </c>
      <c r="D5941" s="3" t="s">
        <v>1222</v>
      </c>
      <c r="E5941" s="3" t="s">
        <v>1223</v>
      </c>
      <c r="F5941" s="3">
        <v>0</v>
      </c>
      <c r="G5941" s="3">
        <v>3850818.04</v>
      </c>
    </row>
    <row r="5942" spans="1:7" x14ac:dyDescent="0.2">
      <c r="A5942" s="3" t="s">
        <v>1074</v>
      </c>
      <c r="B5942" s="4">
        <v>45351</v>
      </c>
      <c r="C5942" s="3" t="s">
        <v>1180</v>
      </c>
      <c r="D5942" s="3" t="s">
        <v>1222</v>
      </c>
      <c r="E5942" s="3" t="s">
        <v>1664</v>
      </c>
      <c r="F5942" s="3">
        <v>0</v>
      </c>
      <c r="G5942" s="3">
        <v>1826086.96</v>
      </c>
    </row>
    <row r="5943" spans="1:7" x14ac:dyDescent="0.2">
      <c r="A5943" s="3" t="s">
        <v>1069</v>
      </c>
      <c r="B5943" s="4">
        <v>45351</v>
      </c>
      <c r="C5943" s="3" t="s">
        <v>1180</v>
      </c>
      <c r="D5943" s="3" t="s">
        <v>1235</v>
      </c>
      <c r="E5943" s="3" t="s">
        <v>1236</v>
      </c>
      <c r="F5943" s="3">
        <v>0</v>
      </c>
      <c r="G5943" s="3">
        <v>782608.07</v>
      </c>
    </row>
    <row r="5944" spans="1:7" x14ac:dyDescent="0.2">
      <c r="A5944" s="3" t="s">
        <v>1074</v>
      </c>
      <c r="B5944" s="4">
        <v>45351</v>
      </c>
      <c r="C5944" s="3" t="s">
        <v>1180</v>
      </c>
      <c r="D5944" s="3" t="s">
        <v>1235</v>
      </c>
      <c r="E5944" s="3" t="s">
        <v>1715</v>
      </c>
      <c r="F5944" s="3">
        <v>0</v>
      </c>
      <c r="G5944" s="3">
        <v>217391.3</v>
      </c>
    </row>
    <row r="5945" spans="1:7" x14ac:dyDescent="0.2">
      <c r="A5945" s="3" t="s">
        <v>1069</v>
      </c>
      <c r="B5945" s="4">
        <v>45351</v>
      </c>
      <c r="C5945" s="3" t="s">
        <v>1180</v>
      </c>
      <c r="D5945" s="3" t="s">
        <v>1206</v>
      </c>
      <c r="E5945" s="3" t="s">
        <v>1207</v>
      </c>
      <c r="F5945" s="3">
        <v>0</v>
      </c>
      <c r="G5945" s="3">
        <v>166550</v>
      </c>
    </row>
    <row r="5946" spans="1:7" x14ac:dyDescent="0.2">
      <c r="A5946" s="3" t="s">
        <v>1074</v>
      </c>
      <c r="B5946" s="4">
        <v>45351</v>
      </c>
      <c r="C5946" s="3" t="s">
        <v>1180</v>
      </c>
      <c r="D5946" s="3" t="s">
        <v>1206</v>
      </c>
      <c r="E5946" s="3" t="s">
        <v>1697</v>
      </c>
      <c r="F5946" s="3">
        <v>0</v>
      </c>
      <c r="G5946" s="3">
        <v>2834.7</v>
      </c>
    </row>
    <row r="5947" spans="1:7" x14ac:dyDescent="0.2">
      <c r="A5947" s="3" t="s">
        <v>1069</v>
      </c>
      <c r="B5947" s="4">
        <v>45351</v>
      </c>
      <c r="C5947" s="3" t="s">
        <v>1180</v>
      </c>
      <c r="D5947" s="3" t="s">
        <v>1208</v>
      </c>
      <c r="E5947" s="3" t="s">
        <v>1209</v>
      </c>
      <c r="F5947" s="3">
        <v>0</v>
      </c>
      <c r="G5947" s="3">
        <v>45000</v>
      </c>
    </row>
    <row r="5948" spans="1:7" x14ac:dyDescent="0.2">
      <c r="A5948" s="3" t="s">
        <v>1069</v>
      </c>
      <c r="B5948" s="4">
        <v>45351</v>
      </c>
      <c r="C5948" s="3" t="s">
        <v>1180</v>
      </c>
      <c r="D5948" s="3" t="s">
        <v>1259</v>
      </c>
      <c r="E5948" s="3" t="s">
        <v>1260</v>
      </c>
      <c r="F5948" s="3">
        <v>6000</v>
      </c>
      <c r="G5948" s="3">
        <v>203000</v>
      </c>
    </row>
    <row r="5949" spans="1:7" x14ac:dyDescent="0.2">
      <c r="A5949" s="3" t="s">
        <v>1074</v>
      </c>
      <c r="B5949" s="4">
        <v>45351</v>
      </c>
      <c r="C5949" s="3" t="s">
        <v>1180</v>
      </c>
      <c r="D5949" s="3" t="s">
        <v>1674</v>
      </c>
      <c r="E5949" s="3" t="s">
        <v>1675</v>
      </c>
      <c r="F5949" s="3">
        <v>0</v>
      </c>
      <c r="G5949" s="3">
        <v>666877.14</v>
      </c>
    </row>
    <row r="5950" spans="1:7" x14ac:dyDescent="0.2">
      <c r="A5950" s="3" t="s">
        <v>1074</v>
      </c>
      <c r="B5950" s="4">
        <v>45351</v>
      </c>
      <c r="C5950" s="3" t="s">
        <v>1180</v>
      </c>
      <c r="D5950" s="3" t="s">
        <v>1578</v>
      </c>
      <c r="E5950" s="3" t="s">
        <v>1579</v>
      </c>
      <c r="F5950" s="3">
        <v>0</v>
      </c>
      <c r="G5950" s="3">
        <v>66190.11</v>
      </c>
    </row>
    <row r="5951" spans="1:7" x14ac:dyDescent="0.2">
      <c r="A5951" s="3" t="s">
        <v>1069</v>
      </c>
      <c r="B5951" s="4">
        <v>45351</v>
      </c>
      <c r="C5951" s="3" t="s">
        <v>1180</v>
      </c>
      <c r="D5951" s="3" t="s">
        <v>1265</v>
      </c>
      <c r="E5951" s="3" t="s">
        <v>1266</v>
      </c>
      <c r="F5951" s="3">
        <v>0</v>
      </c>
      <c r="G5951" s="3">
        <v>3252759.95</v>
      </c>
    </row>
    <row r="5952" spans="1:7" x14ac:dyDescent="0.2">
      <c r="A5952" s="3" t="s">
        <v>1074</v>
      </c>
      <c r="B5952" s="4">
        <v>45351</v>
      </c>
      <c r="C5952" s="3" t="s">
        <v>1180</v>
      </c>
      <c r="D5952" s="3" t="s">
        <v>1265</v>
      </c>
      <c r="E5952" s="3" t="s">
        <v>1518</v>
      </c>
      <c r="F5952" s="3">
        <v>0</v>
      </c>
      <c r="G5952" s="3">
        <v>1673231.19</v>
      </c>
    </row>
    <row r="5953" spans="1:7" x14ac:dyDescent="0.2">
      <c r="A5953" s="3" t="s">
        <v>1069</v>
      </c>
      <c r="B5953" s="4">
        <v>45351</v>
      </c>
      <c r="C5953" s="3" t="s">
        <v>1180</v>
      </c>
      <c r="D5953" s="3" t="s">
        <v>1423</v>
      </c>
      <c r="E5953" s="3" t="s">
        <v>1424</v>
      </c>
      <c r="F5953" s="3">
        <v>0</v>
      </c>
      <c r="G5953" s="3">
        <v>622274.51</v>
      </c>
    </row>
    <row r="5954" spans="1:7" x14ac:dyDescent="0.2">
      <c r="A5954" s="3" t="s">
        <v>1074</v>
      </c>
      <c r="B5954" s="4">
        <v>45351</v>
      </c>
      <c r="C5954" s="3" t="s">
        <v>1180</v>
      </c>
      <c r="D5954" s="3" t="s">
        <v>1519</v>
      </c>
      <c r="E5954" s="3" t="s">
        <v>1551</v>
      </c>
      <c r="F5954" s="3">
        <v>0</v>
      </c>
      <c r="G5954" s="3">
        <v>76530</v>
      </c>
    </row>
    <row r="5955" spans="1:7" x14ac:dyDescent="0.2">
      <c r="A5955" s="3" t="s">
        <v>1069</v>
      </c>
      <c r="B5955" s="4">
        <v>45351</v>
      </c>
      <c r="C5955" s="3" t="s">
        <v>1180</v>
      </c>
      <c r="D5955" s="3" t="s">
        <v>1519</v>
      </c>
      <c r="E5955" s="3" t="s">
        <v>1520</v>
      </c>
      <c r="F5955" s="3">
        <v>0</v>
      </c>
      <c r="G5955" s="3">
        <v>985049.68</v>
      </c>
    </row>
    <row r="5956" spans="1:7" x14ac:dyDescent="0.2">
      <c r="A5956" s="3" t="s">
        <v>1074</v>
      </c>
      <c r="B5956" s="4">
        <v>45351</v>
      </c>
      <c r="C5956" s="3" t="s">
        <v>1180</v>
      </c>
      <c r="D5956" s="3" t="s">
        <v>1521</v>
      </c>
      <c r="E5956" s="3" t="s">
        <v>1522</v>
      </c>
      <c r="F5956" s="3">
        <v>1400</v>
      </c>
      <c r="G5956" s="3">
        <v>30000</v>
      </c>
    </row>
    <row r="5957" spans="1:7" x14ac:dyDescent="0.2">
      <c r="A5957" s="3" t="s">
        <v>1074</v>
      </c>
      <c r="B5957" s="4">
        <v>45351</v>
      </c>
      <c r="C5957" s="3" t="s">
        <v>1180</v>
      </c>
      <c r="D5957" s="3" t="s">
        <v>1534</v>
      </c>
      <c r="E5957" s="3" t="s">
        <v>1535</v>
      </c>
      <c r="F5957" s="3">
        <v>334782.61</v>
      </c>
      <c r="G5957" s="3">
        <v>2693478.26</v>
      </c>
    </row>
    <row r="5958" spans="1:7" x14ac:dyDescent="0.2">
      <c r="A5958" s="3" t="s">
        <v>1074</v>
      </c>
      <c r="B5958" s="4">
        <v>45351</v>
      </c>
      <c r="C5958" s="3" t="s">
        <v>1180</v>
      </c>
      <c r="D5958" s="3" t="s">
        <v>1610</v>
      </c>
      <c r="E5958" s="3" t="s">
        <v>1611</v>
      </c>
      <c r="F5958" s="3">
        <v>0</v>
      </c>
      <c r="G5958" s="3">
        <v>1540502.11</v>
      </c>
    </row>
    <row r="5959" spans="1:7" x14ac:dyDescent="0.2">
      <c r="A5959" s="3" t="s">
        <v>1074</v>
      </c>
      <c r="B5959" s="4">
        <v>45351</v>
      </c>
      <c r="C5959" s="3" t="s">
        <v>1180</v>
      </c>
      <c r="D5959" s="3" t="s">
        <v>1653</v>
      </c>
      <c r="E5959" s="3" t="s">
        <v>1654</v>
      </c>
      <c r="F5959" s="3">
        <v>0</v>
      </c>
      <c r="G5959" s="3">
        <v>16307183.050000001</v>
      </c>
    </row>
    <row r="5960" spans="1:7" x14ac:dyDescent="0.2">
      <c r="A5960" s="3" t="s">
        <v>1069</v>
      </c>
      <c r="B5960" s="4">
        <v>45351</v>
      </c>
      <c r="C5960" s="3" t="s">
        <v>1180</v>
      </c>
      <c r="D5960" s="3" t="s">
        <v>1536</v>
      </c>
      <c r="E5960" s="3" t="s">
        <v>1537</v>
      </c>
      <c r="F5960" s="3">
        <v>0</v>
      </c>
      <c r="G5960" s="3">
        <v>2148883.15</v>
      </c>
    </row>
    <row r="5961" spans="1:7" x14ac:dyDescent="0.2">
      <c r="A5961" s="3" t="s">
        <v>1069</v>
      </c>
      <c r="B5961" s="4">
        <v>45351</v>
      </c>
      <c r="C5961" s="3" t="s">
        <v>1180</v>
      </c>
      <c r="D5961" s="3" t="s">
        <v>1665</v>
      </c>
      <c r="E5961" s="3" t="s">
        <v>1666</v>
      </c>
      <c r="F5961" s="3">
        <v>0</v>
      </c>
      <c r="G5961" s="3">
        <v>1068455</v>
      </c>
    </row>
    <row r="5962" spans="1:7" x14ac:dyDescent="0.2">
      <c r="A5962" s="3" t="s">
        <v>1074</v>
      </c>
      <c r="B5962" s="4">
        <v>45351</v>
      </c>
      <c r="C5962" s="3" t="s">
        <v>1180</v>
      </c>
      <c r="D5962" s="3" t="s">
        <v>1665</v>
      </c>
      <c r="E5962" s="3" t="s">
        <v>1716</v>
      </c>
      <c r="F5962" s="3">
        <v>0</v>
      </c>
      <c r="G5962" s="3">
        <v>2188325.96</v>
      </c>
    </row>
    <row r="5963" spans="1:7" x14ac:dyDescent="0.2">
      <c r="A5963" s="3" t="s">
        <v>1069</v>
      </c>
      <c r="B5963" s="4">
        <v>45351</v>
      </c>
      <c r="C5963" s="3" t="s">
        <v>1180</v>
      </c>
      <c r="D5963" s="3" t="s">
        <v>1655</v>
      </c>
      <c r="E5963" s="3" t="s">
        <v>1656</v>
      </c>
      <c r="F5963" s="3">
        <v>0</v>
      </c>
      <c r="G5963" s="3">
        <v>-24427668.440000001</v>
      </c>
    </row>
    <row r="5964" spans="1:7" x14ac:dyDescent="0.2">
      <c r="A5964" s="3" t="s">
        <v>1072</v>
      </c>
      <c r="B5964" s="4">
        <v>45351</v>
      </c>
      <c r="C5964" s="3" t="s">
        <v>1180</v>
      </c>
      <c r="D5964" s="3" t="s">
        <v>1425</v>
      </c>
      <c r="E5964" s="3" t="s">
        <v>1426</v>
      </c>
      <c r="F5964" s="3">
        <v>0</v>
      </c>
      <c r="G5964" s="3">
        <v>29600</v>
      </c>
    </row>
    <row r="5965" spans="1:7" x14ac:dyDescent="0.2">
      <c r="A5965" s="3" t="s">
        <v>1072</v>
      </c>
      <c r="B5965" s="4">
        <v>45351</v>
      </c>
      <c r="C5965" s="3" t="s">
        <v>1180</v>
      </c>
      <c r="D5965" s="3" t="s">
        <v>1427</v>
      </c>
      <c r="E5965" s="3" t="s">
        <v>1428</v>
      </c>
      <c r="F5965" s="3">
        <v>110000</v>
      </c>
      <c r="G5965" s="3">
        <v>5534127.7400000002</v>
      </c>
    </row>
    <row r="5966" spans="1:7" x14ac:dyDescent="0.2">
      <c r="A5966" s="3" t="s">
        <v>1069</v>
      </c>
      <c r="B5966" s="4">
        <v>45351</v>
      </c>
      <c r="C5966" s="3" t="s">
        <v>1180</v>
      </c>
      <c r="D5966" s="3" t="s">
        <v>1427</v>
      </c>
      <c r="E5966" s="3" t="s">
        <v>1428</v>
      </c>
      <c r="F5966" s="3">
        <v>-967.88</v>
      </c>
      <c r="G5966" s="3">
        <v>370057.81</v>
      </c>
    </row>
    <row r="5967" spans="1:7" x14ac:dyDescent="0.2">
      <c r="A5967" s="3" t="s">
        <v>1074</v>
      </c>
      <c r="B5967" s="4">
        <v>45351</v>
      </c>
      <c r="C5967" s="3" t="s">
        <v>1180</v>
      </c>
      <c r="D5967" s="3" t="s">
        <v>1427</v>
      </c>
      <c r="E5967" s="3" t="s">
        <v>1428</v>
      </c>
      <c r="F5967" s="3">
        <v>387.11</v>
      </c>
      <c r="G5967" s="3">
        <v>696.85</v>
      </c>
    </row>
    <row r="5968" spans="1:7" x14ac:dyDescent="0.2">
      <c r="A5968" s="3" t="s">
        <v>1072</v>
      </c>
      <c r="B5968" s="4">
        <v>45351</v>
      </c>
      <c r="C5968" s="3" t="s">
        <v>1180</v>
      </c>
      <c r="D5968" s="3" t="s">
        <v>1742</v>
      </c>
      <c r="E5968" s="3" t="s">
        <v>1743</v>
      </c>
      <c r="F5968" s="3">
        <v>0</v>
      </c>
      <c r="G5968" s="3">
        <v>-3510.34</v>
      </c>
    </row>
    <row r="5969" spans="1:7" x14ac:dyDescent="0.2">
      <c r="A5969" s="3" t="s">
        <v>1072</v>
      </c>
      <c r="B5969" s="4">
        <v>45351</v>
      </c>
      <c r="C5969" s="3" t="s">
        <v>1180</v>
      </c>
      <c r="D5969" s="3" t="s">
        <v>1431</v>
      </c>
      <c r="E5969" s="3" t="s">
        <v>1432</v>
      </c>
      <c r="F5969" s="3">
        <v>-173</v>
      </c>
      <c r="G5969" s="3">
        <v>-1935</v>
      </c>
    </row>
    <row r="5970" spans="1:7" x14ac:dyDescent="0.2">
      <c r="A5970" s="3" t="s">
        <v>1069</v>
      </c>
      <c r="B5970" s="4">
        <v>45351</v>
      </c>
      <c r="C5970" s="3" t="s">
        <v>1180</v>
      </c>
      <c r="D5970" s="3" t="s">
        <v>1187</v>
      </c>
      <c r="E5970" s="3" t="s">
        <v>1188</v>
      </c>
      <c r="F5970" s="3">
        <v>-3050995.26</v>
      </c>
      <c r="G5970" s="3">
        <v>142073.73000000001</v>
      </c>
    </row>
    <row r="5971" spans="1:7" x14ac:dyDescent="0.2">
      <c r="A5971" s="3" t="s">
        <v>1072</v>
      </c>
      <c r="B5971" s="4">
        <v>45351</v>
      </c>
      <c r="C5971" s="3" t="s">
        <v>1180</v>
      </c>
      <c r="D5971" s="3" t="s">
        <v>1187</v>
      </c>
      <c r="E5971" s="3" t="s">
        <v>1433</v>
      </c>
      <c r="F5971" s="3">
        <v>-77195.539999999994</v>
      </c>
      <c r="G5971" s="3">
        <v>291690.83</v>
      </c>
    </row>
    <row r="5972" spans="1:7" x14ac:dyDescent="0.2">
      <c r="A5972" s="3" t="s">
        <v>1072</v>
      </c>
      <c r="B5972" s="4">
        <v>45351</v>
      </c>
      <c r="C5972" s="3" t="s">
        <v>1180</v>
      </c>
      <c r="D5972" s="3" t="s">
        <v>1189</v>
      </c>
      <c r="E5972" s="3" t="s">
        <v>1434</v>
      </c>
      <c r="F5972" s="3">
        <v>0</v>
      </c>
      <c r="G5972" s="3">
        <v>-1188</v>
      </c>
    </row>
    <row r="5973" spans="1:7" x14ac:dyDescent="0.2">
      <c r="A5973" s="3" t="s">
        <v>1072</v>
      </c>
      <c r="B5973" s="4">
        <v>45351</v>
      </c>
      <c r="C5973" s="3" t="s">
        <v>1180</v>
      </c>
      <c r="D5973" s="3" t="s">
        <v>1435</v>
      </c>
      <c r="E5973" s="3" t="s">
        <v>1436</v>
      </c>
      <c r="F5973" s="3">
        <v>0</v>
      </c>
      <c r="G5973" s="3">
        <v>571.54999999999995</v>
      </c>
    </row>
    <row r="5974" spans="1:7" x14ac:dyDescent="0.2">
      <c r="A5974" s="3" t="s">
        <v>1069</v>
      </c>
      <c r="B5974" s="4">
        <v>45351</v>
      </c>
      <c r="C5974" s="3" t="s">
        <v>1180</v>
      </c>
      <c r="D5974" s="3" t="s">
        <v>1435</v>
      </c>
      <c r="E5974" s="3" t="s">
        <v>1434</v>
      </c>
      <c r="F5974" s="3">
        <v>0</v>
      </c>
      <c r="G5974" s="3">
        <v>8620</v>
      </c>
    </row>
    <row r="5975" spans="1:7" x14ac:dyDescent="0.2">
      <c r="A5975" s="3" t="s">
        <v>1069</v>
      </c>
      <c r="B5975" s="4">
        <v>45351</v>
      </c>
      <c r="C5975" s="3" t="s">
        <v>1180</v>
      </c>
      <c r="D5975" s="3" t="s">
        <v>1243</v>
      </c>
      <c r="E5975" s="3" t="s">
        <v>1244</v>
      </c>
      <c r="F5975" s="3">
        <v>17.22</v>
      </c>
      <c r="G5975" s="3">
        <v>889.13</v>
      </c>
    </row>
    <row r="5976" spans="1:7" x14ac:dyDescent="0.2">
      <c r="A5976" s="3" t="s">
        <v>1069</v>
      </c>
      <c r="B5976" s="4">
        <v>45351</v>
      </c>
      <c r="C5976" s="3" t="s">
        <v>1180</v>
      </c>
      <c r="D5976" s="3" t="s">
        <v>1245</v>
      </c>
      <c r="E5976" s="3" t="s">
        <v>1246</v>
      </c>
      <c r="F5976" s="3">
        <v>324114.3</v>
      </c>
      <c r="G5976" s="3">
        <v>12938990.67</v>
      </c>
    </row>
    <row r="5977" spans="1:7" x14ac:dyDescent="0.2">
      <c r="A5977" s="3" t="s">
        <v>1069</v>
      </c>
      <c r="B5977" s="4">
        <v>45351</v>
      </c>
      <c r="C5977" s="3" t="s">
        <v>1180</v>
      </c>
      <c r="D5977" s="3" t="s">
        <v>1727</v>
      </c>
      <c r="E5977" s="3" t="s">
        <v>1728</v>
      </c>
      <c r="F5977" s="3">
        <v>0</v>
      </c>
      <c r="G5977" s="3">
        <v>150500</v>
      </c>
    </row>
    <row r="5978" spans="1:7" x14ac:dyDescent="0.2">
      <c r="A5978" s="3" t="s">
        <v>1072</v>
      </c>
      <c r="B5978" s="4">
        <v>45351</v>
      </c>
      <c r="C5978" s="3" t="s">
        <v>1175</v>
      </c>
      <c r="D5978" s="3" t="s">
        <v>1437</v>
      </c>
      <c r="E5978" s="3" t="s">
        <v>1438</v>
      </c>
      <c r="F5978" s="3">
        <v>-12.49</v>
      </c>
      <c r="G5978" s="3">
        <v>-13.04</v>
      </c>
    </row>
    <row r="5979" spans="1:7" x14ac:dyDescent="0.2">
      <c r="A5979" s="3" t="s">
        <v>1069</v>
      </c>
      <c r="B5979" s="4">
        <v>45351</v>
      </c>
      <c r="C5979" s="3" t="s">
        <v>1175</v>
      </c>
      <c r="D5979" s="3" t="s">
        <v>1437</v>
      </c>
      <c r="E5979" s="3" t="s">
        <v>1438</v>
      </c>
      <c r="F5979" s="3">
        <v>0</v>
      </c>
      <c r="G5979" s="3">
        <v>0.04</v>
      </c>
    </row>
    <row r="5980" spans="1:7" x14ac:dyDescent="0.2">
      <c r="A5980" s="3" t="s">
        <v>1074</v>
      </c>
      <c r="B5980" s="4">
        <v>45351</v>
      </c>
      <c r="C5980" s="3" t="s">
        <v>1175</v>
      </c>
      <c r="D5980" s="3" t="s">
        <v>1437</v>
      </c>
      <c r="E5980" s="3" t="s">
        <v>1438</v>
      </c>
      <c r="F5980" s="3">
        <v>0</v>
      </c>
      <c r="G5980" s="3">
        <v>-0.03</v>
      </c>
    </row>
    <row r="5981" spans="1:7" x14ac:dyDescent="0.2">
      <c r="A5981" s="3" t="s">
        <v>1072</v>
      </c>
      <c r="B5981" s="4">
        <v>45351</v>
      </c>
      <c r="C5981" s="3" t="s">
        <v>1175</v>
      </c>
      <c r="D5981" s="3" t="s">
        <v>1191</v>
      </c>
      <c r="E5981" s="3" t="s">
        <v>1192</v>
      </c>
      <c r="F5981" s="3">
        <v>-984574.13</v>
      </c>
      <c r="G5981" s="3">
        <v>-1995166.07</v>
      </c>
    </row>
    <row r="5982" spans="1:7" x14ac:dyDescent="0.2">
      <c r="A5982" s="3" t="s">
        <v>1069</v>
      </c>
      <c r="B5982" s="4">
        <v>45351</v>
      </c>
      <c r="C5982" s="3" t="s">
        <v>1175</v>
      </c>
      <c r="D5982" s="3" t="s">
        <v>1191</v>
      </c>
      <c r="E5982" s="3" t="s">
        <v>1192</v>
      </c>
      <c r="F5982" s="3">
        <v>6703120.4699999997</v>
      </c>
      <c r="G5982" s="3">
        <v>-161666823.52000001</v>
      </c>
    </row>
    <row r="5983" spans="1:7" x14ac:dyDescent="0.2">
      <c r="A5983" s="3" t="s">
        <v>1074</v>
      </c>
      <c r="B5983" s="4">
        <v>45351</v>
      </c>
      <c r="C5983" s="3" t="s">
        <v>1175</v>
      </c>
      <c r="D5983" s="3" t="s">
        <v>1191</v>
      </c>
      <c r="E5983" s="3" t="s">
        <v>1192</v>
      </c>
      <c r="F5983" s="3">
        <v>-3776617.38</v>
      </c>
      <c r="G5983" s="3">
        <v>-5524201.5300000003</v>
      </c>
    </row>
    <row r="5984" spans="1:7" x14ac:dyDescent="0.2">
      <c r="A5984" s="3" t="s">
        <v>1072</v>
      </c>
      <c r="B5984" s="4">
        <v>45351</v>
      </c>
      <c r="C5984" s="3" t="s">
        <v>1175</v>
      </c>
      <c r="D5984" s="3" t="s">
        <v>1488</v>
      </c>
      <c r="E5984" s="3" t="s">
        <v>1489</v>
      </c>
      <c r="F5984" s="3">
        <v>0</v>
      </c>
      <c r="G5984" s="3">
        <v>1309</v>
      </c>
    </row>
    <row r="5985" spans="1:7" x14ac:dyDescent="0.2">
      <c r="A5985" s="3" t="s">
        <v>1072</v>
      </c>
      <c r="B5985" s="4">
        <v>45351</v>
      </c>
      <c r="C5985" s="3" t="s">
        <v>1175</v>
      </c>
      <c r="D5985" s="3" t="s">
        <v>1441</v>
      </c>
      <c r="E5985" s="3" t="s">
        <v>1442</v>
      </c>
      <c r="F5985" s="3">
        <v>888.38</v>
      </c>
      <c r="G5985" s="3">
        <v>-106119.66</v>
      </c>
    </row>
    <row r="5986" spans="1:7" x14ac:dyDescent="0.2">
      <c r="A5986" s="3" t="s">
        <v>1072</v>
      </c>
      <c r="B5986" s="4">
        <v>45351</v>
      </c>
      <c r="C5986" s="3" t="s">
        <v>1175</v>
      </c>
      <c r="D5986" s="3" t="s">
        <v>1464</v>
      </c>
      <c r="E5986" s="3" t="s">
        <v>1465</v>
      </c>
      <c r="F5986" s="3">
        <v>0</v>
      </c>
      <c r="G5986" s="3">
        <v>-49413.95</v>
      </c>
    </row>
    <row r="5987" spans="1:7" x14ac:dyDescent="0.2">
      <c r="A5987" s="3" t="s">
        <v>1072</v>
      </c>
      <c r="B5987" s="4">
        <v>45351</v>
      </c>
      <c r="C5987" s="3" t="s">
        <v>1175</v>
      </c>
      <c r="D5987" s="3" t="s">
        <v>1729</v>
      </c>
      <c r="E5987" s="3" t="s">
        <v>1730</v>
      </c>
      <c r="F5987" s="3">
        <v>0</v>
      </c>
      <c r="G5987" s="3">
        <v>130000</v>
      </c>
    </row>
    <row r="5988" spans="1:7" x14ac:dyDescent="0.2">
      <c r="A5988" s="3" t="s">
        <v>1072</v>
      </c>
      <c r="B5988" s="4">
        <v>45351</v>
      </c>
      <c r="C5988" s="3" t="s">
        <v>1175</v>
      </c>
      <c r="D5988" s="3" t="s">
        <v>1193</v>
      </c>
      <c r="E5988" s="3" t="s">
        <v>1443</v>
      </c>
      <c r="F5988" s="3">
        <v>72211.91</v>
      </c>
      <c r="G5988" s="3">
        <v>-174681.28</v>
      </c>
    </row>
    <row r="5989" spans="1:7" x14ac:dyDescent="0.2">
      <c r="A5989" s="3" t="s">
        <v>1069</v>
      </c>
      <c r="B5989" s="4">
        <v>45351</v>
      </c>
      <c r="C5989" s="3" t="s">
        <v>1175</v>
      </c>
      <c r="D5989" s="3" t="s">
        <v>1193</v>
      </c>
      <c r="E5989" s="3" t="s">
        <v>1194</v>
      </c>
      <c r="F5989" s="3">
        <v>24662.67</v>
      </c>
      <c r="G5989" s="3">
        <v>-3346962.45</v>
      </c>
    </row>
    <row r="5990" spans="1:7" x14ac:dyDescent="0.2">
      <c r="A5990" s="3" t="s">
        <v>1074</v>
      </c>
      <c r="B5990" s="4">
        <v>45351</v>
      </c>
      <c r="C5990" s="3" t="s">
        <v>1175</v>
      </c>
      <c r="D5990" s="3" t="s">
        <v>1193</v>
      </c>
      <c r="E5990" s="3" t="s">
        <v>1194</v>
      </c>
      <c r="F5990" s="3">
        <v>-911585.05</v>
      </c>
      <c r="G5990" s="3">
        <v>5476714.79</v>
      </c>
    </row>
    <row r="5991" spans="1:7" x14ac:dyDescent="0.2">
      <c r="A5991" s="3" t="s">
        <v>1072</v>
      </c>
      <c r="B5991" s="4">
        <v>45351</v>
      </c>
      <c r="C5991" s="3" t="s">
        <v>1175</v>
      </c>
      <c r="D5991" s="3" t="s">
        <v>1731</v>
      </c>
      <c r="E5991" s="3" t="s">
        <v>1732</v>
      </c>
      <c r="F5991" s="3">
        <v>0</v>
      </c>
      <c r="G5991" s="3">
        <v>-1869.8</v>
      </c>
    </row>
    <row r="5992" spans="1:7" x14ac:dyDescent="0.2">
      <c r="A5992" s="3" t="s">
        <v>1069</v>
      </c>
      <c r="B5992" s="4">
        <v>45351</v>
      </c>
      <c r="C5992" s="3" t="s">
        <v>1175</v>
      </c>
      <c r="D5992" s="3" t="s">
        <v>1657</v>
      </c>
      <c r="E5992" s="3" t="s">
        <v>1658</v>
      </c>
      <c r="F5992" s="3">
        <v>0</v>
      </c>
      <c r="G5992" s="3">
        <v>59039.93</v>
      </c>
    </row>
    <row r="5993" spans="1:7" x14ac:dyDescent="0.2">
      <c r="A5993" s="3" t="s">
        <v>1074</v>
      </c>
      <c r="B5993" s="4">
        <v>45351</v>
      </c>
      <c r="C5993" s="3" t="s">
        <v>1175</v>
      </c>
      <c r="D5993" s="3" t="s">
        <v>1717</v>
      </c>
      <c r="E5993" s="3" t="s">
        <v>1718</v>
      </c>
      <c r="F5993" s="3">
        <v>0</v>
      </c>
      <c r="G5993" s="3">
        <v>-0.4</v>
      </c>
    </row>
    <row r="5994" spans="1:7" x14ac:dyDescent="0.2">
      <c r="A5994" s="3" t="s">
        <v>1072</v>
      </c>
      <c r="B5994" s="4">
        <v>45351</v>
      </c>
      <c r="C5994" s="3" t="s">
        <v>1175</v>
      </c>
      <c r="D5994" s="3" t="s">
        <v>1444</v>
      </c>
      <c r="E5994" s="3" t="s">
        <v>1445</v>
      </c>
      <c r="F5994" s="3">
        <v>391929.81</v>
      </c>
      <c r="G5994" s="3">
        <v>393799.61</v>
      </c>
    </row>
    <row r="5995" spans="1:7" x14ac:dyDescent="0.2">
      <c r="A5995" s="3" t="s">
        <v>1072</v>
      </c>
      <c r="B5995" s="4">
        <v>45351</v>
      </c>
      <c r="C5995" s="3" t="s">
        <v>1180</v>
      </c>
      <c r="D5995" s="3" t="s">
        <v>1758</v>
      </c>
      <c r="E5995" s="3" t="s">
        <v>1743</v>
      </c>
      <c r="F5995" s="3">
        <v>3510.34</v>
      </c>
      <c r="G5995" s="3">
        <v>0</v>
      </c>
    </row>
    <row r="5996" spans="1:7" x14ac:dyDescent="0.2">
      <c r="A5996" s="3" t="s">
        <v>1072</v>
      </c>
      <c r="B5996" s="4">
        <v>45351</v>
      </c>
      <c r="C5996" s="3" t="s">
        <v>1175</v>
      </c>
      <c r="D5996" s="3" t="s">
        <v>1446</v>
      </c>
      <c r="E5996" s="3" t="s">
        <v>1447</v>
      </c>
      <c r="F5996" s="3">
        <v>0</v>
      </c>
      <c r="G5996" s="3">
        <v>-254.99</v>
      </c>
    </row>
    <row r="5997" spans="1:7" x14ac:dyDescent="0.2">
      <c r="A5997" s="3" t="s">
        <v>1069</v>
      </c>
      <c r="B5997" s="4">
        <v>45352</v>
      </c>
      <c r="C5997" s="3" t="s">
        <v>1210</v>
      </c>
      <c r="D5997" s="3" t="s">
        <v>1685</v>
      </c>
      <c r="E5997" s="3" t="s">
        <v>1686</v>
      </c>
      <c r="F5997" s="3">
        <v>-20750</v>
      </c>
      <c r="G5997" s="3">
        <v>-20750</v>
      </c>
    </row>
    <row r="5998" spans="1:7" x14ac:dyDescent="0.2">
      <c r="A5998" s="3" t="s">
        <v>1072</v>
      </c>
      <c r="B5998" s="4">
        <v>45352</v>
      </c>
      <c r="C5998" s="3" t="s">
        <v>1168</v>
      </c>
      <c r="D5998" s="3" t="s">
        <v>1450</v>
      </c>
      <c r="E5998" s="3" t="s">
        <v>1451</v>
      </c>
      <c r="F5998" s="3">
        <v>1459.05</v>
      </c>
      <c r="G5998" s="3">
        <v>1459.05</v>
      </c>
    </row>
    <row r="5999" spans="1:7" x14ac:dyDescent="0.2">
      <c r="A5999" s="3" t="s">
        <v>1072</v>
      </c>
      <c r="B5999" s="4">
        <v>45352</v>
      </c>
      <c r="C5999" s="3" t="s">
        <v>1168</v>
      </c>
      <c r="D5999" s="3" t="s">
        <v>1468</v>
      </c>
      <c r="E5999" s="3" t="s">
        <v>1469</v>
      </c>
      <c r="F5999" s="3">
        <v>1849.57</v>
      </c>
      <c r="G5999" s="3">
        <v>1849.57</v>
      </c>
    </row>
    <row r="6000" spans="1:7" x14ac:dyDescent="0.2">
      <c r="A6000" s="3" t="s">
        <v>1072</v>
      </c>
      <c r="B6000" s="4">
        <v>45352</v>
      </c>
      <c r="C6000" s="3" t="s">
        <v>1168</v>
      </c>
      <c r="D6000" s="3" t="s">
        <v>1542</v>
      </c>
      <c r="E6000" s="3" t="s">
        <v>1543</v>
      </c>
      <c r="F6000" s="3">
        <v>1185303.73</v>
      </c>
      <c r="G6000" s="3">
        <v>1185303.73</v>
      </c>
    </row>
    <row r="6001" spans="1:7" x14ac:dyDescent="0.2">
      <c r="A6001" s="3" t="s">
        <v>1072</v>
      </c>
      <c r="B6001" s="4">
        <v>45352</v>
      </c>
      <c r="C6001" s="3" t="s">
        <v>1168</v>
      </c>
      <c r="D6001" s="3" t="s">
        <v>1527</v>
      </c>
      <c r="E6001" s="3" t="s">
        <v>1528</v>
      </c>
      <c r="F6001" s="3">
        <v>10800</v>
      </c>
      <c r="G6001" s="3">
        <v>10800</v>
      </c>
    </row>
    <row r="6002" spans="1:7" x14ac:dyDescent="0.2">
      <c r="A6002" s="3" t="s">
        <v>1069</v>
      </c>
      <c r="B6002" s="4">
        <v>45352</v>
      </c>
      <c r="C6002" s="3" t="s">
        <v>1168</v>
      </c>
      <c r="D6002" s="3" t="s">
        <v>1169</v>
      </c>
      <c r="E6002" s="3" t="s">
        <v>1079</v>
      </c>
      <c r="F6002" s="3">
        <v>728.8</v>
      </c>
      <c r="G6002" s="3">
        <v>728.8</v>
      </c>
    </row>
    <row r="6003" spans="1:7" x14ac:dyDescent="0.2">
      <c r="A6003" s="3" t="s">
        <v>1069</v>
      </c>
      <c r="B6003" s="4">
        <v>45352</v>
      </c>
      <c r="C6003" s="3" t="s">
        <v>1168</v>
      </c>
      <c r="D6003" s="3" t="s">
        <v>1767</v>
      </c>
      <c r="E6003" s="3" t="s">
        <v>1768</v>
      </c>
      <c r="F6003" s="3">
        <v>124268.36</v>
      </c>
      <c r="G6003" s="3">
        <v>124268.36</v>
      </c>
    </row>
    <row r="6004" spans="1:7" x14ac:dyDescent="0.2">
      <c r="A6004" s="3" t="s">
        <v>1069</v>
      </c>
      <c r="B6004" s="4">
        <v>45352</v>
      </c>
      <c r="C6004" s="3" t="s">
        <v>1168</v>
      </c>
      <c r="D6004" s="3" t="s">
        <v>1229</v>
      </c>
      <c r="E6004" s="3" t="s">
        <v>1136</v>
      </c>
      <c r="F6004" s="3">
        <v>-3484.49</v>
      </c>
      <c r="G6004" s="3">
        <v>-3484.49</v>
      </c>
    </row>
    <row r="6005" spans="1:7" x14ac:dyDescent="0.2">
      <c r="A6005" s="3" t="s">
        <v>1069</v>
      </c>
      <c r="B6005" s="4">
        <v>45352</v>
      </c>
      <c r="C6005" s="3" t="s">
        <v>1168</v>
      </c>
      <c r="D6005" s="3" t="s">
        <v>1230</v>
      </c>
      <c r="E6005" s="3" t="s">
        <v>1109</v>
      </c>
      <c r="F6005" s="3">
        <v>3484.49</v>
      </c>
      <c r="G6005" s="3">
        <v>3484.49</v>
      </c>
    </row>
    <row r="6006" spans="1:7" x14ac:dyDescent="0.2">
      <c r="A6006" s="3" t="s">
        <v>1074</v>
      </c>
      <c r="B6006" s="4">
        <v>45352</v>
      </c>
      <c r="C6006" s="3" t="s">
        <v>1168</v>
      </c>
      <c r="D6006" s="3" t="s">
        <v>1230</v>
      </c>
      <c r="E6006" s="3" t="s">
        <v>1077</v>
      </c>
      <c r="F6006" s="3">
        <v>75.7</v>
      </c>
      <c r="G6006" s="3">
        <v>75.7</v>
      </c>
    </row>
    <row r="6007" spans="1:7" x14ac:dyDescent="0.2">
      <c r="A6007" s="3" t="s">
        <v>1072</v>
      </c>
      <c r="B6007" s="4">
        <v>45352</v>
      </c>
      <c r="C6007" s="3" t="s">
        <v>1168</v>
      </c>
      <c r="D6007" s="3" t="s">
        <v>1354</v>
      </c>
      <c r="E6007" s="3" t="s">
        <v>1078</v>
      </c>
      <c r="F6007" s="3">
        <v>7410.02</v>
      </c>
      <c r="G6007" s="3">
        <v>7410.02</v>
      </c>
    </row>
    <row r="6008" spans="1:7" x14ac:dyDescent="0.2">
      <c r="A6008" s="3" t="s">
        <v>1069</v>
      </c>
      <c r="B6008" s="4">
        <v>45352</v>
      </c>
      <c r="C6008" s="3" t="s">
        <v>1168</v>
      </c>
      <c r="D6008" s="3" t="s">
        <v>1456</v>
      </c>
      <c r="E6008" s="3" t="s">
        <v>1457</v>
      </c>
      <c r="F6008" s="3">
        <v>3961.05</v>
      </c>
      <c r="G6008" s="3">
        <v>3961.05</v>
      </c>
    </row>
    <row r="6009" spans="1:7" x14ac:dyDescent="0.2">
      <c r="A6009" s="3" t="s">
        <v>1074</v>
      </c>
      <c r="B6009" s="4">
        <v>45352</v>
      </c>
      <c r="C6009" s="3" t="s">
        <v>1168</v>
      </c>
      <c r="D6009" s="3" t="s">
        <v>1721</v>
      </c>
      <c r="E6009" s="3" t="s">
        <v>1152</v>
      </c>
      <c r="F6009" s="3">
        <v>6638.93</v>
      </c>
      <c r="G6009" s="3">
        <v>6638.93</v>
      </c>
    </row>
    <row r="6010" spans="1:7" x14ac:dyDescent="0.2">
      <c r="A6010" s="3" t="s">
        <v>1069</v>
      </c>
      <c r="B6010" s="4">
        <v>45352</v>
      </c>
      <c r="C6010" s="3" t="s">
        <v>1168</v>
      </c>
      <c r="D6010" s="3" t="s">
        <v>1722</v>
      </c>
      <c r="E6010" s="3" t="s">
        <v>1116</v>
      </c>
      <c r="F6010" s="3">
        <v>15641.09</v>
      </c>
      <c r="G6010" s="3">
        <v>15641.09</v>
      </c>
    </row>
    <row r="6011" spans="1:7" x14ac:dyDescent="0.2">
      <c r="A6011" s="3" t="s">
        <v>1072</v>
      </c>
      <c r="B6011" s="4">
        <v>45352</v>
      </c>
      <c r="C6011" s="3" t="s">
        <v>1168</v>
      </c>
      <c r="D6011" s="3" t="s">
        <v>1357</v>
      </c>
      <c r="E6011" s="3" t="s">
        <v>1157</v>
      </c>
      <c r="F6011" s="3">
        <v>1570.3</v>
      </c>
      <c r="G6011" s="3">
        <v>1570.3</v>
      </c>
    </row>
    <row r="6012" spans="1:7" x14ac:dyDescent="0.2">
      <c r="A6012" s="3" t="s">
        <v>1072</v>
      </c>
      <c r="B6012" s="4">
        <v>45352</v>
      </c>
      <c r="C6012" s="3" t="s">
        <v>1168</v>
      </c>
      <c r="D6012" s="3" t="s">
        <v>1360</v>
      </c>
      <c r="E6012" s="3" t="s">
        <v>1098</v>
      </c>
      <c r="F6012" s="3">
        <v>751.46</v>
      </c>
      <c r="G6012" s="3">
        <v>751.46</v>
      </c>
    </row>
    <row r="6013" spans="1:7" x14ac:dyDescent="0.2">
      <c r="A6013" s="3" t="s">
        <v>1072</v>
      </c>
      <c r="B6013" s="4">
        <v>45352</v>
      </c>
      <c r="C6013" s="3" t="s">
        <v>1168</v>
      </c>
      <c r="D6013" s="3" t="s">
        <v>1361</v>
      </c>
      <c r="E6013" s="3" t="s">
        <v>1121</v>
      </c>
      <c r="F6013" s="3">
        <v>31820</v>
      </c>
      <c r="G6013" s="3">
        <v>31820</v>
      </c>
    </row>
    <row r="6014" spans="1:7" x14ac:dyDescent="0.2">
      <c r="A6014" s="3" t="s">
        <v>1072</v>
      </c>
      <c r="B6014" s="4">
        <v>45352</v>
      </c>
      <c r="C6014" s="3" t="s">
        <v>1168</v>
      </c>
      <c r="D6014" s="3" t="s">
        <v>1231</v>
      </c>
      <c r="E6014" s="3" t="s">
        <v>1083</v>
      </c>
      <c r="F6014" s="3">
        <v>989.75</v>
      </c>
      <c r="G6014" s="3">
        <v>989.75</v>
      </c>
    </row>
    <row r="6015" spans="1:7" x14ac:dyDescent="0.2">
      <c r="A6015" s="3" t="s">
        <v>1069</v>
      </c>
      <c r="B6015" s="4">
        <v>45352</v>
      </c>
      <c r="C6015" s="3" t="s">
        <v>1168</v>
      </c>
      <c r="D6015" s="3" t="s">
        <v>1213</v>
      </c>
      <c r="E6015" s="3" t="s">
        <v>1150</v>
      </c>
      <c r="F6015" s="3">
        <v>374.64</v>
      </c>
      <c r="G6015" s="3">
        <v>374.64</v>
      </c>
    </row>
    <row r="6016" spans="1:7" x14ac:dyDescent="0.2">
      <c r="A6016" s="3" t="s">
        <v>1072</v>
      </c>
      <c r="B6016" s="4">
        <v>45352</v>
      </c>
      <c r="C6016" s="3" t="s">
        <v>1168</v>
      </c>
      <c r="D6016" s="3" t="s">
        <v>1369</v>
      </c>
      <c r="E6016" s="3" t="s">
        <v>1099</v>
      </c>
      <c r="F6016" s="3">
        <v>1150</v>
      </c>
      <c r="G6016" s="3">
        <v>1150</v>
      </c>
    </row>
    <row r="6017" spans="1:7" x14ac:dyDescent="0.2">
      <c r="A6017" s="3" t="s">
        <v>1072</v>
      </c>
      <c r="B6017" s="4">
        <v>45352</v>
      </c>
      <c r="C6017" s="3" t="s">
        <v>1168</v>
      </c>
      <c r="D6017" s="3" t="s">
        <v>1737</v>
      </c>
      <c r="E6017" s="3" t="s">
        <v>1148</v>
      </c>
      <c r="F6017" s="3">
        <v>718.93</v>
      </c>
      <c r="G6017" s="3">
        <v>718.93</v>
      </c>
    </row>
    <row r="6018" spans="1:7" x14ac:dyDescent="0.2">
      <c r="A6018" s="3" t="s">
        <v>1072</v>
      </c>
      <c r="B6018" s="4">
        <v>45352</v>
      </c>
      <c r="C6018" s="3" t="s">
        <v>1168</v>
      </c>
      <c r="D6018" s="3" t="s">
        <v>1375</v>
      </c>
      <c r="E6018" s="3" t="s">
        <v>1100</v>
      </c>
      <c r="F6018" s="3">
        <v>3280.99</v>
      </c>
      <c r="G6018" s="3">
        <v>3280.99</v>
      </c>
    </row>
    <row r="6019" spans="1:7" x14ac:dyDescent="0.2">
      <c r="A6019" s="3" t="s">
        <v>1069</v>
      </c>
      <c r="B6019" s="4">
        <v>45352</v>
      </c>
      <c r="C6019" s="3" t="s">
        <v>1172</v>
      </c>
      <c r="D6019" s="3" t="s">
        <v>1173</v>
      </c>
      <c r="E6019" s="3" t="s">
        <v>1174</v>
      </c>
      <c r="F6019" s="3">
        <v>0</v>
      </c>
      <c r="G6019" s="3">
        <v>-100</v>
      </c>
    </row>
    <row r="6020" spans="1:7" x14ac:dyDescent="0.2">
      <c r="A6020" s="3" t="s">
        <v>1072</v>
      </c>
      <c r="B6020" s="4">
        <v>45352</v>
      </c>
      <c r="C6020" s="3" t="s">
        <v>1172</v>
      </c>
      <c r="D6020" s="3" t="s">
        <v>1382</v>
      </c>
      <c r="E6020" s="3" t="s">
        <v>1383</v>
      </c>
      <c r="F6020" s="3">
        <v>0</v>
      </c>
      <c r="G6020" s="3">
        <v>-120</v>
      </c>
    </row>
    <row r="6021" spans="1:7" x14ac:dyDescent="0.2">
      <c r="A6021" s="3" t="s">
        <v>1072</v>
      </c>
      <c r="B6021" s="4">
        <v>45352</v>
      </c>
      <c r="C6021" s="3" t="s">
        <v>1172</v>
      </c>
      <c r="D6021" s="3" t="s">
        <v>1384</v>
      </c>
      <c r="E6021" s="3" t="s">
        <v>1385</v>
      </c>
      <c r="F6021" s="3">
        <v>0</v>
      </c>
      <c r="G6021" s="3">
        <v>174615.65</v>
      </c>
    </row>
    <row r="6022" spans="1:7" x14ac:dyDescent="0.2">
      <c r="A6022" s="3" t="s">
        <v>1069</v>
      </c>
      <c r="B6022" s="4">
        <v>45352</v>
      </c>
      <c r="C6022" s="3" t="s">
        <v>1172</v>
      </c>
      <c r="D6022" s="3" t="s">
        <v>1384</v>
      </c>
      <c r="E6022" s="3" t="s">
        <v>1385</v>
      </c>
      <c r="F6022" s="3">
        <v>0</v>
      </c>
      <c r="G6022" s="3">
        <v>-39545639.299999997</v>
      </c>
    </row>
    <row r="6023" spans="1:7" x14ac:dyDescent="0.2">
      <c r="A6023" s="3" t="s">
        <v>1074</v>
      </c>
      <c r="B6023" s="4">
        <v>45352</v>
      </c>
      <c r="C6023" s="3" t="s">
        <v>1172</v>
      </c>
      <c r="D6023" s="3" t="s">
        <v>1384</v>
      </c>
      <c r="E6023" s="3" t="s">
        <v>1385</v>
      </c>
      <c r="F6023" s="3">
        <v>0</v>
      </c>
      <c r="G6023" s="3">
        <v>-30792555.219999999</v>
      </c>
    </row>
    <row r="6024" spans="1:7" x14ac:dyDescent="0.2">
      <c r="A6024" s="3" t="s">
        <v>1069</v>
      </c>
      <c r="B6024" s="4">
        <v>45352</v>
      </c>
      <c r="C6024" s="3" t="s">
        <v>1180</v>
      </c>
      <c r="D6024" s="3" t="s">
        <v>1241</v>
      </c>
      <c r="E6024" s="3" t="s">
        <v>1242</v>
      </c>
      <c r="F6024" s="3">
        <v>0</v>
      </c>
      <c r="G6024" s="3">
        <v>17562360.850000001</v>
      </c>
    </row>
    <row r="6025" spans="1:7" x14ac:dyDescent="0.2">
      <c r="A6025" s="3" t="s">
        <v>1069</v>
      </c>
      <c r="B6025" s="4">
        <v>45352</v>
      </c>
      <c r="C6025" s="3" t="s">
        <v>1180</v>
      </c>
      <c r="D6025" s="3" t="s">
        <v>1733</v>
      </c>
      <c r="E6025" s="3" t="s">
        <v>1734</v>
      </c>
      <c r="F6025" s="3">
        <v>0</v>
      </c>
      <c r="G6025" s="3">
        <v>13457359</v>
      </c>
    </row>
    <row r="6026" spans="1:7" x14ac:dyDescent="0.2">
      <c r="A6026" s="3" t="s">
        <v>1072</v>
      </c>
      <c r="B6026" s="4">
        <v>45352</v>
      </c>
      <c r="C6026" s="3" t="s">
        <v>1180</v>
      </c>
      <c r="D6026" s="3" t="s">
        <v>1483</v>
      </c>
      <c r="E6026" s="3" t="s">
        <v>1177</v>
      </c>
      <c r="F6026" s="3">
        <v>0</v>
      </c>
      <c r="G6026" s="3">
        <v>-4017423.63</v>
      </c>
    </row>
    <row r="6027" spans="1:7" x14ac:dyDescent="0.2">
      <c r="A6027" s="3" t="s">
        <v>1072</v>
      </c>
      <c r="B6027" s="4">
        <v>45352</v>
      </c>
      <c r="C6027" s="3" t="s">
        <v>1180</v>
      </c>
      <c r="D6027" s="3" t="s">
        <v>1769</v>
      </c>
      <c r="E6027" s="3" t="s">
        <v>1770</v>
      </c>
      <c r="F6027" s="3">
        <v>0</v>
      </c>
      <c r="G6027" s="3">
        <v>-235000</v>
      </c>
    </row>
    <row r="6028" spans="1:7" x14ac:dyDescent="0.2">
      <c r="A6028" s="3" t="s">
        <v>1072</v>
      </c>
      <c r="B6028" s="4">
        <v>45352</v>
      </c>
      <c r="C6028" s="3" t="s">
        <v>1180</v>
      </c>
      <c r="D6028" s="3" t="s">
        <v>1388</v>
      </c>
      <c r="E6028" s="3" t="s">
        <v>1389</v>
      </c>
      <c r="F6028" s="3">
        <v>0</v>
      </c>
      <c r="G6028" s="3">
        <v>-4342.5</v>
      </c>
    </row>
    <row r="6029" spans="1:7" x14ac:dyDescent="0.2">
      <c r="A6029" s="3" t="s">
        <v>1072</v>
      </c>
      <c r="B6029" s="4">
        <v>45352</v>
      </c>
      <c r="C6029" s="3" t="s">
        <v>1180</v>
      </c>
      <c r="D6029" s="3" t="s">
        <v>1723</v>
      </c>
      <c r="E6029" s="3" t="s">
        <v>1724</v>
      </c>
      <c r="F6029" s="3">
        <v>0</v>
      </c>
      <c r="G6029" s="3">
        <v>4702.3500000000004</v>
      </c>
    </row>
    <row r="6030" spans="1:7" x14ac:dyDescent="0.2">
      <c r="A6030" s="3" t="s">
        <v>1072</v>
      </c>
      <c r="B6030" s="4">
        <v>45352</v>
      </c>
      <c r="C6030" s="3" t="s">
        <v>1180</v>
      </c>
      <c r="D6030" s="3" t="s">
        <v>1390</v>
      </c>
      <c r="E6030" s="3" t="s">
        <v>1391</v>
      </c>
      <c r="F6030" s="3">
        <v>0</v>
      </c>
      <c r="G6030" s="3">
        <v>-1521000</v>
      </c>
    </row>
    <row r="6031" spans="1:7" x14ac:dyDescent="0.2">
      <c r="A6031" s="3" t="s">
        <v>1072</v>
      </c>
      <c r="B6031" s="4">
        <v>45352</v>
      </c>
      <c r="C6031" s="3" t="s">
        <v>1180</v>
      </c>
      <c r="D6031" s="3" t="s">
        <v>1392</v>
      </c>
      <c r="E6031" s="3" t="s">
        <v>1393</v>
      </c>
      <c r="F6031" s="3">
        <v>0</v>
      </c>
      <c r="G6031" s="3">
        <v>4342.5</v>
      </c>
    </row>
    <row r="6032" spans="1:7" x14ac:dyDescent="0.2">
      <c r="A6032" s="3" t="s">
        <v>1072</v>
      </c>
      <c r="B6032" s="4">
        <v>45352</v>
      </c>
      <c r="C6032" s="3" t="s">
        <v>1180</v>
      </c>
      <c r="D6032" s="3" t="s">
        <v>1394</v>
      </c>
      <c r="E6032" s="3" t="s">
        <v>1256</v>
      </c>
      <c r="F6032" s="3">
        <v>0</v>
      </c>
      <c r="G6032" s="3">
        <v>-17600</v>
      </c>
    </row>
    <row r="6033" spans="1:7" x14ac:dyDescent="0.2">
      <c r="A6033" s="3" t="s">
        <v>1072</v>
      </c>
      <c r="B6033" s="4">
        <v>45352</v>
      </c>
      <c r="C6033" s="3" t="s">
        <v>1180</v>
      </c>
      <c r="D6033" s="3" t="s">
        <v>1395</v>
      </c>
      <c r="E6033" s="3" t="s">
        <v>1396</v>
      </c>
      <c r="F6033" s="3">
        <v>0</v>
      </c>
      <c r="G6033" s="3">
        <v>-26224738.420000002</v>
      </c>
    </row>
    <row r="6034" spans="1:7" x14ac:dyDescent="0.2">
      <c r="A6034" s="3" t="s">
        <v>1072</v>
      </c>
      <c r="B6034" s="4">
        <v>45352</v>
      </c>
      <c r="C6034" s="3" t="s">
        <v>1180</v>
      </c>
      <c r="D6034" s="3" t="s">
        <v>1397</v>
      </c>
      <c r="E6034" s="3" t="s">
        <v>1398</v>
      </c>
      <c r="F6034" s="3">
        <v>0</v>
      </c>
      <c r="G6034" s="3">
        <v>-200189.44</v>
      </c>
    </row>
    <row r="6035" spans="1:7" x14ac:dyDescent="0.2">
      <c r="A6035" s="3" t="s">
        <v>1072</v>
      </c>
      <c r="B6035" s="4">
        <v>45352</v>
      </c>
      <c r="C6035" s="3" t="s">
        <v>1180</v>
      </c>
      <c r="D6035" s="3" t="s">
        <v>1512</v>
      </c>
      <c r="E6035" s="3" t="s">
        <v>1513</v>
      </c>
      <c r="F6035" s="3">
        <v>0</v>
      </c>
      <c r="G6035" s="3">
        <v>27542687.399999999</v>
      </c>
    </row>
    <row r="6036" spans="1:7" x14ac:dyDescent="0.2">
      <c r="A6036" s="3" t="s">
        <v>1072</v>
      </c>
      <c r="B6036" s="4">
        <v>45352</v>
      </c>
      <c r="C6036" s="3" t="s">
        <v>1180</v>
      </c>
      <c r="D6036" s="3" t="s">
        <v>1399</v>
      </c>
      <c r="E6036" s="3" t="s">
        <v>1400</v>
      </c>
      <c r="F6036" s="3">
        <v>0</v>
      </c>
      <c r="G6036" s="3">
        <v>267399</v>
      </c>
    </row>
    <row r="6037" spans="1:7" x14ac:dyDescent="0.2">
      <c r="A6037" s="3" t="s">
        <v>1074</v>
      </c>
      <c r="B6037" s="4">
        <v>45352</v>
      </c>
      <c r="C6037" s="3" t="s">
        <v>1175</v>
      </c>
      <c r="D6037" s="3" t="s">
        <v>1492</v>
      </c>
      <c r="E6037" s="3" t="s">
        <v>1493</v>
      </c>
      <c r="F6037" s="3">
        <v>-31213.040000000001</v>
      </c>
      <c r="G6037" s="3">
        <v>-49728355.840000004</v>
      </c>
    </row>
    <row r="6038" spans="1:7" x14ac:dyDescent="0.2">
      <c r="A6038" s="3" t="s">
        <v>1069</v>
      </c>
      <c r="B6038" s="4">
        <v>45352</v>
      </c>
      <c r="C6038" s="3" t="s">
        <v>1175</v>
      </c>
      <c r="D6038" s="3" t="s">
        <v>1176</v>
      </c>
      <c r="E6038" s="3" t="s">
        <v>1177</v>
      </c>
      <c r="F6038" s="3">
        <v>0</v>
      </c>
      <c r="G6038" s="3">
        <v>1846000</v>
      </c>
    </row>
    <row r="6039" spans="1:7" x14ac:dyDescent="0.2">
      <c r="A6039" s="3" t="s">
        <v>1069</v>
      </c>
      <c r="B6039" s="4">
        <v>45352</v>
      </c>
      <c r="C6039" s="3" t="s">
        <v>1175</v>
      </c>
      <c r="D6039" s="3" t="s">
        <v>1178</v>
      </c>
      <c r="E6039" s="3" t="s">
        <v>1179</v>
      </c>
      <c r="F6039" s="3">
        <v>0</v>
      </c>
      <c r="G6039" s="3">
        <v>25974738.420000002</v>
      </c>
    </row>
    <row r="6040" spans="1:7" x14ac:dyDescent="0.2">
      <c r="A6040" s="3" t="s">
        <v>1069</v>
      </c>
      <c r="B6040" s="4">
        <v>45352</v>
      </c>
      <c r="C6040" s="3" t="s">
        <v>1175</v>
      </c>
      <c r="D6040" s="3" t="s">
        <v>1233</v>
      </c>
      <c r="E6040" s="3" t="s">
        <v>1234</v>
      </c>
      <c r="F6040" s="3">
        <v>0</v>
      </c>
      <c r="G6040" s="3">
        <v>2074275</v>
      </c>
    </row>
    <row r="6041" spans="1:7" x14ac:dyDescent="0.2">
      <c r="A6041" s="3" t="s">
        <v>1069</v>
      </c>
      <c r="B6041" s="4">
        <v>45352</v>
      </c>
      <c r="C6041" s="3" t="s">
        <v>1175</v>
      </c>
      <c r="D6041" s="3" t="s">
        <v>1494</v>
      </c>
      <c r="E6041" s="3" t="s">
        <v>1495</v>
      </c>
      <c r="F6041" s="3">
        <v>31213.040000000001</v>
      </c>
      <c r="G6041" s="3">
        <v>49728355.310000002</v>
      </c>
    </row>
    <row r="6042" spans="1:7" x14ac:dyDescent="0.2">
      <c r="A6042" s="3" t="s">
        <v>1069</v>
      </c>
      <c r="B6042" s="4">
        <v>45352</v>
      </c>
      <c r="C6042" s="3" t="s">
        <v>1175</v>
      </c>
      <c r="D6042" s="3" t="s">
        <v>1756</v>
      </c>
      <c r="E6042" s="3" t="s">
        <v>1757</v>
      </c>
      <c r="F6042" s="3">
        <v>-2500</v>
      </c>
      <c r="G6042" s="3">
        <v>7500</v>
      </c>
    </row>
    <row r="6043" spans="1:7" x14ac:dyDescent="0.2">
      <c r="A6043" s="3" t="s">
        <v>1069</v>
      </c>
      <c r="B6043" s="4">
        <v>45352</v>
      </c>
      <c r="C6043" s="3" t="s">
        <v>1175</v>
      </c>
      <c r="D6043" s="3" t="s">
        <v>1516</v>
      </c>
      <c r="E6043" s="3" t="s">
        <v>1400</v>
      </c>
      <c r="F6043" s="3">
        <v>0</v>
      </c>
      <c r="G6043" s="3">
        <v>-107900</v>
      </c>
    </row>
    <row r="6044" spans="1:7" x14ac:dyDescent="0.2">
      <c r="A6044" s="3" t="s">
        <v>1069</v>
      </c>
      <c r="B6044" s="4">
        <v>45352</v>
      </c>
      <c r="C6044" s="3" t="s">
        <v>1175</v>
      </c>
      <c r="D6044" s="3" t="s">
        <v>1738</v>
      </c>
      <c r="E6044" s="3" t="s">
        <v>1739</v>
      </c>
      <c r="F6044" s="3">
        <v>0</v>
      </c>
      <c r="G6044" s="3">
        <v>500</v>
      </c>
    </row>
    <row r="6045" spans="1:7" x14ac:dyDescent="0.2">
      <c r="A6045" s="3" t="s">
        <v>1069</v>
      </c>
      <c r="B6045" s="4">
        <v>45352</v>
      </c>
      <c r="C6045" s="3" t="s">
        <v>1180</v>
      </c>
      <c r="D6045" s="3" t="s">
        <v>1748</v>
      </c>
      <c r="E6045" s="3" t="s">
        <v>1749</v>
      </c>
      <c r="F6045" s="3">
        <v>0</v>
      </c>
      <c r="G6045" s="3">
        <v>1304260.8700000001</v>
      </c>
    </row>
    <row r="6046" spans="1:7" x14ac:dyDescent="0.2">
      <c r="A6046" s="3" t="s">
        <v>1069</v>
      </c>
      <c r="B6046" s="4">
        <v>45352</v>
      </c>
      <c r="C6046" s="3" t="s">
        <v>1180</v>
      </c>
      <c r="D6046" s="3" t="s">
        <v>1750</v>
      </c>
      <c r="E6046" s="3" t="s">
        <v>1751</v>
      </c>
      <c r="F6046" s="3">
        <v>0</v>
      </c>
      <c r="G6046" s="3">
        <v>1356434.78</v>
      </c>
    </row>
    <row r="6047" spans="1:7" x14ac:dyDescent="0.2">
      <c r="A6047" s="3" t="s">
        <v>1069</v>
      </c>
      <c r="B6047" s="4">
        <v>45352</v>
      </c>
      <c r="C6047" s="3" t="s">
        <v>1180</v>
      </c>
      <c r="D6047" s="3" t="s">
        <v>1752</v>
      </c>
      <c r="E6047" s="3" t="s">
        <v>1753</v>
      </c>
      <c r="F6047" s="3">
        <v>0</v>
      </c>
      <c r="G6047" s="3">
        <v>1373826.09</v>
      </c>
    </row>
    <row r="6048" spans="1:7" x14ac:dyDescent="0.2">
      <c r="A6048" s="3" t="s">
        <v>1069</v>
      </c>
      <c r="B6048" s="4">
        <v>45352</v>
      </c>
      <c r="C6048" s="3" t="s">
        <v>1180</v>
      </c>
      <c r="D6048" s="3" t="s">
        <v>1754</v>
      </c>
      <c r="E6048" s="3" t="s">
        <v>1755</v>
      </c>
      <c r="F6048" s="3">
        <v>0</v>
      </c>
      <c r="G6048" s="3">
        <v>1391217.39</v>
      </c>
    </row>
    <row r="6049" spans="1:7" x14ac:dyDescent="0.2">
      <c r="A6049" s="3" t="s">
        <v>1069</v>
      </c>
      <c r="B6049" s="4">
        <v>45352</v>
      </c>
      <c r="C6049" s="3" t="s">
        <v>1180</v>
      </c>
      <c r="D6049" s="3" t="s">
        <v>1740</v>
      </c>
      <c r="E6049" s="3" t="s">
        <v>1741</v>
      </c>
      <c r="F6049" s="3">
        <v>0</v>
      </c>
      <c r="G6049" s="3">
        <v>1304260.8700000001</v>
      </c>
    </row>
    <row r="6050" spans="1:7" x14ac:dyDescent="0.2">
      <c r="A6050" s="3" t="s">
        <v>1072</v>
      </c>
      <c r="B6050" s="4">
        <v>45352</v>
      </c>
      <c r="C6050" s="3" t="s">
        <v>1180</v>
      </c>
      <c r="D6050" s="3" t="s">
        <v>1409</v>
      </c>
      <c r="E6050" s="3" t="s">
        <v>1410</v>
      </c>
      <c r="F6050" s="3">
        <v>0</v>
      </c>
      <c r="G6050" s="3">
        <v>216064.1</v>
      </c>
    </row>
    <row r="6051" spans="1:7" x14ac:dyDescent="0.2">
      <c r="A6051" s="3" t="s">
        <v>1072</v>
      </c>
      <c r="B6051" s="4">
        <v>45352</v>
      </c>
      <c r="C6051" s="3" t="s">
        <v>1180</v>
      </c>
      <c r="D6051" s="3" t="s">
        <v>1411</v>
      </c>
      <c r="E6051" s="3" t="s">
        <v>1412</v>
      </c>
      <c r="F6051" s="3">
        <v>0</v>
      </c>
      <c r="G6051" s="3">
        <v>-216063.1</v>
      </c>
    </row>
    <row r="6052" spans="1:7" x14ac:dyDescent="0.2">
      <c r="A6052" s="3" t="s">
        <v>1072</v>
      </c>
      <c r="B6052" s="4">
        <v>45352</v>
      </c>
      <c r="C6052" s="3" t="s">
        <v>1180</v>
      </c>
      <c r="D6052" s="3" t="s">
        <v>1413</v>
      </c>
      <c r="E6052" s="3" t="s">
        <v>1414</v>
      </c>
      <c r="F6052" s="3">
        <v>0</v>
      </c>
      <c r="G6052" s="3">
        <v>184238.57</v>
      </c>
    </row>
    <row r="6053" spans="1:7" x14ac:dyDescent="0.2">
      <c r="A6053" s="3" t="s">
        <v>1072</v>
      </c>
      <c r="B6053" s="4">
        <v>45352</v>
      </c>
      <c r="C6053" s="3" t="s">
        <v>1180</v>
      </c>
      <c r="D6053" s="3" t="s">
        <v>1415</v>
      </c>
      <c r="E6053" s="3" t="s">
        <v>1416</v>
      </c>
      <c r="F6053" s="3">
        <v>0</v>
      </c>
      <c r="G6053" s="3">
        <v>-89440.92</v>
      </c>
    </row>
    <row r="6054" spans="1:7" x14ac:dyDescent="0.2">
      <c r="A6054" s="3" t="s">
        <v>1072</v>
      </c>
      <c r="B6054" s="4">
        <v>45352</v>
      </c>
      <c r="C6054" s="3" t="s">
        <v>1180</v>
      </c>
      <c r="D6054" s="3" t="s">
        <v>1462</v>
      </c>
      <c r="E6054" s="3" t="s">
        <v>1463</v>
      </c>
      <c r="F6054" s="3">
        <v>0</v>
      </c>
      <c r="G6054" s="3">
        <v>37955.300000000003</v>
      </c>
    </row>
    <row r="6055" spans="1:7" x14ac:dyDescent="0.2">
      <c r="A6055" s="3" t="s">
        <v>1072</v>
      </c>
      <c r="B6055" s="4">
        <v>45352</v>
      </c>
      <c r="C6055" s="3" t="s">
        <v>1180</v>
      </c>
      <c r="D6055" s="3" t="s">
        <v>1484</v>
      </c>
      <c r="E6055" s="3" t="s">
        <v>1485</v>
      </c>
      <c r="F6055" s="3">
        <v>0</v>
      </c>
      <c r="G6055" s="3">
        <v>-12466.67</v>
      </c>
    </row>
    <row r="6056" spans="1:7" x14ac:dyDescent="0.2">
      <c r="A6056" s="3" t="s">
        <v>1072</v>
      </c>
      <c r="B6056" s="4">
        <v>45352</v>
      </c>
      <c r="C6056" s="3" t="s">
        <v>1180</v>
      </c>
      <c r="D6056" s="3" t="s">
        <v>1417</v>
      </c>
      <c r="E6056" s="3" t="s">
        <v>1418</v>
      </c>
      <c r="F6056" s="3">
        <v>0</v>
      </c>
      <c r="G6056" s="3">
        <v>71322</v>
      </c>
    </row>
    <row r="6057" spans="1:7" x14ac:dyDescent="0.2">
      <c r="A6057" s="3" t="s">
        <v>1072</v>
      </c>
      <c r="B6057" s="4">
        <v>45352</v>
      </c>
      <c r="C6057" s="3" t="s">
        <v>1180</v>
      </c>
      <c r="D6057" s="3" t="s">
        <v>1419</v>
      </c>
      <c r="E6057" s="3" t="s">
        <v>1420</v>
      </c>
      <c r="F6057" s="3">
        <v>0</v>
      </c>
      <c r="G6057" s="3">
        <v>-15399.23</v>
      </c>
    </row>
    <row r="6058" spans="1:7" x14ac:dyDescent="0.2">
      <c r="A6058" s="3" t="s">
        <v>1069</v>
      </c>
      <c r="B6058" s="4">
        <v>45352</v>
      </c>
      <c r="C6058" s="3" t="s">
        <v>1180</v>
      </c>
      <c r="D6058" s="3" t="s">
        <v>1421</v>
      </c>
      <c r="E6058" s="3" t="s">
        <v>1422</v>
      </c>
      <c r="F6058" s="3">
        <v>0</v>
      </c>
      <c r="G6058" s="3">
        <v>874505.75</v>
      </c>
    </row>
    <row r="6059" spans="1:7" x14ac:dyDescent="0.2">
      <c r="A6059" s="3" t="s">
        <v>1074</v>
      </c>
      <c r="B6059" s="4">
        <v>45352</v>
      </c>
      <c r="C6059" s="3" t="s">
        <v>1180</v>
      </c>
      <c r="D6059" s="3" t="s">
        <v>1421</v>
      </c>
      <c r="E6059" s="3" t="s">
        <v>1533</v>
      </c>
      <c r="F6059" s="3">
        <v>0</v>
      </c>
      <c r="G6059" s="3">
        <v>2472501.08</v>
      </c>
    </row>
    <row r="6060" spans="1:7" x14ac:dyDescent="0.2">
      <c r="A6060" s="3" t="s">
        <v>1069</v>
      </c>
      <c r="B6060" s="4">
        <v>45352</v>
      </c>
      <c r="C6060" s="3" t="s">
        <v>1180</v>
      </c>
      <c r="D6060" s="3" t="s">
        <v>1214</v>
      </c>
      <c r="E6060" s="3" t="s">
        <v>1215</v>
      </c>
      <c r="F6060" s="3">
        <v>0</v>
      </c>
      <c r="G6060" s="3">
        <v>26200000</v>
      </c>
    </row>
    <row r="6061" spans="1:7" x14ac:dyDescent="0.2">
      <c r="A6061" s="3" t="s">
        <v>1069</v>
      </c>
      <c r="B6061" s="4">
        <v>45352</v>
      </c>
      <c r="C6061" s="3" t="s">
        <v>1180</v>
      </c>
      <c r="D6061" s="3" t="s">
        <v>1216</v>
      </c>
      <c r="E6061" s="3" t="s">
        <v>1217</v>
      </c>
      <c r="F6061" s="3">
        <v>0</v>
      </c>
      <c r="G6061" s="3">
        <v>68427</v>
      </c>
    </row>
    <row r="6062" spans="1:7" x14ac:dyDescent="0.2">
      <c r="A6062" s="3" t="s">
        <v>1069</v>
      </c>
      <c r="B6062" s="4">
        <v>45352</v>
      </c>
      <c r="C6062" s="3" t="s">
        <v>1180</v>
      </c>
      <c r="D6062" s="3" t="s">
        <v>1218</v>
      </c>
      <c r="E6062" s="3" t="s">
        <v>1219</v>
      </c>
      <c r="F6062" s="3">
        <v>0</v>
      </c>
      <c r="G6062" s="3">
        <v>103812</v>
      </c>
    </row>
    <row r="6063" spans="1:7" x14ac:dyDescent="0.2">
      <c r="A6063" s="3" t="s">
        <v>1069</v>
      </c>
      <c r="B6063" s="4">
        <v>45352</v>
      </c>
      <c r="C6063" s="3" t="s">
        <v>1180</v>
      </c>
      <c r="D6063" s="3" t="s">
        <v>1197</v>
      </c>
      <c r="E6063" s="3" t="s">
        <v>1198</v>
      </c>
      <c r="F6063" s="3">
        <v>0</v>
      </c>
      <c r="G6063" s="3">
        <v>314087</v>
      </c>
    </row>
    <row r="6064" spans="1:7" x14ac:dyDescent="0.2">
      <c r="A6064" s="3" t="s">
        <v>1074</v>
      </c>
      <c r="B6064" s="4">
        <v>45352</v>
      </c>
      <c r="C6064" s="3" t="s">
        <v>1180</v>
      </c>
      <c r="D6064" s="3" t="s">
        <v>1197</v>
      </c>
      <c r="E6064" s="3" t="s">
        <v>1550</v>
      </c>
      <c r="F6064" s="3">
        <v>0</v>
      </c>
      <c r="G6064" s="3">
        <v>715552.6</v>
      </c>
    </row>
    <row r="6065" spans="1:7" x14ac:dyDescent="0.2">
      <c r="A6065" s="3" t="s">
        <v>1069</v>
      </c>
      <c r="B6065" s="4">
        <v>45352</v>
      </c>
      <c r="C6065" s="3" t="s">
        <v>1180</v>
      </c>
      <c r="D6065" s="3" t="s">
        <v>1496</v>
      </c>
      <c r="E6065" s="3" t="s">
        <v>1497</v>
      </c>
      <c r="F6065" s="3">
        <v>0</v>
      </c>
      <c r="G6065" s="3">
        <v>139500</v>
      </c>
    </row>
    <row r="6066" spans="1:7" x14ac:dyDescent="0.2">
      <c r="A6066" s="3" t="s">
        <v>1069</v>
      </c>
      <c r="B6066" s="4">
        <v>45352</v>
      </c>
      <c r="C6066" s="3" t="s">
        <v>1180</v>
      </c>
      <c r="D6066" s="3" t="s">
        <v>1181</v>
      </c>
      <c r="E6066" s="3" t="s">
        <v>1182</v>
      </c>
      <c r="F6066" s="3">
        <v>0</v>
      </c>
      <c r="G6066" s="3">
        <v>8557641.8000000007</v>
      </c>
    </row>
    <row r="6067" spans="1:7" x14ac:dyDescent="0.2">
      <c r="A6067" s="3" t="s">
        <v>1069</v>
      </c>
      <c r="B6067" s="4">
        <v>45352</v>
      </c>
      <c r="C6067" s="3" t="s">
        <v>1180</v>
      </c>
      <c r="D6067" s="3" t="s">
        <v>1263</v>
      </c>
      <c r="E6067" s="3" t="s">
        <v>1264</v>
      </c>
      <c r="F6067" s="3">
        <v>0</v>
      </c>
      <c r="G6067" s="3">
        <v>13807.78</v>
      </c>
    </row>
    <row r="6068" spans="1:7" x14ac:dyDescent="0.2">
      <c r="A6068" s="3" t="s">
        <v>1069</v>
      </c>
      <c r="B6068" s="4">
        <v>45352</v>
      </c>
      <c r="C6068" s="3" t="s">
        <v>1180</v>
      </c>
      <c r="D6068" s="3" t="s">
        <v>1202</v>
      </c>
      <c r="E6068" s="3" t="s">
        <v>1203</v>
      </c>
      <c r="F6068" s="3">
        <v>0</v>
      </c>
      <c r="G6068" s="3">
        <v>197060.09</v>
      </c>
    </row>
    <row r="6069" spans="1:7" x14ac:dyDescent="0.2">
      <c r="A6069" s="3" t="s">
        <v>1074</v>
      </c>
      <c r="B6069" s="4">
        <v>45352</v>
      </c>
      <c r="C6069" s="3" t="s">
        <v>1180</v>
      </c>
      <c r="D6069" s="3" t="s">
        <v>1202</v>
      </c>
      <c r="E6069" s="3" t="s">
        <v>1577</v>
      </c>
      <c r="F6069" s="3">
        <v>0</v>
      </c>
      <c r="G6069" s="3">
        <v>321942.46999999997</v>
      </c>
    </row>
    <row r="6070" spans="1:7" x14ac:dyDescent="0.2">
      <c r="A6070" s="3" t="s">
        <v>1069</v>
      </c>
      <c r="B6070" s="4">
        <v>45352</v>
      </c>
      <c r="C6070" s="3" t="s">
        <v>1180</v>
      </c>
      <c r="D6070" s="3" t="s">
        <v>1204</v>
      </c>
      <c r="E6070" s="3" t="s">
        <v>1205</v>
      </c>
      <c r="F6070" s="3">
        <v>0</v>
      </c>
      <c r="G6070" s="3">
        <v>7500</v>
      </c>
    </row>
    <row r="6071" spans="1:7" x14ac:dyDescent="0.2">
      <c r="A6071" s="3" t="s">
        <v>1074</v>
      </c>
      <c r="B6071" s="4">
        <v>45352</v>
      </c>
      <c r="C6071" s="3" t="s">
        <v>1180</v>
      </c>
      <c r="D6071" s="3" t="s">
        <v>1204</v>
      </c>
      <c r="E6071" s="3" t="s">
        <v>1673</v>
      </c>
      <c r="F6071" s="3">
        <v>0</v>
      </c>
      <c r="G6071" s="3">
        <v>114370.5</v>
      </c>
    </row>
    <row r="6072" spans="1:7" x14ac:dyDescent="0.2">
      <c r="A6072" s="3" t="s">
        <v>1069</v>
      </c>
      <c r="B6072" s="4">
        <v>45352</v>
      </c>
      <c r="C6072" s="3" t="s">
        <v>1180</v>
      </c>
      <c r="D6072" s="3" t="s">
        <v>1199</v>
      </c>
      <c r="E6072" s="3" t="s">
        <v>1200</v>
      </c>
      <c r="F6072" s="3">
        <v>0</v>
      </c>
      <c r="G6072" s="3">
        <v>146256.38</v>
      </c>
    </row>
    <row r="6073" spans="1:7" x14ac:dyDescent="0.2">
      <c r="A6073" s="3" t="s">
        <v>1069</v>
      </c>
      <c r="B6073" s="4">
        <v>45352</v>
      </c>
      <c r="C6073" s="3" t="s">
        <v>1180</v>
      </c>
      <c r="D6073" s="3" t="s">
        <v>1486</v>
      </c>
      <c r="E6073" s="3" t="s">
        <v>1487</v>
      </c>
      <c r="F6073" s="3">
        <v>0</v>
      </c>
      <c r="G6073" s="3">
        <v>20600</v>
      </c>
    </row>
    <row r="6074" spans="1:7" x14ac:dyDescent="0.2">
      <c r="A6074" s="3" t="s">
        <v>1069</v>
      </c>
      <c r="B6074" s="4">
        <v>45352</v>
      </c>
      <c r="C6074" s="3" t="s">
        <v>1180</v>
      </c>
      <c r="D6074" s="3" t="s">
        <v>1220</v>
      </c>
      <c r="E6074" s="3" t="s">
        <v>1221</v>
      </c>
      <c r="F6074" s="3">
        <v>0</v>
      </c>
      <c r="G6074" s="3">
        <v>15175</v>
      </c>
    </row>
    <row r="6075" spans="1:7" x14ac:dyDescent="0.2">
      <c r="A6075" s="3" t="s">
        <v>1069</v>
      </c>
      <c r="B6075" s="4">
        <v>45352</v>
      </c>
      <c r="C6075" s="3" t="s">
        <v>1180</v>
      </c>
      <c r="D6075" s="3" t="s">
        <v>1498</v>
      </c>
      <c r="E6075" s="3" t="s">
        <v>1499</v>
      </c>
      <c r="F6075" s="3">
        <v>0</v>
      </c>
      <c r="G6075" s="3">
        <v>570856.07999999996</v>
      </c>
    </row>
    <row r="6076" spans="1:7" x14ac:dyDescent="0.2">
      <c r="A6076" s="3" t="s">
        <v>1069</v>
      </c>
      <c r="B6076" s="4">
        <v>45352</v>
      </c>
      <c r="C6076" s="3" t="s">
        <v>1180</v>
      </c>
      <c r="D6076" s="3" t="s">
        <v>1183</v>
      </c>
      <c r="E6076" s="3" t="s">
        <v>1184</v>
      </c>
      <c r="F6076" s="3">
        <v>0</v>
      </c>
      <c r="G6076" s="3">
        <v>47748851.509999998</v>
      </c>
    </row>
    <row r="6077" spans="1:7" x14ac:dyDescent="0.2">
      <c r="A6077" s="3" t="s">
        <v>1074</v>
      </c>
      <c r="B6077" s="4">
        <v>45352</v>
      </c>
      <c r="C6077" s="3" t="s">
        <v>1180</v>
      </c>
      <c r="D6077" s="3" t="s">
        <v>1183</v>
      </c>
      <c r="E6077" s="3" t="s">
        <v>1631</v>
      </c>
      <c r="F6077" s="3">
        <v>0</v>
      </c>
      <c r="G6077" s="3">
        <v>48025790.909999996</v>
      </c>
    </row>
    <row r="6078" spans="1:7" x14ac:dyDescent="0.2">
      <c r="A6078" s="3" t="s">
        <v>1069</v>
      </c>
      <c r="B6078" s="4">
        <v>45352</v>
      </c>
      <c r="C6078" s="3" t="s">
        <v>1180</v>
      </c>
      <c r="D6078" s="3" t="s">
        <v>1222</v>
      </c>
      <c r="E6078" s="3" t="s">
        <v>1223</v>
      </c>
      <c r="F6078" s="3">
        <v>0</v>
      </c>
      <c r="G6078" s="3">
        <v>3850818.04</v>
      </c>
    </row>
    <row r="6079" spans="1:7" x14ac:dyDescent="0.2">
      <c r="A6079" s="3" t="s">
        <v>1074</v>
      </c>
      <c r="B6079" s="4">
        <v>45352</v>
      </c>
      <c r="C6079" s="3" t="s">
        <v>1180</v>
      </c>
      <c r="D6079" s="3" t="s">
        <v>1222</v>
      </c>
      <c r="E6079" s="3" t="s">
        <v>1664</v>
      </c>
      <c r="F6079" s="3">
        <v>0</v>
      </c>
      <c r="G6079" s="3">
        <v>1826086.96</v>
      </c>
    </row>
    <row r="6080" spans="1:7" x14ac:dyDescent="0.2">
      <c r="A6080" s="3" t="s">
        <v>1069</v>
      </c>
      <c r="B6080" s="4">
        <v>45352</v>
      </c>
      <c r="C6080" s="3" t="s">
        <v>1180</v>
      </c>
      <c r="D6080" s="3" t="s">
        <v>1235</v>
      </c>
      <c r="E6080" s="3" t="s">
        <v>1236</v>
      </c>
      <c r="F6080" s="3">
        <v>0</v>
      </c>
      <c r="G6080" s="3">
        <v>782608.07</v>
      </c>
    </row>
    <row r="6081" spans="1:7" x14ac:dyDescent="0.2">
      <c r="A6081" s="3" t="s">
        <v>1074</v>
      </c>
      <c r="B6081" s="4">
        <v>45352</v>
      </c>
      <c r="C6081" s="3" t="s">
        <v>1180</v>
      </c>
      <c r="D6081" s="3" t="s">
        <v>1235</v>
      </c>
      <c r="E6081" s="3" t="s">
        <v>1715</v>
      </c>
      <c r="F6081" s="3">
        <v>0</v>
      </c>
      <c r="G6081" s="3">
        <v>217391.3</v>
      </c>
    </row>
    <row r="6082" spans="1:7" x14ac:dyDescent="0.2">
      <c r="A6082" s="3" t="s">
        <v>1069</v>
      </c>
      <c r="B6082" s="4">
        <v>45352</v>
      </c>
      <c r="C6082" s="3" t="s">
        <v>1180</v>
      </c>
      <c r="D6082" s="3" t="s">
        <v>1206</v>
      </c>
      <c r="E6082" s="3" t="s">
        <v>1207</v>
      </c>
      <c r="F6082" s="3">
        <v>0</v>
      </c>
      <c r="G6082" s="3">
        <v>166550</v>
      </c>
    </row>
    <row r="6083" spans="1:7" x14ac:dyDescent="0.2">
      <c r="A6083" s="3" t="s">
        <v>1074</v>
      </c>
      <c r="B6083" s="4">
        <v>45352</v>
      </c>
      <c r="C6083" s="3" t="s">
        <v>1180</v>
      </c>
      <c r="D6083" s="3" t="s">
        <v>1206</v>
      </c>
      <c r="E6083" s="3" t="s">
        <v>1697</v>
      </c>
      <c r="F6083" s="3">
        <v>0</v>
      </c>
      <c r="G6083" s="3">
        <v>2834.7</v>
      </c>
    </row>
    <row r="6084" spans="1:7" x14ac:dyDescent="0.2">
      <c r="A6084" s="3" t="s">
        <v>1069</v>
      </c>
      <c r="B6084" s="4">
        <v>45352</v>
      </c>
      <c r="C6084" s="3" t="s">
        <v>1180</v>
      </c>
      <c r="D6084" s="3" t="s">
        <v>1208</v>
      </c>
      <c r="E6084" s="3" t="s">
        <v>1209</v>
      </c>
      <c r="F6084" s="3">
        <v>0</v>
      </c>
      <c r="G6084" s="3">
        <v>45000</v>
      </c>
    </row>
    <row r="6085" spans="1:7" x14ac:dyDescent="0.2">
      <c r="A6085" s="3" t="s">
        <v>1069</v>
      </c>
      <c r="B6085" s="4">
        <v>45352</v>
      </c>
      <c r="C6085" s="3" t="s">
        <v>1180</v>
      </c>
      <c r="D6085" s="3" t="s">
        <v>1259</v>
      </c>
      <c r="E6085" s="3" t="s">
        <v>1260</v>
      </c>
      <c r="F6085" s="3">
        <v>0</v>
      </c>
      <c r="G6085" s="3">
        <v>203000</v>
      </c>
    </row>
    <row r="6086" spans="1:7" x14ac:dyDescent="0.2">
      <c r="A6086" s="3" t="s">
        <v>1074</v>
      </c>
      <c r="B6086" s="4">
        <v>45352</v>
      </c>
      <c r="C6086" s="3" t="s">
        <v>1180</v>
      </c>
      <c r="D6086" s="3" t="s">
        <v>1674</v>
      </c>
      <c r="E6086" s="3" t="s">
        <v>1675</v>
      </c>
      <c r="F6086" s="3">
        <v>0</v>
      </c>
      <c r="G6086" s="3">
        <v>666877.14</v>
      </c>
    </row>
    <row r="6087" spans="1:7" x14ac:dyDescent="0.2">
      <c r="A6087" s="3" t="s">
        <v>1074</v>
      </c>
      <c r="B6087" s="4">
        <v>45352</v>
      </c>
      <c r="C6087" s="3" t="s">
        <v>1180</v>
      </c>
      <c r="D6087" s="3" t="s">
        <v>1578</v>
      </c>
      <c r="E6087" s="3" t="s">
        <v>1579</v>
      </c>
      <c r="F6087" s="3">
        <v>0</v>
      </c>
      <c r="G6087" s="3">
        <v>66190.11</v>
      </c>
    </row>
    <row r="6088" spans="1:7" x14ac:dyDescent="0.2">
      <c r="A6088" s="3" t="s">
        <v>1069</v>
      </c>
      <c r="B6088" s="4">
        <v>45352</v>
      </c>
      <c r="C6088" s="3" t="s">
        <v>1180</v>
      </c>
      <c r="D6088" s="3" t="s">
        <v>1265</v>
      </c>
      <c r="E6088" s="3" t="s">
        <v>1266</v>
      </c>
      <c r="F6088" s="3">
        <v>0</v>
      </c>
      <c r="G6088" s="3">
        <v>3252759.95</v>
      </c>
    </row>
    <row r="6089" spans="1:7" x14ac:dyDescent="0.2">
      <c r="A6089" s="3" t="s">
        <v>1074</v>
      </c>
      <c r="B6089" s="4">
        <v>45352</v>
      </c>
      <c r="C6089" s="3" t="s">
        <v>1180</v>
      </c>
      <c r="D6089" s="3" t="s">
        <v>1265</v>
      </c>
      <c r="E6089" s="3" t="s">
        <v>1518</v>
      </c>
      <c r="F6089" s="3">
        <v>0</v>
      </c>
      <c r="G6089" s="3">
        <v>1673231.19</v>
      </c>
    </row>
    <row r="6090" spans="1:7" x14ac:dyDescent="0.2">
      <c r="A6090" s="3" t="s">
        <v>1069</v>
      </c>
      <c r="B6090" s="4">
        <v>45352</v>
      </c>
      <c r="C6090" s="3" t="s">
        <v>1180</v>
      </c>
      <c r="D6090" s="3" t="s">
        <v>1423</v>
      </c>
      <c r="E6090" s="3" t="s">
        <v>1424</v>
      </c>
      <c r="F6090" s="3">
        <v>0</v>
      </c>
      <c r="G6090" s="3">
        <v>622274.51</v>
      </c>
    </row>
    <row r="6091" spans="1:7" x14ac:dyDescent="0.2">
      <c r="A6091" s="3" t="s">
        <v>1074</v>
      </c>
      <c r="B6091" s="4">
        <v>45352</v>
      </c>
      <c r="C6091" s="3" t="s">
        <v>1180</v>
      </c>
      <c r="D6091" s="3" t="s">
        <v>1519</v>
      </c>
      <c r="E6091" s="3" t="s">
        <v>1551</v>
      </c>
      <c r="F6091" s="3">
        <v>0</v>
      </c>
      <c r="G6091" s="3">
        <v>76530</v>
      </c>
    </row>
    <row r="6092" spans="1:7" x14ac:dyDescent="0.2">
      <c r="A6092" s="3" t="s">
        <v>1069</v>
      </c>
      <c r="B6092" s="4">
        <v>45352</v>
      </c>
      <c r="C6092" s="3" t="s">
        <v>1180</v>
      </c>
      <c r="D6092" s="3" t="s">
        <v>1519</v>
      </c>
      <c r="E6092" s="3" t="s">
        <v>1520</v>
      </c>
      <c r="F6092" s="3">
        <v>0</v>
      </c>
      <c r="G6092" s="3">
        <v>985049.68</v>
      </c>
    </row>
    <row r="6093" spans="1:7" x14ac:dyDescent="0.2">
      <c r="A6093" s="3" t="s">
        <v>1074</v>
      </c>
      <c r="B6093" s="4">
        <v>45352</v>
      </c>
      <c r="C6093" s="3" t="s">
        <v>1180</v>
      </c>
      <c r="D6093" s="3" t="s">
        <v>1521</v>
      </c>
      <c r="E6093" s="3" t="s">
        <v>1522</v>
      </c>
      <c r="F6093" s="3">
        <v>0</v>
      </c>
      <c r="G6093" s="3">
        <v>30000</v>
      </c>
    </row>
    <row r="6094" spans="1:7" x14ac:dyDescent="0.2">
      <c r="A6094" s="3" t="s">
        <v>1074</v>
      </c>
      <c r="B6094" s="4">
        <v>45352</v>
      </c>
      <c r="C6094" s="3" t="s">
        <v>1180</v>
      </c>
      <c r="D6094" s="3" t="s">
        <v>1534</v>
      </c>
      <c r="E6094" s="3" t="s">
        <v>1535</v>
      </c>
      <c r="F6094" s="3">
        <v>0</v>
      </c>
      <c r="G6094" s="3">
        <v>2693478.26</v>
      </c>
    </row>
    <row r="6095" spans="1:7" x14ac:dyDescent="0.2">
      <c r="A6095" s="3" t="s">
        <v>1074</v>
      </c>
      <c r="B6095" s="4">
        <v>45352</v>
      </c>
      <c r="C6095" s="3" t="s">
        <v>1180</v>
      </c>
      <c r="D6095" s="3" t="s">
        <v>1610</v>
      </c>
      <c r="E6095" s="3" t="s">
        <v>1611</v>
      </c>
      <c r="F6095" s="3">
        <v>0</v>
      </c>
      <c r="G6095" s="3">
        <v>1540502.11</v>
      </c>
    </row>
    <row r="6096" spans="1:7" x14ac:dyDescent="0.2">
      <c r="A6096" s="3" t="s">
        <v>1074</v>
      </c>
      <c r="B6096" s="4">
        <v>45352</v>
      </c>
      <c r="C6096" s="3" t="s">
        <v>1180</v>
      </c>
      <c r="D6096" s="3" t="s">
        <v>1653</v>
      </c>
      <c r="E6096" s="3" t="s">
        <v>1654</v>
      </c>
      <c r="F6096" s="3">
        <v>0</v>
      </c>
      <c r="G6096" s="3">
        <v>16307183.050000001</v>
      </c>
    </row>
    <row r="6097" spans="1:7" x14ac:dyDescent="0.2">
      <c r="A6097" s="3" t="s">
        <v>1069</v>
      </c>
      <c r="B6097" s="4">
        <v>45352</v>
      </c>
      <c r="C6097" s="3" t="s">
        <v>1180</v>
      </c>
      <c r="D6097" s="3" t="s">
        <v>1536</v>
      </c>
      <c r="E6097" s="3" t="s">
        <v>1537</v>
      </c>
      <c r="F6097" s="3">
        <v>0</v>
      </c>
      <c r="G6097" s="3">
        <v>2148883.15</v>
      </c>
    </row>
    <row r="6098" spans="1:7" x14ac:dyDescent="0.2">
      <c r="A6098" s="3" t="s">
        <v>1069</v>
      </c>
      <c r="B6098" s="4">
        <v>45352</v>
      </c>
      <c r="C6098" s="3" t="s">
        <v>1180</v>
      </c>
      <c r="D6098" s="3" t="s">
        <v>1665</v>
      </c>
      <c r="E6098" s="3" t="s">
        <v>1666</v>
      </c>
      <c r="F6098" s="3">
        <v>0</v>
      </c>
      <c r="G6098" s="3">
        <v>1068455</v>
      </c>
    </row>
    <row r="6099" spans="1:7" x14ac:dyDescent="0.2">
      <c r="A6099" s="3" t="s">
        <v>1074</v>
      </c>
      <c r="B6099" s="4">
        <v>45352</v>
      </c>
      <c r="C6099" s="3" t="s">
        <v>1180</v>
      </c>
      <c r="D6099" s="3" t="s">
        <v>1665</v>
      </c>
      <c r="E6099" s="3" t="s">
        <v>1716</v>
      </c>
      <c r="F6099" s="3">
        <v>0</v>
      </c>
      <c r="G6099" s="3">
        <v>2188325.96</v>
      </c>
    </row>
    <row r="6100" spans="1:7" x14ac:dyDescent="0.2">
      <c r="A6100" s="3" t="s">
        <v>1069</v>
      </c>
      <c r="B6100" s="4">
        <v>45352</v>
      </c>
      <c r="C6100" s="3" t="s">
        <v>1180</v>
      </c>
      <c r="D6100" s="3" t="s">
        <v>1655</v>
      </c>
      <c r="E6100" s="3" t="s">
        <v>1656</v>
      </c>
      <c r="F6100" s="3">
        <v>0</v>
      </c>
      <c r="G6100" s="3">
        <v>-24427668.440000001</v>
      </c>
    </row>
    <row r="6101" spans="1:7" x14ac:dyDescent="0.2">
      <c r="A6101" s="3" t="s">
        <v>1072</v>
      </c>
      <c r="B6101" s="4">
        <v>45352</v>
      </c>
      <c r="C6101" s="3" t="s">
        <v>1180</v>
      </c>
      <c r="D6101" s="3" t="s">
        <v>1425</v>
      </c>
      <c r="E6101" s="3" t="s">
        <v>1426</v>
      </c>
      <c r="F6101" s="3">
        <v>0</v>
      </c>
      <c r="G6101" s="3">
        <v>29600</v>
      </c>
    </row>
    <row r="6102" spans="1:7" x14ac:dyDescent="0.2">
      <c r="A6102" s="3" t="s">
        <v>1072</v>
      </c>
      <c r="B6102" s="4">
        <v>45352</v>
      </c>
      <c r="C6102" s="3" t="s">
        <v>1180</v>
      </c>
      <c r="D6102" s="3" t="s">
        <v>1427</v>
      </c>
      <c r="E6102" s="3" t="s">
        <v>1428</v>
      </c>
      <c r="F6102" s="3">
        <v>0</v>
      </c>
      <c r="G6102" s="3">
        <v>5534127.7400000002</v>
      </c>
    </row>
    <row r="6103" spans="1:7" x14ac:dyDescent="0.2">
      <c r="A6103" s="3" t="s">
        <v>1069</v>
      </c>
      <c r="B6103" s="4">
        <v>45352</v>
      </c>
      <c r="C6103" s="3" t="s">
        <v>1180</v>
      </c>
      <c r="D6103" s="3" t="s">
        <v>1427</v>
      </c>
      <c r="E6103" s="3" t="s">
        <v>1428</v>
      </c>
      <c r="F6103" s="3">
        <v>5188.45</v>
      </c>
      <c r="G6103" s="3">
        <v>375246.26</v>
      </c>
    </row>
    <row r="6104" spans="1:7" x14ac:dyDescent="0.2">
      <c r="A6104" s="3" t="s">
        <v>1074</v>
      </c>
      <c r="B6104" s="4">
        <v>45352</v>
      </c>
      <c r="C6104" s="3" t="s">
        <v>1180</v>
      </c>
      <c r="D6104" s="3" t="s">
        <v>1427</v>
      </c>
      <c r="E6104" s="3" t="s">
        <v>1428</v>
      </c>
      <c r="F6104" s="3">
        <v>674.77</v>
      </c>
      <c r="G6104" s="3">
        <v>1371.62</v>
      </c>
    </row>
    <row r="6105" spans="1:7" x14ac:dyDescent="0.2">
      <c r="A6105" s="3" t="s">
        <v>1072</v>
      </c>
      <c r="B6105" s="4">
        <v>45352</v>
      </c>
      <c r="C6105" s="3" t="s">
        <v>1180</v>
      </c>
      <c r="D6105" s="3" t="s">
        <v>1431</v>
      </c>
      <c r="E6105" s="3" t="s">
        <v>1432</v>
      </c>
      <c r="F6105" s="3">
        <v>0</v>
      </c>
      <c r="G6105" s="3">
        <v>-1935</v>
      </c>
    </row>
    <row r="6106" spans="1:7" x14ac:dyDescent="0.2">
      <c r="A6106" s="3" t="s">
        <v>1069</v>
      </c>
      <c r="B6106" s="4">
        <v>45352</v>
      </c>
      <c r="C6106" s="3" t="s">
        <v>1180</v>
      </c>
      <c r="D6106" s="3" t="s">
        <v>1187</v>
      </c>
      <c r="E6106" s="3" t="s">
        <v>1188</v>
      </c>
      <c r="F6106" s="3">
        <v>-16632</v>
      </c>
      <c r="G6106" s="3">
        <v>134641.73000000001</v>
      </c>
    </row>
    <row r="6107" spans="1:7" x14ac:dyDescent="0.2">
      <c r="A6107" s="3" t="s">
        <v>1072</v>
      </c>
      <c r="B6107" s="4">
        <v>45352</v>
      </c>
      <c r="C6107" s="3" t="s">
        <v>1180</v>
      </c>
      <c r="D6107" s="3" t="s">
        <v>1187</v>
      </c>
      <c r="E6107" s="3" t="s">
        <v>1433</v>
      </c>
      <c r="F6107" s="3">
        <v>-280172.83</v>
      </c>
      <c r="G6107" s="3">
        <v>113190.94</v>
      </c>
    </row>
    <row r="6108" spans="1:7" x14ac:dyDescent="0.2">
      <c r="A6108" s="3" t="s">
        <v>1072</v>
      </c>
      <c r="B6108" s="4">
        <v>45352</v>
      </c>
      <c r="C6108" s="3" t="s">
        <v>1180</v>
      </c>
      <c r="D6108" s="3" t="s">
        <v>1189</v>
      </c>
      <c r="E6108" s="3" t="s">
        <v>1434</v>
      </c>
      <c r="F6108" s="3">
        <v>0</v>
      </c>
      <c r="G6108" s="3">
        <v>-1188</v>
      </c>
    </row>
    <row r="6109" spans="1:7" x14ac:dyDescent="0.2">
      <c r="A6109" s="3" t="s">
        <v>1072</v>
      </c>
      <c r="B6109" s="4">
        <v>45352</v>
      </c>
      <c r="C6109" s="3" t="s">
        <v>1180</v>
      </c>
      <c r="D6109" s="3" t="s">
        <v>1435</v>
      </c>
      <c r="E6109" s="3" t="s">
        <v>1436</v>
      </c>
      <c r="F6109" s="3">
        <v>0</v>
      </c>
      <c r="G6109" s="3">
        <v>571.54999999999995</v>
      </c>
    </row>
    <row r="6110" spans="1:7" x14ac:dyDescent="0.2">
      <c r="A6110" s="3" t="s">
        <v>1069</v>
      </c>
      <c r="B6110" s="4">
        <v>45352</v>
      </c>
      <c r="C6110" s="3" t="s">
        <v>1180</v>
      </c>
      <c r="D6110" s="3" t="s">
        <v>1435</v>
      </c>
      <c r="E6110" s="3" t="s">
        <v>1434</v>
      </c>
      <c r="F6110" s="3">
        <v>0</v>
      </c>
      <c r="G6110" s="3">
        <v>8620</v>
      </c>
    </row>
    <row r="6111" spans="1:7" x14ac:dyDescent="0.2">
      <c r="A6111" s="3" t="s">
        <v>1069</v>
      </c>
      <c r="B6111" s="4">
        <v>45352</v>
      </c>
      <c r="C6111" s="3" t="s">
        <v>1180</v>
      </c>
      <c r="D6111" s="3" t="s">
        <v>1243</v>
      </c>
      <c r="E6111" s="3" t="s">
        <v>1244</v>
      </c>
      <c r="F6111" s="3">
        <v>0</v>
      </c>
      <c r="G6111" s="3">
        <v>889.13</v>
      </c>
    </row>
    <row r="6112" spans="1:7" x14ac:dyDescent="0.2">
      <c r="A6112" s="3" t="s">
        <v>1069</v>
      </c>
      <c r="B6112" s="4">
        <v>45352</v>
      </c>
      <c r="C6112" s="3" t="s">
        <v>1180</v>
      </c>
      <c r="D6112" s="3" t="s">
        <v>1245</v>
      </c>
      <c r="E6112" s="3" t="s">
        <v>1246</v>
      </c>
      <c r="F6112" s="3">
        <v>0</v>
      </c>
      <c r="G6112" s="3">
        <v>12938990.67</v>
      </c>
    </row>
    <row r="6113" spans="1:7" x14ac:dyDescent="0.2">
      <c r="A6113" s="3" t="s">
        <v>1069</v>
      </c>
      <c r="B6113" s="4">
        <v>45352</v>
      </c>
      <c r="C6113" s="3" t="s">
        <v>1180</v>
      </c>
      <c r="D6113" s="3" t="s">
        <v>1727</v>
      </c>
      <c r="E6113" s="3" t="s">
        <v>1728</v>
      </c>
      <c r="F6113" s="3">
        <v>0</v>
      </c>
      <c r="G6113" s="3">
        <v>150500</v>
      </c>
    </row>
    <row r="6114" spans="1:7" x14ac:dyDescent="0.2">
      <c r="A6114" s="3" t="s">
        <v>1072</v>
      </c>
      <c r="B6114" s="4">
        <v>45352</v>
      </c>
      <c r="C6114" s="3" t="s">
        <v>1175</v>
      </c>
      <c r="D6114" s="3" t="s">
        <v>1437</v>
      </c>
      <c r="E6114" s="3" t="s">
        <v>1438</v>
      </c>
      <c r="F6114" s="3">
        <v>0.01</v>
      </c>
      <c r="G6114" s="3">
        <v>-12.93</v>
      </c>
    </row>
    <row r="6115" spans="1:7" x14ac:dyDescent="0.2">
      <c r="A6115" s="3" t="s">
        <v>1069</v>
      </c>
      <c r="B6115" s="4">
        <v>45352</v>
      </c>
      <c r="C6115" s="3" t="s">
        <v>1175</v>
      </c>
      <c r="D6115" s="3" t="s">
        <v>1437</v>
      </c>
      <c r="E6115" s="3" t="s">
        <v>1438</v>
      </c>
      <c r="F6115" s="3">
        <v>0</v>
      </c>
      <c r="G6115" s="3">
        <v>0.04</v>
      </c>
    </row>
    <row r="6116" spans="1:7" x14ac:dyDescent="0.2">
      <c r="A6116" s="3" t="s">
        <v>1074</v>
      </c>
      <c r="B6116" s="4">
        <v>45352</v>
      </c>
      <c r="C6116" s="3" t="s">
        <v>1175</v>
      </c>
      <c r="D6116" s="3" t="s">
        <v>1437</v>
      </c>
      <c r="E6116" s="3" t="s">
        <v>1438</v>
      </c>
      <c r="F6116" s="3">
        <v>0</v>
      </c>
      <c r="G6116" s="3">
        <v>-0.03</v>
      </c>
    </row>
    <row r="6117" spans="1:7" x14ac:dyDescent="0.2">
      <c r="A6117" s="3" t="s">
        <v>1072</v>
      </c>
      <c r="B6117" s="4">
        <v>45352</v>
      </c>
      <c r="C6117" s="3" t="s">
        <v>1175</v>
      </c>
      <c r="D6117" s="3" t="s">
        <v>1191</v>
      </c>
      <c r="E6117" s="3" t="s">
        <v>1192</v>
      </c>
      <c r="F6117" s="3">
        <v>-1150637.8899999999</v>
      </c>
      <c r="G6117" s="3">
        <v>-3247476.9</v>
      </c>
    </row>
    <row r="6118" spans="1:7" x14ac:dyDescent="0.2">
      <c r="A6118" s="3" t="s">
        <v>1069</v>
      </c>
      <c r="B6118" s="4">
        <v>45352</v>
      </c>
      <c r="C6118" s="3" t="s">
        <v>1175</v>
      </c>
      <c r="D6118" s="3" t="s">
        <v>1191</v>
      </c>
      <c r="E6118" s="3" t="s">
        <v>1192</v>
      </c>
      <c r="F6118" s="3">
        <v>-141646.38</v>
      </c>
      <c r="G6118" s="3">
        <v>-161863669.90000001</v>
      </c>
    </row>
    <row r="6119" spans="1:7" x14ac:dyDescent="0.2">
      <c r="A6119" s="3" t="s">
        <v>1074</v>
      </c>
      <c r="B6119" s="4">
        <v>45352</v>
      </c>
      <c r="C6119" s="3" t="s">
        <v>1175</v>
      </c>
      <c r="D6119" s="3" t="s">
        <v>1191</v>
      </c>
      <c r="E6119" s="3" t="s">
        <v>1192</v>
      </c>
      <c r="F6119" s="3">
        <v>23823.64</v>
      </c>
      <c r="G6119" s="3">
        <v>-3902677.89</v>
      </c>
    </row>
    <row r="6120" spans="1:7" x14ac:dyDescent="0.2">
      <c r="A6120" s="3" t="s">
        <v>1072</v>
      </c>
      <c r="B6120" s="4">
        <v>45352</v>
      </c>
      <c r="C6120" s="3" t="s">
        <v>1175</v>
      </c>
      <c r="D6120" s="3" t="s">
        <v>1488</v>
      </c>
      <c r="E6120" s="3" t="s">
        <v>1489</v>
      </c>
      <c r="F6120" s="3">
        <v>0</v>
      </c>
      <c r="G6120" s="3">
        <v>1309</v>
      </c>
    </row>
    <row r="6121" spans="1:7" x14ac:dyDescent="0.2">
      <c r="A6121" s="3" t="s">
        <v>1072</v>
      </c>
      <c r="B6121" s="4">
        <v>45352</v>
      </c>
      <c r="C6121" s="3" t="s">
        <v>1175</v>
      </c>
      <c r="D6121" s="3" t="s">
        <v>1441</v>
      </c>
      <c r="E6121" s="3" t="s">
        <v>1442</v>
      </c>
      <c r="F6121" s="3">
        <v>0</v>
      </c>
      <c r="G6121" s="3">
        <v>-106119.66</v>
      </c>
    </row>
    <row r="6122" spans="1:7" x14ac:dyDescent="0.2">
      <c r="A6122" s="3" t="s">
        <v>1072</v>
      </c>
      <c r="B6122" s="4">
        <v>45352</v>
      </c>
      <c r="C6122" s="3" t="s">
        <v>1175</v>
      </c>
      <c r="D6122" s="3" t="s">
        <v>1464</v>
      </c>
      <c r="E6122" s="3" t="s">
        <v>1465</v>
      </c>
      <c r="F6122" s="3">
        <v>0</v>
      </c>
      <c r="G6122" s="3">
        <v>-49413.95</v>
      </c>
    </row>
    <row r="6123" spans="1:7" x14ac:dyDescent="0.2">
      <c r="A6123" s="3" t="s">
        <v>1072</v>
      </c>
      <c r="B6123" s="4">
        <v>45352</v>
      </c>
      <c r="C6123" s="3" t="s">
        <v>1175</v>
      </c>
      <c r="D6123" s="3" t="s">
        <v>1729</v>
      </c>
      <c r="E6123" s="3" t="s">
        <v>1730</v>
      </c>
      <c r="F6123" s="3">
        <v>0</v>
      </c>
      <c r="G6123" s="3">
        <v>130000</v>
      </c>
    </row>
    <row r="6124" spans="1:7" x14ac:dyDescent="0.2">
      <c r="A6124" s="3" t="s">
        <v>1072</v>
      </c>
      <c r="B6124" s="4">
        <v>45352</v>
      </c>
      <c r="C6124" s="3" t="s">
        <v>1175</v>
      </c>
      <c r="D6124" s="3" t="s">
        <v>1193</v>
      </c>
      <c r="E6124" s="3" t="s">
        <v>1443</v>
      </c>
      <c r="F6124" s="3">
        <v>183706.91</v>
      </c>
      <c r="G6124" s="3">
        <v>9025.6299999999992</v>
      </c>
    </row>
    <row r="6125" spans="1:7" x14ac:dyDescent="0.2">
      <c r="A6125" s="3" t="s">
        <v>1069</v>
      </c>
      <c r="B6125" s="4">
        <v>45352</v>
      </c>
      <c r="C6125" s="3" t="s">
        <v>1175</v>
      </c>
      <c r="D6125" s="3" t="s">
        <v>1193</v>
      </c>
      <c r="E6125" s="3" t="s">
        <v>1194</v>
      </c>
      <c r="F6125" s="3">
        <v>152.94999999999999</v>
      </c>
      <c r="G6125" s="3">
        <v>-3331741.43</v>
      </c>
    </row>
    <row r="6126" spans="1:7" x14ac:dyDescent="0.2">
      <c r="A6126" s="3" t="s">
        <v>1074</v>
      </c>
      <c r="B6126" s="4">
        <v>45352</v>
      </c>
      <c r="C6126" s="3" t="s">
        <v>1175</v>
      </c>
      <c r="D6126" s="3" t="s">
        <v>1193</v>
      </c>
      <c r="E6126" s="3" t="s">
        <v>1194</v>
      </c>
      <c r="F6126" s="3">
        <v>0</v>
      </c>
      <c r="G6126" s="3">
        <v>5476714.79</v>
      </c>
    </row>
    <row r="6127" spans="1:7" x14ac:dyDescent="0.2">
      <c r="A6127" s="3" t="s">
        <v>1072</v>
      </c>
      <c r="B6127" s="4">
        <v>45352</v>
      </c>
      <c r="C6127" s="3" t="s">
        <v>1175</v>
      </c>
      <c r="D6127" s="3" t="s">
        <v>1731</v>
      </c>
      <c r="E6127" s="3" t="s">
        <v>1732</v>
      </c>
      <c r="F6127" s="3">
        <v>0</v>
      </c>
      <c r="G6127" s="3">
        <v>-1869.8</v>
      </c>
    </row>
    <row r="6128" spans="1:7" x14ac:dyDescent="0.2">
      <c r="A6128" s="3" t="s">
        <v>1069</v>
      </c>
      <c r="B6128" s="4">
        <v>45352</v>
      </c>
      <c r="C6128" s="3" t="s">
        <v>1175</v>
      </c>
      <c r="D6128" s="3" t="s">
        <v>1657</v>
      </c>
      <c r="E6128" s="3" t="s">
        <v>1658</v>
      </c>
      <c r="F6128" s="3">
        <v>0</v>
      </c>
      <c r="G6128" s="3">
        <v>59039.93</v>
      </c>
    </row>
    <row r="6129" spans="1:7" x14ac:dyDescent="0.2">
      <c r="A6129" s="3" t="s">
        <v>1074</v>
      </c>
      <c r="B6129" s="4">
        <v>45352</v>
      </c>
      <c r="C6129" s="3" t="s">
        <v>1175</v>
      </c>
      <c r="D6129" s="3" t="s">
        <v>1717</v>
      </c>
      <c r="E6129" s="3" t="s">
        <v>1718</v>
      </c>
      <c r="F6129" s="3">
        <v>0</v>
      </c>
      <c r="G6129" s="3">
        <v>-0.4</v>
      </c>
    </row>
    <row r="6130" spans="1:7" x14ac:dyDescent="0.2">
      <c r="A6130" s="3" t="s">
        <v>1072</v>
      </c>
      <c r="B6130" s="4">
        <v>45352</v>
      </c>
      <c r="C6130" s="3" t="s">
        <v>1175</v>
      </c>
      <c r="D6130" s="3" t="s">
        <v>1444</v>
      </c>
      <c r="E6130" s="3" t="s">
        <v>1445</v>
      </c>
      <c r="F6130" s="3">
        <v>0</v>
      </c>
      <c r="G6130" s="3">
        <v>393799.61</v>
      </c>
    </row>
    <row r="6131" spans="1:7" x14ac:dyDescent="0.2">
      <c r="A6131" s="3" t="s">
        <v>1072</v>
      </c>
      <c r="B6131" s="4">
        <v>45352</v>
      </c>
      <c r="C6131" s="3" t="s">
        <v>1175</v>
      </c>
      <c r="D6131" s="3" t="s">
        <v>1446</v>
      </c>
      <c r="E6131" s="3" t="s">
        <v>1447</v>
      </c>
      <c r="F6131" s="3">
        <v>0</v>
      </c>
      <c r="G6131" s="3">
        <v>-254.99</v>
      </c>
    </row>
    <row r="6132" spans="1:7" x14ac:dyDescent="0.2">
      <c r="A6132" s="3" t="s">
        <v>1074</v>
      </c>
      <c r="B6132" s="4">
        <v>45382</v>
      </c>
      <c r="C6132" s="3" t="s">
        <v>1210</v>
      </c>
      <c r="D6132" s="3" t="s">
        <v>1552</v>
      </c>
      <c r="E6132" s="3" t="s">
        <v>1700</v>
      </c>
      <c r="F6132" s="3">
        <v>-2804173.91</v>
      </c>
      <c r="G6132" s="3">
        <v>-2804173.91</v>
      </c>
    </row>
    <row r="6133" spans="1:7" x14ac:dyDescent="0.2">
      <c r="A6133" s="3" t="s">
        <v>1074</v>
      </c>
      <c r="B6133" s="4">
        <v>45382</v>
      </c>
      <c r="C6133" s="3" t="s">
        <v>1210</v>
      </c>
      <c r="D6133" s="3" t="s">
        <v>1554</v>
      </c>
      <c r="E6133" s="3" t="s">
        <v>1701</v>
      </c>
      <c r="F6133" s="3">
        <v>-3561.29</v>
      </c>
      <c r="G6133" s="3">
        <v>-3561.29</v>
      </c>
    </row>
    <row r="6134" spans="1:7" x14ac:dyDescent="0.2">
      <c r="A6134" s="3" t="s">
        <v>1072</v>
      </c>
      <c r="B6134" s="4">
        <v>45382</v>
      </c>
      <c r="C6134" s="3" t="s">
        <v>1210</v>
      </c>
      <c r="D6134" s="3" t="s">
        <v>1448</v>
      </c>
      <c r="E6134" s="3" t="s">
        <v>1449</v>
      </c>
      <c r="F6134" s="3">
        <v>-7021091.5999999996</v>
      </c>
      <c r="G6134" s="3">
        <v>-7021091.5999999996</v>
      </c>
    </row>
    <row r="6135" spans="1:7" x14ac:dyDescent="0.2">
      <c r="A6135" s="3" t="s">
        <v>1069</v>
      </c>
      <c r="B6135" s="4">
        <v>45382</v>
      </c>
      <c r="C6135" s="3" t="s">
        <v>1210</v>
      </c>
      <c r="D6135" s="3" t="s">
        <v>1685</v>
      </c>
      <c r="E6135" s="3" t="s">
        <v>1686</v>
      </c>
      <c r="F6135" s="3">
        <v>-49758.3</v>
      </c>
      <c r="G6135" s="3">
        <v>-49758.3</v>
      </c>
    </row>
    <row r="6136" spans="1:7" x14ac:dyDescent="0.2">
      <c r="A6136" s="3" t="s">
        <v>1074</v>
      </c>
      <c r="B6136" s="4">
        <v>45382</v>
      </c>
      <c r="C6136" s="3" t="s">
        <v>1168</v>
      </c>
      <c r="D6136" s="3" t="s">
        <v>1514</v>
      </c>
      <c r="E6136" s="3" t="s">
        <v>1676</v>
      </c>
      <c r="F6136" s="3">
        <v>5141.17</v>
      </c>
      <c r="G6136" s="3">
        <v>5141.17</v>
      </c>
    </row>
    <row r="6137" spans="1:7" x14ac:dyDescent="0.2">
      <c r="A6137" s="3" t="s">
        <v>1074</v>
      </c>
      <c r="B6137" s="4">
        <v>45382</v>
      </c>
      <c r="C6137" s="3" t="s">
        <v>1168</v>
      </c>
      <c r="D6137" s="3" t="s">
        <v>1531</v>
      </c>
      <c r="E6137" s="3" t="s">
        <v>1532</v>
      </c>
      <c r="F6137" s="3">
        <v>77984.570000000007</v>
      </c>
      <c r="G6137" s="3">
        <v>77984.570000000007</v>
      </c>
    </row>
    <row r="6138" spans="1:7" x14ac:dyDescent="0.2">
      <c r="A6138" s="3" t="s">
        <v>1069</v>
      </c>
      <c r="B6138" s="4">
        <v>45382</v>
      </c>
      <c r="C6138" s="3" t="s">
        <v>1168</v>
      </c>
      <c r="D6138" s="3" t="s">
        <v>1540</v>
      </c>
      <c r="E6138" s="3" t="s">
        <v>1541</v>
      </c>
      <c r="F6138" s="3">
        <v>8386.2000000000007</v>
      </c>
      <c r="G6138" s="3">
        <v>8386.2000000000007</v>
      </c>
    </row>
    <row r="6139" spans="1:7" x14ac:dyDescent="0.2">
      <c r="A6139" s="3" t="s">
        <v>1074</v>
      </c>
      <c r="B6139" s="4">
        <v>45382</v>
      </c>
      <c r="C6139" s="3" t="s">
        <v>1168</v>
      </c>
      <c r="D6139" s="3" t="s">
        <v>1558</v>
      </c>
      <c r="E6139" s="3" t="s">
        <v>1702</v>
      </c>
      <c r="F6139" s="3">
        <v>139991.31</v>
      </c>
      <c r="G6139" s="3">
        <v>139991.31</v>
      </c>
    </row>
    <row r="6140" spans="1:7" x14ac:dyDescent="0.2">
      <c r="A6140" s="3" t="s">
        <v>1072</v>
      </c>
      <c r="B6140" s="4">
        <v>45382</v>
      </c>
      <c r="C6140" s="3" t="s">
        <v>1168</v>
      </c>
      <c r="D6140" s="3" t="s">
        <v>1281</v>
      </c>
      <c r="E6140" s="3" t="s">
        <v>1282</v>
      </c>
      <c r="F6140" s="3">
        <v>3000</v>
      </c>
      <c r="G6140" s="3">
        <v>3000</v>
      </c>
    </row>
    <row r="6141" spans="1:7" x14ac:dyDescent="0.2">
      <c r="A6141" s="3" t="s">
        <v>1072</v>
      </c>
      <c r="B6141" s="4">
        <v>45382</v>
      </c>
      <c r="C6141" s="3" t="s">
        <v>1168</v>
      </c>
      <c r="D6141" s="3" t="s">
        <v>1305</v>
      </c>
      <c r="E6141" s="3" t="s">
        <v>1306</v>
      </c>
      <c r="F6141" s="3">
        <v>8355.9599999999991</v>
      </c>
      <c r="G6141" s="3">
        <v>8355.9599999999991</v>
      </c>
    </row>
    <row r="6142" spans="1:7" x14ac:dyDescent="0.2">
      <c r="A6142" s="3" t="s">
        <v>1072</v>
      </c>
      <c r="B6142" s="4">
        <v>45382</v>
      </c>
      <c r="C6142" s="3" t="s">
        <v>1168</v>
      </c>
      <c r="D6142" s="3" t="s">
        <v>1450</v>
      </c>
      <c r="E6142" s="3" t="s">
        <v>1451</v>
      </c>
      <c r="F6142" s="3">
        <v>6834.05</v>
      </c>
      <c r="G6142" s="3">
        <v>6834.05</v>
      </c>
    </row>
    <row r="6143" spans="1:7" x14ac:dyDescent="0.2">
      <c r="A6143" s="3" t="s">
        <v>1072</v>
      </c>
      <c r="B6143" s="4">
        <v>45382</v>
      </c>
      <c r="C6143" s="3" t="s">
        <v>1168</v>
      </c>
      <c r="D6143" s="3" t="s">
        <v>1452</v>
      </c>
      <c r="E6143" s="3" t="s">
        <v>1453</v>
      </c>
      <c r="F6143" s="3">
        <v>380.43</v>
      </c>
      <c r="G6143" s="3">
        <v>380.43</v>
      </c>
    </row>
    <row r="6144" spans="1:7" x14ac:dyDescent="0.2">
      <c r="A6144" s="3" t="s">
        <v>1072</v>
      </c>
      <c r="B6144" s="4">
        <v>45382</v>
      </c>
      <c r="C6144" s="3" t="s">
        <v>1168</v>
      </c>
      <c r="D6144" s="3" t="s">
        <v>1468</v>
      </c>
      <c r="E6144" s="3" t="s">
        <v>1469</v>
      </c>
      <c r="F6144" s="3">
        <v>1849.57</v>
      </c>
      <c r="G6144" s="3">
        <v>1849.57</v>
      </c>
    </row>
    <row r="6145" spans="1:7" x14ac:dyDescent="0.2">
      <c r="A6145" s="3" t="s">
        <v>1072</v>
      </c>
      <c r="B6145" s="4">
        <v>45382</v>
      </c>
      <c r="C6145" s="3" t="s">
        <v>1168</v>
      </c>
      <c r="D6145" s="3" t="s">
        <v>1542</v>
      </c>
      <c r="E6145" s="3" t="s">
        <v>1543</v>
      </c>
      <c r="F6145" s="3">
        <v>5202417.05</v>
      </c>
      <c r="G6145" s="3">
        <v>5202417.05</v>
      </c>
    </row>
    <row r="6146" spans="1:7" x14ac:dyDescent="0.2">
      <c r="A6146" s="3" t="s">
        <v>1072</v>
      </c>
      <c r="B6146" s="4">
        <v>45382</v>
      </c>
      <c r="C6146" s="3" t="s">
        <v>1168</v>
      </c>
      <c r="D6146" s="3" t="s">
        <v>1527</v>
      </c>
      <c r="E6146" s="3" t="s">
        <v>1528</v>
      </c>
      <c r="F6146" s="3">
        <v>11598.75</v>
      </c>
      <c r="G6146" s="3">
        <v>11598.75</v>
      </c>
    </row>
    <row r="6147" spans="1:7" x14ac:dyDescent="0.2">
      <c r="A6147" s="3" t="s">
        <v>1072</v>
      </c>
      <c r="B6147" s="4">
        <v>45382</v>
      </c>
      <c r="C6147" s="3" t="s">
        <v>1210</v>
      </c>
      <c r="D6147" s="3" t="s">
        <v>1509</v>
      </c>
      <c r="E6147" s="3" t="s">
        <v>1510</v>
      </c>
      <c r="F6147" s="3">
        <v>-66.06</v>
      </c>
      <c r="G6147" s="3">
        <v>-66.06</v>
      </c>
    </row>
    <row r="6148" spans="1:7" x14ac:dyDescent="0.2">
      <c r="A6148" s="3" t="s">
        <v>1069</v>
      </c>
      <c r="B6148" s="4">
        <v>45382</v>
      </c>
      <c r="C6148" s="3" t="s">
        <v>1210</v>
      </c>
      <c r="D6148" s="3" t="s">
        <v>1249</v>
      </c>
      <c r="E6148" s="3" t="s">
        <v>1250</v>
      </c>
      <c r="F6148" s="3">
        <v>-69493.67</v>
      </c>
      <c r="G6148" s="3">
        <v>-69493.67</v>
      </c>
    </row>
    <row r="6149" spans="1:7" x14ac:dyDescent="0.2">
      <c r="A6149" s="3" t="s">
        <v>1069</v>
      </c>
      <c r="B6149" s="4">
        <v>45382</v>
      </c>
      <c r="C6149" s="3" t="s">
        <v>1168</v>
      </c>
      <c r="D6149" s="3" t="s">
        <v>1169</v>
      </c>
      <c r="E6149" s="3" t="s">
        <v>1079</v>
      </c>
      <c r="F6149" s="3">
        <v>1513.96</v>
      </c>
      <c r="G6149" s="3">
        <v>1513.96</v>
      </c>
    </row>
    <row r="6150" spans="1:7" x14ac:dyDescent="0.2">
      <c r="A6150" s="3" t="s">
        <v>1074</v>
      </c>
      <c r="B6150" s="4">
        <v>45382</v>
      </c>
      <c r="C6150" s="3" t="s">
        <v>1168</v>
      </c>
      <c r="D6150" s="3" t="s">
        <v>1169</v>
      </c>
      <c r="E6150" s="3" t="s">
        <v>1079</v>
      </c>
      <c r="F6150" s="3">
        <v>2300</v>
      </c>
      <c r="G6150" s="3">
        <v>2300</v>
      </c>
    </row>
    <row r="6151" spans="1:7" x14ac:dyDescent="0.2">
      <c r="A6151" s="3" t="s">
        <v>1072</v>
      </c>
      <c r="B6151" s="4">
        <v>45382</v>
      </c>
      <c r="C6151" s="3" t="s">
        <v>1168</v>
      </c>
      <c r="D6151" s="3" t="s">
        <v>1339</v>
      </c>
      <c r="E6151" s="3" t="s">
        <v>1087</v>
      </c>
      <c r="F6151" s="3">
        <v>150</v>
      </c>
      <c r="G6151" s="3">
        <v>150</v>
      </c>
    </row>
    <row r="6152" spans="1:7" x14ac:dyDescent="0.2">
      <c r="A6152" s="3" t="s">
        <v>1072</v>
      </c>
      <c r="B6152" s="4">
        <v>45382</v>
      </c>
      <c r="C6152" s="3" t="s">
        <v>1168</v>
      </c>
      <c r="D6152" s="3" t="s">
        <v>1195</v>
      </c>
      <c r="E6152" s="3" t="s">
        <v>1085</v>
      </c>
      <c r="F6152" s="3">
        <v>1923.15</v>
      </c>
      <c r="G6152" s="3">
        <v>1923.15</v>
      </c>
    </row>
    <row r="6153" spans="1:7" x14ac:dyDescent="0.2">
      <c r="A6153" s="3" t="s">
        <v>1069</v>
      </c>
      <c r="B6153" s="4">
        <v>45382</v>
      </c>
      <c r="C6153" s="3" t="s">
        <v>1168</v>
      </c>
      <c r="D6153" s="3" t="s">
        <v>1195</v>
      </c>
      <c r="E6153" s="3" t="s">
        <v>1085</v>
      </c>
      <c r="F6153" s="3">
        <v>399.8</v>
      </c>
      <c r="G6153" s="3">
        <v>399.8</v>
      </c>
    </row>
    <row r="6154" spans="1:7" x14ac:dyDescent="0.2">
      <c r="A6154" s="3" t="s">
        <v>1072</v>
      </c>
      <c r="B6154" s="4">
        <v>45382</v>
      </c>
      <c r="C6154" s="3" t="s">
        <v>1168</v>
      </c>
      <c r="D6154" s="3" t="s">
        <v>1504</v>
      </c>
      <c r="E6154" s="3" t="s">
        <v>1142</v>
      </c>
      <c r="F6154" s="3">
        <v>3725</v>
      </c>
      <c r="G6154" s="3">
        <v>3725</v>
      </c>
    </row>
    <row r="6155" spans="1:7" x14ac:dyDescent="0.2">
      <c r="A6155" s="3" t="s">
        <v>1069</v>
      </c>
      <c r="B6155" s="4">
        <v>45382</v>
      </c>
      <c r="C6155" s="3" t="s">
        <v>1168</v>
      </c>
      <c r="D6155" s="3" t="s">
        <v>1251</v>
      </c>
      <c r="E6155" s="3" t="s">
        <v>1095</v>
      </c>
      <c r="F6155" s="3">
        <v>124185.32</v>
      </c>
      <c r="G6155" s="3">
        <v>124185.32</v>
      </c>
    </row>
    <row r="6156" spans="1:7" x14ac:dyDescent="0.2">
      <c r="A6156" s="3" t="s">
        <v>1072</v>
      </c>
      <c r="B6156" s="4">
        <v>45382</v>
      </c>
      <c r="C6156" s="3" t="s">
        <v>1168</v>
      </c>
      <c r="D6156" s="3" t="s">
        <v>1348</v>
      </c>
      <c r="E6156" s="3" t="s">
        <v>1095</v>
      </c>
      <c r="F6156" s="3">
        <v>132006.07999999999</v>
      </c>
      <c r="G6156" s="3">
        <v>132006.07999999999</v>
      </c>
    </row>
    <row r="6157" spans="1:7" x14ac:dyDescent="0.2">
      <c r="A6157" s="3" t="s">
        <v>1069</v>
      </c>
      <c r="B6157" s="4">
        <v>45382</v>
      </c>
      <c r="C6157" s="3" t="s">
        <v>1168</v>
      </c>
      <c r="D6157" s="3" t="s">
        <v>1252</v>
      </c>
      <c r="E6157" s="3" t="s">
        <v>1120</v>
      </c>
      <c r="F6157" s="3">
        <v>4200</v>
      </c>
      <c r="G6157" s="3">
        <v>4200</v>
      </c>
    </row>
    <row r="6158" spans="1:7" x14ac:dyDescent="0.2">
      <c r="A6158" s="3" t="s">
        <v>1074</v>
      </c>
      <c r="B6158" s="4">
        <v>45382</v>
      </c>
      <c r="C6158" s="3" t="s">
        <v>1168</v>
      </c>
      <c r="D6158" s="3" t="s">
        <v>1252</v>
      </c>
      <c r="E6158" s="3" t="s">
        <v>1120</v>
      </c>
      <c r="F6158" s="3">
        <v>12750</v>
      </c>
      <c r="G6158" s="3">
        <v>12750</v>
      </c>
    </row>
    <row r="6159" spans="1:7" x14ac:dyDescent="0.2">
      <c r="A6159" s="3" t="s">
        <v>1072</v>
      </c>
      <c r="B6159" s="4">
        <v>45382</v>
      </c>
      <c r="C6159" s="3" t="s">
        <v>1168</v>
      </c>
      <c r="D6159" s="3" t="s">
        <v>1350</v>
      </c>
      <c r="E6159" s="3" t="s">
        <v>1115</v>
      </c>
      <c r="F6159" s="3">
        <v>5401.36</v>
      </c>
      <c r="G6159" s="3">
        <v>5401.36</v>
      </c>
    </row>
    <row r="6160" spans="1:7" x14ac:dyDescent="0.2">
      <c r="A6160" s="3" t="s">
        <v>1072</v>
      </c>
      <c r="B6160" s="4">
        <v>45382</v>
      </c>
      <c r="C6160" s="3" t="s">
        <v>1168</v>
      </c>
      <c r="D6160" s="3" t="s">
        <v>1351</v>
      </c>
      <c r="E6160" s="3" t="s">
        <v>1096</v>
      </c>
      <c r="F6160" s="3">
        <v>1349.81</v>
      </c>
      <c r="G6160" s="3">
        <v>1349.81</v>
      </c>
    </row>
    <row r="6161" spans="1:7" x14ac:dyDescent="0.2">
      <c r="A6161" s="3" t="s">
        <v>1072</v>
      </c>
      <c r="B6161" s="4">
        <v>45382</v>
      </c>
      <c r="C6161" s="3" t="s">
        <v>1168</v>
      </c>
      <c r="D6161" s="3" t="s">
        <v>1472</v>
      </c>
      <c r="E6161" s="3" t="s">
        <v>1473</v>
      </c>
      <c r="F6161" s="3">
        <v>1</v>
      </c>
      <c r="G6161" s="3">
        <v>1</v>
      </c>
    </row>
    <row r="6162" spans="1:7" x14ac:dyDescent="0.2">
      <c r="A6162" s="3" t="s">
        <v>1072</v>
      </c>
      <c r="B6162" s="4">
        <v>45382</v>
      </c>
      <c r="C6162" s="3" t="s">
        <v>1168</v>
      </c>
      <c r="D6162" s="3" t="s">
        <v>1474</v>
      </c>
      <c r="E6162" s="3" t="s">
        <v>1114</v>
      </c>
      <c r="F6162" s="3">
        <v>568.20000000000005</v>
      </c>
      <c r="G6162" s="3">
        <v>568.20000000000005</v>
      </c>
    </row>
    <row r="6163" spans="1:7" x14ac:dyDescent="0.2">
      <c r="A6163" s="3" t="s">
        <v>1069</v>
      </c>
      <c r="B6163" s="4">
        <v>45382</v>
      </c>
      <c r="C6163" s="3" t="s">
        <v>1168</v>
      </c>
      <c r="D6163" s="3" t="s">
        <v>1767</v>
      </c>
      <c r="E6163" s="3" t="s">
        <v>1768</v>
      </c>
      <c r="F6163" s="3">
        <v>124268.36</v>
      </c>
      <c r="G6163" s="3">
        <v>124268.36</v>
      </c>
    </row>
    <row r="6164" spans="1:7" x14ac:dyDescent="0.2">
      <c r="A6164" s="3" t="s">
        <v>1069</v>
      </c>
      <c r="B6164" s="4">
        <v>45382</v>
      </c>
      <c r="C6164" s="3" t="s">
        <v>1168</v>
      </c>
      <c r="D6164" s="3" t="s">
        <v>1229</v>
      </c>
      <c r="E6164" s="3" t="s">
        <v>1136</v>
      </c>
      <c r="F6164" s="3">
        <v>109167.48</v>
      </c>
      <c r="G6164" s="3">
        <v>109167.48</v>
      </c>
    </row>
    <row r="6165" spans="1:7" x14ac:dyDescent="0.2">
      <c r="A6165" s="3" t="s">
        <v>1069</v>
      </c>
      <c r="B6165" s="4">
        <v>45382</v>
      </c>
      <c r="C6165" s="3" t="s">
        <v>1168</v>
      </c>
      <c r="D6165" s="3" t="s">
        <v>1230</v>
      </c>
      <c r="E6165" s="3" t="s">
        <v>1109</v>
      </c>
      <c r="F6165" s="3">
        <v>3484.49</v>
      </c>
      <c r="G6165" s="3">
        <v>3484.49</v>
      </c>
    </row>
    <row r="6166" spans="1:7" x14ac:dyDescent="0.2">
      <c r="A6166" s="3" t="s">
        <v>1074</v>
      </c>
      <c r="B6166" s="4">
        <v>45382</v>
      </c>
      <c r="C6166" s="3" t="s">
        <v>1168</v>
      </c>
      <c r="D6166" s="3" t="s">
        <v>1230</v>
      </c>
      <c r="E6166" s="3" t="s">
        <v>1077</v>
      </c>
      <c r="F6166" s="3">
        <v>75.7</v>
      </c>
      <c r="G6166" s="3">
        <v>75.7</v>
      </c>
    </row>
    <row r="6167" spans="1:7" x14ac:dyDescent="0.2">
      <c r="A6167" s="3" t="s">
        <v>1072</v>
      </c>
      <c r="B6167" s="4">
        <v>45382</v>
      </c>
      <c r="C6167" s="3" t="s">
        <v>1168</v>
      </c>
      <c r="D6167" s="3" t="s">
        <v>1354</v>
      </c>
      <c r="E6167" s="3" t="s">
        <v>1078</v>
      </c>
      <c r="F6167" s="3">
        <v>13056.36</v>
      </c>
      <c r="G6167" s="3">
        <v>13056.36</v>
      </c>
    </row>
    <row r="6168" spans="1:7" x14ac:dyDescent="0.2">
      <c r="A6168" s="3" t="s">
        <v>1069</v>
      </c>
      <c r="B6168" s="4">
        <v>45382</v>
      </c>
      <c r="C6168" s="3" t="s">
        <v>1168</v>
      </c>
      <c r="D6168" s="3" t="s">
        <v>1456</v>
      </c>
      <c r="E6168" s="3" t="s">
        <v>1457</v>
      </c>
      <c r="F6168" s="3">
        <v>5281.4</v>
      </c>
      <c r="G6168" s="3">
        <v>5281.4</v>
      </c>
    </row>
    <row r="6169" spans="1:7" x14ac:dyDescent="0.2">
      <c r="A6169" s="3" t="s">
        <v>1074</v>
      </c>
      <c r="B6169" s="4">
        <v>45382</v>
      </c>
      <c r="C6169" s="3" t="s">
        <v>1168</v>
      </c>
      <c r="D6169" s="3" t="s">
        <v>1721</v>
      </c>
      <c r="E6169" s="3" t="s">
        <v>1152</v>
      </c>
      <c r="F6169" s="3">
        <v>6638.93</v>
      </c>
      <c r="G6169" s="3">
        <v>6638.93</v>
      </c>
    </row>
    <row r="6170" spans="1:7" x14ac:dyDescent="0.2">
      <c r="A6170" s="3" t="s">
        <v>1069</v>
      </c>
      <c r="B6170" s="4">
        <v>45382</v>
      </c>
      <c r="C6170" s="3" t="s">
        <v>1168</v>
      </c>
      <c r="D6170" s="3" t="s">
        <v>1722</v>
      </c>
      <c r="E6170" s="3" t="s">
        <v>1116</v>
      </c>
      <c r="F6170" s="3">
        <v>15641.09</v>
      </c>
      <c r="G6170" s="3">
        <v>15641.09</v>
      </c>
    </row>
    <row r="6171" spans="1:7" x14ac:dyDescent="0.2">
      <c r="A6171" s="3" t="s">
        <v>1069</v>
      </c>
      <c r="B6171" s="4">
        <v>45382</v>
      </c>
      <c r="C6171" s="3" t="s">
        <v>1168</v>
      </c>
      <c r="D6171" s="3" t="s">
        <v>1253</v>
      </c>
      <c r="E6171" s="3" t="s">
        <v>1103</v>
      </c>
      <c r="F6171" s="3">
        <v>5141.0200000000004</v>
      </c>
      <c r="G6171" s="3">
        <v>5141.0200000000004</v>
      </c>
    </row>
    <row r="6172" spans="1:7" x14ac:dyDescent="0.2">
      <c r="A6172" s="3" t="s">
        <v>1072</v>
      </c>
      <c r="B6172" s="4">
        <v>45382</v>
      </c>
      <c r="C6172" s="3" t="s">
        <v>1168</v>
      </c>
      <c r="D6172" s="3" t="s">
        <v>1357</v>
      </c>
      <c r="E6172" s="3" t="s">
        <v>1157</v>
      </c>
      <c r="F6172" s="3">
        <v>5008.46</v>
      </c>
      <c r="G6172" s="3">
        <v>5008.46</v>
      </c>
    </row>
    <row r="6173" spans="1:7" x14ac:dyDescent="0.2">
      <c r="A6173" s="3" t="s">
        <v>1072</v>
      </c>
      <c r="B6173" s="4">
        <v>45382</v>
      </c>
      <c r="C6173" s="3" t="s">
        <v>1168</v>
      </c>
      <c r="D6173" s="3" t="s">
        <v>1201</v>
      </c>
      <c r="E6173" s="3" t="s">
        <v>1112</v>
      </c>
      <c r="F6173" s="3">
        <v>2738.88</v>
      </c>
      <c r="G6173" s="3">
        <v>2738.88</v>
      </c>
    </row>
    <row r="6174" spans="1:7" x14ac:dyDescent="0.2">
      <c r="A6174" s="3" t="s">
        <v>1072</v>
      </c>
      <c r="B6174" s="4">
        <v>45382</v>
      </c>
      <c r="C6174" s="3" t="s">
        <v>1168</v>
      </c>
      <c r="D6174" s="3" t="s">
        <v>1360</v>
      </c>
      <c r="E6174" s="3" t="s">
        <v>1098</v>
      </c>
      <c r="F6174" s="3">
        <v>1506.47</v>
      </c>
      <c r="G6174" s="3">
        <v>1506.47</v>
      </c>
    </row>
    <row r="6175" spans="1:7" x14ac:dyDescent="0.2">
      <c r="A6175" s="3" t="s">
        <v>1072</v>
      </c>
      <c r="B6175" s="4">
        <v>45382</v>
      </c>
      <c r="C6175" s="3" t="s">
        <v>1168</v>
      </c>
      <c r="D6175" s="3" t="s">
        <v>1361</v>
      </c>
      <c r="E6175" s="3" t="s">
        <v>1121</v>
      </c>
      <c r="F6175" s="3">
        <v>42181.43</v>
      </c>
      <c r="G6175" s="3">
        <v>42181.43</v>
      </c>
    </row>
    <row r="6176" spans="1:7" x14ac:dyDescent="0.2">
      <c r="A6176" s="3" t="s">
        <v>1072</v>
      </c>
      <c r="B6176" s="4">
        <v>45382</v>
      </c>
      <c r="C6176" s="3" t="s">
        <v>1168</v>
      </c>
      <c r="D6176" s="3" t="s">
        <v>1231</v>
      </c>
      <c r="E6176" s="3" t="s">
        <v>1083</v>
      </c>
      <c r="F6176" s="3">
        <v>989.75</v>
      </c>
      <c r="G6176" s="3">
        <v>989.75</v>
      </c>
    </row>
    <row r="6177" spans="1:7" x14ac:dyDescent="0.2">
      <c r="A6177" s="3" t="s">
        <v>1072</v>
      </c>
      <c r="B6177" s="4">
        <v>45382</v>
      </c>
      <c r="C6177" s="3" t="s">
        <v>1168</v>
      </c>
      <c r="D6177" s="3" t="s">
        <v>1254</v>
      </c>
      <c r="E6177" s="3" t="s">
        <v>1075</v>
      </c>
      <c r="F6177" s="3">
        <v>95</v>
      </c>
      <c r="G6177" s="3">
        <v>95</v>
      </c>
    </row>
    <row r="6178" spans="1:7" x14ac:dyDescent="0.2">
      <c r="A6178" s="3" t="s">
        <v>1072</v>
      </c>
      <c r="B6178" s="4">
        <v>45382</v>
      </c>
      <c r="C6178" s="3" t="s">
        <v>1168</v>
      </c>
      <c r="D6178" s="3" t="s">
        <v>1362</v>
      </c>
      <c r="E6178" s="3" t="s">
        <v>1123</v>
      </c>
      <c r="F6178" s="3">
        <v>392992.71</v>
      </c>
      <c r="G6178" s="3">
        <v>392992.71</v>
      </c>
    </row>
    <row r="6179" spans="1:7" x14ac:dyDescent="0.2">
      <c r="A6179" s="3" t="s">
        <v>1069</v>
      </c>
      <c r="B6179" s="4">
        <v>45382</v>
      </c>
      <c r="C6179" s="3" t="s">
        <v>1168</v>
      </c>
      <c r="D6179" s="3" t="s">
        <v>1213</v>
      </c>
      <c r="E6179" s="3" t="s">
        <v>1150</v>
      </c>
      <c r="F6179" s="3">
        <v>749.28</v>
      </c>
      <c r="G6179" s="3">
        <v>749.28</v>
      </c>
    </row>
    <row r="6180" spans="1:7" x14ac:dyDescent="0.2">
      <c r="A6180" s="3" t="s">
        <v>1072</v>
      </c>
      <c r="B6180" s="4">
        <v>45382</v>
      </c>
      <c r="C6180" s="3" t="s">
        <v>1168</v>
      </c>
      <c r="D6180" s="3" t="s">
        <v>1765</v>
      </c>
      <c r="E6180" s="3" t="s">
        <v>1766</v>
      </c>
      <c r="F6180" s="3">
        <v>4356.7</v>
      </c>
      <c r="G6180" s="3">
        <v>4356.7</v>
      </c>
    </row>
    <row r="6181" spans="1:7" x14ac:dyDescent="0.2">
      <c r="A6181" s="3" t="s">
        <v>1072</v>
      </c>
      <c r="B6181" s="4">
        <v>45382</v>
      </c>
      <c r="C6181" s="3" t="s">
        <v>1168</v>
      </c>
      <c r="D6181" s="3" t="s">
        <v>1368</v>
      </c>
      <c r="E6181" s="3" t="s">
        <v>1124</v>
      </c>
      <c r="F6181" s="3">
        <v>839.18</v>
      </c>
      <c r="G6181" s="3">
        <v>839.18</v>
      </c>
    </row>
    <row r="6182" spans="1:7" x14ac:dyDescent="0.2">
      <c r="A6182" s="3" t="s">
        <v>1072</v>
      </c>
      <c r="B6182" s="4">
        <v>45382</v>
      </c>
      <c r="C6182" s="3" t="s">
        <v>1168</v>
      </c>
      <c r="D6182" s="3" t="s">
        <v>1369</v>
      </c>
      <c r="E6182" s="3" t="s">
        <v>1099</v>
      </c>
      <c r="F6182" s="3">
        <v>1150</v>
      </c>
      <c r="G6182" s="3">
        <v>1150</v>
      </c>
    </row>
    <row r="6183" spans="1:7" x14ac:dyDescent="0.2">
      <c r="A6183" s="3" t="s">
        <v>1072</v>
      </c>
      <c r="B6183" s="4">
        <v>45382</v>
      </c>
      <c r="C6183" s="3" t="s">
        <v>1168</v>
      </c>
      <c r="D6183" s="3" t="s">
        <v>1372</v>
      </c>
      <c r="E6183" s="3" t="s">
        <v>1158</v>
      </c>
      <c r="F6183" s="3">
        <v>600</v>
      </c>
      <c r="G6183" s="3">
        <v>600</v>
      </c>
    </row>
    <row r="6184" spans="1:7" x14ac:dyDescent="0.2">
      <c r="A6184" s="3" t="s">
        <v>1072</v>
      </c>
      <c r="B6184" s="4">
        <v>45382</v>
      </c>
      <c r="C6184" s="3" t="s">
        <v>1168</v>
      </c>
      <c r="D6184" s="3" t="s">
        <v>1373</v>
      </c>
      <c r="E6184" s="3" t="s">
        <v>1092</v>
      </c>
      <c r="F6184" s="3">
        <v>1089</v>
      </c>
      <c r="G6184" s="3">
        <v>1089</v>
      </c>
    </row>
    <row r="6185" spans="1:7" x14ac:dyDescent="0.2">
      <c r="A6185" s="3" t="s">
        <v>1072</v>
      </c>
      <c r="B6185" s="4">
        <v>45382</v>
      </c>
      <c r="C6185" s="3" t="s">
        <v>1168</v>
      </c>
      <c r="D6185" s="3" t="s">
        <v>1737</v>
      </c>
      <c r="E6185" s="3" t="s">
        <v>1148</v>
      </c>
      <c r="F6185" s="3">
        <v>718.93</v>
      </c>
      <c r="G6185" s="3">
        <v>718.93</v>
      </c>
    </row>
    <row r="6186" spans="1:7" x14ac:dyDescent="0.2">
      <c r="A6186" s="3" t="s">
        <v>1069</v>
      </c>
      <c r="B6186" s="4">
        <v>45382</v>
      </c>
      <c r="C6186" s="3" t="s">
        <v>1168</v>
      </c>
      <c r="D6186" s="3" t="s">
        <v>1232</v>
      </c>
      <c r="E6186" s="3" t="s">
        <v>1105</v>
      </c>
      <c r="F6186" s="3">
        <v>600</v>
      </c>
      <c r="G6186" s="3">
        <v>600</v>
      </c>
    </row>
    <row r="6187" spans="1:7" x14ac:dyDescent="0.2">
      <c r="A6187" s="3" t="s">
        <v>1074</v>
      </c>
      <c r="B6187" s="4">
        <v>45382</v>
      </c>
      <c r="C6187" s="3" t="s">
        <v>1168</v>
      </c>
      <c r="D6187" s="3" t="s">
        <v>1232</v>
      </c>
      <c r="E6187" s="3" t="s">
        <v>1105</v>
      </c>
      <c r="F6187" s="3">
        <v>600</v>
      </c>
      <c r="G6187" s="3">
        <v>600</v>
      </c>
    </row>
    <row r="6188" spans="1:7" x14ac:dyDescent="0.2">
      <c r="A6188" s="3" t="s">
        <v>1072</v>
      </c>
      <c r="B6188" s="4">
        <v>45382</v>
      </c>
      <c r="C6188" s="3" t="s">
        <v>1168</v>
      </c>
      <c r="D6188" s="3" t="s">
        <v>1375</v>
      </c>
      <c r="E6188" s="3" t="s">
        <v>1100</v>
      </c>
      <c r="F6188" s="3">
        <v>3280.99</v>
      </c>
      <c r="G6188" s="3">
        <v>3280.99</v>
      </c>
    </row>
    <row r="6189" spans="1:7" x14ac:dyDescent="0.2">
      <c r="A6189" s="3" t="s">
        <v>1072</v>
      </c>
      <c r="B6189" s="4">
        <v>45382</v>
      </c>
      <c r="C6189" s="3" t="s">
        <v>1168</v>
      </c>
      <c r="D6189" s="3" t="s">
        <v>1378</v>
      </c>
      <c r="E6189" s="3" t="s">
        <v>1143</v>
      </c>
      <c r="F6189" s="3">
        <v>91808.9</v>
      </c>
      <c r="G6189" s="3">
        <v>91808.9</v>
      </c>
    </row>
    <row r="6190" spans="1:7" x14ac:dyDescent="0.2">
      <c r="A6190" s="3" t="s">
        <v>1072</v>
      </c>
      <c r="B6190" s="4">
        <v>45382</v>
      </c>
      <c r="C6190" s="3" t="s">
        <v>1168</v>
      </c>
      <c r="D6190" s="3" t="s">
        <v>1379</v>
      </c>
      <c r="E6190" s="3" t="s">
        <v>1107</v>
      </c>
      <c r="F6190" s="3">
        <v>4751.38</v>
      </c>
      <c r="G6190" s="3">
        <v>4751.38</v>
      </c>
    </row>
    <row r="6191" spans="1:7" x14ac:dyDescent="0.2">
      <c r="A6191" s="3" t="s">
        <v>1072</v>
      </c>
      <c r="B6191" s="4">
        <v>45382</v>
      </c>
      <c r="C6191" s="3" t="s">
        <v>1168</v>
      </c>
      <c r="D6191" s="3" t="s">
        <v>1380</v>
      </c>
      <c r="E6191" s="3" t="s">
        <v>1125</v>
      </c>
      <c r="F6191" s="3">
        <v>2583.87</v>
      </c>
      <c r="G6191" s="3">
        <v>2583.87</v>
      </c>
    </row>
    <row r="6192" spans="1:7" x14ac:dyDescent="0.2">
      <c r="A6192" s="3" t="s">
        <v>1072</v>
      </c>
      <c r="B6192" s="4">
        <v>45382</v>
      </c>
      <c r="C6192" s="3" t="s">
        <v>1168</v>
      </c>
      <c r="D6192" s="3" t="s">
        <v>1381</v>
      </c>
      <c r="E6192" s="3" t="s">
        <v>1130</v>
      </c>
      <c r="F6192" s="3">
        <v>2583.87</v>
      </c>
      <c r="G6192" s="3">
        <v>2583.87</v>
      </c>
    </row>
    <row r="6193" spans="1:7" x14ac:dyDescent="0.2">
      <c r="A6193" s="3" t="s">
        <v>1069</v>
      </c>
      <c r="B6193" s="4">
        <v>45382</v>
      </c>
      <c r="C6193" s="3" t="s">
        <v>1172</v>
      </c>
      <c r="D6193" s="3" t="s">
        <v>1173</v>
      </c>
      <c r="E6193" s="3" t="s">
        <v>1174</v>
      </c>
      <c r="F6193" s="3">
        <v>0</v>
      </c>
      <c r="G6193" s="3">
        <v>-100</v>
      </c>
    </row>
    <row r="6194" spans="1:7" x14ac:dyDescent="0.2">
      <c r="A6194" s="3" t="s">
        <v>1072</v>
      </c>
      <c r="B6194" s="4">
        <v>45382</v>
      </c>
      <c r="C6194" s="3" t="s">
        <v>1172</v>
      </c>
      <c r="D6194" s="3" t="s">
        <v>1382</v>
      </c>
      <c r="E6194" s="3" t="s">
        <v>1383</v>
      </c>
      <c r="F6194" s="3">
        <v>0</v>
      </c>
      <c r="G6194" s="3">
        <v>-120</v>
      </c>
    </row>
    <row r="6195" spans="1:7" x14ac:dyDescent="0.2">
      <c r="A6195" s="3" t="s">
        <v>1072</v>
      </c>
      <c r="B6195" s="4">
        <v>45382</v>
      </c>
      <c r="C6195" s="3" t="s">
        <v>1172</v>
      </c>
      <c r="D6195" s="3" t="s">
        <v>1384</v>
      </c>
      <c r="E6195" s="3" t="s">
        <v>1385</v>
      </c>
      <c r="F6195" s="3">
        <v>0</v>
      </c>
      <c r="G6195" s="3">
        <v>174615.65</v>
      </c>
    </row>
    <row r="6196" spans="1:7" x14ac:dyDescent="0.2">
      <c r="A6196" s="3" t="s">
        <v>1069</v>
      </c>
      <c r="B6196" s="4">
        <v>45382</v>
      </c>
      <c r="C6196" s="3" t="s">
        <v>1172</v>
      </c>
      <c r="D6196" s="3" t="s">
        <v>1384</v>
      </c>
      <c r="E6196" s="3" t="s">
        <v>1385</v>
      </c>
      <c r="F6196" s="3">
        <v>0</v>
      </c>
      <c r="G6196" s="3">
        <v>-39545639.299999997</v>
      </c>
    </row>
    <row r="6197" spans="1:7" x14ac:dyDescent="0.2">
      <c r="A6197" s="3" t="s">
        <v>1074</v>
      </c>
      <c r="B6197" s="4">
        <v>45382</v>
      </c>
      <c r="C6197" s="3" t="s">
        <v>1172</v>
      </c>
      <c r="D6197" s="3" t="s">
        <v>1384</v>
      </c>
      <c r="E6197" s="3" t="s">
        <v>1385</v>
      </c>
      <c r="F6197" s="3">
        <v>0</v>
      </c>
      <c r="G6197" s="3">
        <v>-30792555.219999999</v>
      </c>
    </row>
    <row r="6198" spans="1:7" x14ac:dyDescent="0.2">
      <c r="A6198" s="3" t="s">
        <v>1069</v>
      </c>
      <c r="B6198" s="4">
        <v>45382</v>
      </c>
      <c r="C6198" s="3" t="s">
        <v>1180</v>
      </c>
      <c r="D6198" s="3" t="s">
        <v>1241</v>
      </c>
      <c r="E6198" s="3" t="s">
        <v>1242</v>
      </c>
      <c r="F6198" s="3">
        <v>0</v>
      </c>
      <c r="G6198" s="3">
        <v>17562360.850000001</v>
      </c>
    </row>
    <row r="6199" spans="1:7" x14ac:dyDescent="0.2">
      <c r="A6199" s="3" t="s">
        <v>1069</v>
      </c>
      <c r="B6199" s="4">
        <v>45382</v>
      </c>
      <c r="C6199" s="3" t="s">
        <v>1180</v>
      </c>
      <c r="D6199" s="3" t="s">
        <v>1733</v>
      </c>
      <c r="E6199" s="3" t="s">
        <v>1734</v>
      </c>
      <c r="F6199" s="3">
        <v>0</v>
      </c>
      <c r="G6199" s="3">
        <v>13457359</v>
      </c>
    </row>
    <row r="6200" spans="1:7" x14ac:dyDescent="0.2">
      <c r="A6200" s="3" t="s">
        <v>1072</v>
      </c>
      <c r="B6200" s="4">
        <v>45382</v>
      </c>
      <c r="C6200" s="3" t="s">
        <v>1180</v>
      </c>
      <c r="D6200" s="3" t="s">
        <v>1483</v>
      </c>
      <c r="E6200" s="3" t="s">
        <v>1177</v>
      </c>
      <c r="F6200" s="3">
        <v>0</v>
      </c>
      <c r="G6200" s="3">
        <v>-4017423.63</v>
      </c>
    </row>
    <row r="6201" spans="1:7" x14ac:dyDescent="0.2">
      <c r="A6201" s="3" t="s">
        <v>1072</v>
      </c>
      <c r="B6201" s="4">
        <v>45382</v>
      </c>
      <c r="C6201" s="3" t="s">
        <v>1180</v>
      </c>
      <c r="D6201" s="3" t="s">
        <v>1388</v>
      </c>
      <c r="E6201" s="3" t="s">
        <v>1389</v>
      </c>
      <c r="F6201" s="3">
        <v>0</v>
      </c>
      <c r="G6201" s="3">
        <v>-4342.5</v>
      </c>
    </row>
    <row r="6202" spans="1:7" x14ac:dyDescent="0.2">
      <c r="A6202" s="3" t="s">
        <v>1072</v>
      </c>
      <c r="B6202" s="4">
        <v>45382</v>
      </c>
      <c r="C6202" s="3" t="s">
        <v>1180</v>
      </c>
      <c r="D6202" s="3" t="s">
        <v>1723</v>
      </c>
      <c r="E6202" s="3" t="s">
        <v>1724</v>
      </c>
      <c r="F6202" s="3">
        <v>0</v>
      </c>
      <c r="G6202" s="3">
        <v>4702.3500000000004</v>
      </c>
    </row>
    <row r="6203" spans="1:7" x14ac:dyDescent="0.2">
      <c r="A6203" s="3" t="s">
        <v>1072</v>
      </c>
      <c r="B6203" s="4">
        <v>45382</v>
      </c>
      <c r="C6203" s="3" t="s">
        <v>1180</v>
      </c>
      <c r="D6203" s="3" t="s">
        <v>1390</v>
      </c>
      <c r="E6203" s="3" t="s">
        <v>1391</v>
      </c>
      <c r="F6203" s="3">
        <v>350000</v>
      </c>
      <c r="G6203" s="3">
        <v>-1406000</v>
      </c>
    </row>
    <row r="6204" spans="1:7" x14ac:dyDescent="0.2">
      <c r="A6204" s="3" t="s">
        <v>1072</v>
      </c>
      <c r="B6204" s="4">
        <v>45382</v>
      </c>
      <c r="C6204" s="3" t="s">
        <v>1180</v>
      </c>
      <c r="D6204" s="3" t="s">
        <v>1392</v>
      </c>
      <c r="E6204" s="3" t="s">
        <v>1393</v>
      </c>
      <c r="F6204" s="3">
        <v>0</v>
      </c>
      <c r="G6204" s="3">
        <v>4342.5</v>
      </c>
    </row>
    <row r="6205" spans="1:7" x14ac:dyDescent="0.2">
      <c r="A6205" s="3" t="s">
        <v>1072</v>
      </c>
      <c r="B6205" s="4">
        <v>45382</v>
      </c>
      <c r="C6205" s="3" t="s">
        <v>1180</v>
      </c>
      <c r="D6205" s="3" t="s">
        <v>1394</v>
      </c>
      <c r="E6205" s="3" t="s">
        <v>1256</v>
      </c>
      <c r="F6205" s="3">
        <v>-39400</v>
      </c>
      <c r="G6205" s="3">
        <v>-57000</v>
      </c>
    </row>
    <row r="6206" spans="1:7" x14ac:dyDescent="0.2">
      <c r="A6206" s="3" t="s">
        <v>1072</v>
      </c>
      <c r="B6206" s="4">
        <v>45382</v>
      </c>
      <c r="C6206" s="3" t="s">
        <v>1180</v>
      </c>
      <c r="D6206" s="3" t="s">
        <v>1395</v>
      </c>
      <c r="E6206" s="3" t="s">
        <v>1396</v>
      </c>
      <c r="F6206" s="3">
        <v>-950000</v>
      </c>
      <c r="G6206" s="3">
        <v>-27174738.420000002</v>
      </c>
    </row>
    <row r="6207" spans="1:7" x14ac:dyDescent="0.2">
      <c r="A6207" s="3" t="s">
        <v>1072</v>
      </c>
      <c r="B6207" s="4">
        <v>45382</v>
      </c>
      <c r="C6207" s="3" t="s">
        <v>1180</v>
      </c>
      <c r="D6207" s="3" t="s">
        <v>1397</v>
      </c>
      <c r="E6207" s="3" t="s">
        <v>1398</v>
      </c>
      <c r="F6207" s="3">
        <v>600</v>
      </c>
      <c r="G6207" s="3">
        <v>-199589.44</v>
      </c>
    </row>
    <row r="6208" spans="1:7" x14ac:dyDescent="0.2">
      <c r="A6208" s="3" t="s">
        <v>1072</v>
      </c>
      <c r="B6208" s="4">
        <v>45382</v>
      </c>
      <c r="C6208" s="3" t="s">
        <v>1180</v>
      </c>
      <c r="D6208" s="3" t="s">
        <v>1512</v>
      </c>
      <c r="E6208" s="3" t="s">
        <v>1513</v>
      </c>
      <c r="F6208" s="3">
        <v>-900000</v>
      </c>
      <c r="G6208" s="3">
        <v>26642687.399999999</v>
      </c>
    </row>
    <row r="6209" spans="1:7" x14ac:dyDescent="0.2">
      <c r="A6209" s="3" t="s">
        <v>1072</v>
      </c>
      <c r="B6209" s="4">
        <v>45382</v>
      </c>
      <c r="C6209" s="3" t="s">
        <v>1180</v>
      </c>
      <c r="D6209" s="3" t="s">
        <v>1399</v>
      </c>
      <c r="E6209" s="3" t="s">
        <v>1400</v>
      </c>
      <c r="F6209" s="3">
        <v>50000</v>
      </c>
      <c r="G6209" s="3">
        <v>317399</v>
      </c>
    </row>
    <row r="6210" spans="1:7" x14ac:dyDescent="0.2">
      <c r="A6210" s="3" t="s">
        <v>1074</v>
      </c>
      <c r="B6210" s="4">
        <v>45382</v>
      </c>
      <c r="C6210" s="3" t="s">
        <v>1175</v>
      </c>
      <c r="D6210" s="3" t="s">
        <v>1492</v>
      </c>
      <c r="E6210" s="3" t="s">
        <v>1493</v>
      </c>
      <c r="F6210" s="3">
        <v>-5360415.7300000004</v>
      </c>
      <c r="G6210" s="3">
        <v>-55057558.530000001</v>
      </c>
    </row>
    <row r="6211" spans="1:7" x14ac:dyDescent="0.2">
      <c r="A6211" s="3" t="s">
        <v>1069</v>
      </c>
      <c r="B6211" s="4">
        <v>45382</v>
      </c>
      <c r="C6211" s="3" t="s">
        <v>1175</v>
      </c>
      <c r="D6211" s="3" t="s">
        <v>1176</v>
      </c>
      <c r="E6211" s="3" t="s">
        <v>1177</v>
      </c>
      <c r="F6211" s="3">
        <v>0</v>
      </c>
      <c r="G6211" s="3">
        <v>1800000</v>
      </c>
    </row>
    <row r="6212" spans="1:7" x14ac:dyDescent="0.2">
      <c r="A6212" s="3" t="s">
        <v>1069</v>
      </c>
      <c r="B6212" s="4">
        <v>45382</v>
      </c>
      <c r="C6212" s="3" t="s">
        <v>1175</v>
      </c>
      <c r="D6212" s="3" t="s">
        <v>1178</v>
      </c>
      <c r="E6212" s="3" t="s">
        <v>1179</v>
      </c>
      <c r="F6212" s="3">
        <v>1150000</v>
      </c>
      <c r="G6212" s="3">
        <v>27124738.420000002</v>
      </c>
    </row>
    <row r="6213" spans="1:7" x14ac:dyDescent="0.2">
      <c r="A6213" s="3" t="s">
        <v>1069</v>
      </c>
      <c r="B6213" s="4">
        <v>45382</v>
      </c>
      <c r="C6213" s="3" t="s">
        <v>1175</v>
      </c>
      <c r="D6213" s="3" t="s">
        <v>1233</v>
      </c>
      <c r="E6213" s="3" t="s">
        <v>1234</v>
      </c>
      <c r="F6213" s="3">
        <v>410000</v>
      </c>
      <c r="G6213" s="3">
        <v>2484275</v>
      </c>
    </row>
    <row r="6214" spans="1:7" x14ac:dyDescent="0.2">
      <c r="A6214" s="3" t="s">
        <v>1069</v>
      </c>
      <c r="B6214" s="4">
        <v>45382</v>
      </c>
      <c r="C6214" s="3" t="s">
        <v>1175</v>
      </c>
      <c r="D6214" s="3" t="s">
        <v>1494</v>
      </c>
      <c r="E6214" s="3" t="s">
        <v>1495</v>
      </c>
      <c r="F6214" s="3">
        <v>5360415.7300000004</v>
      </c>
      <c r="G6214" s="3">
        <v>55057558</v>
      </c>
    </row>
    <row r="6215" spans="1:7" x14ac:dyDescent="0.2">
      <c r="A6215" s="3" t="s">
        <v>1069</v>
      </c>
      <c r="B6215" s="4">
        <v>45382</v>
      </c>
      <c r="C6215" s="3" t="s">
        <v>1175</v>
      </c>
      <c r="D6215" s="3" t="s">
        <v>1756</v>
      </c>
      <c r="E6215" s="3" t="s">
        <v>1757</v>
      </c>
      <c r="F6215" s="3">
        <v>-2500</v>
      </c>
      <c r="G6215" s="3">
        <v>7500</v>
      </c>
    </row>
    <row r="6216" spans="1:7" x14ac:dyDescent="0.2">
      <c r="A6216" s="3" t="s">
        <v>1069</v>
      </c>
      <c r="B6216" s="4">
        <v>45382</v>
      </c>
      <c r="C6216" s="3" t="s">
        <v>1175</v>
      </c>
      <c r="D6216" s="3" t="s">
        <v>1516</v>
      </c>
      <c r="E6216" s="3" t="s">
        <v>1400</v>
      </c>
      <c r="F6216" s="3">
        <v>0</v>
      </c>
      <c r="G6216" s="3">
        <v>-107900</v>
      </c>
    </row>
    <row r="6217" spans="1:7" x14ac:dyDescent="0.2">
      <c r="A6217" s="3" t="s">
        <v>1069</v>
      </c>
      <c r="B6217" s="4">
        <v>45382</v>
      </c>
      <c r="C6217" s="3" t="s">
        <v>1175</v>
      </c>
      <c r="D6217" s="3" t="s">
        <v>1738</v>
      </c>
      <c r="E6217" s="3" t="s">
        <v>1739</v>
      </c>
      <c r="F6217" s="3">
        <v>0</v>
      </c>
      <c r="G6217" s="3">
        <v>500</v>
      </c>
    </row>
    <row r="6218" spans="1:7" x14ac:dyDescent="0.2">
      <c r="A6218" s="3" t="s">
        <v>1069</v>
      </c>
      <c r="B6218" s="4">
        <v>45382</v>
      </c>
      <c r="C6218" s="3" t="s">
        <v>1175</v>
      </c>
      <c r="D6218" s="3" t="s">
        <v>1771</v>
      </c>
      <c r="E6218" s="3" t="s">
        <v>1772</v>
      </c>
      <c r="F6218" s="3">
        <v>-300000</v>
      </c>
      <c r="G6218" s="3">
        <v>-300000</v>
      </c>
    </row>
    <row r="6219" spans="1:7" x14ac:dyDescent="0.2">
      <c r="A6219" s="3" t="s">
        <v>1069</v>
      </c>
      <c r="B6219" s="4">
        <v>45382</v>
      </c>
      <c r="C6219" s="3" t="s">
        <v>1180</v>
      </c>
      <c r="D6219" s="3" t="s">
        <v>1748</v>
      </c>
      <c r="E6219" s="3" t="s">
        <v>1749</v>
      </c>
      <c r="F6219" s="3">
        <v>0</v>
      </c>
      <c r="G6219" s="3">
        <v>1304260.8700000001</v>
      </c>
    </row>
    <row r="6220" spans="1:7" x14ac:dyDescent="0.2">
      <c r="A6220" s="3" t="s">
        <v>1069</v>
      </c>
      <c r="B6220" s="4">
        <v>45382</v>
      </c>
      <c r="C6220" s="3" t="s">
        <v>1180</v>
      </c>
      <c r="D6220" s="3" t="s">
        <v>1750</v>
      </c>
      <c r="E6220" s="3" t="s">
        <v>1751</v>
      </c>
      <c r="F6220" s="3">
        <v>0</v>
      </c>
      <c r="G6220" s="3">
        <v>1356434.78</v>
      </c>
    </row>
    <row r="6221" spans="1:7" x14ac:dyDescent="0.2">
      <c r="A6221" s="3" t="s">
        <v>1069</v>
      </c>
      <c r="B6221" s="4">
        <v>45382</v>
      </c>
      <c r="C6221" s="3" t="s">
        <v>1180</v>
      </c>
      <c r="D6221" s="3" t="s">
        <v>1752</v>
      </c>
      <c r="E6221" s="3" t="s">
        <v>1753</v>
      </c>
      <c r="F6221" s="3">
        <v>0</v>
      </c>
      <c r="G6221" s="3">
        <v>1373826.09</v>
      </c>
    </row>
    <row r="6222" spans="1:7" x14ac:dyDescent="0.2">
      <c r="A6222" s="3" t="s">
        <v>1069</v>
      </c>
      <c r="B6222" s="4">
        <v>45382</v>
      </c>
      <c r="C6222" s="3" t="s">
        <v>1180</v>
      </c>
      <c r="D6222" s="3" t="s">
        <v>1754</v>
      </c>
      <c r="E6222" s="3" t="s">
        <v>1755</v>
      </c>
      <c r="F6222" s="3">
        <v>0</v>
      </c>
      <c r="G6222" s="3">
        <v>1391217.39</v>
      </c>
    </row>
    <row r="6223" spans="1:7" x14ac:dyDescent="0.2">
      <c r="A6223" s="3" t="s">
        <v>1069</v>
      </c>
      <c r="B6223" s="4">
        <v>45382</v>
      </c>
      <c r="C6223" s="3" t="s">
        <v>1180</v>
      </c>
      <c r="D6223" s="3" t="s">
        <v>1740</v>
      </c>
      <c r="E6223" s="3" t="s">
        <v>1741</v>
      </c>
      <c r="F6223" s="3">
        <v>0</v>
      </c>
      <c r="G6223" s="3">
        <v>1304260.8700000001</v>
      </c>
    </row>
    <row r="6224" spans="1:7" x14ac:dyDescent="0.2">
      <c r="A6224" s="3" t="s">
        <v>1072</v>
      </c>
      <c r="B6224" s="4">
        <v>45382</v>
      </c>
      <c r="C6224" s="3" t="s">
        <v>1180</v>
      </c>
      <c r="D6224" s="3" t="s">
        <v>1409</v>
      </c>
      <c r="E6224" s="3" t="s">
        <v>1410</v>
      </c>
      <c r="F6224" s="3">
        <v>0</v>
      </c>
      <c r="G6224" s="3">
        <v>216064.1</v>
      </c>
    </row>
    <row r="6225" spans="1:7" x14ac:dyDescent="0.2">
      <c r="A6225" s="3" t="s">
        <v>1072</v>
      </c>
      <c r="B6225" s="4">
        <v>45382</v>
      </c>
      <c r="C6225" s="3" t="s">
        <v>1180</v>
      </c>
      <c r="D6225" s="3" t="s">
        <v>1411</v>
      </c>
      <c r="E6225" s="3" t="s">
        <v>1412</v>
      </c>
      <c r="F6225" s="3">
        <v>-1</v>
      </c>
      <c r="G6225" s="3">
        <v>-216064.1</v>
      </c>
    </row>
    <row r="6226" spans="1:7" x14ac:dyDescent="0.2">
      <c r="A6226" s="3" t="s">
        <v>1072</v>
      </c>
      <c r="B6226" s="4">
        <v>45382</v>
      </c>
      <c r="C6226" s="3" t="s">
        <v>1180</v>
      </c>
      <c r="D6226" s="3" t="s">
        <v>1413</v>
      </c>
      <c r="E6226" s="3" t="s">
        <v>1414</v>
      </c>
      <c r="F6226" s="3">
        <v>-14130</v>
      </c>
      <c r="G6226" s="3">
        <v>170108.57</v>
      </c>
    </row>
    <row r="6227" spans="1:7" x14ac:dyDescent="0.2">
      <c r="A6227" s="3" t="s">
        <v>1072</v>
      </c>
      <c r="B6227" s="4">
        <v>45382</v>
      </c>
      <c r="C6227" s="3" t="s">
        <v>1180</v>
      </c>
      <c r="D6227" s="3" t="s">
        <v>1415</v>
      </c>
      <c r="E6227" s="3" t="s">
        <v>1416</v>
      </c>
      <c r="F6227" s="3">
        <v>8728.64</v>
      </c>
      <c r="G6227" s="3">
        <v>-80712.28</v>
      </c>
    </row>
    <row r="6228" spans="1:7" x14ac:dyDescent="0.2">
      <c r="A6228" s="3" t="s">
        <v>1072</v>
      </c>
      <c r="B6228" s="4">
        <v>45382</v>
      </c>
      <c r="C6228" s="3" t="s">
        <v>1180</v>
      </c>
      <c r="D6228" s="3" t="s">
        <v>1462</v>
      </c>
      <c r="E6228" s="3" t="s">
        <v>1463</v>
      </c>
      <c r="F6228" s="3">
        <v>0</v>
      </c>
      <c r="G6228" s="3">
        <v>37955.300000000003</v>
      </c>
    </row>
    <row r="6229" spans="1:7" x14ac:dyDescent="0.2">
      <c r="A6229" s="3" t="s">
        <v>1072</v>
      </c>
      <c r="B6229" s="4">
        <v>45382</v>
      </c>
      <c r="C6229" s="3" t="s">
        <v>1180</v>
      </c>
      <c r="D6229" s="3" t="s">
        <v>1484</v>
      </c>
      <c r="E6229" s="3" t="s">
        <v>1485</v>
      </c>
      <c r="F6229" s="3">
        <v>-568.20000000000005</v>
      </c>
      <c r="G6229" s="3">
        <v>-13034.87</v>
      </c>
    </row>
    <row r="6230" spans="1:7" x14ac:dyDescent="0.2">
      <c r="A6230" s="3" t="s">
        <v>1072</v>
      </c>
      <c r="B6230" s="4">
        <v>45382</v>
      </c>
      <c r="C6230" s="3" t="s">
        <v>1180</v>
      </c>
      <c r="D6230" s="3" t="s">
        <v>1417</v>
      </c>
      <c r="E6230" s="3" t="s">
        <v>1418</v>
      </c>
      <c r="F6230" s="3">
        <v>0</v>
      </c>
      <c r="G6230" s="3">
        <v>71322</v>
      </c>
    </row>
    <row r="6231" spans="1:7" x14ac:dyDescent="0.2">
      <c r="A6231" s="3" t="s">
        <v>1072</v>
      </c>
      <c r="B6231" s="4">
        <v>45382</v>
      </c>
      <c r="C6231" s="3" t="s">
        <v>1180</v>
      </c>
      <c r="D6231" s="3" t="s">
        <v>1419</v>
      </c>
      <c r="E6231" s="3" t="s">
        <v>1420</v>
      </c>
      <c r="F6231" s="3">
        <v>-1349.81</v>
      </c>
      <c r="G6231" s="3">
        <v>-16749.04</v>
      </c>
    </row>
    <row r="6232" spans="1:7" x14ac:dyDescent="0.2">
      <c r="A6232" s="3" t="s">
        <v>1069</v>
      </c>
      <c r="B6232" s="4">
        <v>45382</v>
      </c>
      <c r="C6232" s="3" t="s">
        <v>1180</v>
      </c>
      <c r="D6232" s="3" t="s">
        <v>1421</v>
      </c>
      <c r="E6232" s="3" t="s">
        <v>1422</v>
      </c>
      <c r="F6232" s="3">
        <v>0</v>
      </c>
      <c r="G6232" s="3">
        <v>874505.75</v>
      </c>
    </row>
    <row r="6233" spans="1:7" x14ac:dyDescent="0.2">
      <c r="A6233" s="3" t="s">
        <v>1074</v>
      </c>
      <c r="B6233" s="4">
        <v>45382</v>
      </c>
      <c r="C6233" s="3" t="s">
        <v>1180</v>
      </c>
      <c r="D6233" s="3" t="s">
        <v>1421</v>
      </c>
      <c r="E6233" s="3" t="s">
        <v>1533</v>
      </c>
      <c r="F6233" s="3">
        <v>0</v>
      </c>
      <c r="G6233" s="3">
        <v>2472501.08</v>
      </c>
    </row>
    <row r="6234" spans="1:7" x14ac:dyDescent="0.2">
      <c r="A6234" s="3" t="s">
        <v>1069</v>
      </c>
      <c r="B6234" s="4">
        <v>45382</v>
      </c>
      <c r="C6234" s="3" t="s">
        <v>1180</v>
      </c>
      <c r="D6234" s="3" t="s">
        <v>1214</v>
      </c>
      <c r="E6234" s="3" t="s">
        <v>1215</v>
      </c>
      <c r="F6234" s="3">
        <v>0</v>
      </c>
      <c r="G6234" s="3">
        <v>26200000</v>
      </c>
    </row>
    <row r="6235" spans="1:7" x14ac:dyDescent="0.2">
      <c r="A6235" s="3" t="s">
        <v>1069</v>
      </c>
      <c r="B6235" s="4">
        <v>45382</v>
      </c>
      <c r="C6235" s="3" t="s">
        <v>1180</v>
      </c>
      <c r="D6235" s="3" t="s">
        <v>1216</v>
      </c>
      <c r="E6235" s="3" t="s">
        <v>1217</v>
      </c>
      <c r="F6235" s="3">
        <v>0</v>
      </c>
      <c r="G6235" s="3">
        <v>68427</v>
      </c>
    </row>
    <row r="6236" spans="1:7" x14ac:dyDescent="0.2">
      <c r="A6236" s="3" t="s">
        <v>1069</v>
      </c>
      <c r="B6236" s="4">
        <v>45382</v>
      </c>
      <c r="C6236" s="3" t="s">
        <v>1180</v>
      </c>
      <c r="D6236" s="3" t="s">
        <v>1218</v>
      </c>
      <c r="E6236" s="3" t="s">
        <v>1219</v>
      </c>
      <c r="F6236" s="3">
        <v>0</v>
      </c>
      <c r="G6236" s="3">
        <v>103812</v>
      </c>
    </row>
    <row r="6237" spans="1:7" x14ac:dyDescent="0.2">
      <c r="A6237" s="3" t="s">
        <v>1069</v>
      </c>
      <c r="B6237" s="4">
        <v>45382</v>
      </c>
      <c r="C6237" s="3" t="s">
        <v>1180</v>
      </c>
      <c r="D6237" s="3" t="s">
        <v>1197</v>
      </c>
      <c r="E6237" s="3" t="s">
        <v>1198</v>
      </c>
      <c r="F6237" s="3">
        <v>0</v>
      </c>
      <c r="G6237" s="3">
        <v>314087</v>
      </c>
    </row>
    <row r="6238" spans="1:7" x14ac:dyDescent="0.2">
      <c r="A6238" s="3" t="s">
        <v>1074</v>
      </c>
      <c r="B6238" s="4">
        <v>45382</v>
      </c>
      <c r="C6238" s="3" t="s">
        <v>1180</v>
      </c>
      <c r="D6238" s="3" t="s">
        <v>1197</v>
      </c>
      <c r="E6238" s="3" t="s">
        <v>1550</v>
      </c>
      <c r="F6238" s="3">
        <v>4000</v>
      </c>
      <c r="G6238" s="3">
        <v>719552.6</v>
      </c>
    </row>
    <row r="6239" spans="1:7" x14ac:dyDescent="0.2">
      <c r="A6239" s="3" t="s">
        <v>1069</v>
      </c>
      <c r="B6239" s="4">
        <v>45382</v>
      </c>
      <c r="C6239" s="3" t="s">
        <v>1180</v>
      </c>
      <c r="D6239" s="3" t="s">
        <v>1496</v>
      </c>
      <c r="E6239" s="3" t="s">
        <v>1497</v>
      </c>
      <c r="F6239" s="3">
        <v>0</v>
      </c>
      <c r="G6239" s="3">
        <v>139500</v>
      </c>
    </row>
    <row r="6240" spans="1:7" x14ac:dyDescent="0.2">
      <c r="A6240" s="3" t="s">
        <v>1069</v>
      </c>
      <c r="B6240" s="4">
        <v>45382</v>
      </c>
      <c r="C6240" s="3" t="s">
        <v>1180</v>
      </c>
      <c r="D6240" s="3" t="s">
        <v>1181</v>
      </c>
      <c r="E6240" s="3" t="s">
        <v>1182</v>
      </c>
      <c r="F6240" s="3">
        <v>0</v>
      </c>
      <c r="G6240" s="3">
        <v>8557641.8000000007</v>
      </c>
    </row>
    <row r="6241" spans="1:7" x14ac:dyDescent="0.2">
      <c r="A6241" s="3" t="s">
        <v>1069</v>
      </c>
      <c r="B6241" s="4">
        <v>45382</v>
      </c>
      <c r="C6241" s="3" t="s">
        <v>1180</v>
      </c>
      <c r="D6241" s="3" t="s">
        <v>1263</v>
      </c>
      <c r="E6241" s="3" t="s">
        <v>1264</v>
      </c>
      <c r="F6241" s="3">
        <v>0</v>
      </c>
      <c r="G6241" s="3">
        <v>13807.78</v>
      </c>
    </row>
    <row r="6242" spans="1:7" x14ac:dyDescent="0.2">
      <c r="A6242" s="3" t="s">
        <v>1069</v>
      </c>
      <c r="B6242" s="4">
        <v>45382</v>
      </c>
      <c r="C6242" s="3" t="s">
        <v>1180</v>
      </c>
      <c r="D6242" s="3" t="s">
        <v>1202</v>
      </c>
      <c r="E6242" s="3" t="s">
        <v>1203</v>
      </c>
      <c r="F6242" s="3">
        <v>0</v>
      </c>
      <c r="G6242" s="3">
        <v>197060.09</v>
      </c>
    </row>
    <row r="6243" spans="1:7" x14ac:dyDescent="0.2">
      <c r="A6243" s="3" t="s">
        <v>1074</v>
      </c>
      <c r="B6243" s="4">
        <v>45382</v>
      </c>
      <c r="C6243" s="3" t="s">
        <v>1180</v>
      </c>
      <c r="D6243" s="3" t="s">
        <v>1202</v>
      </c>
      <c r="E6243" s="3" t="s">
        <v>1577</v>
      </c>
      <c r="F6243" s="3">
        <v>0</v>
      </c>
      <c r="G6243" s="3">
        <v>321942.46999999997</v>
      </c>
    </row>
    <row r="6244" spans="1:7" x14ac:dyDescent="0.2">
      <c r="A6244" s="3" t="s">
        <v>1069</v>
      </c>
      <c r="B6244" s="4">
        <v>45382</v>
      </c>
      <c r="C6244" s="3" t="s">
        <v>1180</v>
      </c>
      <c r="D6244" s="3" t="s">
        <v>1204</v>
      </c>
      <c r="E6244" s="3" t="s">
        <v>1205</v>
      </c>
      <c r="F6244" s="3">
        <v>0</v>
      </c>
      <c r="G6244" s="3">
        <v>7500</v>
      </c>
    </row>
    <row r="6245" spans="1:7" x14ac:dyDescent="0.2">
      <c r="A6245" s="3" t="s">
        <v>1074</v>
      </c>
      <c r="B6245" s="4">
        <v>45382</v>
      </c>
      <c r="C6245" s="3" t="s">
        <v>1180</v>
      </c>
      <c r="D6245" s="3" t="s">
        <v>1204</v>
      </c>
      <c r="E6245" s="3" t="s">
        <v>1673</v>
      </c>
      <c r="F6245" s="3">
        <v>0</v>
      </c>
      <c r="G6245" s="3">
        <v>114370.5</v>
      </c>
    </row>
    <row r="6246" spans="1:7" x14ac:dyDescent="0.2">
      <c r="A6246" s="3" t="s">
        <v>1069</v>
      </c>
      <c r="B6246" s="4">
        <v>45382</v>
      </c>
      <c r="C6246" s="3" t="s">
        <v>1180</v>
      </c>
      <c r="D6246" s="3" t="s">
        <v>1199</v>
      </c>
      <c r="E6246" s="3" t="s">
        <v>1200</v>
      </c>
      <c r="F6246" s="3">
        <v>0</v>
      </c>
      <c r="G6246" s="3">
        <v>146256.38</v>
      </c>
    </row>
    <row r="6247" spans="1:7" x14ac:dyDescent="0.2">
      <c r="A6247" s="3" t="s">
        <v>1069</v>
      </c>
      <c r="B6247" s="4">
        <v>45382</v>
      </c>
      <c r="C6247" s="3" t="s">
        <v>1180</v>
      </c>
      <c r="D6247" s="3" t="s">
        <v>1486</v>
      </c>
      <c r="E6247" s="3" t="s">
        <v>1487</v>
      </c>
      <c r="F6247" s="3">
        <v>0</v>
      </c>
      <c r="G6247" s="3">
        <v>20600</v>
      </c>
    </row>
    <row r="6248" spans="1:7" x14ac:dyDescent="0.2">
      <c r="A6248" s="3" t="s">
        <v>1069</v>
      </c>
      <c r="B6248" s="4">
        <v>45382</v>
      </c>
      <c r="C6248" s="3" t="s">
        <v>1180</v>
      </c>
      <c r="D6248" s="3" t="s">
        <v>1220</v>
      </c>
      <c r="E6248" s="3" t="s">
        <v>1221</v>
      </c>
      <c r="F6248" s="3">
        <v>0</v>
      </c>
      <c r="G6248" s="3">
        <v>15175</v>
      </c>
    </row>
    <row r="6249" spans="1:7" x14ac:dyDescent="0.2">
      <c r="A6249" s="3" t="s">
        <v>1069</v>
      </c>
      <c r="B6249" s="4">
        <v>45382</v>
      </c>
      <c r="C6249" s="3" t="s">
        <v>1180</v>
      </c>
      <c r="D6249" s="3" t="s">
        <v>1498</v>
      </c>
      <c r="E6249" s="3" t="s">
        <v>1499</v>
      </c>
      <c r="F6249" s="3">
        <v>0</v>
      </c>
      <c r="G6249" s="3">
        <v>570856.07999999996</v>
      </c>
    </row>
    <row r="6250" spans="1:7" x14ac:dyDescent="0.2">
      <c r="A6250" s="3" t="s">
        <v>1069</v>
      </c>
      <c r="B6250" s="4">
        <v>45382</v>
      </c>
      <c r="C6250" s="3" t="s">
        <v>1180</v>
      </c>
      <c r="D6250" s="3" t="s">
        <v>1183</v>
      </c>
      <c r="E6250" s="3" t="s">
        <v>1184</v>
      </c>
      <c r="F6250" s="3">
        <v>0</v>
      </c>
      <c r="G6250" s="3">
        <v>47748851.509999998</v>
      </c>
    </row>
    <row r="6251" spans="1:7" x14ac:dyDescent="0.2">
      <c r="A6251" s="3" t="s">
        <v>1074</v>
      </c>
      <c r="B6251" s="4">
        <v>45382</v>
      </c>
      <c r="C6251" s="3" t="s">
        <v>1180</v>
      </c>
      <c r="D6251" s="3" t="s">
        <v>1183</v>
      </c>
      <c r="E6251" s="3" t="s">
        <v>1631</v>
      </c>
      <c r="F6251" s="3">
        <v>7021091.5999999996</v>
      </c>
      <c r="G6251" s="3">
        <v>55046882.509999998</v>
      </c>
    </row>
    <row r="6252" spans="1:7" x14ac:dyDescent="0.2">
      <c r="A6252" s="3" t="s">
        <v>1069</v>
      </c>
      <c r="B6252" s="4">
        <v>45382</v>
      </c>
      <c r="C6252" s="3" t="s">
        <v>1180</v>
      </c>
      <c r="D6252" s="3" t="s">
        <v>1222</v>
      </c>
      <c r="E6252" s="3" t="s">
        <v>1223</v>
      </c>
      <c r="F6252" s="3">
        <v>0</v>
      </c>
      <c r="G6252" s="3">
        <v>3850818.04</v>
      </c>
    </row>
    <row r="6253" spans="1:7" x14ac:dyDescent="0.2">
      <c r="A6253" s="3" t="s">
        <v>1074</v>
      </c>
      <c r="B6253" s="4">
        <v>45382</v>
      </c>
      <c r="C6253" s="3" t="s">
        <v>1180</v>
      </c>
      <c r="D6253" s="3" t="s">
        <v>1222</v>
      </c>
      <c r="E6253" s="3" t="s">
        <v>1664</v>
      </c>
      <c r="F6253" s="3">
        <v>0</v>
      </c>
      <c r="G6253" s="3">
        <v>1826086.96</v>
      </c>
    </row>
    <row r="6254" spans="1:7" x14ac:dyDescent="0.2">
      <c r="A6254" s="3" t="s">
        <v>1069</v>
      </c>
      <c r="B6254" s="4">
        <v>45382</v>
      </c>
      <c r="C6254" s="3" t="s">
        <v>1180</v>
      </c>
      <c r="D6254" s="3" t="s">
        <v>1235</v>
      </c>
      <c r="E6254" s="3" t="s">
        <v>1236</v>
      </c>
      <c r="F6254" s="3">
        <v>0</v>
      </c>
      <c r="G6254" s="3">
        <v>782608.07</v>
      </c>
    </row>
    <row r="6255" spans="1:7" x14ac:dyDescent="0.2">
      <c r="A6255" s="3" t="s">
        <v>1074</v>
      </c>
      <c r="B6255" s="4">
        <v>45382</v>
      </c>
      <c r="C6255" s="3" t="s">
        <v>1180</v>
      </c>
      <c r="D6255" s="3" t="s">
        <v>1235</v>
      </c>
      <c r="E6255" s="3" t="s">
        <v>1715</v>
      </c>
      <c r="F6255" s="3">
        <v>0</v>
      </c>
      <c r="G6255" s="3">
        <v>217391.3</v>
      </c>
    </row>
    <row r="6256" spans="1:7" x14ac:dyDescent="0.2">
      <c r="A6256" s="3" t="s">
        <v>1069</v>
      </c>
      <c r="B6256" s="4">
        <v>45382</v>
      </c>
      <c r="C6256" s="3" t="s">
        <v>1180</v>
      </c>
      <c r="D6256" s="3" t="s">
        <v>1206</v>
      </c>
      <c r="E6256" s="3" t="s">
        <v>1207</v>
      </c>
      <c r="F6256" s="3">
        <v>0</v>
      </c>
      <c r="G6256" s="3">
        <v>166550</v>
      </c>
    </row>
    <row r="6257" spans="1:7" x14ac:dyDescent="0.2">
      <c r="A6257" s="3" t="s">
        <v>1074</v>
      </c>
      <c r="B6257" s="4">
        <v>45382</v>
      </c>
      <c r="C6257" s="3" t="s">
        <v>1180</v>
      </c>
      <c r="D6257" s="3" t="s">
        <v>1206</v>
      </c>
      <c r="E6257" s="3" t="s">
        <v>1697</v>
      </c>
      <c r="F6257" s="3">
        <v>0</v>
      </c>
      <c r="G6257" s="3">
        <v>2834.7</v>
      </c>
    </row>
    <row r="6258" spans="1:7" x14ac:dyDescent="0.2">
      <c r="A6258" s="3" t="s">
        <v>1069</v>
      </c>
      <c r="B6258" s="4">
        <v>45382</v>
      </c>
      <c r="C6258" s="3" t="s">
        <v>1180</v>
      </c>
      <c r="D6258" s="3" t="s">
        <v>1208</v>
      </c>
      <c r="E6258" s="3" t="s">
        <v>1209</v>
      </c>
      <c r="F6258" s="3">
        <v>0</v>
      </c>
      <c r="G6258" s="3">
        <v>45000</v>
      </c>
    </row>
    <row r="6259" spans="1:7" x14ac:dyDescent="0.2">
      <c r="A6259" s="3" t="s">
        <v>1069</v>
      </c>
      <c r="B6259" s="4">
        <v>45382</v>
      </c>
      <c r="C6259" s="3" t="s">
        <v>1180</v>
      </c>
      <c r="D6259" s="3" t="s">
        <v>1259</v>
      </c>
      <c r="E6259" s="3" t="s">
        <v>1260</v>
      </c>
      <c r="F6259" s="3">
        <v>6000</v>
      </c>
      <c r="G6259" s="3">
        <v>209000</v>
      </c>
    </row>
    <row r="6260" spans="1:7" x14ac:dyDescent="0.2">
      <c r="A6260" s="3" t="s">
        <v>1074</v>
      </c>
      <c r="B6260" s="4">
        <v>45382</v>
      </c>
      <c r="C6260" s="3" t="s">
        <v>1180</v>
      </c>
      <c r="D6260" s="3" t="s">
        <v>1674</v>
      </c>
      <c r="E6260" s="3" t="s">
        <v>1675</v>
      </c>
      <c r="F6260" s="3">
        <v>28875</v>
      </c>
      <c r="G6260" s="3">
        <v>695752.14</v>
      </c>
    </row>
    <row r="6261" spans="1:7" x14ac:dyDescent="0.2">
      <c r="A6261" s="3" t="s">
        <v>1074</v>
      </c>
      <c r="B6261" s="4">
        <v>45382</v>
      </c>
      <c r="C6261" s="3" t="s">
        <v>1180</v>
      </c>
      <c r="D6261" s="3" t="s">
        <v>1578</v>
      </c>
      <c r="E6261" s="3" t="s">
        <v>1579</v>
      </c>
      <c r="F6261" s="3">
        <v>0</v>
      </c>
      <c r="G6261" s="3">
        <v>66190.11</v>
      </c>
    </row>
    <row r="6262" spans="1:7" x14ac:dyDescent="0.2">
      <c r="A6262" s="3" t="s">
        <v>1069</v>
      </c>
      <c r="B6262" s="4">
        <v>45382</v>
      </c>
      <c r="C6262" s="3" t="s">
        <v>1180</v>
      </c>
      <c r="D6262" s="3" t="s">
        <v>1265</v>
      </c>
      <c r="E6262" s="3" t="s">
        <v>1266</v>
      </c>
      <c r="F6262" s="3">
        <v>0</v>
      </c>
      <c r="G6262" s="3">
        <v>3252759.95</v>
      </c>
    </row>
    <row r="6263" spans="1:7" x14ac:dyDescent="0.2">
      <c r="A6263" s="3" t="s">
        <v>1074</v>
      </c>
      <c r="B6263" s="4">
        <v>45382</v>
      </c>
      <c r="C6263" s="3" t="s">
        <v>1180</v>
      </c>
      <c r="D6263" s="3" t="s">
        <v>1265</v>
      </c>
      <c r="E6263" s="3" t="s">
        <v>1518</v>
      </c>
      <c r="F6263" s="3">
        <v>0</v>
      </c>
      <c r="G6263" s="3">
        <v>1673231.19</v>
      </c>
    </row>
    <row r="6264" spans="1:7" x14ac:dyDescent="0.2">
      <c r="A6264" s="3" t="s">
        <v>1069</v>
      </c>
      <c r="B6264" s="4">
        <v>45382</v>
      </c>
      <c r="C6264" s="3" t="s">
        <v>1180</v>
      </c>
      <c r="D6264" s="3" t="s">
        <v>1423</v>
      </c>
      <c r="E6264" s="3" t="s">
        <v>1424</v>
      </c>
      <c r="F6264" s="3">
        <v>0</v>
      </c>
      <c r="G6264" s="3">
        <v>622274.51</v>
      </c>
    </row>
    <row r="6265" spans="1:7" x14ac:dyDescent="0.2">
      <c r="A6265" s="3" t="s">
        <v>1074</v>
      </c>
      <c r="B6265" s="4">
        <v>45382</v>
      </c>
      <c r="C6265" s="3" t="s">
        <v>1180</v>
      </c>
      <c r="D6265" s="3" t="s">
        <v>1519</v>
      </c>
      <c r="E6265" s="3" t="s">
        <v>1551</v>
      </c>
      <c r="F6265" s="3">
        <v>0</v>
      </c>
      <c r="G6265" s="3">
        <v>76530</v>
      </c>
    </row>
    <row r="6266" spans="1:7" x14ac:dyDescent="0.2">
      <c r="A6266" s="3" t="s">
        <v>1069</v>
      </c>
      <c r="B6266" s="4">
        <v>45382</v>
      </c>
      <c r="C6266" s="3" t="s">
        <v>1180</v>
      </c>
      <c r="D6266" s="3" t="s">
        <v>1519</v>
      </c>
      <c r="E6266" s="3" t="s">
        <v>1520</v>
      </c>
      <c r="F6266" s="3">
        <v>0</v>
      </c>
      <c r="G6266" s="3">
        <v>985049.68</v>
      </c>
    </row>
    <row r="6267" spans="1:7" x14ac:dyDescent="0.2">
      <c r="A6267" s="3" t="s">
        <v>1074</v>
      </c>
      <c r="B6267" s="4">
        <v>45382</v>
      </c>
      <c r="C6267" s="3" t="s">
        <v>1180</v>
      </c>
      <c r="D6267" s="3" t="s">
        <v>1521</v>
      </c>
      <c r="E6267" s="3" t="s">
        <v>1522</v>
      </c>
      <c r="F6267" s="3">
        <v>1400</v>
      </c>
      <c r="G6267" s="3">
        <v>31400</v>
      </c>
    </row>
    <row r="6268" spans="1:7" x14ac:dyDescent="0.2">
      <c r="A6268" s="3" t="s">
        <v>1074</v>
      </c>
      <c r="B6268" s="4">
        <v>45382</v>
      </c>
      <c r="C6268" s="3" t="s">
        <v>1180</v>
      </c>
      <c r="D6268" s="3" t="s">
        <v>1534</v>
      </c>
      <c r="E6268" s="3" t="s">
        <v>1535</v>
      </c>
      <c r="F6268" s="3">
        <v>334782.61</v>
      </c>
      <c r="G6268" s="3">
        <v>3028260.87</v>
      </c>
    </row>
    <row r="6269" spans="1:7" x14ac:dyDescent="0.2">
      <c r="A6269" s="3" t="s">
        <v>1074</v>
      </c>
      <c r="B6269" s="4">
        <v>45382</v>
      </c>
      <c r="C6269" s="3" t="s">
        <v>1180</v>
      </c>
      <c r="D6269" s="3" t="s">
        <v>1610</v>
      </c>
      <c r="E6269" s="3" t="s">
        <v>1611</v>
      </c>
      <c r="F6269" s="3">
        <v>0</v>
      </c>
      <c r="G6269" s="3">
        <v>1540502.11</v>
      </c>
    </row>
    <row r="6270" spans="1:7" x14ac:dyDescent="0.2">
      <c r="A6270" s="3" t="s">
        <v>1074</v>
      </c>
      <c r="B6270" s="4">
        <v>45382</v>
      </c>
      <c r="C6270" s="3" t="s">
        <v>1180</v>
      </c>
      <c r="D6270" s="3" t="s">
        <v>1653</v>
      </c>
      <c r="E6270" s="3" t="s">
        <v>1654</v>
      </c>
      <c r="F6270" s="3">
        <v>0</v>
      </c>
      <c r="G6270" s="3">
        <v>16307183.050000001</v>
      </c>
    </row>
    <row r="6271" spans="1:7" x14ac:dyDescent="0.2">
      <c r="A6271" s="3" t="s">
        <v>1069</v>
      </c>
      <c r="B6271" s="4">
        <v>45382</v>
      </c>
      <c r="C6271" s="3" t="s">
        <v>1180</v>
      </c>
      <c r="D6271" s="3" t="s">
        <v>1536</v>
      </c>
      <c r="E6271" s="3" t="s">
        <v>1537</v>
      </c>
      <c r="F6271" s="3">
        <v>0</v>
      </c>
      <c r="G6271" s="3">
        <v>2148883.15</v>
      </c>
    </row>
    <row r="6272" spans="1:7" x14ac:dyDescent="0.2">
      <c r="A6272" s="3" t="s">
        <v>1069</v>
      </c>
      <c r="B6272" s="4">
        <v>45382</v>
      </c>
      <c r="C6272" s="3" t="s">
        <v>1180</v>
      </c>
      <c r="D6272" s="3" t="s">
        <v>1665</v>
      </c>
      <c r="E6272" s="3" t="s">
        <v>1666</v>
      </c>
      <c r="F6272" s="3">
        <v>0</v>
      </c>
      <c r="G6272" s="3">
        <v>1068455</v>
      </c>
    </row>
    <row r="6273" spans="1:7" x14ac:dyDescent="0.2">
      <c r="A6273" s="3" t="s">
        <v>1074</v>
      </c>
      <c r="B6273" s="4">
        <v>45382</v>
      </c>
      <c r="C6273" s="3" t="s">
        <v>1180</v>
      </c>
      <c r="D6273" s="3" t="s">
        <v>1665</v>
      </c>
      <c r="E6273" s="3" t="s">
        <v>1716</v>
      </c>
      <c r="F6273" s="3">
        <v>0</v>
      </c>
      <c r="G6273" s="3">
        <v>2188325.96</v>
      </c>
    </row>
    <row r="6274" spans="1:7" x14ac:dyDescent="0.2">
      <c r="A6274" s="3" t="s">
        <v>1069</v>
      </c>
      <c r="B6274" s="4">
        <v>45382</v>
      </c>
      <c r="C6274" s="3" t="s">
        <v>1180</v>
      </c>
      <c r="D6274" s="3" t="s">
        <v>1655</v>
      </c>
      <c r="E6274" s="3" t="s">
        <v>1656</v>
      </c>
      <c r="F6274" s="3">
        <v>0</v>
      </c>
      <c r="G6274" s="3">
        <v>-24427668.440000001</v>
      </c>
    </row>
    <row r="6275" spans="1:7" x14ac:dyDescent="0.2">
      <c r="A6275" s="3" t="s">
        <v>1072</v>
      </c>
      <c r="B6275" s="4">
        <v>45382</v>
      </c>
      <c r="C6275" s="3" t="s">
        <v>1180</v>
      </c>
      <c r="D6275" s="3" t="s">
        <v>1425</v>
      </c>
      <c r="E6275" s="3" t="s">
        <v>1426</v>
      </c>
      <c r="F6275" s="3">
        <v>0</v>
      </c>
      <c r="G6275" s="3">
        <v>29600</v>
      </c>
    </row>
    <row r="6276" spans="1:7" x14ac:dyDescent="0.2">
      <c r="A6276" s="3" t="s">
        <v>1072</v>
      </c>
      <c r="B6276" s="4">
        <v>45382</v>
      </c>
      <c r="C6276" s="3" t="s">
        <v>1180</v>
      </c>
      <c r="D6276" s="3" t="s">
        <v>1427</v>
      </c>
      <c r="E6276" s="3" t="s">
        <v>1428</v>
      </c>
      <c r="F6276" s="3">
        <v>2674255.34</v>
      </c>
      <c r="G6276" s="3">
        <v>8208383.0800000001</v>
      </c>
    </row>
    <row r="6277" spans="1:7" x14ac:dyDescent="0.2">
      <c r="A6277" s="3" t="s">
        <v>1069</v>
      </c>
      <c r="B6277" s="4">
        <v>45382</v>
      </c>
      <c r="C6277" s="3" t="s">
        <v>1180</v>
      </c>
      <c r="D6277" s="3" t="s">
        <v>1427</v>
      </c>
      <c r="E6277" s="3" t="s">
        <v>1428</v>
      </c>
      <c r="F6277" s="3">
        <v>4800.32</v>
      </c>
      <c r="G6277" s="3">
        <v>374858.13</v>
      </c>
    </row>
    <row r="6278" spans="1:7" x14ac:dyDescent="0.2">
      <c r="A6278" s="3" t="s">
        <v>1074</v>
      </c>
      <c r="B6278" s="4">
        <v>45382</v>
      </c>
      <c r="C6278" s="3" t="s">
        <v>1180</v>
      </c>
      <c r="D6278" s="3" t="s">
        <v>1427</v>
      </c>
      <c r="E6278" s="3" t="s">
        <v>1428</v>
      </c>
      <c r="F6278" s="3">
        <v>2891905.74</v>
      </c>
      <c r="G6278" s="3">
        <v>2892602.59</v>
      </c>
    </row>
    <row r="6279" spans="1:7" x14ac:dyDescent="0.2">
      <c r="A6279" s="3" t="s">
        <v>1072</v>
      </c>
      <c r="B6279" s="4">
        <v>45382</v>
      </c>
      <c r="C6279" s="3" t="s">
        <v>1180</v>
      </c>
      <c r="D6279" s="3" t="s">
        <v>1431</v>
      </c>
      <c r="E6279" s="3" t="s">
        <v>1432</v>
      </c>
      <c r="F6279" s="3">
        <v>0</v>
      </c>
      <c r="G6279" s="3">
        <v>-1935</v>
      </c>
    </row>
    <row r="6280" spans="1:7" x14ac:dyDescent="0.2">
      <c r="A6280" s="3" t="s">
        <v>1069</v>
      </c>
      <c r="B6280" s="4">
        <v>45382</v>
      </c>
      <c r="C6280" s="3" t="s">
        <v>1180</v>
      </c>
      <c r="D6280" s="3" t="s">
        <v>1187</v>
      </c>
      <c r="E6280" s="3" t="s">
        <v>1188</v>
      </c>
      <c r="F6280" s="3">
        <v>60628.57</v>
      </c>
      <c r="G6280" s="3">
        <v>202702.3</v>
      </c>
    </row>
    <row r="6281" spans="1:7" x14ac:dyDescent="0.2">
      <c r="A6281" s="3" t="s">
        <v>1072</v>
      </c>
      <c r="B6281" s="4">
        <v>45382</v>
      </c>
      <c r="C6281" s="3" t="s">
        <v>1180</v>
      </c>
      <c r="D6281" s="3" t="s">
        <v>1187</v>
      </c>
      <c r="E6281" s="3" t="s">
        <v>1433</v>
      </c>
      <c r="F6281" s="3">
        <v>-146715.59</v>
      </c>
      <c r="G6281" s="3">
        <v>246648.18</v>
      </c>
    </row>
    <row r="6282" spans="1:7" x14ac:dyDescent="0.2">
      <c r="A6282" s="3" t="s">
        <v>1072</v>
      </c>
      <c r="B6282" s="4">
        <v>45382</v>
      </c>
      <c r="C6282" s="3" t="s">
        <v>1180</v>
      </c>
      <c r="D6282" s="3" t="s">
        <v>1189</v>
      </c>
      <c r="E6282" s="3" t="s">
        <v>1434</v>
      </c>
      <c r="F6282" s="3">
        <v>0</v>
      </c>
      <c r="G6282" s="3">
        <v>-1188</v>
      </c>
    </row>
    <row r="6283" spans="1:7" x14ac:dyDescent="0.2">
      <c r="A6283" s="3" t="s">
        <v>1072</v>
      </c>
      <c r="B6283" s="4">
        <v>45382</v>
      </c>
      <c r="C6283" s="3" t="s">
        <v>1180</v>
      </c>
      <c r="D6283" s="3" t="s">
        <v>1435</v>
      </c>
      <c r="E6283" s="3" t="s">
        <v>1436</v>
      </c>
      <c r="F6283" s="3">
        <v>0</v>
      </c>
      <c r="G6283" s="3">
        <v>571.54999999999995</v>
      </c>
    </row>
    <row r="6284" spans="1:7" x14ac:dyDescent="0.2">
      <c r="A6284" s="3" t="s">
        <v>1069</v>
      </c>
      <c r="B6284" s="4">
        <v>45382</v>
      </c>
      <c r="C6284" s="3" t="s">
        <v>1180</v>
      </c>
      <c r="D6284" s="3" t="s">
        <v>1435</v>
      </c>
      <c r="E6284" s="3" t="s">
        <v>1434</v>
      </c>
      <c r="F6284" s="3">
        <v>0</v>
      </c>
      <c r="G6284" s="3">
        <v>8620</v>
      </c>
    </row>
    <row r="6285" spans="1:7" x14ac:dyDescent="0.2">
      <c r="A6285" s="3" t="s">
        <v>1069</v>
      </c>
      <c r="B6285" s="4">
        <v>45382</v>
      </c>
      <c r="C6285" s="3" t="s">
        <v>1180</v>
      </c>
      <c r="D6285" s="3" t="s">
        <v>1243</v>
      </c>
      <c r="E6285" s="3" t="s">
        <v>1244</v>
      </c>
      <c r="F6285" s="3">
        <v>0</v>
      </c>
      <c r="G6285" s="3">
        <v>889.13</v>
      </c>
    </row>
    <row r="6286" spans="1:7" x14ac:dyDescent="0.2">
      <c r="A6286" s="3" t="s">
        <v>1069</v>
      </c>
      <c r="B6286" s="4">
        <v>45382</v>
      </c>
      <c r="C6286" s="3" t="s">
        <v>1180</v>
      </c>
      <c r="D6286" s="3" t="s">
        <v>1245</v>
      </c>
      <c r="E6286" s="3" t="s">
        <v>1246</v>
      </c>
      <c r="F6286" s="3">
        <v>-7910544.8899999997</v>
      </c>
      <c r="G6286" s="3">
        <v>5028445.78</v>
      </c>
    </row>
    <row r="6287" spans="1:7" x14ac:dyDescent="0.2">
      <c r="A6287" s="3" t="s">
        <v>1069</v>
      </c>
      <c r="B6287" s="4">
        <v>45382</v>
      </c>
      <c r="C6287" s="3" t="s">
        <v>1180</v>
      </c>
      <c r="D6287" s="3" t="s">
        <v>1727</v>
      </c>
      <c r="E6287" s="3" t="s">
        <v>1728</v>
      </c>
      <c r="F6287" s="3">
        <v>0</v>
      </c>
      <c r="G6287" s="3">
        <v>150500</v>
      </c>
    </row>
    <row r="6288" spans="1:7" x14ac:dyDescent="0.2">
      <c r="A6288" s="3" t="s">
        <v>1069</v>
      </c>
      <c r="B6288" s="4">
        <v>45382</v>
      </c>
      <c r="C6288" s="3" t="s">
        <v>1180</v>
      </c>
      <c r="D6288" s="3" t="s">
        <v>1523</v>
      </c>
      <c r="E6288" s="3" t="s">
        <v>1524</v>
      </c>
      <c r="F6288" s="3">
        <v>-100128.95</v>
      </c>
      <c r="G6288" s="3">
        <v>-100128.95</v>
      </c>
    </row>
    <row r="6289" spans="1:7" x14ac:dyDescent="0.2">
      <c r="A6289" s="3" t="s">
        <v>1072</v>
      </c>
      <c r="B6289" s="4">
        <v>45382</v>
      </c>
      <c r="C6289" s="3" t="s">
        <v>1175</v>
      </c>
      <c r="D6289" s="3" t="s">
        <v>1437</v>
      </c>
      <c r="E6289" s="3" t="s">
        <v>1438</v>
      </c>
      <c r="F6289" s="3">
        <v>-0.12</v>
      </c>
      <c r="G6289" s="3">
        <v>-13.06</v>
      </c>
    </row>
    <row r="6290" spans="1:7" x14ac:dyDescent="0.2">
      <c r="A6290" s="3" t="s">
        <v>1069</v>
      </c>
      <c r="B6290" s="4">
        <v>45382</v>
      </c>
      <c r="C6290" s="3" t="s">
        <v>1175</v>
      </c>
      <c r="D6290" s="3" t="s">
        <v>1437</v>
      </c>
      <c r="E6290" s="3" t="s">
        <v>1438</v>
      </c>
      <c r="F6290" s="3">
        <v>0</v>
      </c>
      <c r="G6290" s="3">
        <v>0.04</v>
      </c>
    </row>
    <row r="6291" spans="1:7" x14ac:dyDescent="0.2">
      <c r="A6291" s="3" t="s">
        <v>1074</v>
      </c>
      <c r="B6291" s="4">
        <v>45382</v>
      </c>
      <c r="C6291" s="3" t="s">
        <v>1175</v>
      </c>
      <c r="D6291" s="3" t="s">
        <v>1437</v>
      </c>
      <c r="E6291" s="3" t="s">
        <v>1438</v>
      </c>
      <c r="F6291" s="3">
        <v>0</v>
      </c>
      <c r="G6291" s="3">
        <v>-0.03</v>
      </c>
    </row>
    <row r="6292" spans="1:7" x14ac:dyDescent="0.2">
      <c r="A6292" s="3" t="s">
        <v>1072</v>
      </c>
      <c r="B6292" s="4">
        <v>45382</v>
      </c>
      <c r="C6292" s="3" t="s">
        <v>1175</v>
      </c>
      <c r="D6292" s="3" t="s">
        <v>1191</v>
      </c>
      <c r="E6292" s="3" t="s">
        <v>1192</v>
      </c>
      <c r="F6292" s="3">
        <v>338578.81</v>
      </c>
      <c r="G6292" s="3">
        <v>-1758260.2</v>
      </c>
    </row>
    <row r="6293" spans="1:7" x14ac:dyDescent="0.2">
      <c r="A6293" s="3" t="s">
        <v>1069</v>
      </c>
      <c r="B6293" s="4">
        <v>45382</v>
      </c>
      <c r="C6293" s="3" t="s">
        <v>1175</v>
      </c>
      <c r="D6293" s="3" t="s">
        <v>1191</v>
      </c>
      <c r="E6293" s="3" t="s">
        <v>1192</v>
      </c>
      <c r="F6293" s="3">
        <v>-116354.22</v>
      </c>
      <c r="G6293" s="3">
        <v>-161783177.74000001</v>
      </c>
    </row>
    <row r="6294" spans="1:7" x14ac:dyDescent="0.2">
      <c r="A6294" s="3" t="s">
        <v>1074</v>
      </c>
      <c r="B6294" s="4">
        <v>45382</v>
      </c>
      <c r="C6294" s="3" t="s">
        <v>1175</v>
      </c>
      <c r="D6294" s="3" t="s">
        <v>1191</v>
      </c>
      <c r="E6294" s="3" t="s">
        <v>1192</v>
      </c>
      <c r="F6294" s="3">
        <v>-3077665.43</v>
      </c>
      <c r="G6294" s="3">
        <v>-7004166.96</v>
      </c>
    </row>
    <row r="6295" spans="1:7" x14ac:dyDescent="0.2">
      <c r="A6295" s="3" t="s">
        <v>1072</v>
      </c>
      <c r="B6295" s="4">
        <v>45382</v>
      </c>
      <c r="C6295" s="3" t="s">
        <v>1175</v>
      </c>
      <c r="D6295" s="3" t="s">
        <v>1488</v>
      </c>
      <c r="E6295" s="3" t="s">
        <v>1489</v>
      </c>
      <c r="F6295" s="3">
        <v>-4229.29</v>
      </c>
      <c r="G6295" s="3">
        <v>-2920.29</v>
      </c>
    </row>
    <row r="6296" spans="1:7" x14ac:dyDescent="0.2">
      <c r="A6296" s="3" t="s">
        <v>1072</v>
      </c>
      <c r="B6296" s="4">
        <v>45382</v>
      </c>
      <c r="C6296" s="3" t="s">
        <v>1175</v>
      </c>
      <c r="D6296" s="3" t="s">
        <v>1439</v>
      </c>
      <c r="E6296" s="3" t="s">
        <v>1440</v>
      </c>
      <c r="F6296" s="3">
        <v>392992.71</v>
      </c>
      <c r="G6296" s="3">
        <v>392992.71</v>
      </c>
    </row>
    <row r="6297" spans="1:7" x14ac:dyDescent="0.2">
      <c r="A6297" s="3" t="s">
        <v>1072</v>
      </c>
      <c r="B6297" s="4">
        <v>45382</v>
      </c>
      <c r="C6297" s="3" t="s">
        <v>1175</v>
      </c>
      <c r="D6297" s="3" t="s">
        <v>1441</v>
      </c>
      <c r="E6297" s="3" t="s">
        <v>1442</v>
      </c>
      <c r="F6297" s="3">
        <v>4391.6400000000003</v>
      </c>
      <c r="G6297" s="3">
        <v>-101728.02</v>
      </c>
    </row>
    <row r="6298" spans="1:7" x14ac:dyDescent="0.2">
      <c r="A6298" s="3" t="s">
        <v>1072</v>
      </c>
      <c r="B6298" s="4">
        <v>45382</v>
      </c>
      <c r="C6298" s="3" t="s">
        <v>1175</v>
      </c>
      <c r="D6298" s="3" t="s">
        <v>1464</v>
      </c>
      <c r="E6298" s="3" t="s">
        <v>1465</v>
      </c>
      <c r="F6298" s="3">
        <v>0</v>
      </c>
      <c r="G6298" s="3">
        <v>-49413.95</v>
      </c>
    </row>
    <row r="6299" spans="1:7" x14ac:dyDescent="0.2">
      <c r="A6299" s="3" t="s">
        <v>1072</v>
      </c>
      <c r="B6299" s="4">
        <v>45382</v>
      </c>
      <c r="C6299" s="3" t="s">
        <v>1175</v>
      </c>
      <c r="D6299" s="3" t="s">
        <v>1729</v>
      </c>
      <c r="E6299" s="3" t="s">
        <v>1730</v>
      </c>
      <c r="F6299" s="3">
        <v>0</v>
      </c>
      <c r="G6299" s="3">
        <v>130000</v>
      </c>
    </row>
    <row r="6300" spans="1:7" x14ac:dyDescent="0.2">
      <c r="A6300" s="3" t="s">
        <v>1072</v>
      </c>
      <c r="B6300" s="4">
        <v>45382</v>
      </c>
      <c r="C6300" s="3" t="s">
        <v>1175</v>
      </c>
      <c r="D6300" s="3" t="s">
        <v>1193</v>
      </c>
      <c r="E6300" s="3" t="s">
        <v>1443</v>
      </c>
      <c r="F6300" s="3">
        <v>-300895.03000000003</v>
      </c>
      <c r="G6300" s="3">
        <v>-475576.31</v>
      </c>
    </row>
    <row r="6301" spans="1:7" x14ac:dyDescent="0.2">
      <c r="A6301" s="3" t="s">
        <v>1069</v>
      </c>
      <c r="B6301" s="4">
        <v>45382</v>
      </c>
      <c r="C6301" s="3" t="s">
        <v>1175</v>
      </c>
      <c r="D6301" s="3" t="s">
        <v>1193</v>
      </c>
      <c r="E6301" s="3" t="s">
        <v>1194</v>
      </c>
      <c r="F6301" s="3">
        <v>1153917.01</v>
      </c>
      <c r="G6301" s="3">
        <v>-2177977.37</v>
      </c>
    </row>
    <row r="6302" spans="1:7" x14ac:dyDescent="0.2">
      <c r="A6302" s="3" t="s">
        <v>1074</v>
      </c>
      <c r="B6302" s="4">
        <v>45382</v>
      </c>
      <c r="C6302" s="3" t="s">
        <v>1175</v>
      </c>
      <c r="D6302" s="3" t="s">
        <v>1193</v>
      </c>
      <c r="E6302" s="3" t="s">
        <v>1194</v>
      </c>
      <c r="F6302" s="3">
        <v>718279.73</v>
      </c>
      <c r="G6302" s="3">
        <v>6194994.5199999996</v>
      </c>
    </row>
    <row r="6303" spans="1:7" x14ac:dyDescent="0.2">
      <c r="A6303" s="3" t="s">
        <v>1072</v>
      </c>
      <c r="B6303" s="4">
        <v>45382</v>
      </c>
      <c r="C6303" s="3" t="s">
        <v>1175</v>
      </c>
      <c r="D6303" s="3" t="s">
        <v>1731</v>
      </c>
      <c r="E6303" s="3" t="s">
        <v>1732</v>
      </c>
      <c r="F6303" s="3">
        <v>0</v>
      </c>
      <c r="G6303" s="3">
        <v>-1869.8</v>
      </c>
    </row>
    <row r="6304" spans="1:7" x14ac:dyDescent="0.2">
      <c r="A6304" s="3" t="s">
        <v>1069</v>
      </c>
      <c r="B6304" s="4">
        <v>45382</v>
      </c>
      <c r="C6304" s="3" t="s">
        <v>1175</v>
      </c>
      <c r="D6304" s="3" t="s">
        <v>1657</v>
      </c>
      <c r="E6304" s="3" t="s">
        <v>1658</v>
      </c>
      <c r="F6304" s="3">
        <v>0</v>
      </c>
      <c r="G6304" s="3">
        <v>59039.93</v>
      </c>
    </row>
    <row r="6305" spans="1:7" x14ac:dyDescent="0.2">
      <c r="A6305" s="3" t="s">
        <v>1074</v>
      </c>
      <c r="B6305" s="4">
        <v>45382</v>
      </c>
      <c r="C6305" s="3" t="s">
        <v>1175</v>
      </c>
      <c r="D6305" s="3" t="s">
        <v>1717</v>
      </c>
      <c r="E6305" s="3" t="s">
        <v>1718</v>
      </c>
      <c r="F6305" s="3">
        <v>0</v>
      </c>
      <c r="G6305" s="3">
        <v>-0.4</v>
      </c>
    </row>
    <row r="6306" spans="1:7" x14ac:dyDescent="0.2">
      <c r="A6306" s="3" t="s">
        <v>1072</v>
      </c>
      <c r="B6306" s="4">
        <v>45382</v>
      </c>
      <c r="C6306" s="3" t="s">
        <v>1175</v>
      </c>
      <c r="D6306" s="3" t="s">
        <v>1444</v>
      </c>
      <c r="E6306" s="3" t="s">
        <v>1445</v>
      </c>
      <c r="F6306" s="3">
        <v>0</v>
      </c>
      <c r="G6306" s="3">
        <v>393799.61</v>
      </c>
    </row>
    <row r="6307" spans="1:7" x14ac:dyDescent="0.2">
      <c r="A6307" s="3" t="s">
        <v>1072</v>
      </c>
      <c r="B6307" s="4">
        <v>45382</v>
      </c>
      <c r="C6307" s="3" t="s">
        <v>1175</v>
      </c>
      <c r="D6307" s="3" t="s">
        <v>1446</v>
      </c>
      <c r="E6307" s="3" t="s">
        <v>1447</v>
      </c>
      <c r="F6307" s="3">
        <v>0</v>
      </c>
      <c r="G6307" s="3">
        <v>-254.99</v>
      </c>
    </row>
    <row r="6308" spans="1:7" x14ac:dyDescent="0.2">
      <c r="A6308" s="3" t="s">
        <v>1069</v>
      </c>
      <c r="B6308" s="4">
        <v>45412</v>
      </c>
      <c r="C6308" s="3" t="s">
        <v>1210</v>
      </c>
      <c r="D6308" s="3" t="s">
        <v>1552</v>
      </c>
      <c r="E6308" s="3" t="s">
        <v>1553</v>
      </c>
      <c r="F6308" s="3">
        <v>-1304260.8700000001</v>
      </c>
      <c r="G6308" s="3">
        <v>-1304260.8700000001</v>
      </c>
    </row>
    <row r="6309" spans="1:7" x14ac:dyDescent="0.2">
      <c r="A6309" s="3" t="s">
        <v>1074</v>
      </c>
      <c r="B6309" s="4">
        <v>45412</v>
      </c>
      <c r="C6309" s="3" t="s">
        <v>1210</v>
      </c>
      <c r="D6309" s="3" t="s">
        <v>1552</v>
      </c>
      <c r="E6309" s="3" t="s">
        <v>1700</v>
      </c>
      <c r="F6309" s="3">
        <v>-1304260.8700000001</v>
      </c>
      <c r="G6309" s="3">
        <v>-4108434.78</v>
      </c>
    </row>
    <row r="6310" spans="1:7" x14ac:dyDescent="0.2">
      <c r="A6310" s="3" t="s">
        <v>1074</v>
      </c>
      <c r="B6310" s="4">
        <v>45412</v>
      </c>
      <c r="C6310" s="3" t="s">
        <v>1210</v>
      </c>
      <c r="D6310" s="3" t="s">
        <v>1554</v>
      </c>
      <c r="E6310" s="3" t="s">
        <v>1701</v>
      </c>
      <c r="F6310" s="3">
        <v>0</v>
      </c>
      <c r="G6310" s="3">
        <v>-3561.29</v>
      </c>
    </row>
    <row r="6311" spans="1:7" x14ac:dyDescent="0.2">
      <c r="A6311" s="3" t="s">
        <v>1072</v>
      </c>
      <c r="B6311" s="4">
        <v>45412</v>
      </c>
      <c r="C6311" s="3" t="s">
        <v>1210</v>
      </c>
      <c r="D6311" s="3" t="s">
        <v>1448</v>
      </c>
      <c r="E6311" s="3" t="s">
        <v>1449</v>
      </c>
      <c r="F6311" s="3">
        <v>-4119475.14</v>
      </c>
      <c r="G6311" s="3">
        <v>-11140566.74</v>
      </c>
    </row>
    <row r="6312" spans="1:7" x14ac:dyDescent="0.2">
      <c r="A6312" s="3" t="s">
        <v>1074</v>
      </c>
      <c r="B6312" s="4">
        <v>45412</v>
      </c>
      <c r="C6312" s="3" t="s">
        <v>1210</v>
      </c>
      <c r="D6312" s="3" t="s">
        <v>1773</v>
      </c>
      <c r="E6312" s="3" t="s">
        <v>1774</v>
      </c>
      <c r="F6312" s="3">
        <v>0</v>
      </c>
      <c r="G6312" s="3">
        <v>-434782.61</v>
      </c>
    </row>
    <row r="6313" spans="1:7" x14ac:dyDescent="0.2">
      <c r="A6313" s="3" t="s">
        <v>1074</v>
      </c>
      <c r="B6313" s="4">
        <v>45412</v>
      </c>
      <c r="C6313" s="3" t="s">
        <v>1210</v>
      </c>
      <c r="D6313" s="3" t="s">
        <v>1775</v>
      </c>
      <c r="E6313" s="3" t="s">
        <v>1776</v>
      </c>
      <c r="F6313" s="3">
        <v>0</v>
      </c>
      <c r="G6313" s="3">
        <v>-869565.22</v>
      </c>
    </row>
    <row r="6314" spans="1:7" x14ac:dyDescent="0.2">
      <c r="A6314" s="3" t="s">
        <v>1069</v>
      </c>
      <c r="B6314" s="4">
        <v>45412</v>
      </c>
      <c r="C6314" s="3" t="s">
        <v>1210</v>
      </c>
      <c r="D6314" s="3" t="s">
        <v>1685</v>
      </c>
      <c r="E6314" s="3" t="s">
        <v>1686</v>
      </c>
      <c r="F6314" s="3">
        <v>-152081.29999999999</v>
      </c>
      <c r="G6314" s="3">
        <v>-201839.6</v>
      </c>
    </row>
    <row r="6315" spans="1:7" x14ac:dyDescent="0.2">
      <c r="A6315" s="3" t="s">
        <v>1069</v>
      </c>
      <c r="B6315" s="4">
        <v>45412</v>
      </c>
      <c r="C6315" s="3" t="s">
        <v>1210</v>
      </c>
      <c r="D6315" s="3" t="s">
        <v>1777</v>
      </c>
      <c r="E6315" s="3" t="s">
        <v>1778</v>
      </c>
      <c r="F6315" s="3">
        <v>-34027.440000000002</v>
      </c>
      <c r="G6315" s="3">
        <v>-34027.440000000002</v>
      </c>
    </row>
    <row r="6316" spans="1:7" x14ac:dyDescent="0.2">
      <c r="A6316" s="3" t="s">
        <v>1074</v>
      </c>
      <c r="B6316" s="4">
        <v>45412</v>
      </c>
      <c r="C6316" s="3" t="s">
        <v>1168</v>
      </c>
      <c r="D6316" s="3" t="s">
        <v>1514</v>
      </c>
      <c r="E6316" s="3" t="s">
        <v>1676</v>
      </c>
      <c r="F6316" s="3">
        <v>8072.94</v>
      </c>
      <c r="G6316" s="3">
        <v>13214.11</v>
      </c>
    </row>
    <row r="6317" spans="1:7" x14ac:dyDescent="0.2">
      <c r="A6317" s="3" t="s">
        <v>1069</v>
      </c>
      <c r="B6317" s="4">
        <v>45412</v>
      </c>
      <c r="C6317" s="3" t="s">
        <v>1168</v>
      </c>
      <c r="D6317" s="3" t="s">
        <v>1531</v>
      </c>
      <c r="E6317" s="3" t="s">
        <v>1532</v>
      </c>
      <c r="F6317" s="3">
        <v>38341.94</v>
      </c>
      <c r="G6317" s="3">
        <v>38341.94</v>
      </c>
    </row>
    <row r="6318" spans="1:7" x14ac:dyDescent="0.2">
      <c r="A6318" s="3" t="s">
        <v>1074</v>
      </c>
      <c r="B6318" s="4">
        <v>45412</v>
      </c>
      <c r="C6318" s="3" t="s">
        <v>1168</v>
      </c>
      <c r="D6318" s="3" t="s">
        <v>1531</v>
      </c>
      <c r="E6318" s="3" t="s">
        <v>1532</v>
      </c>
      <c r="F6318" s="3">
        <v>19604.25</v>
      </c>
      <c r="G6318" s="3">
        <v>97588.82</v>
      </c>
    </row>
    <row r="6319" spans="1:7" x14ac:dyDescent="0.2">
      <c r="A6319" s="3" t="s">
        <v>1069</v>
      </c>
      <c r="B6319" s="4">
        <v>45412</v>
      </c>
      <c r="C6319" s="3" t="s">
        <v>1168</v>
      </c>
      <c r="D6319" s="3" t="s">
        <v>1540</v>
      </c>
      <c r="E6319" s="3" t="s">
        <v>1541</v>
      </c>
      <c r="F6319" s="3">
        <v>0</v>
      </c>
      <c r="G6319" s="3">
        <v>8386.2000000000007</v>
      </c>
    </row>
    <row r="6320" spans="1:7" x14ac:dyDescent="0.2">
      <c r="A6320" s="3" t="s">
        <v>1069</v>
      </c>
      <c r="B6320" s="4">
        <v>45412</v>
      </c>
      <c r="C6320" s="3" t="s">
        <v>1168</v>
      </c>
      <c r="D6320" s="3" t="s">
        <v>1558</v>
      </c>
      <c r="E6320" s="3" t="s">
        <v>1559</v>
      </c>
      <c r="F6320" s="3">
        <v>65213.04</v>
      </c>
      <c r="G6320" s="3">
        <v>65213.04</v>
      </c>
    </row>
    <row r="6321" spans="1:7" x14ac:dyDescent="0.2">
      <c r="A6321" s="3" t="s">
        <v>1074</v>
      </c>
      <c r="B6321" s="4">
        <v>45412</v>
      </c>
      <c r="C6321" s="3" t="s">
        <v>1168</v>
      </c>
      <c r="D6321" s="3" t="s">
        <v>1558</v>
      </c>
      <c r="E6321" s="3" t="s">
        <v>1702</v>
      </c>
      <c r="F6321" s="3">
        <v>65647.83</v>
      </c>
      <c r="G6321" s="3">
        <v>205639.14</v>
      </c>
    </row>
    <row r="6322" spans="1:7" x14ac:dyDescent="0.2">
      <c r="A6322" s="3" t="s">
        <v>1072</v>
      </c>
      <c r="B6322" s="4">
        <v>45412</v>
      </c>
      <c r="C6322" s="3" t="s">
        <v>1168</v>
      </c>
      <c r="D6322" s="3" t="s">
        <v>1281</v>
      </c>
      <c r="E6322" s="3" t="s">
        <v>1282</v>
      </c>
      <c r="F6322" s="3">
        <v>16685.25</v>
      </c>
      <c r="G6322" s="3">
        <v>19685.25</v>
      </c>
    </row>
    <row r="6323" spans="1:7" x14ac:dyDescent="0.2">
      <c r="A6323" s="3" t="s">
        <v>1072</v>
      </c>
      <c r="B6323" s="4">
        <v>45412</v>
      </c>
      <c r="C6323" s="3" t="s">
        <v>1168</v>
      </c>
      <c r="D6323" s="3" t="s">
        <v>1705</v>
      </c>
      <c r="E6323" s="3" t="s">
        <v>1706</v>
      </c>
      <c r="F6323" s="3">
        <v>219.96</v>
      </c>
      <c r="G6323" s="3">
        <v>219.96</v>
      </c>
    </row>
    <row r="6324" spans="1:7" x14ac:dyDescent="0.2">
      <c r="A6324" s="3" t="s">
        <v>1072</v>
      </c>
      <c r="B6324" s="4">
        <v>45412</v>
      </c>
      <c r="C6324" s="3" t="s">
        <v>1168</v>
      </c>
      <c r="D6324" s="3" t="s">
        <v>1305</v>
      </c>
      <c r="E6324" s="3" t="s">
        <v>1306</v>
      </c>
      <c r="F6324" s="3">
        <v>0</v>
      </c>
      <c r="G6324" s="3">
        <v>8355.9599999999991</v>
      </c>
    </row>
    <row r="6325" spans="1:7" x14ac:dyDescent="0.2">
      <c r="A6325" s="3" t="s">
        <v>1072</v>
      </c>
      <c r="B6325" s="4">
        <v>45412</v>
      </c>
      <c r="C6325" s="3" t="s">
        <v>1168</v>
      </c>
      <c r="D6325" s="3" t="s">
        <v>1450</v>
      </c>
      <c r="E6325" s="3" t="s">
        <v>1451</v>
      </c>
      <c r="F6325" s="3">
        <v>2489.5700000000002</v>
      </c>
      <c r="G6325" s="3">
        <v>9323.6200000000008</v>
      </c>
    </row>
    <row r="6326" spans="1:7" x14ac:dyDescent="0.2">
      <c r="A6326" s="3" t="s">
        <v>1072</v>
      </c>
      <c r="B6326" s="4">
        <v>45412</v>
      </c>
      <c r="C6326" s="3" t="s">
        <v>1168</v>
      </c>
      <c r="D6326" s="3" t="s">
        <v>1452</v>
      </c>
      <c r="E6326" s="3" t="s">
        <v>1453</v>
      </c>
      <c r="F6326" s="3">
        <v>543.04</v>
      </c>
      <c r="G6326" s="3">
        <v>923.47</v>
      </c>
    </row>
    <row r="6327" spans="1:7" x14ac:dyDescent="0.2">
      <c r="A6327" s="3" t="s">
        <v>1072</v>
      </c>
      <c r="B6327" s="4">
        <v>45412</v>
      </c>
      <c r="C6327" s="3" t="s">
        <v>1168</v>
      </c>
      <c r="D6327" s="3" t="s">
        <v>1468</v>
      </c>
      <c r="E6327" s="3" t="s">
        <v>1469</v>
      </c>
      <c r="F6327" s="3">
        <v>1849.57</v>
      </c>
      <c r="G6327" s="3">
        <v>3699.14</v>
      </c>
    </row>
    <row r="6328" spans="1:7" x14ac:dyDescent="0.2">
      <c r="A6328" s="3" t="s">
        <v>1072</v>
      </c>
      <c r="B6328" s="4">
        <v>45412</v>
      </c>
      <c r="C6328" s="3" t="s">
        <v>1168</v>
      </c>
      <c r="D6328" s="3" t="s">
        <v>1620</v>
      </c>
      <c r="E6328" s="3" t="s">
        <v>1621</v>
      </c>
      <c r="F6328" s="3">
        <v>116.5</v>
      </c>
      <c r="G6328" s="3">
        <v>116.5</v>
      </c>
    </row>
    <row r="6329" spans="1:7" x14ac:dyDescent="0.2">
      <c r="A6329" s="3" t="s">
        <v>1072</v>
      </c>
      <c r="B6329" s="4">
        <v>45412</v>
      </c>
      <c r="C6329" s="3" t="s">
        <v>1168</v>
      </c>
      <c r="D6329" s="3" t="s">
        <v>1542</v>
      </c>
      <c r="E6329" s="3" t="s">
        <v>1543</v>
      </c>
      <c r="F6329" s="3">
        <v>5103495.12</v>
      </c>
      <c r="G6329" s="3">
        <v>10980544.67</v>
      </c>
    </row>
    <row r="6330" spans="1:7" x14ac:dyDescent="0.2">
      <c r="A6330" s="3" t="s">
        <v>1072</v>
      </c>
      <c r="B6330" s="4">
        <v>45412</v>
      </c>
      <c r="C6330" s="3" t="s">
        <v>1168</v>
      </c>
      <c r="D6330" s="3" t="s">
        <v>1527</v>
      </c>
      <c r="E6330" s="3" t="s">
        <v>1528</v>
      </c>
      <c r="F6330" s="3">
        <v>673.45</v>
      </c>
      <c r="G6330" s="3">
        <v>12272.2</v>
      </c>
    </row>
    <row r="6331" spans="1:7" x14ac:dyDescent="0.2">
      <c r="A6331" s="3" t="s">
        <v>1072</v>
      </c>
      <c r="B6331" s="4">
        <v>45412</v>
      </c>
      <c r="C6331" s="3" t="s">
        <v>1168</v>
      </c>
      <c r="D6331" s="3" t="s">
        <v>1779</v>
      </c>
      <c r="E6331" s="3" t="s">
        <v>1780</v>
      </c>
      <c r="F6331" s="3">
        <v>0</v>
      </c>
      <c r="G6331" s="3">
        <v>869565.22</v>
      </c>
    </row>
    <row r="6332" spans="1:7" x14ac:dyDescent="0.2">
      <c r="A6332" s="3" t="s">
        <v>1072</v>
      </c>
      <c r="B6332" s="4">
        <v>45412</v>
      </c>
      <c r="C6332" s="3" t="s">
        <v>1210</v>
      </c>
      <c r="D6332" s="3" t="s">
        <v>1509</v>
      </c>
      <c r="E6332" s="3" t="s">
        <v>1510</v>
      </c>
      <c r="F6332" s="3">
        <v>-81.98</v>
      </c>
      <c r="G6332" s="3">
        <v>-148.04</v>
      </c>
    </row>
    <row r="6333" spans="1:7" x14ac:dyDescent="0.2">
      <c r="A6333" s="3" t="s">
        <v>1069</v>
      </c>
      <c r="B6333" s="4">
        <v>45412</v>
      </c>
      <c r="C6333" s="3" t="s">
        <v>1210</v>
      </c>
      <c r="D6333" s="3" t="s">
        <v>1249</v>
      </c>
      <c r="E6333" s="3" t="s">
        <v>1250</v>
      </c>
      <c r="F6333" s="3">
        <v>-34734.9</v>
      </c>
      <c r="G6333" s="3">
        <v>-104357.52</v>
      </c>
    </row>
    <row r="6334" spans="1:7" x14ac:dyDescent="0.2">
      <c r="A6334" s="3" t="s">
        <v>1069</v>
      </c>
      <c r="B6334" s="4">
        <v>45412</v>
      </c>
      <c r="C6334" s="3" t="s">
        <v>1168</v>
      </c>
      <c r="D6334" s="3" t="s">
        <v>1692</v>
      </c>
      <c r="E6334" s="3" t="s">
        <v>1149</v>
      </c>
      <c r="F6334" s="3">
        <v>580</v>
      </c>
      <c r="G6334" s="3">
        <v>580</v>
      </c>
    </row>
    <row r="6335" spans="1:7" x14ac:dyDescent="0.2">
      <c r="A6335" s="3" t="s">
        <v>1072</v>
      </c>
      <c r="B6335" s="4">
        <v>45412</v>
      </c>
      <c r="C6335" s="3" t="s">
        <v>1168</v>
      </c>
      <c r="D6335" s="3" t="s">
        <v>1325</v>
      </c>
      <c r="E6335" s="3" t="s">
        <v>1073</v>
      </c>
      <c r="F6335" s="3">
        <v>580</v>
      </c>
      <c r="G6335" s="3">
        <v>580</v>
      </c>
    </row>
    <row r="6336" spans="1:7" x14ac:dyDescent="0.2">
      <c r="A6336" s="3" t="s">
        <v>1069</v>
      </c>
      <c r="B6336" s="4">
        <v>45412</v>
      </c>
      <c r="C6336" s="3" t="s">
        <v>1168</v>
      </c>
      <c r="D6336" s="3" t="s">
        <v>1169</v>
      </c>
      <c r="E6336" s="3" t="s">
        <v>1079</v>
      </c>
      <c r="F6336" s="3">
        <v>500</v>
      </c>
      <c r="G6336" s="3">
        <v>2013.96</v>
      </c>
    </row>
    <row r="6337" spans="1:7" x14ac:dyDescent="0.2">
      <c r="A6337" s="3" t="s">
        <v>1074</v>
      </c>
      <c r="B6337" s="4">
        <v>45412</v>
      </c>
      <c r="C6337" s="3" t="s">
        <v>1168</v>
      </c>
      <c r="D6337" s="3" t="s">
        <v>1169</v>
      </c>
      <c r="E6337" s="3" t="s">
        <v>1079</v>
      </c>
      <c r="F6337" s="3">
        <v>2700</v>
      </c>
      <c r="G6337" s="3">
        <v>5000</v>
      </c>
    </row>
    <row r="6338" spans="1:7" x14ac:dyDescent="0.2">
      <c r="A6338" s="3" t="s">
        <v>1072</v>
      </c>
      <c r="B6338" s="4">
        <v>45412</v>
      </c>
      <c r="C6338" s="3" t="s">
        <v>1168</v>
      </c>
      <c r="D6338" s="3" t="s">
        <v>1339</v>
      </c>
      <c r="E6338" s="3" t="s">
        <v>1087</v>
      </c>
      <c r="F6338" s="3">
        <v>0</v>
      </c>
      <c r="G6338" s="3">
        <v>150</v>
      </c>
    </row>
    <row r="6339" spans="1:7" x14ac:dyDescent="0.2">
      <c r="A6339" s="3" t="s">
        <v>1072</v>
      </c>
      <c r="B6339" s="4">
        <v>45412</v>
      </c>
      <c r="C6339" s="3" t="s">
        <v>1168</v>
      </c>
      <c r="D6339" s="3" t="s">
        <v>1195</v>
      </c>
      <c r="E6339" s="3" t="s">
        <v>1085</v>
      </c>
      <c r="F6339" s="3">
        <v>2152.12</v>
      </c>
      <c r="G6339" s="3">
        <v>4075.27</v>
      </c>
    </row>
    <row r="6340" spans="1:7" x14ac:dyDescent="0.2">
      <c r="A6340" s="3" t="s">
        <v>1069</v>
      </c>
      <c r="B6340" s="4">
        <v>45412</v>
      </c>
      <c r="C6340" s="3" t="s">
        <v>1168</v>
      </c>
      <c r="D6340" s="3" t="s">
        <v>1195</v>
      </c>
      <c r="E6340" s="3" t="s">
        <v>1085</v>
      </c>
      <c r="F6340" s="3">
        <v>432.96</v>
      </c>
      <c r="G6340" s="3">
        <v>832.76</v>
      </c>
    </row>
    <row r="6341" spans="1:7" x14ac:dyDescent="0.2">
      <c r="A6341" s="3" t="s">
        <v>1072</v>
      </c>
      <c r="B6341" s="4">
        <v>45412</v>
      </c>
      <c r="C6341" s="3" t="s">
        <v>1168</v>
      </c>
      <c r="D6341" s="3" t="s">
        <v>1504</v>
      </c>
      <c r="E6341" s="3" t="s">
        <v>1142</v>
      </c>
      <c r="F6341" s="3">
        <v>3725</v>
      </c>
      <c r="G6341" s="3">
        <v>7450</v>
      </c>
    </row>
    <row r="6342" spans="1:7" x14ac:dyDescent="0.2">
      <c r="A6342" s="3" t="s">
        <v>1069</v>
      </c>
      <c r="B6342" s="4">
        <v>45412</v>
      </c>
      <c r="C6342" s="3" t="s">
        <v>1168</v>
      </c>
      <c r="D6342" s="3" t="s">
        <v>1251</v>
      </c>
      <c r="E6342" s="3" t="s">
        <v>1095</v>
      </c>
      <c r="F6342" s="3">
        <v>126260.32</v>
      </c>
      <c r="G6342" s="3">
        <v>250445.64</v>
      </c>
    </row>
    <row r="6343" spans="1:7" x14ac:dyDescent="0.2">
      <c r="A6343" s="3" t="s">
        <v>1072</v>
      </c>
      <c r="B6343" s="4">
        <v>45412</v>
      </c>
      <c r="C6343" s="3" t="s">
        <v>1168</v>
      </c>
      <c r="D6343" s="3" t="s">
        <v>1348</v>
      </c>
      <c r="E6343" s="3" t="s">
        <v>1095</v>
      </c>
      <c r="F6343" s="3">
        <v>132436.07999999999</v>
      </c>
      <c r="G6343" s="3">
        <v>264442.15999999997</v>
      </c>
    </row>
    <row r="6344" spans="1:7" x14ac:dyDescent="0.2">
      <c r="A6344" s="3" t="s">
        <v>1069</v>
      </c>
      <c r="B6344" s="4">
        <v>45412</v>
      </c>
      <c r="C6344" s="3" t="s">
        <v>1168</v>
      </c>
      <c r="D6344" s="3" t="s">
        <v>1252</v>
      </c>
      <c r="E6344" s="3" t="s">
        <v>1120</v>
      </c>
      <c r="F6344" s="3">
        <v>4200</v>
      </c>
      <c r="G6344" s="3">
        <v>8400</v>
      </c>
    </row>
    <row r="6345" spans="1:7" x14ac:dyDescent="0.2">
      <c r="A6345" s="3" t="s">
        <v>1074</v>
      </c>
      <c r="B6345" s="4">
        <v>45412</v>
      </c>
      <c r="C6345" s="3" t="s">
        <v>1168</v>
      </c>
      <c r="D6345" s="3" t="s">
        <v>1252</v>
      </c>
      <c r="E6345" s="3" t="s">
        <v>1120</v>
      </c>
      <c r="F6345" s="3">
        <v>12750</v>
      </c>
      <c r="G6345" s="3">
        <v>25500</v>
      </c>
    </row>
    <row r="6346" spans="1:7" x14ac:dyDescent="0.2">
      <c r="A6346" s="3" t="s">
        <v>1072</v>
      </c>
      <c r="B6346" s="4">
        <v>45412</v>
      </c>
      <c r="C6346" s="3" t="s">
        <v>1168</v>
      </c>
      <c r="D6346" s="3" t="s">
        <v>1350</v>
      </c>
      <c r="E6346" s="3" t="s">
        <v>1115</v>
      </c>
      <c r="F6346" s="3">
        <v>4719.63</v>
      </c>
      <c r="G6346" s="3">
        <v>10120.99</v>
      </c>
    </row>
    <row r="6347" spans="1:7" x14ac:dyDescent="0.2">
      <c r="A6347" s="3" t="s">
        <v>1072</v>
      </c>
      <c r="B6347" s="4">
        <v>45412</v>
      </c>
      <c r="C6347" s="3" t="s">
        <v>1168</v>
      </c>
      <c r="D6347" s="3" t="s">
        <v>1351</v>
      </c>
      <c r="E6347" s="3" t="s">
        <v>1096</v>
      </c>
      <c r="F6347" s="3">
        <v>1188.7</v>
      </c>
      <c r="G6347" s="3">
        <v>2538.5100000000002</v>
      </c>
    </row>
    <row r="6348" spans="1:7" x14ac:dyDescent="0.2">
      <c r="A6348" s="3" t="s">
        <v>1072</v>
      </c>
      <c r="B6348" s="4">
        <v>45412</v>
      </c>
      <c r="C6348" s="3" t="s">
        <v>1168</v>
      </c>
      <c r="D6348" s="3" t="s">
        <v>1472</v>
      </c>
      <c r="E6348" s="3" t="s">
        <v>1473</v>
      </c>
      <c r="F6348" s="3">
        <v>0</v>
      </c>
      <c r="G6348" s="3">
        <v>1</v>
      </c>
    </row>
    <row r="6349" spans="1:7" x14ac:dyDescent="0.2">
      <c r="A6349" s="3" t="s">
        <v>1072</v>
      </c>
      <c r="B6349" s="4">
        <v>45412</v>
      </c>
      <c r="C6349" s="3" t="s">
        <v>1168</v>
      </c>
      <c r="D6349" s="3" t="s">
        <v>1474</v>
      </c>
      <c r="E6349" s="3" t="s">
        <v>1114</v>
      </c>
      <c r="F6349" s="3">
        <v>547.66999999999996</v>
      </c>
      <c r="G6349" s="3">
        <v>1115.8699999999999</v>
      </c>
    </row>
    <row r="6350" spans="1:7" x14ac:dyDescent="0.2">
      <c r="A6350" s="3" t="s">
        <v>1069</v>
      </c>
      <c r="B6350" s="4">
        <v>45412</v>
      </c>
      <c r="C6350" s="3" t="s">
        <v>1168</v>
      </c>
      <c r="D6350" s="3" t="s">
        <v>1767</v>
      </c>
      <c r="E6350" s="3" t="s">
        <v>1768</v>
      </c>
      <c r="F6350" s="3">
        <v>1320.35</v>
      </c>
      <c r="G6350" s="3">
        <v>125588.71</v>
      </c>
    </row>
    <row r="6351" spans="1:7" x14ac:dyDescent="0.2">
      <c r="A6351" s="3" t="s">
        <v>1069</v>
      </c>
      <c r="B6351" s="4">
        <v>45412</v>
      </c>
      <c r="C6351" s="3" t="s">
        <v>1168</v>
      </c>
      <c r="D6351" s="3" t="s">
        <v>1229</v>
      </c>
      <c r="E6351" s="3" t="s">
        <v>1136</v>
      </c>
      <c r="F6351" s="3">
        <v>-1093.19</v>
      </c>
      <c r="G6351" s="3">
        <v>108074.29</v>
      </c>
    </row>
    <row r="6352" spans="1:7" x14ac:dyDescent="0.2">
      <c r="A6352" s="3" t="s">
        <v>1072</v>
      </c>
      <c r="B6352" s="4">
        <v>45412</v>
      </c>
      <c r="C6352" s="3" t="s">
        <v>1168</v>
      </c>
      <c r="D6352" s="3" t="s">
        <v>1229</v>
      </c>
      <c r="E6352" s="3" t="s">
        <v>1106</v>
      </c>
      <c r="F6352" s="3">
        <v>6158.43</v>
      </c>
      <c r="G6352" s="3">
        <v>6158.43</v>
      </c>
    </row>
    <row r="6353" spans="1:7" x14ac:dyDescent="0.2">
      <c r="A6353" s="3" t="s">
        <v>1069</v>
      </c>
      <c r="B6353" s="4">
        <v>45412</v>
      </c>
      <c r="C6353" s="3" t="s">
        <v>1168</v>
      </c>
      <c r="D6353" s="3" t="s">
        <v>1230</v>
      </c>
      <c r="E6353" s="3" t="s">
        <v>1109</v>
      </c>
      <c r="F6353" s="3">
        <v>1093.19</v>
      </c>
      <c r="G6353" s="3">
        <v>4577.68</v>
      </c>
    </row>
    <row r="6354" spans="1:7" x14ac:dyDescent="0.2">
      <c r="A6354" s="3" t="s">
        <v>1074</v>
      </c>
      <c r="B6354" s="4">
        <v>45412</v>
      </c>
      <c r="C6354" s="3" t="s">
        <v>1168</v>
      </c>
      <c r="D6354" s="3" t="s">
        <v>1230</v>
      </c>
      <c r="E6354" s="3" t="s">
        <v>1077</v>
      </c>
      <c r="F6354" s="3">
        <v>-0.01</v>
      </c>
      <c r="G6354" s="3">
        <v>75.69</v>
      </c>
    </row>
    <row r="6355" spans="1:7" x14ac:dyDescent="0.2">
      <c r="A6355" s="3" t="s">
        <v>1072</v>
      </c>
      <c r="B6355" s="4">
        <v>45412</v>
      </c>
      <c r="C6355" s="3" t="s">
        <v>1168</v>
      </c>
      <c r="D6355" s="3" t="s">
        <v>1663</v>
      </c>
      <c r="E6355" s="3" t="s">
        <v>1082</v>
      </c>
      <c r="F6355" s="3">
        <v>191.3</v>
      </c>
      <c r="G6355" s="3">
        <v>191.3</v>
      </c>
    </row>
    <row r="6356" spans="1:7" x14ac:dyDescent="0.2">
      <c r="A6356" s="3" t="s">
        <v>1072</v>
      </c>
      <c r="B6356" s="4">
        <v>45412</v>
      </c>
      <c r="C6356" s="3" t="s">
        <v>1168</v>
      </c>
      <c r="D6356" s="3" t="s">
        <v>1354</v>
      </c>
      <c r="E6356" s="3" t="s">
        <v>1078</v>
      </c>
      <c r="F6356" s="3">
        <v>5836.72</v>
      </c>
      <c r="G6356" s="3">
        <v>18893.080000000002</v>
      </c>
    </row>
    <row r="6357" spans="1:7" x14ac:dyDescent="0.2">
      <c r="A6357" s="3" t="s">
        <v>1069</v>
      </c>
      <c r="B6357" s="4">
        <v>45412</v>
      </c>
      <c r="C6357" s="3" t="s">
        <v>1168</v>
      </c>
      <c r="D6357" s="3" t="s">
        <v>1456</v>
      </c>
      <c r="E6357" s="3" t="s">
        <v>1457</v>
      </c>
      <c r="F6357" s="3">
        <v>0</v>
      </c>
      <c r="G6357" s="3">
        <v>5281.4</v>
      </c>
    </row>
    <row r="6358" spans="1:7" x14ac:dyDescent="0.2">
      <c r="A6358" s="3" t="s">
        <v>1074</v>
      </c>
      <c r="B6358" s="4">
        <v>45412</v>
      </c>
      <c r="C6358" s="3" t="s">
        <v>1168</v>
      </c>
      <c r="D6358" s="3" t="s">
        <v>1608</v>
      </c>
      <c r="E6358" s="3" t="s">
        <v>1609</v>
      </c>
      <c r="F6358" s="3">
        <v>0</v>
      </c>
      <c r="G6358" s="3">
        <v>575.35</v>
      </c>
    </row>
    <row r="6359" spans="1:7" x14ac:dyDescent="0.2">
      <c r="A6359" s="3" t="s">
        <v>1074</v>
      </c>
      <c r="B6359" s="4">
        <v>45412</v>
      </c>
      <c r="C6359" s="3" t="s">
        <v>1168</v>
      </c>
      <c r="D6359" s="3" t="s">
        <v>1627</v>
      </c>
      <c r="E6359" s="3" t="s">
        <v>1628</v>
      </c>
      <c r="F6359" s="3">
        <v>0</v>
      </c>
      <c r="G6359" s="3">
        <v>6267.13</v>
      </c>
    </row>
    <row r="6360" spans="1:7" x14ac:dyDescent="0.2">
      <c r="A6360" s="3" t="s">
        <v>1074</v>
      </c>
      <c r="B6360" s="4">
        <v>45412</v>
      </c>
      <c r="C6360" s="3" t="s">
        <v>1168</v>
      </c>
      <c r="D6360" s="3" t="s">
        <v>1575</v>
      </c>
      <c r="E6360" s="3" t="s">
        <v>1576</v>
      </c>
      <c r="F6360" s="3">
        <v>0</v>
      </c>
      <c r="G6360" s="3">
        <v>308712.32000000001</v>
      </c>
    </row>
    <row r="6361" spans="1:7" x14ac:dyDescent="0.2">
      <c r="A6361" s="3" t="s">
        <v>1074</v>
      </c>
      <c r="B6361" s="4">
        <v>45412</v>
      </c>
      <c r="C6361" s="3" t="s">
        <v>1168</v>
      </c>
      <c r="D6361" s="3" t="s">
        <v>1721</v>
      </c>
      <c r="E6361" s="3" t="s">
        <v>1152</v>
      </c>
      <c r="F6361" s="3">
        <v>4158.3900000000003</v>
      </c>
      <c r="G6361" s="3">
        <v>10797.32</v>
      </c>
    </row>
    <row r="6362" spans="1:7" x14ac:dyDescent="0.2">
      <c r="A6362" s="3" t="s">
        <v>1069</v>
      </c>
      <c r="B6362" s="4">
        <v>45412</v>
      </c>
      <c r="C6362" s="3" t="s">
        <v>1168</v>
      </c>
      <c r="D6362" s="3" t="s">
        <v>1722</v>
      </c>
      <c r="E6362" s="3" t="s">
        <v>1116</v>
      </c>
      <c r="F6362" s="3">
        <v>6060.21</v>
      </c>
      <c r="G6362" s="3">
        <v>21701.3</v>
      </c>
    </row>
    <row r="6363" spans="1:7" x14ac:dyDescent="0.2">
      <c r="A6363" s="3" t="s">
        <v>1069</v>
      </c>
      <c r="B6363" s="4">
        <v>45412</v>
      </c>
      <c r="C6363" s="3" t="s">
        <v>1168</v>
      </c>
      <c r="D6363" s="3" t="s">
        <v>1253</v>
      </c>
      <c r="E6363" s="3" t="s">
        <v>1103</v>
      </c>
      <c r="F6363" s="3">
        <v>2086.06</v>
      </c>
      <c r="G6363" s="3">
        <v>7227.08</v>
      </c>
    </row>
    <row r="6364" spans="1:7" x14ac:dyDescent="0.2">
      <c r="A6364" s="3" t="s">
        <v>1072</v>
      </c>
      <c r="B6364" s="4">
        <v>45412</v>
      </c>
      <c r="C6364" s="3" t="s">
        <v>1168</v>
      </c>
      <c r="D6364" s="3" t="s">
        <v>1357</v>
      </c>
      <c r="E6364" s="3" t="s">
        <v>1157</v>
      </c>
      <c r="F6364" s="3">
        <v>200</v>
      </c>
      <c r="G6364" s="3">
        <v>5208.46</v>
      </c>
    </row>
    <row r="6365" spans="1:7" x14ac:dyDescent="0.2">
      <c r="A6365" s="3" t="s">
        <v>1072</v>
      </c>
      <c r="B6365" s="4">
        <v>45412</v>
      </c>
      <c r="C6365" s="3" t="s">
        <v>1168</v>
      </c>
      <c r="D6365" s="3" t="s">
        <v>1201</v>
      </c>
      <c r="E6365" s="3" t="s">
        <v>1112</v>
      </c>
      <c r="F6365" s="3">
        <v>2232.92</v>
      </c>
      <c r="G6365" s="3">
        <v>4971.8</v>
      </c>
    </row>
    <row r="6366" spans="1:7" x14ac:dyDescent="0.2">
      <c r="A6366" s="3" t="s">
        <v>1072</v>
      </c>
      <c r="B6366" s="4">
        <v>45412</v>
      </c>
      <c r="C6366" s="3" t="s">
        <v>1168</v>
      </c>
      <c r="D6366" s="3" t="s">
        <v>1360</v>
      </c>
      <c r="E6366" s="3" t="s">
        <v>1098</v>
      </c>
      <c r="F6366" s="3">
        <v>2409.1999999999998</v>
      </c>
      <c r="G6366" s="3">
        <v>3915.67</v>
      </c>
    </row>
    <row r="6367" spans="1:7" x14ac:dyDescent="0.2">
      <c r="A6367" s="3" t="s">
        <v>1072</v>
      </c>
      <c r="B6367" s="4">
        <v>45412</v>
      </c>
      <c r="C6367" s="3" t="s">
        <v>1168</v>
      </c>
      <c r="D6367" s="3" t="s">
        <v>1361</v>
      </c>
      <c r="E6367" s="3" t="s">
        <v>1121</v>
      </c>
      <c r="F6367" s="3">
        <v>31820</v>
      </c>
      <c r="G6367" s="3">
        <v>74001.429999999993</v>
      </c>
    </row>
    <row r="6368" spans="1:7" x14ac:dyDescent="0.2">
      <c r="A6368" s="3" t="s">
        <v>1072</v>
      </c>
      <c r="B6368" s="4">
        <v>45412</v>
      </c>
      <c r="C6368" s="3" t="s">
        <v>1168</v>
      </c>
      <c r="D6368" s="3" t="s">
        <v>1231</v>
      </c>
      <c r="E6368" s="3" t="s">
        <v>1083</v>
      </c>
      <c r="F6368" s="3">
        <v>989.75</v>
      </c>
      <c r="G6368" s="3">
        <v>1979.5</v>
      </c>
    </row>
    <row r="6369" spans="1:7" x14ac:dyDescent="0.2">
      <c r="A6369" s="3" t="s">
        <v>1072</v>
      </c>
      <c r="B6369" s="4">
        <v>45412</v>
      </c>
      <c r="C6369" s="3" t="s">
        <v>1168</v>
      </c>
      <c r="D6369" s="3" t="s">
        <v>1254</v>
      </c>
      <c r="E6369" s="3" t="s">
        <v>1075</v>
      </c>
      <c r="F6369" s="3">
        <v>3919.34</v>
      </c>
      <c r="G6369" s="3">
        <v>7757.53</v>
      </c>
    </row>
    <row r="6370" spans="1:7" x14ac:dyDescent="0.2">
      <c r="A6370" s="3" t="s">
        <v>1074</v>
      </c>
      <c r="B6370" s="4">
        <v>45412</v>
      </c>
      <c r="C6370" s="3" t="s">
        <v>1168</v>
      </c>
      <c r="D6370" s="3" t="s">
        <v>1254</v>
      </c>
      <c r="E6370" s="3" t="s">
        <v>1075</v>
      </c>
      <c r="F6370" s="3">
        <v>2815.04</v>
      </c>
      <c r="G6370" s="3">
        <v>2815.04</v>
      </c>
    </row>
    <row r="6371" spans="1:7" x14ac:dyDescent="0.2">
      <c r="A6371" s="3" t="s">
        <v>1072</v>
      </c>
      <c r="B6371" s="4">
        <v>45412</v>
      </c>
      <c r="C6371" s="3" t="s">
        <v>1168</v>
      </c>
      <c r="D6371" s="3" t="s">
        <v>1362</v>
      </c>
      <c r="E6371" s="3" t="s">
        <v>1123</v>
      </c>
      <c r="F6371" s="3">
        <v>378433.62</v>
      </c>
      <c r="G6371" s="3">
        <v>771426.33</v>
      </c>
    </row>
    <row r="6372" spans="1:7" x14ac:dyDescent="0.2">
      <c r="A6372" s="3" t="s">
        <v>1069</v>
      </c>
      <c r="B6372" s="4">
        <v>45412</v>
      </c>
      <c r="C6372" s="3" t="s">
        <v>1168</v>
      </c>
      <c r="D6372" s="3" t="s">
        <v>1213</v>
      </c>
      <c r="E6372" s="3" t="s">
        <v>1150</v>
      </c>
      <c r="F6372" s="3">
        <v>0</v>
      </c>
      <c r="G6372" s="3">
        <v>749.28</v>
      </c>
    </row>
    <row r="6373" spans="1:7" x14ac:dyDescent="0.2">
      <c r="A6373" s="3" t="s">
        <v>1072</v>
      </c>
      <c r="B6373" s="4">
        <v>45412</v>
      </c>
      <c r="C6373" s="3" t="s">
        <v>1168</v>
      </c>
      <c r="D6373" s="3" t="s">
        <v>1765</v>
      </c>
      <c r="E6373" s="3" t="s">
        <v>1766</v>
      </c>
      <c r="F6373" s="3">
        <v>0</v>
      </c>
      <c r="G6373" s="3">
        <v>4356.7</v>
      </c>
    </row>
    <row r="6374" spans="1:7" x14ac:dyDescent="0.2">
      <c r="A6374" s="3" t="s">
        <v>1072</v>
      </c>
      <c r="B6374" s="4">
        <v>45412</v>
      </c>
      <c r="C6374" s="3" t="s">
        <v>1168</v>
      </c>
      <c r="D6374" s="3" t="s">
        <v>1368</v>
      </c>
      <c r="E6374" s="3" t="s">
        <v>1124</v>
      </c>
      <c r="F6374" s="3">
        <v>1584.57</v>
      </c>
      <c r="G6374" s="3">
        <v>2423.75</v>
      </c>
    </row>
    <row r="6375" spans="1:7" x14ac:dyDescent="0.2">
      <c r="A6375" s="3" t="s">
        <v>1072</v>
      </c>
      <c r="B6375" s="4">
        <v>45412</v>
      </c>
      <c r="C6375" s="3" t="s">
        <v>1168</v>
      </c>
      <c r="D6375" s="3" t="s">
        <v>1369</v>
      </c>
      <c r="E6375" s="3" t="s">
        <v>1099</v>
      </c>
      <c r="F6375" s="3">
        <v>8625</v>
      </c>
      <c r="G6375" s="3">
        <v>9775</v>
      </c>
    </row>
    <row r="6376" spans="1:7" x14ac:dyDescent="0.2">
      <c r="A6376" s="3" t="s">
        <v>1072</v>
      </c>
      <c r="B6376" s="4">
        <v>45412</v>
      </c>
      <c r="C6376" s="3" t="s">
        <v>1168</v>
      </c>
      <c r="D6376" s="3" t="s">
        <v>1370</v>
      </c>
      <c r="E6376" s="3" t="s">
        <v>1129</v>
      </c>
      <c r="F6376" s="3">
        <v>3240</v>
      </c>
      <c r="G6376" s="3">
        <v>3240</v>
      </c>
    </row>
    <row r="6377" spans="1:7" x14ac:dyDescent="0.2">
      <c r="A6377" s="3" t="s">
        <v>1072</v>
      </c>
      <c r="B6377" s="4">
        <v>45412</v>
      </c>
      <c r="C6377" s="3" t="s">
        <v>1168</v>
      </c>
      <c r="D6377" s="3" t="s">
        <v>1372</v>
      </c>
      <c r="E6377" s="3" t="s">
        <v>1158</v>
      </c>
      <c r="F6377" s="3">
        <v>600</v>
      </c>
      <c r="G6377" s="3">
        <v>1200</v>
      </c>
    </row>
    <row r="6378" spans="1:7" x14ac:dyDescent="0.2">
      <c r="A6378" s="3" t="s">
        <v>1072</v>
      </c>
      <c r="B6378" s="4">
        <v>45412</v>
      </c>
      <c r="C6378" s="3" t="s">
        <v>1168</v>
      </c>
      <c r="D6378" s="3" t="s">
        <v>1373</v>
      </c>
      <c r="E6378" s="3" t="s">
        <v>1092</v>
      </c>
      <c r="F6378" s="3">
        <v>1089</v>
      </c>
      <c r="G6378" s="3">
        <v>2178</v>
      </c>
    </row>
    <row r="6379" spans="1:7" x14ac:dyDescent="0.2">
      <c r="A6379" s="3" t="s">
        <v>1072</v>
      </c>
      <c r="B6379" s="4">
        <v>45412</v>
      </c>
      <c r="C6379" s="3" t="s">
        <v>1168</v>
      </c>
      <c r="D6379" s="3" t="s">
        <v>1737</v>
      </c>
      <c r="E6379" s="3" t="s">
        <v>1148</v>
      </c>
      <c r="F6379" s="3">
        <v>0</v>
      </c>
      <c r="G6379" s="3">
        <v>718.93</v>
      </c>
    </row>
    <row r="6380" spans="1:7" x14ac:dyDescent="0.2">
      <c r="A6380" s="3" t="s">
        <v>1069</v>
      </c>
      <c r="B6380" s="4">
        <v>45412</v>
      </c>
      <c r="C6380" s="3" t="s">
        <v>1168</v>
      </c>
      <c r="D6380" s="3" t="s">
        <v>1232</v>
      </c>
      <c r="E6380" s="3" t="s">
        <v>1105</v>
      </c>
      <c r="F6380" s="3">
        <v>600</v>
      </c>
      <c r="G6380" s="3">
        <v>1200</v>
      </c>
    </row>
    <row r="6381" spans="1:7" x14ac:dyDescent="0.2">
      <c r="A6381" s="3" t="s">
        <v>1074</v>
      </c>
      <c r="B6381" s="4">
        <v>45412</v>
      </c>
      <c r="C6381" s="3" t="s">
        <v>1168</v>
      </c>
      <c r="D6381" s="3" t="s">
        <v>1232</v>
      </c>
      <c r="E6381" s="3" t="s">
        <v>1105</v>
      </c>
      <c r="F6381" s="3">
        <v>600</v>
      </c>
      <c r="G6381" s="3">
        <v>1200</v>
      </c>
    </row>
    <row r="6382" spans="1:7" x14ac:dyDescent="0.2">
      <c r="A6382" s="3" t="s">
        <v>1072</v>
      </c>
      <c r="B6382" s="4">
        <v>45412</v>
      </c>
      <c r="C6382" s="3" t="s">
        <v>1168</v>
      </c>
      <c r="D6382" s="3" t="s">
        <v>1375</v>
      </c>
      <c r="E6382" s="3" t="s">
        <v>1100</v>
      </c>
      <c r="F6382" s="3">
        <v>3435.07</v>
      </c>
      <c r="G6382" s="3">
        <v>6716.06</v>
      </c>
    </row>
    <row r="6383" spans="1:7" x14ac:dyDescent="0.2">
      <c r="A6383" s="3" t="s">
        <v>1072</v>
      </c>
      <c r="B6383" s="4">
        <v>45412</v>
      </c>
      <c r="C6383" s="3" t="s">
        <v>1168</v>
      </c>
      <c r="D6383" s="3" t="s">
        <v>1378</v>
      </c>
      <c r="E6383" s="3" t="s">
        <v>1143</v>
      </c>
      <c r="F6383" s="3">
        <v>90747.36</v>
      </c>
      <c r="G6383" s="3">
        <v>182556.26</v>
      </c>
    </row>
    <row r="6384" spans="1:7" x14ac:dyDescent="0.2">
      <c r="A6384" s="3" t="s">
        <v>1072</v>
      </c>
      <c r="B6384" s="4">
        <v>45412</v>
      </c>
      <c r="C6384" s="3" t="s">
        <v>1168</v>
      </c>
      <c r="D6384" s="3" t="s">
        <v>1379</v>
      </c>
      <c r="E6384" s="3" t="s">
        <v>1107</v>
      </c>
      <c r="F6384" s="3">
        <v>4593.54</v>
      </c>
      <c r="G6384" s="3">
        <v>9344.92</v>
      </c>
    </row>
    <row r="6385" spans="1:7" x14ac:dyDescent="0.2">
      <c r="A6385" s="3" t="s">
        <v>1072</v>
      </c>
      <c r="B6385" s="4">
        <v>45412</v>
      </c>
      <c r="C6385" s="3" t="s">
        <v>1168</v>
      </c>
      <c r="D6385" s="3" t="s">
        <v>1380</v>
      </c>
      <c r="E6385" s="3" t="s">
        <v>1125</v>
      </c>
      <c r="F6385" s="3">
        <v>2426.09</v>
      </c>
      <c r="G6385" s="3">
        <v>5009.96</v>
      </c>
    </row>
    <row r="6386" spans="1:7" x14ac:dyDescent="0.2">
      <c r="A6386" s="3" t="s">
        <v>1072</v>
      </c>
      <c r="B6386" s="4">
        <v>45412</v>
      </c>
      <c r="C6386" s="3" t="s">
        <v>1168</v>
      </c>
      <c r="D6386" s="3" t="s">
        <v>1381</v>
      </c>
      <c r="E6386" s="3" t="s">
        <v>1130</v>
      </c>
      <c r="F6386" s="3">
        <v>2426.09</v>
      </c>
      <c r="G6386" s="3">
        <v>5009.96</v>
      </c>
    </row>
    <row r="6387" spans="1:7" x14ac:dyDescent="0.2">
      <c r="A6387" s="3" t="s">
        <v>1069</v>
      </c>
      <c r="B6387" s="4">
        <v>45412</v>
      </c>
      <c r="C6387" s="3" t="s">
        <v>1172</v>
      </c>
      <c r="D6387" s="3" t="s">
        <v>1173</v>
      </c>
      <c r="E6387" s="3" t="s">
        <v>1174</v>
      </c>
      <c r="F6387" s="3">
        <v>0</v>
      </c>
      <c r="G6387" s="3">
        <v>-100</v>
      </c>
    </row>
    <row r="6388" spans="1:7" x14ac:dyDescent="0.2">
      <c r="A6388" s="3" t="s">
        <v>1072</v>
      </c>
      <c r="B6388" s="4">
        <v>45412</v>
      </c>
      <c r="C6388" s="3" t="s">
        <v>1172</v>
      </c>
      <c r="D6388" s="3" t="s">
        <v>1382</v>
      </c>
      <c r="E6388" s="3" t="s">
        <v>1383</v>
      </c>
      <c r="F6388" s="3">
        <v>0</v>
      </c>
      <c r="G6388" s="3">
        <v>-120</v>
      </c>
    </row>
    <row r="6389" spans="1:7" x14ac:dyDescent="0.2">
      <c r="A6389" s="3" t="s">
        <v>1072</v>
      </c>
      <c r="B6389" s="4">
        <v>45412</v>
      </c>
      <c r="C6389" s="3" t="s">
        <v>1172</v>
      </c>
      <c r="D6389" s="3" t="s">
        <v>1384</v>
      </c>
      <c r="E6389" s="3" t="s">
        <v>1385</v>
      </c>
      <c r="F6389" s="3">
        <v>0</v>
      </c>
      <c r="G6389" s="3">
        <v>17735.34</v>
      </c>
    </row>
    <row r="6390" spans="1:7" x14ac:dyDescent="0.2">
      <c r="A6390" s="3" t="s">
        <v>1069</v>
      </c>
      <c r="B6390" s="4">
        <v>45412</v>
      </c>
      <c r="C6390" s="3" t="s">
        <v>1172</v>
      </c>
      <c r="D6390" s="3" t="s">
        <v>1384</v>
      </c>
      <c r="E6390" s="3" t="s">
        <v>1385</v>
      </c>
      <c r="F6390" s="3">
        <v>0</v>
      </c>
      <c r="G6390" s="3">
        <v>-39545639.299999997</v>
      </c>
    </row>
    <row r="6391" spans="1:7" x14ac:dyDescent="0.2">
      <c r="A6391" s="3" t="s">
        <v>1074</v>
      </c>
      <c r="B6391" s="4">
        <v>45412</v>
      </c>
      <c r="C6391" s="3" t="s">
        <v>1172</v>
      </c>
      <c r="D6391" s="3" t="s">
        <v>1384</v>
      </c>
      <c r="E6391" s="3" t="s">
        <v>1385</v>
      </c>
      <c r="F6391" s="3">
        <v>0</v>
      </c>
      <c r="G6391" s="3">
        <v>-30792555.219999999</v>
      </c>
    </row>
    <row r="6392" spans="1:7" x14ac:dyDescent="0.2">
      <c r="A6392" s="3" t="s">
        <v>1069</v>
      </c>
      <c r="B6392" s="4">
        <v>45412</v>
      </c>
      <c r="C6392" s="3" t="s">
        <v>1180</v>
      </c>
      <c r="D6392" s="3" t="s">
        <v>1241</v>
      </c>
      <c r="E6392" s="3" t="s">
        <v>1242</v>
      </c>
      <c r="F6392" s="3">
        <v>0</v>
      </c>
      <c r="G6392" s="3">
        <v>17562360.850000001</v>
      </c>
    </row>
    <row r="6393" spans="1:7" x14ac:dyDescent="0.2">
      <c r="A6393" s="3" t="s">
        <v>1069</v>
      </c>
      <c r="B6393" s="4">
        <v>45412</v>
      </c>
      <c r="C6393" s="3" t="s">
        <v>1180</v>
      </c>
      <c r="D6393" s="3" t="s">
        <v>1733</v>
      </c>
      <c r="E6393" s="3" t="s">
        <v>1734</v>
      </c>
      <c r="F6393" s="3">
        <v>0</v>
      </c>
      <c r="G6393" s="3">
        <v>13457359</v>
      </c>
    </row>
    <row r="6394" spans="1:7" x14ac:dyDescent="0.2">
      <c r="A6394" s="3" t="s">
        <v>1072</v>
      </c>
      <c r="B6394" s="4">
        <v>45412</v>
      </c>
      <c r="C6394" s="3" t="s">
        <v>1180</v>
      </c>
      <c r="D6394" s="3" t="s">
        <v>1483</v>
      </c>
      <c r="E6394" s="3" t="s">
        <v>1177</v>
      </c>
      <c r="F6394" s="3">
        <v>-30000</v>
      </c>
      <c r="G6394" s="3">
        <v>-4047423.63</v>
      </c>
    </row>
    <row r="6395" spans="1:7" x14ac:dyDescent="0.2">
      <c r="A6395" s="3" t="s">
        <v>1072</v>
      </c>
      <c r="B6395" s="4">
        <v>45412</v>
      </c>
      <c r="C6395" s="3" t="s">
        <v>1180</v>
      </c>
      <c r="D6395" s="3" t="s">
        <v>1769</v>
      </c>
      <c r="E6395" s="3" t="s">
        <v>1770</v>
      </c>
      <c r="F6395" s="3">
        <v>15000</v>
      </c>
      <c r="G6395" s="3">
        <v>-145000</v>
      </c>
    </row>
    <row r="6396" spans="1:7" x14ac:dyDescent="0.2">
      <c r="A6396" s="3" t="s">
        <v>1072</v>
      </c>
      <c r="B6396" s="4">
        <v>45412</v>
      </c>
      <c r="C6396" s="3" t="s">
        <v>1180</v>
      </c>
      <c r="D6396" s="3" t="s">
        <v>1388</v>
      </c>
      <c r="E6396" s="3" t="s">
        <v>1389</v>
      </c>
      <c r="F6396" s="3">
        <v>0</v>
      </c>
      <c r="G6396" s="3">
        <v>-4342.5</v>
      </c>
    </row>
    <row r="6397" spans="1:7" x14ac:dyDescent="0.2">
      <c r="A6397" s="3" t="s">
        <v>1072</v>
      </c>
      <c r="B6397" s="4">
        <v>45412</v>
      </c>
      <c r="C6397" s="3" t="s">
        <v>1180</v>
      </c>
      <c r="D6397" s="3" t="s">
        <v>1723</v>
      </c>
      <c r="E6397" s="3" t="s">
        <v>1724</v>
      </c>
      <c r="F6397" s="3">
        <v>0</v>
      </c>
      <c r="G6397" s="3">
        <v>4702.3500000000004</v>
      </c>
    </row>
    <row r="6398" spans="1:7" x14ac:dyDescent="0.2">
      <c r="A6398" s="3" t="s">
        <v>1072</v>
      </c>
      <c r="B6398" s="4">
        <v>45412</v>
      </c>
      <c r="C6398" s="3" t="s">
        <v>1180</v>
      </c>
      <c r="D6398" s="3" t="s">
        <v>1390</v>
      </c>
      <c r="E6398" s="3" t="s">
        <v>1391</v>
      </c>
      <c r="F6398" s="3">
        <v>34000</v>
      </c>
      <c r="G6398" s="3">
        <v>-1212000</v>
      </c>
    </row>
    <row r="6399" spans="1:7" x14ac:dyDescent="0.2">
      <c r="A6399" s="3" t="s">
        <v>1072</v>
      </c>
      <c r="B6399" s="4">
        <v>45412</v>
      </c>
      <c r="C6399" s="3" t="s">
        <v>1180</v>
      </c>
      <c r="D6399" s="3" t="s">
        <v>1392</v>
      </c>
      <c r="E6399" s="3" t="s">
        <v>1393</v>
      </c>
      <c r="F6399" s="3">
        <v>0</v>
      </c>
      <c r="G6399" s="3">
        <v>4342.5</v>
      </c>
    </row>
    <row r="6400" spans="1:7" x14ac:dyDescent="0.2">
      <c r="A6400" s="3" t="s">
        <v>1072</v>
      </c>
      <c r="B6400" s="4">
        <v>45412</v>
      </c>
      <c r="C6400" s="3" t="s">
        <v>1180</v>
      </c>
      <c r="D6400" s="3" t="s">
        <v>1394</v>
      </c>
      <c r="E6400" s="3" t="s">
        <v>1256</v>
      </c>
      <c r="F6400" s="3">
        <v>600</v>
      </c>
      <c r="G6400" s="3">
        <v>-56400</v>
      </c>
    </row>
    <row r="6401" spans="1:7" x14ac:dyDescent="0.2">
      <c r="A6401" s="3" t="s">
        <v>1072</v>
      </c>
      <c r="B6401" s="4">
        <v>45412</v>
      </c>
      <c r="C6401" s="3" t="s">
        <v>1180</v>
      </c>
      <c r="D6401" s="3" t="s">
        <v>1395</v>
      </c>
      <c r="E6401" s="3" t="s">
        <v>1396</v>
      </c>
      <c r="F6401" s="3">
        <v>-1705000</v>
      </c>
      <c r="G6401" s="3">
        <v>-28629738.420000002</v>
      </c>
    </row>
    <row r="6402" spans="1:7" x14ac:dyDescent="0.2">
      <c r="A6402" s="3" t="s">
        <v>1072</v>
      </c>
      <c r="B6402" s="4">
        <v>45412</v>
      </c>
      <c r="C6402" s="3" t="s">
        <v>1180</v>
      </c>
      <c r="D6402" s="3" t="s">
        <v>1397</v>
      </c>
      <c r="E6402" s="3" t="s">
        <v>1398</v>
      </c>
      <c r="F6402" s="3">
        <v>600</v>
      </c>
      <c r="G6402" s="3">
        <v>-198989.44</v>
      </c>
    </row>
    <row r="6403" spans="1:7" x14ac:dyDescent="0.2">
      <c r="A6403" s="3" t="s">
        <v>1072</v>
      </c>
      <c r="B6403" s="4">
        <v>45412</v>
      </c>
      <c r="C6403" s="3" t="s">
        <v>1180</v>
      </c>
      <c r="D6403" s="3" t="s">
        <v>1512</v>
      </c>
      <c r="E6403" s="3" t="s">
        <v>1513</v>
      </c>
      <c r="F6403" s="3">
        <v>-150000</v>
      </c>
      <c r="G6403" s="3">
        <v>26492687.399999999</v>
      </c>
    </row>
    <row r="6404" spans="1:7" x14ac:dyDescent="0.2">
      <c r="A6404" s="3" t="s">
        <v>1072</v>
      </c>
      <c r="B6404" s="4">
        <v>45412</v>
      </c>
      <c r="C6404" s="3" t="s">
        <v>1180</v>
      </c>
      <c r="D6404" s="3" t="s">
        <v>1399</v>
      </c>
      <c r="E6404" s="3" t="s">
        <v>1400</v>
      </c>
      <c r="F6404" s="3">
        <v>0</v>
      </c>
      <c r="G6404" s="3">
        <v>317399</v>
      </c>
    </row>
    <row r="6405" spans="1:7" x14ac:dyDescent="0.2">
      <c r="A6405" s="3" t="s">
        <v>1074</v>
      </c>
      <c r="B6405" s="4">
        <v>45412</v>
      </c>
      <c r="C6405" s="3" t="s">
        <v>1175</v>
      </c>
      <c r="D6405" s="3" t="s">
        <v>1492</v>
      </c>
      <c r="E6405" s="3" t="s">
        <v>1493</v>
      </c>
      <c r="F6405" s="3">
        <v>-4694873.96</v>
      </c>
      <c r="G6405" s="3">
        <v>-58752432.490000002</v>
      </c>
    </row>
    <row r="6406" spans="1:7" x14ac:dyDescent="0.2">
      <c r="A6406" s="3" t="s">
        <v>1069</v>
      </c>
      <c r="B6406" s="4">
        <v>45412</v>
      </c>
      <c r="C6406" s="3" t="s">
        <v>1175</v>
      </c>
      <c r="D6406" s="3" t="s">
        <v>1176</v>
      </c>
      <c r="E6406" s="3" t="s">
        <v>1177</v>
      </c>
      <c r="F6406" s="3">
        <v>0</v>
      </c>
      <c r="G6406" s="3">
        <v>1846000</v>
      </c>
    </row>
    <row r="6407" spans="1:7" x14ac:dyDescent="0.2">
      <c r="A6407" s="3" t="s">
        <v>1069</v>
      </c>
      <c r="B6407" s="4">
        <v>45412</v>
      </c>
      <c r="C6407" s="3" t="s">
        <v>1175</v>
      </c>
      <c r="D6407" s="3" t="s">
        <v>1178</v>
      </c>
      <c r="E6407" s="3" t="s">
        <v>1179</v>
      </c>
      <c r="F6407" s="3">
        <v>1705000</v>
      </c>
      <c r="G6407" s="3">
        <v>28629738.420000002</v>
      </c>
    </row>
    <row r="6408" spans="1:7" x14ac:dyDescent="0.2">
      <c r="A6408" s="3" t="s">
        <v>1069</v>
      </c>
      <c r="B6408" s="4">
        <v>45412</v>
      </c>
      <c r="C6408" s="3" t="s">
        <v>1175</v>
      </c>
      <c r="D6408" s="3" t="s">
        <v>1233</v>
      </c>
      <c r="E6408" s="3" t="s">
        <v>1234</v>
      </c>
      <c r="F6408" s="3">
        <v>-380000</v>
      </c>
      <c r="G6408" s="3">
        <v>2104275</v>
      </c>
    </row>
    <row r="6409" spans="1:7" x14ac:dyDescent="0.2">
      <c r="A6409" s="3" t="s">
        <v>1069</v>
      </c>
      <c r="B6409" s="4">
        <v>45412</v>
      </c>
      <c r="C6409" s="3" t="s">
        <v>1175</v>
      </c>
      <c r="D6409" s="3" t="s">
        <v>1494</v>
      </c>
      <c r="E6409" s="3" t="s">
        <v>1495</v>
      </c>
      <c r="F6409" s="3">
        <v>4694873.96</v>
      </c>
      <c r="G6409" s="3">
        <v>58752431.960000001</v>
      </c>
    </row>
    <row r="6410" spans="1:7" x14ac:dyDescent="0.2">
      <c r="A6410" s="3" t="s">
        <v>1069</v>
      </c>
      <c r="B6410" s="4">
        <v>45412</v>
      </c>
      <c r="C6410" s="3" t="s">
        <v>1175</v>
      </c>
      <c r="D6410" s="3" t="s">
        <v>1756</v>
      </c>
      <c r="E6410" s="3" t="s">
        <v>1757</v>
      </c>
      <c r="F6410" s="3">
        <v>-2500</v>
      </c>
      <c r="G6410" s="3">
        <v>5000</v>
      </c>
    </row>
    <row r="6411" spans="1:7" x14ac:dyDescent="0.2">
      <c r="A6411" s="3" t="s">
        <v>1069</v>
      </c>
      <c r="B6411" s="4">
        <v>45412</v>
      </c>
      <c r="C6411" s="3" t="s">
        <v>1175</v>
      </c>
      <c r="D6411" s="3" t="s">
        <v>1516</v>
      </c>
      <c r="E6411" s="3" t="s">
        <v>1400</v>
      </c>
      <c r="F6411" s="3">
        <v>107900</v>
      </c>
      <c r="G6411" s="3">
        <v>0</v>
      </c>
    </row>
    <row r="6412" spans="1:7" x14ac:dyDescent="0.2">
      <c r="A6412" s="3" t="s">
        <v>1069</v>
      </c>
      <c r="B6412" s="4">
        <v>45412</v>
      </c>
      <c r="C6412" s="3" t="s">
        <v>1175</v>
      </c>
      <c r="D6412" s="3" t="s">
        <v>1738</v>
      </c>
      <c r="E6412" s="3" t="s">
        <v>1739</v>
      </c>
      <c r="F6412" s="3">
        <v>0</v>
      </c>
      <c r="G6412" s="3">
        <v>500</v>
      </c>
    </row>
    <row r="6413" spans="1:7" x14ac:dyDescent="0.2">
      <c r="A6413" s="3" t="s">
        <v>1069</v>
      </c>
      <c r="B6413" s="4">
        <v>45412</v>
      </c>
      <c r="C6413" s="3" t="s">
        <v>1175</v>
      </c>
      <c r="D6413" s="3" t="s">
        <v>1771</v>
      </c>
      <c r="E6413" s="3" t="s">
        <v>1772</v>
      </c>
      <c r="F6413" s="3">
        <v>300000</v>
      </c>
      <c r="G6413" s="3">
        <v>0</v>
      </c>
    </row>
    <row r="6414" spans="1:7" x14ac:dyDescent="0.2">
      <c r="A6414" s="3" t="s">
        <v>1072</v>
      </c>
      <c r="B6414" s="4">
        <v>45412</v>
      </c>
      <c r="C6414" s="3" t="s">
        <v>1175</v>
      </c>
      <c r="D6414" s="3" t="s">
        <v>1405</v>
      </c>
      <c r="E6414" s="3" t="s">
        <v>1406</v>
      </c>
      <c r="F6414" s="3">
        <v>2507.0500000000002</v>
      </c>
      <c r="G6414" s="3">
        <v>2507.0500000000002</v>
      </c>
    </row>
    <row r="6415" spans="1:7" x14ac:dyDescent="0.2">
      <c r="A6415" s="3" t="s">
        <v>1069</v>
      </c>
      <c r="B6415" s="4">
        <v>45412</v>
      </c>
      <c r="C6415" s="3" t="s">
        <v>1180</v>
      </c>
      <c r="D6415" s="3" t="s">
        <v>1748</v>
      </c>
      <c r="E6415" s="3" t="s">
        <v>1749</v>
      </c>
      <c r="F6415" s="3">
        <v>0</v>
      </c>
      <c r="G6415" s="3">
        <v>1304260.8700000001</v>
      </c>
    </row>
    <row r="6416" spans="1:7" x14ac:dyDescent="0.2">
      <c r="A6416" s="3" t="s">
        <v>1069</v>
      </c>
      <c r="B6416" s="4">
        <v>45412</v>
      </c>
      <c r="C6416" s="3" t="s">
        <v>1180</v>
      </c>
      <c r="D6416" s="3" t="s">
        <v>1750</v>
      </c>
      <c r="E6416" s="3" t="s">
        <v>1751</v>
      </c>
      <c r="F6416" s="3">
        <v>0</v>
      </c>
      <c r="G6416" s="3">
        <v>1356434.78</v>
      </c>
    </row>
    <row r="6417" spans="1:7" x14ac:dyDescent="0.2">
      <c r="A6417" s="3" t="s">
        <v>1069</v>
      </c>
      <c r="B6417" s="4">
        <v>45412</v>
      </c>
      <c r="C6417" s="3" t="s">
        <v>1180</v>
      </c>
      <c r="D6417" s="3" t="s">
        <v>1752</v>
      </c>
      <c r="E6417" s="3" t="s">
        <v>1753</v>
      </c>
      <c r="F6417" s="3">
        <v>0</v>
      </c>
      <c r="G6417" s="3">
        <v>1373826.09</v>
      </c>
    </row>
    <row r="6418" spans="1:7" x14ac:dyDescent="0.2">
      <c r="A6418" s="3" t="s">
        <v>1069</v>
      </c>
      <c r="B6418" s="4">
        <v>45412</v>
      </c>
      <c r="C6418" s="3" t="s">
        <v>1180</v>
      </c>
      <c r="D6418" s="3" t="s">
        <v>1754</v>
      </c>
      <c r="E6418" s="3" t="s">
        <v>1755</v>
      </c>
      <c r="F6418" s="3">
        <v>0</v>
      </c>
      <c r="G6418" s="3">
        <v>1391217.39</v>
      </c>
    </row>
    <row r="6419" spans="1:7" x14ac:dyDescent="0.2">
      <c r="A6419" s="3" t="s">
        <v>1069</v>
      </c>
      <c r="B6419" s="4">
        <v>45412</v>
      </c>
      <c r="C6419" s="3" t="s">
        <v>1180</v>
      </c>
      <c r="D6419" s="3" t="s">
        <v>1740</v>
      </c>
      <c r="E6419" s="3" t="s">
        <v>1741</v>
      </c>
      <c r="F6419" s="3">
        <v>0</v>
      </c>
      <c r="G6419" s="3">
        <v>1304260.8700000001</v>
      </c>
    </row>
    <row r="6420" spans="1:7" x14ac:dyDescent="0.2">
      <c r="A6420" s="3" t="s">
        <v>1072</v>
      </c>
      <c r="B6420" s="4">
        <v>45412</v>
      </c>
      <c r="C6420" s="3" t="s">
        <v>1180</v>
      </c>
      <c r="D6420" s="3" t="s">
        <v>1409</v>
      </c>
      <c r="E6420" s="3" t="s">
        <v>1410</v>
      </c>
      <c r="F6420" s="3">
        <v>0</v>
      </c>
      <c r="G6420" s="3">
        <v>216064.1</v>
      </c>
    </row>
    <row r="6421" spans="1:7" x14ac:dyDescent="0.2">
      <c r="A6421" s="3" t="s">
        <v>1072</v>
      </c>
      <c r="B6421" s="4">
        <v>45412</v>
      </c>
      <c r="C6421" s="3" t="s">
        <v>1180</v>
      </c>
      <c r="D6421" s="3" t="s">
        <v>1411</v>
      </c>
      <c r="E6421" s="3" t="s">
        <v>1412</v>
      </c>
      <c r="F6421" s="3">
        <v>0</v>
      </c>
      <c r="G6421" s="3">
        <v>-216064.1</v>
      </c>
    </row>
    <row r="6422" spans="1:7" x14ac:dyDescent="0.2">
      <c r="A6422" s="3" t="s">
        <v>1072</v>
      </c>
      <c r="B6422" s="4">
        <v>45412</v>
      </c>
      <c r="C6422" s="3" t="s">
        <v>1180</v>
      </c>
      <c r="D6422" s="3" t="s">
        <v>1413</v>
      </c>
      <c r="E6422" s="3" t="s">
        <v>1414</v>
      </c>
      <c r="F6422" s="3">
        <v>0</v>
      </c>
      <c r="G6422" s="3">
        <v>170108.57</v>
      </c>
    </row>
    <row r="6423" spans="1:7" x14ac:dyDescent="0.2">
      <c r="A6423" s="3" t="s">
        <v>1072</v>
      </c>
      <c r="B6423" s="4">
        <v>45412</v>
      </c>
      <c r="C6423" s="3" t="s">
        <v>1180</v>
      </c>
      <c r="D6423" s="3" t="s">
        <v>1415</v>
      </c>
      <c r="E6423" s="3" t="s">
        <v>1416</v>
      </c>
      <c r="F6423" s="3">
        <v>-4719.63</v>
      </c>
      <c r="G6423" s="3">
        <v>-85431.91</v>
      </c>
    </row>
    <row r="6424" spans="1:7" x14ac:dyDescent="0.2">
      <c r="A6424" s="3" t="s">
        <v>1072</v>
      </c>
      <c r="B6424" s="4">
        <v>45412</v>
      </c>
      <c r="C6424" s="3" t="s">
        <v>1180</v>
      </c>
      <c r="D6424" s="3" t="s">
        <v>1462</v>
      </c>
      <c r="E6424" s="3" t="s">
        <v>1463</v>
      </c>
      <c r="F6424" s="3">
        <v>0</v>
      </c>
      <c r="G6424" s="3">
        <v>37955.300000000003</v>
      </c>
    </row>
    <row r="6425" spans="1:7" x14ac:dyDescent="0.2">
      <c r="A6425" s="3" t="s">
        <v>1072</v>
      </c>
      <c r="B6425" s="4">
        <v>45412</v>
      </c>
      <c r="C6425" s="3" t="s">
        <v>1180</v>
      </c>
      <c r="D6425" s="3" t="s">
        <v>1484</v>
      </c>
      <c r="E6425" s="3" t="s">
        <v>1485</v>
      </c>
      <c r="F6425" s="3">
        <v>-547.66999999999996</v>
      </c>
      <c r="G6425" s="3">
        <v>-13582.54</v>
      </c>
    </row>
    <row r="6426" spans="1:7" x14ac:dyDescent="0.2">
      <c r="A6426" s="3" t="s">
        <v>1072</v>
      </c>
      <c r="B6426" s="4">
        <v>45412</v>
      </c>
      <c r="C6426" s="3" t="s">
        <v>1180</v>
      </c>
      <c r="D6426" s="3" t="s">
        <v>1417</v>
      </c>
      <c r="E6426" s="3" t="s">
        <v>1418</v>
      </c>
      <c r="F6426" s="3">
        <v>0</v>
      </c>
      <c r="G6426" s="3">
        <v>71322</v>
      </c>
    </row>
    <row r="6427" spans="1:7" x14ac:dyDescent="0.2">
      <c r="A6427" s="3" t="s">
        <v>1072</v>
      </c>
      <c r="B6427" s="4">
        <v>45412</v>
      </c>
      <c r="C6427" s="3" t="s">
        <v>1180</v>
      </c>
      <c r="D6427" s="3" t="s">
        <v>1419</v>
      </c>
      <c r="E6427" s="3" t="s">
        <v>1420</v>
      </c>
      <c r="F6427" s="3">
        <v>-1188.7</v>
      </c>
      <c r="G6427" s="3">
        <v>-17937.740000000002</v>
      </c>
    </row>
    <row r="6428" spans="1:7" x14ac:dyDescent="0.2">
      <c r="A6428" s="3" t="s">
        <v>1069</v>
      </c>
      <c r="B6428" s="4">
        <v>45412</v>
      </c>
      <c r="C6428" s="3" t="s">
        <v>1180</v>
      </c>
      <c r="D6428" s="3" t="s">
        <v>1421</v>
      </c>
      <c r="E6428" s="3" t="s">
        <v>1422</v>
      </c>
      <c r="F6428" s="3">
        <v>0</v>
      </c>
      <c r="G6428" s="3">
        <v>874505.75</v>
      </c>
    </row>
    <row r="6429" spans="1:7" x14ac:dyDescent="0.2">
      <c r="A6429" s="3" t="s">
        <v>1074</v>
      </c>
      <c r="B6429" s="4">
        <v>45412</v>
      </c>
      <c r="C6429" s="3" t="s">
        <v>1180</v>
      </c>
      <c r="D6429" s="3" t="s">
        <v>1421</v>
      </c>
      <c r="E6429" s="3" t="s">
        <v>1533</v>
      </c>
      <c r="F6429" s="3">
        <v>0</v>
      </c>
      <c r="G6429" s="3">
        <v>2472501.08</v>
      </c>
    </row>
    <row r="6430" spans="1:7" x14ac:dyDescent="0.2">
      <c r="A6430" s="3" t="s">
        <v>1069</v>
      </c>
      <c r="B6430" s="4">
        <v>45412</v>
      </c>
      <c r="C6430" s="3" t="s">
        <v>1180</v>
      </c>
      <c r="D6430" s="3" t="s">
        <v>1214</v>
      </c>
      <c r="E6430" s="3" t="s">
        <v>1215</v>
      </c>
      <c r="F6430" s="3">
        <v>0</v>
      </c>
      <c r="G6430" s="3">
        <v>26200000</v>
      </c>
    </row>
    <row r="6431" spans="1:7" x14ac:dyDescent="0.2">
      <c r="A6431" s="3" t="s">
        <v>1069</v>
      </c>
      <c r="B6431" s="4">
        <v>45412</v>
      </c>
      <c r="C6431" s="3" t="s">
        <v>1180</v>
      </c>
      <c r="D6431" s="3" t="s">
        <v>1216</v>
      </c>
      <c r="E6431" s="3" t="s">
        <v>1217</v>
      </c>
      <c r="F6431" s="3">
        <v>0</v>
      </c>
      <c r="G6431" s="3">
        <v>68427</v>
      </c>
    </row>
    <row r="6432" spans="1:7" x14ac:dyDescent="0.2">
      <c r="A6432" s="3" t="s">
        <v>1069</v>
      </c>
      <c r="B6432" s="4">
        <v>45412</v>
      </c>
      <c r="C6432" s="3" t="s">
        <v>1180</v>
      </c>
      <c r="D6432" s="3" t="s">
        <v>1218</v>
      </c>
      <c r="E6432" s="3" t="s">
        <v>1219</v>
      </c>
      <c r="F6432" s="3">
        <v>0</v>
      </c>
      <c r="G6432" s="3">
        <v>103812</v>
      </c>
    </row>
    <row r="6433" spans="1:7" x14ac:dyDescent="0.2">
      <c r="A6433" s="3" t="s">
        <v>1069</v>
      </c>
      <c r="B6433" s="4">
        <v>45412</v>
      </c>
      <c r="C6433" s="3" t="s">
        <v>1180</v>
      </c>
      <c r="D6433" s="3" t="s">
        <v>1197</v>
      </c>
      <c r="E6433" s="3" t="s">
        <v>1198</v>
      </c>
      <c r="F6433" s="3">
        <v>0</v>
      </c>
      <c r="G6433" s="3">
        <v>314087</v>
      </c>
    </row>
    <row r="6434" spans="1:7" x14ac:dyDescent="0.2">
      <c r="A6434" s="3" t="s">
        <v>1074</v>
      </c>
      <c r="B6434" s="4">
        <v>45412</v>
      </c>
      <c r="C6434" s="3" t="s">
        <v>1180</v>
      </c>
      <c r="D6434" s="3" t="s">
        <v>1197</v>
      </c>
      <c r="E6434" s="3" t="s">
        <v>1550</v>
      </c>
      <c r="F6434" s="3">
        <v>0</v>
      </c>
      <c r="G6434" s="3">
        <v>719552.6</v>
      </c>
    </row>
    <row r="6435" spans="1:7" x14ac:dyDescent="0.2">
      <c r="A6435" s="3" t="s">
        <v>1069</v>
      </c>
      <c r="B6435" s="4">
        <v>45412</v>
      </c>
      <c r="C6435" s="3" t="s">
        <v>1180</v>
      </c>
      <c r="D6435" s="3" t="s">
        <v>1496</v>
      </c>
      <c r="E6435" s="3" t="s">
        <v>1497</v>
      </c>
      <c r="F6435" s="3">
        <v>0</v>
      </c>
      <c r="G6435" s="3">
        <v>139500</v>
      </c>
    </row>
    <row r="6436" spans="1:7" x14ac:dyDescent="0.2">
      <c r="A6436" s="3" t="s">
        <v>1069</v>
      </c>
      <c r="B6436" s="4">
        <v>45412</v>
      </c>
      <c r="C6436" s="3" t="s">
        <v>1180</v>
      </c>
      <c r="D6436" s="3" t="s">
        <v>1181</v>
      </c>
      <c r="E6436" s="3" t="s">
        <v>1182</v>
      </c>
      <c r="F6436" s="3">
        <v>0</v>
      </c>
      <c r="G6436" s="3">
        <v>8557641.8000000007</v>
      </c>
    </row>
    <row r="6437" spans="1:7" x14ac:dyDescent="0.2">
      <c r="A6437" s="3" t="s">
        <v>1069</v>
      </c>
      <c r="B6437" s="4">
        <v>45412</v>
      </c>
      <c r="C6437" s="3" t="s">
        <v>1180</v>
      </c>
      <c r="D6437" s="3" t="s">
        <v>1263</v>
      </c>
      <c r="E6437" s="3" t="s">
        <v>1264</v>
      </c>
      <c r="F6437" s="3">
        <v>0</v>
      </c>
      <c r="G6437" s="3">
        <v>13807.78</v>
      </c>
    </row>
    <row r="6438" spans="1:7" x14ac:dyDescent="0.2">
      <c r="A6438" s="3" t="s">
        <v>1069</v>
      </c>
      <c r="B6438" s="4">
        <v>45412</v>
      </c>
      <c r="C6438" s="3" t="s">
        <v>1180</v>
      </c>
      <c r="D6438" s="3" t="s">
        <v>1202</v>
      </c>
      <c r="E6438" s="3" t="s">
        <v>1203</v>
      </c>
      <c r="F6438" s="3">
        <v>0</v>
      </c>
      <c r="G6438" s="3">
        <v>197060.09</v>
      </c>
    </row>
    <row r="6439" spans="1:7" x14ac:dyDescent="0.2">
      <c r="A6439" s="3" t="s">
        <v>1074</v>
      </c>
      <c r="B6439" s="4">
        <v>45412</v>
      </c>
      <c r="C6439" s="3" t="s">
        <v>1180</v>
      </c>
      <c r="D6439" s="3" t="s">
        <v>1202</v>
      </c>
      <c r="E6439" s="3" t="s">
        <v>1577</v>
      </c>
      <c r="F6439" s="3">
        <v>0</v>
      </c>
      <c r="G6439" s="3">
        <v>321942.46999999997</v>
      </c>
    </row>
    <row r="6440" spans="1:7" x14ac:dyDescent="0.2">
      <c r="A6440" s="3" t="s">
        <v>1069</v>
      </c>
      <c r="B6440" s="4">
        <v>45412</v>
      </c>
      <c r="C6440" s="3" t="s">
        <v>1180</v>
      </c>
      <c r="D6440" s="3" t="s">
        <v>1204</v>
      </c>
      <c r="E6440" s="3" t="s">
        <v>1205</v>
      </c>
      <c r="F6440" s="3">
        <v>0</v>
      </c>
      <c r="G6440" s="3">
        <v>7500</v>
      </c>
    </row>
    <row r="6441" spans="1:7" x14ac:dyDescent="0.2">
      <c r="A6441" s="3" t="s">
        <v>1074</v>
      </c>
      <c r="B6441" s="4">
        <v>45412</v>
      </c>
      <c r="C6441" s="3" t="s">
        <v>1180</v>
      </c>
      <c r="D6441" s="3" t="s">
        <v>1204</v>
      </c>
      <c r="E6441" s="3" t="s">
        <v>1673</v>
      </c>
      <c r="F6441" s="3">
        <v>0</v>
      </c>
      <c r="G6441" s="3">
        <v>114370.5</v>
      </c>
    </row>
    <row r="6442" spans="1:7" x14ac:dyDescent="0.2">
      <c r="A6442" s="3" t="s">
        <v>1069</v>
      </c>
      <c r="B6442" s="4">
        <v>45412</v>
      </c>
      <c r="C6442" s="3" t="s">
        <v>1180</v>
      </c>
      <c r="D6442" s="3" t="s">
        <v>1199</v>
      </c>
      <c r="E6442" s="3" t="s">
        <v>1200</v>
      </c>
      <c r="F6442" s="3">
        <v>0</v>
      </c>
      <c r="G6442" s="3">
        <v>146256.38</v>
      </c>
    </row>
    <row r="6443" spans="1:7" x14ac:dyDescent="0.2">
      <c r="A6443" s="3" t="s">
        <v>1069</v>
      </c>
      <c r="B6443" s="4">
        <v>45412</v>
      </c>
      <c r="C6443" s="3" t="s">
        <v>1180</v>
      </c>
      <c r="D6443" s="3" t="s">
        <v>1486</v>
      </c>
      <c r="E6443" s="3" t="s">
        <v>1487</v>
      </c>
      <c r="F6443" s="3">
        <v>0</v>
      </c>
      <c r="G6443" s="3">
        <v>20600</v>
      </c>
    </row>
    <row r="6444" spans="1:7" x14ac:dyDescent="0.2">
      <c r="A6444" s="3" t="s">
        <v>1069</v>
      </c>
      <c r="B6444" s="4">
        <v>45412</v>
      </c>
      <c r="C6444" s="3" t="s">
        <v>1180</v>
      </c>
      <c r="D6444" s="3" t="s">
        <v>1220</v>
      </c>
      <c r="E6444" s="3" t="s">
        <v>1221</v>
      </c>
      <c r="F6444" s="3">
        <v>0</v>
      </c>
      <c r="G6444" s="3">
        <v>15175</v>
      </c>
    </row>
    <row r="6445" spans="1:7" x14ac:dyDescent="0.2">
      <c r="A6445" s="3" t="s">
        <v>1069</v>
      </c>
      <c r="B6445" s="4">
        <v>45412</v>
      </c>
      <c r="C6445" s="3" t="s">
        <v>1180</v>
      </c>
      <c r="D6445" s="3" t="s">
        <v>1498</v>
      </c>
      <c r="E6445" s="3" t="s">
        <v>1499</v>
      </c>
      <c r="F6445" s="3">
        <v>0</v>
      </c>
      <c r="G6445" s="3">
        <v>570856.07999999996</v>
      </c>
    </row>
    <row r="6446" spans="1:7" x14ac:dyDescent="0.2">
      <c r="A6446" s="3" t="s">
        <v>1069</v>
      </c>
      <c r="B6446" s="4">
        <v>45412</v>
      </c>
      <c r="C6446" s="3" t="s">
        <v>1180</v>
      </c>
      <c r="D6446" s="3" t="s">
        <v>1183</v>
      </c>
      <c r="E6446" s="3" t="s">
        <v>1184</v>
      </c>
      <c r="F6446" s="3">
        <v>0</v>
      </c>
      <c r="G6446" s="3">
        <v>47748851.509999998</v>
      </c>
    </row>
    <row r="6447" spans="1:7" x14ac:dyDescent="0.2">
      <c r="A6447" s="3" t="s">
        <v>1074</v>
      </c>
      <c r="B6447" s="4">
        <v>45412</v>
      </c>
      <c r="C6447" s="3" t="s">
        <v>1180</v>
      </c>
      <c r="D6447" s="3" t="s">
        <v>1183</v>
      </c>
      <c r="E6447" s="3" t="s">
        <v>1631</v>
      </c>
      <c r="F6447" s="3">
        <v>4119475.14</v>
      </c>
      <c r="G6447" s="3">
        <v>59166357.649999999</v>
      </c>
    </row>
    <row r="6448" spans="1:7" x14ac:dyDescent="0.2">
      <c r="A6448" s="3" t="s">
        <v>1069</v>
      </c>
      <c r="B6448" s="4">
        <v>45412</v>
      </c>
      <c r="C6448" s="3" t="s">
        <v>1180</v>
      </c>
      <c r="D6448" s="3" t="s">
        <v>1222</v>
      </c>
      <c r="E6448" s="3" t="s">
        <v>1223</v>
      </c>
      <c r="F6448" s="3">
        <v>0</v>
      </c>
      <c r="G6448" s="3">
        <v>3850818.04</v>
      </c>
    </row>
    <row r="6449" spans="1:7" x14ac:dyDescent="0.2">
      <c r="A6449" s="3" t="s">
        <v>1074</v>
      </c>
      <c r="B6449" s="4">
        <v>45412</v>
      </c>
      <c r="C6449" s="3" t="s">
        <v>1180</v>
      </c>
      <c r="D6449" s="3" t="s">
        <v>1222</v>
      </c>
      <c r="E6449" s="3" t="s">
        <v>1664</v>
      </c>
      <c r="F6449" s="3">
        <v>0</v>
      </c>
      <c r="G6449" s="3">
        <v>1826086.96</v>
      </c>
    </row>
    <row r="6450" spans="1:7" x14ac:dyDescent="0.2">
      <c r="A6450" s="3" t="s">
        <v>1069</v>
      </c>
      <c r="B6450" s="4">
        <v>45412</v>
      </c>
      <c r="C6450" s="3" t="s">
        <v>1180</v>
      </c>
      <c r="D6450" s="3" t="s">
        <v>1235</v>
      </c>
      <c r="E6450" s="3" t="s">
        <v>1236</v>
      </c>
      <c r="F6450" s="3">
        <v>0</v>
      </c>
      <c r="G6450" s="3">
        <v>782608.07</v>
      </c>
    </row>
    <row r="6451" spans="1:7" x14ac:dyDescent="0.2">
      <c r="A6451" s="3" t="s">
        <v>1074</v>
      </c>
      <c r="B6451" s="4">
        <v>45412</v>
      </c>
      <c r="C6451" s="3" t="s">
        <v>1180</v>
      </c>
      <c r="D6451" s="3" t="s">
        <v>1235</v>
      </c>
      <c r="E6451" s="3" t="s">
        <v>1715</v>
      </c>
      <c r="F6451" s="3">
        <v>0</v>
      </c>
      <c r="G6451" s="3">
        <v>217391.3</v>
      </c>
    </row>
    <row r="6452" spans="1:7" x14ac:dyDescent="0.2">
      <c r="A6452" s="3" t="s">
        <v>1069</v>
      </c>
      <c r="B6452" s="4">
        <v>45412</v>
      </c>
      <c r="C6452" s="3" t="s">
        <v>1180</v>
      </c>
      <c r="D6452" s="3" t="s">
        <v>1206</v>
      </c>
      <c r="E6452" s="3" t="s">
        <v>1207</v>
      </c>
      <c r="F6452" s="3">
        <v>0</v>
      </c>
      <c r="G6452" s="3">
        <v>166550</v>
      </c>
    </row>
    <row r="6453" spans="1:7" x14ac:dyDescent="0.2">
      <c r="A6453" s="3" t="s">
        <v>1074</v>
      </c>
      <c r="B6453" s="4">
        <v>45412</v>
      </c>
      <c r="C6453" s="3" t="s">
        <v>1180</v>
      </c>
      <c r="D6453" s="3" t="s">
        <v>1206</v>
      </c>
      <c r="E6453" s="3" t="s">
        <v>1697</v>
      </c>
      <c r="F6453" s="3">
        <v>0</v>
      </c>
      <c r="G6453" s="3">
        <v>2834.7</v>
      </c>
    </row>
    <row r="6454" spans="1:7" x14ac:dyDescent="0.2">
      <c r="A6454" s="3" t="s">
        <v>1069</v>
      </c>
      <c r="B6454" s="4">
        <v>45412</v>
      </c>
      <c r="C6454" s="3" t="s">
        <v>1180</v>
      </c>
      <c r="D6454" s="3" t="s">
        <v>1208</v>
      </c>
      <c r="E6454" s="3" t="s">
        <v>1209</v>
      </c>
      <c r="F6454" s="3">
        <v>0</v>
      </c>
      <c r="G6454" s="3">
        <v>45000</v>
      </c>
    </row>
    <row r="6455" spans="1:7" x14ac:dyDescent="0.2">
      <c r="A6455" s="3" t="s">
        <v>1069</v>
      </c>
      <c r="B6455" s="4">
        <v>45412</v>
      </c>
      <c r="C6455" s="3" t="s">
        <v>1180</v>
      </c>
      <c r="D6455" s="3" t="s">
        <v>1259</v>
      </c>
      <c r="E6455" s="3" t="s">
        <v>1260</v>
      </c>
      <c r="F6455" s="3">
        <v>6000</v>
      </c>
      <c r="G6455" s="3">
        <v>215000</v>
      </c>
    </row>
    <row r="6456" spans="1:7" x14ac:dyDescent="0.2">
      <c r="A6456" s="3" t="s">
        <v>1074</v>
      </c>
      <c r="B6456" s="4">
        <v>45412</v>
      </c>
      <c r="C6456" s="3" t="s">
        <v>1180</v>
      </c>
      <c r="D6456" s="3" t="s">
        <v>1674</v>
      </c>
      <c r="E6456" s="3" t="s">
        <v>1675</v>
      </c>
      <c r="F6456" s="3">
        <v>0</v>
      </c>
      <c r="G6456" s="3">
        <v>695752.14</v>
      </c>
    </row>
    <row r="6457" spans="1:7" x14ac:dyDescent="0.2">
      <c r="A6457" s="3" t="s">
        <v>1074</v>
      </c>
      <c r="B6457" s="4">
        <v>45412</v>
      </c>
      <c r="C6457" s="3" t="s">
        <v>1180</v>
      </c>
      <c r="D6457" s="3" t="s">
        <v>1578</v>
      </c>
      <c r="E6457" s="3" t="s">
        <v>1579</v>
      </c>
      <c r="F6457" s="3">
        <v>0</v>
      </c>
      <c r="G6457" s="3">
        <v>66190.11</v>
      </c>
    </row>
    <row r="6458" spans="1:7" x14ac:dyDescent="0.2">
      <c r="A6458" s="3" t="s">
        <v>1069</v>
      </c>
      <c r="B6458" s="4">
        <v>45412</v>
      </c>
      <c r="C6458" s="3" t="s">
        <v>1180</v>
      </c>
      <c r="D6458" s="3" t="s">
        <v>1265</v>
      </c>
      <c r="E6458" s="3" t="s">
        <v>1266</v>
      </c>
      <c r="F6458" s="3">
        <v>0</v>
      </c>
      <c r="G6458" s="3">
        <v>3252759.95</v>
      </c>
    </row>
    <row r="6459" spans="1:7" x14ac:dyDescent="0.2">
      <c r="A6459" s="3" t="s">
        <v>1074</v>
      </c>
      <c r="B6459" s="4">
        <v>45412</v>
      </c>
      <c r="C6459" s="3" t="s">
        <v>1180</v>
      </c>
      <c r="D6459" s="3" t="s">
        <v>1265</v>
      </c>
      <c r="E6459" s="3" t="s">
        <v>1518</v>
      </c>
      <c r="F6459" s="3">
        <v>0</v>
      </c>
      <c r="G6459" s="3">
        <v>1673231.19</v>
      </c>
    </row>
    <row r="6460" spans="1:7" x14ac:dyDescent="0.2">
      <c r="A6460" s="3" t="s">
        <v>1069</v>
      </c>
      <c r="B6460" s="4">
        <v>45412</v>
      </c>
      <c r="C6460" s="3" t="s">
        <v>1180</v>
      </c>
      <c r="D6460" s="3" t="s">
        <v>1423</v>
      </c>
      <c r="E6460" s="3" t="s">
        <v>1424</v>
      </c>
      <c r="F6460" s="3">
        <v>0</v>
      </c>
      <c r="G6460" s="3">
        <v>622274.51</v>
      </c>
    </row>
    <row r="6461" spans="1:7" x14ac:dyDescent="0.2">
      <c r="A6461" s="3" t="s">
        <v>1074</v>
      </c>
      <c r="B6461" s="4">
        <v>45412</v>
      </c>
      <c r="C6461" s="3" t="s">
        <v>1180</v>
      </c>
      <c r="D6461" s="3" t="s">
        <v>1519</v>
      </c>
      <c r="E6461" s="3" t="s">
        <v>1551</v>
      </c>
      <c r="F6461" s="3">
        <v>0</v>
      </c>
      <c r="G6461" s="3">
        <v>76530</v>
      </c>
    </row>
    <row r="6462" spans="1:7" x14ac:dyDescent="0.2">
      <c r="A6462" s="3" t="s">
        <v>1069</v>
      </c>
      <c r="B6462" s="4">
        <v>45412</v>
      </c>
      <c r="C6462" s="3" t="s">
        <v>1180</v>
      </c>
      <c r="D6462" s="3" t="s">
        <v>1519</v>
      </c>
      <c r="E6462" s="3" t="s">
        <v>1520</v>
      </c>
      <c r="F6462" s="3">
        <v>0</v>
      </c>
      <c r="G6462" s="3">
        <v>985049.68</v>
      </c>
    </row>
    <row r="6463" spans="1:7" x14ac:dyDescent="0.2">
      <c r="A6463" s="3" t="s">
        <v>1074</v>
      </c>
      <c r="B6463" s="4">
        <v>45412</v>
      </c>
      <c r="C6463" s="3" t="s">
        <v>1180</v>
      </c>
      <c r="D6463" s="3" t="s">
        <v>1521</v>
      </c>
      <c r="E6463" s="3" t="s">
        <v>1522</v>
      </c>
      <c r="F6463" s="3">
        <v>0</v>
      </c>
      <c r="G6463" s="3">
        <v>31400</v>
      </c>
    </row>
    <row r="6464" spans="1:7" x14ac:dyDescent="0.2">
      <c r="A6464" s="3" t="s">
        <v>1074</v>
      </c>
      <c r="B6464" s="4">
        <v>45412</v>
      </c>
      <c r="C6464" s="3" t="s">
        <v>1180</v>
      </c>
      <c r="D6464" s="3" t="s">
        <v>1534</v>
      </c>
      <c r="E6464" s="3" t="s">
        <v>1535</v>
      </c>
      <c r="F6464" s="3">
        <v>334782.61</v>
      </c>
      <c r="G6464" s="3">
        <v>3363043.48</v>
      </c>
    </row>
    <row r="6465" spans="1:7" x14ac:dyDescent="0.2">
      <c r="A6465" s="3" t="s">
        <v>1074</v>
      </c>
      <c r="B6465" s="4">
        <v>45412</v>
      </c>
      <c r="C6465" s="3" t="s">
        <v>1180</v>
      </c>
      <c r="D6465" s="3" t="s">
        <v>1610</v>
      </c>
      <c r="E6465" s="3" t="s">
        <v>1611</v>
      </c>
      <c r="F6465" s="3">
        <v>256943.76</v>
      </c>
      <c r="G6465" s="3">
        <v>1797445.87</v>
      </c>
    </row>
    <row r="6466" spans="1:7" x14ac:dyDescent="0.2">
      <c r="A6466" s="3" t="s">
        <v>1074</v>
      </c>
      <c r="B6466" s="4">
        <v>45412</v>
      </c>
      <c r="C6466" s="3" t="s">
        <v>1180</v>
      </c>
      <c r="D6466" s="3" t="s">
        <v>1653</v>
      </c>
      <c r="E6466" s="3" t="s">
        <v>1654</v>
      </c>
      <c r="F6466" s="3">
        <v>0</v>
      </c>
      <c r="G6466" s="3">
        <v>16307183.050000001</v>
      </c>
    </row>
    <row r="6467" spans="1:7" x14ac:dyDescent="0.2">
      <c r="A6467" s="3" t="s">
        <v>1069</v>
      </c>
      <c r="B6467" s="4">
        <v>45412</v>
      </c>
      <c r="C6467" s="3" t="s">
        <v>1180</v>
      </c>
      <c r="D6467" s="3" t="s">
        <v>1536</v>
      </c>
      <c r="E6467" s="3" t="s">
        <v>1537</v>
      </c>
      <c r="F6467" s="3">
        <v>0</v>
      </c>
      <c r="G6467" s="3">
        <v>2148883.15</v>
      </c>
    </row>
    <row r="6468" spans="1:7" x14ac:dyDescent="0.2">
      <c r="A6468" s="3" t="s">
        <v>1069</v>
      </c>
      <c r="B6468" s="4">
        <v>45412</v>
      </c>
      <c r="C6468" s="3" t="s">
        <v>1180</v>
      </c>
      <c r="D6468" s="3" t="s">
        <v>1665</v>
      </c>
      <c r="E6468" s="3" t="s">
        <v>1666</v>
      </c>
      <c r="F6468" s="3">
        <v>0</v>
      </c>
      <c r="G6468" s="3">
        <v>1068455</v>
      </c>
    </row>
    <row r="6469" spans="1:7" x14ac:dyDescent="0.2">
      <c r="A6469" s="3" t="s">
        <v>1074</v>
      </c>
      <c r="B6469" s="4">
        <v>45412</v>
      </c>
      <c r="C6469" s="3" t="s">
        <v>1180</v>
      </c>
      <c r="D6469" s="3" t="s">
        <v>1665</v>
      </c>
      <c r="E6469" s="3" t="s">
        <v>1716</v>
      </c>
      <c r="F6469" s="3">
        <v>0</v>
      </c>
      <c r="G6469" s="3">
        <v>2188325.96</v>
      </c>
    </row>
    <row r="6470" spans="1:7" x14ac:dyDescent="0.2">
      <c r="A6470" s="3" t="s">
        <v>1069</v>
      </c>
      <c r="B6470" s="4">
        <v>45412</v>
      </c>
      <c r="C6470" s="3" t="s">
        <v>1180</v>
      </c>
      <c r="D6470" s="3" t="s">
        <v>1655</v>
      </c>
      <c r="E6470" s="3" t="s">
        <v>1656</v>
      </c>
      <c r="F6470" s="3">
        <v>0</v>
      </c>
      <c r="G6470" s="3">
        <v>-24427668.440000001</v>
      </c>
    </row>
    <row r="6471" spans="1:7" x14ac:dyDescent="0.2">
      <c r="A6471" s="3" t="s">
        <v>1072</v>
      </c>
      <c r="B6471" s="4">
        <v>45412</v>
      </c>
      <c r="C6471" s="3" t="s">
        <v>1180</v>
      </c>
      <c r="D6471" s="3" t="s">
        <v>1425</v>
      </c>
      <c r="E6471" s="3" t="s">
        <v>1426</v>
      </c>
      <c r="F6471" s="3">
        <v>0</v>
      </c>
      <c r="G6471" s="3">
        <v>29600</v>
      </c>
    </row>
    <row r="6472" spans="1:7" x14ac:dyDescent="0.2">
      <c r="A6472" s="3" t="s">
        <v>1072</v>
      </c>
      <c r="B6472" s="4">
        <v>45412</v>
      </c>
      <c r="C6472" s="3" t="s">
        <v>1180</v>
      </c>
      <c r="D6472" s="3" t="s">
        <v>1427</v>
      </c>
      <c r="E6472" s="3" t="s">
        <v>1428</v>
      </c>
      <c r="F6472" s="3">
        <v>437396.41</v>
      </c>
      <c r="G6472" s="3">
        <v>8845779.4900000002</v>
      </c>
    </row>
    <row r="6473" spans="1:7" x14ac:dyDescent="0.2">
      <c r="A6473" s="3" t="s">
        <v>1069</v>
      </c>
      <c r="B6473" s="4">
        <v>45412</v>
      </c>
      <c r="C6473" s="3" t="s">
        <v>1180</v>
      </c>
      <c r="D6473" s="3" t="s">
        <v>1427</v>
      </c>
      <c r="E6473" s="3" t="s">
        <v>1428</v>
      </c>
      <c r="F6473" s="3">
        <v>120128.38</v>
      </c>
      <c r="G6473" s="3">
        <v>494986.51</v>
      </c>
    </row>
    <row r="6474" spans="1:7" x14ac:dyDescent="0.2">
      <c r="A6474" s="3" t="s">
        <v>1074</v>
      </c>
      <c r="B6474" s="4">
        <v>45412</v>
      </c>
      <c r="C6474" s="3" t="s">
        <v>1180</v>
      </c>
      <c r="D6474" s="3" t="s">
        <v>1427</v>
      </c>
      <c r="E6474" s="3" t="s">
        <v>1428</v>
      </c>
      <c r="F6474" s="3">
        <v>1474056.72</v>
      </c>
      <c r="G6474" s="3">
        <v>2975428.34</v>
      </c>
    </row>
    <row r="6475" spans="1:7" x14ac:dyDescent="0.2">
      <c r="A6475" s="3" t="s">
        <v>1072</v>
      </c>
      <c r="B6475" s="4">
        <v>45412</v>
      </c>
      <c r="C6475" s="3" t="s">
        <v>1180</v>
      </c>
      <c r="D6475" s="3" t="s">
        <v>1431</v>
      </c>
      <c r="E6475" s="3" t="s">
        <v>1432</v>
      </c>
      <c r="F6475" s="3">
        <v>173</v>
      </c>
      <c r="G6475" s="3">
        <v>-1762</v>
      </c>
    </row>
    <row r="6476" spans="1:7" x14ac:dyDescent="0.2">
      <c r="A6476" s="3" t="s">
        <v>1069</v>
      </c>
      <c r="B6476" s="4">
        <v>45412</v>
      </c>
      <c r="C6476" s="3" t="s">
        <v>1180</v>
      </c>
      <c r="D6476" s="3" t="s">
        <v>1187</v>
      </c>
      <c r="E6476" s="3" t="s">
        <v>1188</v>
      </c>
      <c r="F6476" s="3">
        <v>64837.88</v>
      </c>
      <c r="G6476" s="3">
        <v>476740.18</v>
      </c>
    </row>
    <row r="6477" spans="1:7" x14ac:dyDescent="0.2">
      <c r="A6477" s="3" t="s">
        <v>1072</v>
      </c>
      <c r="B6477" s="4">
        <v>45412</v>
      </c>
      <c r="C6477" s="3" t="s">
        <v>1180</v>
      </c>
      <c r="D6477" s="3" t="s">
        <v>1187</v>
      </c>
      <c r="E6477" s="3" t="s">
        <v>1433</v>
      </c>
      <c r="F6477" s="3">
        <v>-23995.71</v>
      </c>
      <c r="G6477" s="3">
        <v>-329020.46999999997</v>
      </c>
    </row>
    <row r="6478" spans="1:7" x14ac:dyDescent="0.2">
      <c r="A6478" s="3" t="s">
        <v>1072</v>
      </c>
      <c r="B6478" s="4">
        <v>45412</v>
      </c>
      <c r="C6478" s="3" t="s">
        <v>1180</v>
      </c>
      <c r="D6478" s="3" t="s">
        <v>1189</v>
      </c>
      <c r="E6478" s="3" t="s">
        <v>1434</v>
      </c>
      <c r="F6478" s="3">
        <v>0</v>
      </c>
      <c r="G6478" s="3">
        <v>-1188</v>
      </c>
    </row>
    <row r="6479" spans="1:7" x14ac:dyDescent="0.2">
      <c r="A6479" s="3" t="s">
        <v>1072</v>
      </c>
      <c r="B6479" s="4">
        <v>45412</v>
      </c>
      <c r="C6479" s="3" t="s">
        <v>1180</v>
      </c>
      <c r="D6479" s="3" t="s">
        <v>1435</v>
      </c>
      <c r="E6479" s="3" t="s">
        <v>1436</v>
      </c>
      <c r="F6479" s="3">
        <v>0</v>
      </c>
      <c r="G6479" s="3">
        <v>571.54999999999995</v>
      </c>
    </row>
    <row r="6480" spans="1:7" x14ac:dyDescent="0.2">
      <c r="A6480" s="3" t="s">
        <v>1069</v>
      </c>
      <c r="B6480" s="4">
        <v>45412</v>
      </c>
      <c r="C6480" s="3" t="s">
        <v>1180</v>
      </c>
      <c r="D6480" s="3" t="s">
        <v>1435</v>
      </c>
      <c r="E6480" s="3" t="s">
        <v>1434</v>
      </c>
      <c r="F6480" s="3">
        <v>0</v>
      </c>
      <c r="G6480" s="3">
        <v>8620</v>
      </c>
    </row>
    <row r="6481" spans="1:7" x14ac:dyDescent="0.2">
      <c r="A6481" s="3" t="s">
        <v>1069</v>
      </c>
      <c r="B6481" s="4">
        <v>45412</v>
      </c>
      <c r="C6481" s="3" t="s">
        <v>1180</v>
      </c>
      <c r="D6481" s="3" t="s">
        <v>1243</v>
      </c>
      <c r="E6481" s="3" t="s">
        <v>1244</v>
      </c>
      <c r="F6481" s="3">
        <v>0</v>
      </c>
      <c r="G6481" s="3">
        <v>889.13</v>
      </c>
    </row>
    <row r="6482" spans="1:7" x14ac:dyDescent="0.2">
      <c r="A6482" s="3" t="s">
        <v>1069</v>
      </c>
      <c r="B6482" s="4">
        <v>45412</v>
      </c>
      <c r="C6482" s="3" t="s">
        <v>1180</v>
      </c>
      <c r="D6482" s="3" t="s">
        <v>1245</v>
      </c>
      <c r="E6482" s="3" t="s">
        <v>1246</v>
      </c>
      <c r="F6482" s="3">
        <v>-3317153.36</v>
      </c>
      <c r="G6482" s="3">
        <v>1711292.42</v>
      </c>
    </row>
    <row r="6483" spans="1:7" x14ac:dyDescent="0.2">
      <c r="A6483" s="3" t="s">
        <v>1069</v>
      </c>
      <c r="B6483" s="4">
        <v>45412</v>
      </c>
      <c r="C6483" s="3" t="s">
        <v>1180</v>
      </c>
      <c r="D6483" s="3" t="s">
        <v>1727</v>
      </c>
      <c r="E6483" s="3" t="s">
        <v>1728</v>
      </c>
      <c r="F6483" s="3">
        <v>34027.440000000002</v>
      </c>
      <c r="G6483" s="3">
        <v>184527.44</v>
      </c>
    </row>
    <row r="6484" spans="1:7" x14ac:dyDescent="0.2">
      <c r="A6484" s="3" t="s">
        <v>1069</v>
      </c>
      <c r="B6484" s="4">
        <v>45412</v>
      </c>
      <c r="C6484" s="3" t="s">
        <v>1180</v>
      </c>
      <c r="D6484" s="3" t="s">
        <v>1523</v>
      </c>
      <c r="E6484" s="3" t="s">
        <v>1524</v>
      </c>
      <c r="F6484" s="3">
        <v>-1772907.12</v>
      </c>
      <c r="G6484" s="3">
        <v>-1872907.12</v>
      </c>
    </row>
    <row r="6485" spans="1:7" x14ac:dyDescent="0.2">
      <c r="A6485" s="3" t="s">
        <v>1072</v>
      </c>
      <c r="B6485" s="4">
        <v>45412</v>
      </c>
      <c r="C6485" s="3" t="s">
        <v>1175</v>
      </c>
      <c r="D6485" s="3" t="s">
        <v>1437</v>
      </c>
      <c r="E6485" s="3" t="s">
        <v>1438</v>
      </c>
      <c r="F6485" s="3">
        <v>-0.24</v>
      </c>
      <c r="G6485" s="3">
        <v>-13.32</v>
      </c>
    </row>
    <row r="6486" spans="1:7" x14ac:dyDescent="0.2">
      <c r="A6486" s="3" t="s">
        <v>1069</v>
      </c>
      <c r="B6486" s="4">
        <v>45412</v>
      </c>
      <c r="C6486" s="3" t="s">
        <v>1175</v>
      </c>
      <c r="D6486" s="3" t="s">
        <v>1437</v>
      </c>
      <c r="E6486" s="3" t="s">
        <v>1438</v>
      </c>
      <c r="F6486" s="3">
        <v>0</v>
      </c>
      <c r="G6486" s="3">
        <v>0.04</v>
      </c>
    </row>
    <row r="6487" spans="1:7" x14ac:dyDescent="0.2">
      <c r="A6487" s="3" t="s">
        <v>1074</v>
      </c>
      <c r="B6487" s="4">
        <v>45412</v>
      </c>
      <c r="C6487" s="3" t="s">
        <v>1175</v>
      </c>
      <c r="D6487" s="3" t="s">
        <v>1437</v>
      </c>
      <c r="E6487" s="3" t="s">
        <v>1438</v>
      </c>
      <c r="F6487" s="3">
        <v>0.01</v>
      </c>
      <c r="G6487" s="3">
        <v>-0.02</v>
      </c>
    </row>
    <row r="6488" spans="1:7" x14ac:dyDescent="0.2">
      <c r="A6488" s="3" t="s">
        <v>1072</v>
      </c>
      <c r="B6488" s="4">
        <v>45412</v>
      </c>
      <c r="C6488" s="3" t="s">
        <v>1175</v>
      </c>
      <c r="D6488" s="3" t="s">
        <v>1191</v>
      </c>
      <c r="E6488" s="3" t="s">
        <v>1192</v>
      </c>
      <c r="F6488" s="3">
        <v>-390727.57</v>
      </c>
      <c r="G6488" s="3">
        <v>-3647034.54</v>
      </c>
    </row>
    <row r="6489" spans="1:7" x14ac:dyDescent="0.2">
      <c r="A6489" s="3" t="s">
        <v>1069</v>
      </c>
      <c r="B6489" s="4">
        <v>45412</v>
      </c>
      <c r="C6489" s="3" t="s">
        <v>1175</v>
      </c>
      <c r="D6489" s="3" t="s">
        <v>1191</v>
      </c>
      <c r="E6489" s="3" t="s">
        <v>1192</v>
      </c>
      <c r="F6489" s="3">
        <v>-120295.47</v>
      </c>
      <c r="G6489" s="3">
        <v>-160958673.21000001</v>
      </c>
    </row>
    <row r="6490" spans="1:7" x14ac:dyDescent="0.2">
      <c r="A6490" s="3" t="s">
        <v>1074</v>
      </c>
      <c r="B6490" s="4">
        <v>45412</v>
      </c>
      <c r="C6490" s="3" t="s">
        <v>1175</v>
      </c>
      <c r="D6490" s="3" t="s">
        <v>1191</v>
      </c>
      <c r="E6490" s="3" t="s">
        <v>1192</v>
      </c>
      <c r="F6490" s="3">
        <v>-826286.63</v>
      </c>
      <c r="G6490" s="3">
        <v>-7581284.2699999996</v>
      </c>
    </row>
    <row r="6491" spans="1:7" x14ac:dyDescent="0.2">
      <c r="A6491" s="3" t="s">
        <v>1072</v>
      </c>
      <c r="B6491" s="4">
        <v>45412</v>
      </c>
      <c r="C6491" s="3" t="s">
        <v>1175</v>
      </c>
      <c r="D6491" s="3" t="s">
        <v>1488</v>
      </c>
      <c r="E6491" s="3" t="s">
        <v>1489</v>
      </c>
      <c r="F6491" s="3">
        <v>0</v>
      </c>
      <c r="G6491" s="3">
        <v>-2920.29</v>
      </c>
    </row>
    <row r="6492" spans="1:7" x14ac:dyDescent="0.2">
      <c r="A6492" s="3" t="s">
        <v>1072</v>
      </c>
      <c r="B6492" s="4">
        <v>45412</v>
      </c>
      <c r="C6492" s="3" t="s">
        <v>1175</v>
      </c>
      <c r="D6492" s="3" t="s">
        <v>1439</v>
      </c>
      <c r="E6492" s="3" t="s">
        <v>1440</v>
      </c>
      <c r="F6492" s="3">
        <v>378433.62</v>
      </c>
      <c r="G6492" s="3">
        <v>378433.62</v>
      </c>
    </row>
    <row r="6493" spans="1:7" x14ac:dyDescent="0.2">
      <c r="A6493" s="3" t="s">
        <v>1072</v>
      </c>
      <c r="B6493" s="4">
        <v>45412</v>
      </c>
      <c r="C6493" s="3" t="s">
        <v>1175</v>
      </c>
      <c r="D6493" s="3" t="s">
        <v>1441</v>
      </c>
      <c r="E6493" s="3" t="s">
        <v>1442</v>
      </c>
      <c r="F6493" s="3">
        <v>12716.81</v>
      </c>
      <c r="G6493" s="3">
        <v>-89011.21</v>
      </c>
    </row>
    <row r="6494" spans="1:7" x14ac:dyDescent="0.2">
      <c r="A6494" s="3" t="s">
        <v>1072</v>
      </c>
      <c r="B6494" s="4">
        <v>45412</v>
      </c>
      <c r="C6494" s="3" t="s">
        <v>1175</v>
      </c>
      <c r="D6494" s="3" t="s">
        <v>1464</v>
      </c>
      <c r="E6494" s="3" t="s">
        <v>1465</v>
      </c>
      <c r="F6494" s="3">
        <v>0</v>
      </c>
      <c r="G6494" s="3">
        <v>-49413.95</v>
      </c>
    </row>
    <row r="6495" spans="1:7" x14ac:dyDescent="0.2">
      <c r="A6495" s="3" t="s">
        <v>1072</v>
      </c>
      <c r="B6495" s="4">
        <v>45412</v>
      </c>
      <c r="C6495" s="3" t="s">
        <v>1175</v>
      </c>
      <c r="D6495" s="3" t="s">
        <v>1729</v>
      </c>
      <c r="E6495" s="3" t="s">
        <v>1730</v>
      </c>
      <c r="F6495" s="3">
        <v>0</v>
      </c>
      <c r="G6495" s="3">
        <v>130000</v>
      </c>
    </row>
    <row r="6496" spans="1:7" x14ac:dyDescent="0.2">
      <c r="A6496" s="3" t="s">
        <v>1072</v>
      </c>
      <c r="B6496" s="4">
        <v>45412</v>
      </c>
      <c r="C6496" s="3" t="s">
        <v>1175</v>
      </c>
      <c r="D6496" s="3" t="s">
        <v>1193</v>
      </c>
      <c r="E6496" s="3" t="s">
        <v>1443</v>
      </c>
      <c r="F6496" s="3">
        <v>100363.95</v>
      </c>
      <c r="G6496" s="3">
        <v>-166553.25</v>
      </c>
    </row>
    <row r="6497" spans="1:7" x14ac:dyDescent="0.2">
      <c r="A6497" s="3" t="s">
        <v>1069</v>
      </c>
      <c r="B6497" s="4">
        <v>45412</v>
      </c>
      <c r="C6497" s="3" t="s">
        <v>1175</v>
      </c>
      <c r="D6497" s="3" t="s">
        <v>1193</v>
      </c>
      <c r="E6497" s="3" t="s">
        <v>1194</v>
      </c>
      <c r="F6497" s="3">
        <v>-160402.07999999999</v>
      </c>
      <c r="G6497" s="3">
        <v>-2338379.4500000002</v>
      </c>
    </row>
    <row r="6498" spans="1:7" x14ac:dyDescent="0.2">
      <c r="A6498" s="3" t="s">
        <v>1074</v>
      </c>
      <c r="B6498" s="4">
        <v>45412</v>
      </c>
      <c r="C6498" s="3" t="s">
        <v>1175</v>
      </c>
      <c r="D6498" s="3" t="s">
        <v>1193</v>
      </c>
      <c r="E6498" s="3" t="s">
        <v>1194</v>
      </c>
      <c r="F6498" s="3">
        <v>523814.77</v>
      </c>
      <c r="G6498" s="3">
        <v>6523157.1200000001</v>
      </c>
    </row>
    <row r="6499" spans="1:7" x14ac:dyDescent="0.2">
      <c r="A6499" s="3" t="s">
        <v>1072</v>
      </c>
      <c r="B6499" s="4">
        <v>45412</v>
      </c>
      <c r="C6499" s="3" t="s">
        <v>1175</v>
      </c>
      <c r="D6499" s="3" t="s">
        <v>1731</v>
      </c>
      <c r="E6499" s="3" t="s">
        <v>1732</v>
      </c>
      <c r="F6499" s="3">
        <v>0</v>
      </c>
      <c r="G6499" s="3">
        <v>-1869.8</v>
      </c>
    </row>
    <row r="6500" spans="1:7" x14ac:dyDescent="0.2">
      <c r="A6500" s="3" t="s">
        <v>1069</v>
      </c>
      <c r="B6500" s="4">
        <v>45412</v>
      </c>
      <c r="C6500" s="3" t="s">
        <v>1175</v>
      </c>
      <c r="D6500" s="3" t="s">
        <v>1657</v>
      </c>
      <c r="E6500" s="3" t="s">
        <v>1658</v>
      </c>
      <c r="F6500" s="3">
        <v>0</v>
      </c>
      <c r="G6500" s="3">
        <v>59039.93</v>
      </c>
    </row>
    <row r="6501" spans="1:7" x14ac:dyDescent="0.2">
      <c r="A6501" s="3" t="s">
        <v>1074</v>
      </c>
      <c r="B6501" s="4">
        <v>45412</v>
      </c>
      <c r="C6501" s="3" t="s">
        <v>1175</v>
      </c>
      <c r="D6501" s="3" t="s">
        <v>1717</v>
      </c>
      <c r="E6501" s="3" t="s">
        <v>1718</v>
      </c>
      <c r="F6501" s="3">
        <v>0</v>
      </c>
      <c r="G6501" s="3">
        <v>-0.4</v>
      </c>
    </row>
    <row r="6502" spans="1:7" x14ac:dyDescent="0.2">
      <c r="A6502" s="3" t="s">
        <v>1074</v>
      </c>
      <c r="B6502" s="4">
        <v>45412</v>
      </c>
      <c r="C6502" s="3" t="s">
        <v>1175</v>
      </c>
      <c r="D6502" s="3" t="s">
        <v>1781</v>
      </c>
      <c r="E6502" s="3" t="s">
        <v>1782</v>
      </c>
      <c r="F6502" s="3">
        <v>0</v>
      </c>
      <c r="G6502" s="3">
        <v>1326506.8500000001</v>
      </c>
    </row>
    <row r="6503" spans="1:7" x14ac:dyDescent="0.2">
      <c r="A6503" s="3" t="s">
        <v>1072</v>
      </c>
      <c r="B6503" s="4">
        <v>45412</v>
      </c>
      <c r="C6503" s="3" t="s">
        <v>1175</v>
      </c>
      <c r="D6503" s="3" t="s">
        <v>1444</v>
      </c>
      <c r="E6503" s="3" t="s">
        <v>1445</v>
      </c>
      <c r="F6503" s="3">
        <v>0</v>
      </c>
      <c r="G6503" s="3">
        <v>393799.61</v>
      </c>
    </row>
    <row r="6504" spans="1:7" x14ac:dyDescent="0.2">
      <c r="A6504" s="3" t="s">
        <v>1072</v>
      </c>
      <c r="B6504" s="4">
        <v>45412</v>
      </c>
      <c r="C6504" s="3" t="s">
        <v>1175</v>
      </c>
      <c r="D6504" s="3" t="s">
        <v>1446</v>
      </c>
      <c r="E6504" s="3" t="s">
        <v>1447</v>
      </c>
      <c r="F6504" s="3">
        <v>0</v>
      </c>
      <c r="G6504" s="3">
        <v>-254.99</v>
      </c>
    </row>
    <row r="6505" spans="1:7" x14ac:dyDescent="0.2">
      <c r="A6505" s="3" t="s">
        <v>1069</v>
      </c>
      <c r="B6505" s="4">
        <v>45443</v>
      </c>
      <c r="C6505" s="3" t="s">
        <v>1210</v>
      </c>
      <c r="D6505" s="3" t="s">
        <v>1552</v>
      </c>
      <c r="E6505" s="3" t="s">
        <v>1553</v>
      </c>
      <c r="F6505" s="3">
        <v>0</v>
      </c>
      <c r="G6505" s="3">
        <v>-1304260.8700000001</v>
      </c>
    </row>
    <row r="6506" spans="1:7" x14ac:dyDescent="0.2">
      <c r="A6506" s="3" t="s">
        <v>1074</v>
      </c>
      <c r="B6506" s="4">
        <v>45443</v>
      </c>
      <c r="C6506" s="3" t="s">
        <v>1210</v>
      </c>
      <c r="D6506" s="3" t="s">
        <v>1552</v>
      </c>
      <c r="E6506" s="3" t="s">
        <v>1700</v>
      </c>
      <c r="F6506" s="3">
        <v>-1479373.91</v>
      </c>
      <c r="G6506" s="3">
        <v>-5587808.6900000004</v>
      </c>
    </row>
    <row r="6507" spans="1:7" x14ac:dyDescent="0.2">
      <c r="A6507" s="3" t="s">
        <v>1074</v>
      </c>
      <c r="B6507" s="4">
        <v>45443</v>
      </c>
      <c r="C6507" s="3" t="s">
        <v>1210</v>
      </c>
      <c r="D6507" s="3" t="s">
        <v>1554</v>
      </c>
      <c r="E6507" s="3" t="s">
        <v>1701</v>
      </c>
      <c r="F6507" s="3">
        <v>-3100</v>
      </c>
      <c r="G6507" s="3">
        <v>-6661.29</v>
      </c>
    </row>
    <row r="6508" spans="1:7" x14ac:dyDescent="0.2">
      <c r="A6508" s="3" t="s">
        <v>1072</v>
      </c>
      <c r="B6508" s="4">
        <v>45443</v>
      </c>
      <c r="C6508" s="3" t="s">
        <v>1210</v>
      </c>
      <c r="D6508" s="3" t="s">
        <v>1448</v>
      </c>
      <c r="E6508" s="3" t="s">
        <v>1449</v>
      </c>
      <c r="F6508" s="3">
        <v>-2263040.14</v>
      </c>
      <c r="G6508" s="3">
        <v>-13403606.880000001</v>
      </c>
    </row>
    <row r="6509" spans="1:7" x14ac:dyDescent="0.2">
      <c r="A6509" s="3" t="s">
        <v>1072</v>
      </c>
      <c r="B6509" s="4">
        <v>45443</v>
      </c>
      <c r="C6509" s="3" t="s">
        <v>1210</v>
      </c>
      <c r="D6509" s="3" t="s">
        <v>1783</v>
      </c>
      <c r="E6509" s="3" t="s">
        <v>1784</v>
      </c>
      <c r="F6509" s="3">
        <v>0</v>
      </c>
      <c r="G6509" s="3">
        <v>-1000000</v>
      </c>
    </row>
    <row r="6510" spans="1:7" x14ac:dyDescent="0.2">
      <c r="A6510" s="3" t="s">
        <v>1074</v>
      </c>
      <c r="B6510" s="4">
        <v>45443</v>
      </c>
      <c r="C6510" s="3" t="s">
        <v>1210</v>
      </c>
      <c r="D6510" s="3" t="s">
        <v>1773</v>
      </c>
      <c r="E6510" s="3" t="s">
        <v>1774</v>
      </c>
      <c r="F6510" s="3">
        <v>0</v>
      </c>
      <c r="G6510" s="3">
        <v>-434782.61</v>
      </c>
    </row>
    <row r="6511" spans="1:7" x14ac:dyDescent="0.2">
      <c r="A6511" s="3" t="s">
        <v>1074</v>
      </c>
      <c r="B6511" s="4">
        <v>45443</v>
      </c>
      <c r="C6511" s="3" t="s">
        <v>1210</v>
      </c>
      <c r="D6511" s="3" t="s">
        <v>1775</v>
      </c>
      <c r="E6511" s="3" t="s">
        <v>1776</v>
      </c>
      <c r="F6511" s="3">
        <v>0</v>
      </c>
      <c r="G6511" s="3">
        <v>-869565.22</v>
      </c>
    </row>
    <row r="6512" spans="1:7" x14ac:dyDescent="0.2">
      <c r="A6512" s="3" t="s">
        <v>1074</v>
      </c>
      <c r="B6512" s="4">
        <v>45443</v>
      </c>
      <c r="C6512" s="3" t="s">
        <v>1210</v>
      </c>
      <c r="D6512" s="3" t="s">
        <v>1785</v>
      </c>
      <c r="E6512" s="3" t="s">
        <v>1786</v>
      </c>
      <c r="F6512" s="3">
        <v>-32173.91</v>
      </c>
      <c r="G6512" s="3">
        <v>-32173.91</v>
      </c>
    </row>
    <row r="6513" spans="1:7" x14ac:dyDescent="0.2">
      <c r="A6513" s="3" t="s">
        <v>1069</v>
      </c>
      <c r="B6513" s="4">
        <v>45443</v>
      </c>
      <c r="C6513" s="3" t="s">
        <v>1210</v>
      </c>
      <c r="D6513" s="3" t="s">
        <v>1685</v>
      </c>
      <c r="E6513" s="3" t="s">
        <v>1686</v>
      </c>
      <c r="F6513" s="3">
        <v>-82174</v>
      </c>
      <c r="G6513" s="3">
        <v>-284013.59999999998</v>
      </c>
    </row>
    <row r="6514" spans="1:7" x14ac:dyDescent="0.2">
      <c r="A6514" s="3" t="s">
        <v>1069</v>
      </c>
      <c r="B6514" s="4">
        <v>45443</v>
      </c>
      <c r="C6514" s="3" t="s">
        <v>1210</v>
      </c>
      <c r="D6514" s="3" t="s">
        <v>1777</v>
      </c>
      <c r="E6514" s="3" t="s">
        <v>1778</v>
      </c>
      <c r="F6514" s="3">
        <v>-40000</v>
      </c>
      <c r="G6514" s="3">
        <v>-74027.44</v>
      </c>
    </row>
    <row r="6515" spans="1:7" x14ac:dyDescent="0.2">
      <c r="A6515" s="3" t="s">
        <v>1074</v>
      </c>
      <c r="B6515" s="4">
        <v>45443</v>
      </c>
      <c r="C6515" s="3" t="s">
        <v>1168</v>
      </c>
      <c r="D6515" s="3" t="s">
        <v>1514</v>
      </c>
      <c r="E6515" s="3" t="s">
        <v>1676</v>
      </c>
      <c r="F6515" s="3">
        <v>17392.37</v>
      </c>
      <c r="G6515" s="3">
        <v>30606.48</v>
      </c>
    </row>
    <row r="6516" spans="1:7" x14ac:dyDescent="0.2">
      <c r="A6516" s="3" t="s">
        <v>1069</v>
      </c>
      <c r="B6516" s="4">
        <v>45443</v>
      </c>
      <c r="C6516" s="3" t="s">
        <v>1168</v>
      </c>
      <c r="D6516" s="3" t="s">
        <v>1531</v>
      </c>
      <c r="E6516" s="3" t="s">
        <v>1532</v>
      </c>
      <c r="F6516" s="3">
        <v>0</v>
      </c>
      <c r="G6516" s="3">
        <v>38341.94</v>
      </c>
    </row>
    <row r="6517" spans="1:7" x14ac:dyDescent="0.2">
      <c r="A6517" s="3" t="s">
        <v>1074</v>
      </c>
      <c r="B6517" s="4">
        <v>45443</v>
      </c>
      <c r="C6517" s="3" t="s">
        <v>1168</v>
      </c>
      <c r="D6517" s="3" t="s">
        <v>1531</v>
      </c>
      <c r="E6517" s="3" t="s">
        <v>1532</v>
      </c>
      <c r="F6517" s="3">
        <v>40024.61</v>
      </c>
      <c r="G6517" s="3">
        <v>137613.43</v>
      </c>
    </row>
    <row r="6518" spans="1:7" x14ac:dyDescent="0.2">
      <c r="A6518" s="3" t="s">
        <v>1074</v>
      </c>
      <c r="B6518" s="4">
        <v>45443</v>
      </c>
      <c r="C6518" s="3" t="s">
        <v>1168</v>
      </c>
      <c r="D6518" s="3" t="s">
        <v>1638</v>
      </c>
      <c r="E6518" s="3" t="s">
        <v>1677</v>
      </c>
      <c r="F6518" s="3">
        <v>14800</v>
      </c>
      <c r="G6518" s="3">
        <v>14800</v>
      </c>
    </row>
    <row r="6519" spans="1:7" x14ac:dyDescent="0.2">
      <c r="A6519" s="3" t="s">
        <v>1069</v>
      </c>
      <c r="B6519" s="4">
        <v>45443</v>
      </c>
      <c r="C6519" s="3" t="s">
        <v>1168</v>
      </c>
      <c r="D6519" s="3" t="s">
        <v>1540</v>
      </c>
      <c r="E6519" s="3" t="s">
        <v>1541</v>
      </c>
      <c r="F6519" s="3">
        <v>69935.429999999993</v>
      </c>
      <c r="G6519" s="3">
        <v>78321.63</v>
      </c>
    </row>
    <row r="6520" spans="1:7" x14ac:dyDescent="0.2">
      <c r="A6520" s="3" t="s">
        <v>1069</v>
      </c>
      <c r="B6520" s="4">
        <v>45443</v>
      </c>
      <c r="C6520" s="3" t="s">
        <v>1168</v>
      </c>
      <c r="D6520" s="3" t="s">
        <v>1558</v>
      </c>
      <c r="E6520" s="3" t="s">
        <v>1559</v>
      </c>
      <c r="F6520" s="3">
        <v>0</v>
      </c>
      <c r="G6520" s="3">
        <v>65213.04</v>
      </c>
    </row>
    <row r="6521" spans="1:7" x14ac:dyDescent="0.2">
      <c r="A6521" s="3" t="s">
        <v>1074</v>
      </c>
      <c r="B6521" s="4">
        <v>45443</v>
      </c>
      <c r="C6521" s="3" t="s">
        <v>1168</v>
      </c>
      <c r="D6521" s="3" t="s">
        <v>1558</v>
      </c>
      <c r="E6521" s="3" t="s">
        <v>1702</v>
      </c>
      <c r="F6521" s="3">
        <v>73473.91</v>
      </c>
      <c r="G6521" s="3">
        <v>279113.05</v>
      </c>
    </row>
    <row r="6522" spans="1:7" x14ac:dyDescent="0.2">
      <c r="A6522" s="3" t="s">
        <v>1072</v>
      </c>
      <c r="B6522" s="4">
        <v>45443</v>
      </c>
      <c r="C6522" s="3" t="s">
        <v>1168</v>
      </c>
      <c r="D6522" s="3" t="s">
        <v>1281</v>
      </c>
      <c r="E6522" s="3" t="s">
        <v>1282</v>
      </c>
      <c r="F6522" s="3">
        <v>0</v>
      </c>
      <c r="G6522" s="3">
        <v>19685.25</v>
      </c>
    </row>
    <row r="6523" spans="1:7" x14ac:dyDescent="0.2">
      <c r="A6523" s="3" t="s">
        <v>1072</v>
      </c>
      <c r="B6523" s="4">
        <v>45443</v>
      </c>
      <c r="C6523" s="3" t="s">
        <v>1168</v>
      </c>
      <c r="D6523" s="3" t="s">
        <v>1705</v>
      </c>
      <c r="E6523" s="3" t="s">
        <v>1706</v>
      </c>
      <c r="F6523" s="3">
        <v>0</v>
      </c>
      <c r="G6523" s="3">
        <v>219.96</v>
      </c>
    </row>
    <row r="6524" spans="1:7" x14ac:dyDescent="0.2">
      <c r="A6524" s="3" t="s">
        <v>1072</v>
      </c>
      <c r="B6524" s="4">
        <v>45443</v>
      </c>
      <c r="C6524" s="3" t="s">
        <v>1168</v>
      </c>
      <c r="D6524" s="3" t="s">
        <v>1305</v>
      </c>
      <c r="E6524" s="3" t="s">
        <v>1306</v>
      </c>
      <c r="F6524" s="3">
        <v>0</v>
      </c>
      <c r="G6524" s="3">
        <v>8355.9599999999991</v>
      </c>
    </row>
    <row r="6525" spans="1:7" x14ac:dyDescent="0.2">
      <c r="A6525" s="3" t="s">
        <v>1072</v>
      </c>
      <c r="B6525" s="4">
        <v>45443</v>
      </c>
      <c r="C6525" s="3" t="s">
        <v>1168</v>
      </c>
      <c r="D6525" s="3" t="s">
        <v>1450</v>
      </c>
      <c r="E6525" s="3" t="s">
        <v>1451</v>
      </c>
      <c r="F6525" s="3">
        <v>7975</v>
      </c>
      <c r="G6525" s="3">
        <v>17298.62</v>
      </c>
    </row>
    <row r="6526" spans="1:7" x14ac:dyDescent="0.2">
      <c r="A6526" s="3" t="s">
        <v>1072</v>
      </c>
      <c r="B6526" s="4">
        <v>45443</v>
      </c>
      <c r="C6526" s="3" t="s">
        <v>1168</v>
      </c>
      <c r="D6526" s="3" t="s">
        <v>1452</v>
      </c>
      <c r="E6526" s="3" t="s">
        <v>1453</v>
      </c>
      <c r="F6526" s="3">
        <v>543.04</v>
      </c>
      <c r="G6526" s="3">
        <v>1466.51</v>
      </c>
    </row>
    <row r="6527" spans="1:7" x14ac:dyDescent="0.2">
      <c r="A6527" s="3" t="s">
        <v>1072</v>
      </c>
      <c r="B6527" s="4">
        <v>45443</v>
      </c>
      <c r="C6527" s="3" t="s">
        <v>1168</v>
      </c>
      <c r="D6527" s="3" t="s">
        <v>1468</v>
      </c>
      <c r="E6527" s="3" t="s">
        <v>1469</v>
      </c>
      <c r="F6527" s="3">
        <v>1901.74</v>
      </c>
      <c r="G6527" s="3">
        <v>5600.88</v>
      </c>
    </row>
    <row r="6528" spans="1:7" x14ac:dyDescent="0.2">
      <c r="A6528" s="3" t="s">
        <v>1072</v>
      </c>
      <c r="B6528" s="4">
        <v>45443</v>
      </c>
      <c r="C6528" s="3" t="s">
        <v>1168</v>
      </c>
      <c r="D6528" s="3" t="s">
        <v>1620</v>
      </c>
      <c r="E6528" s="3" t="s">
        <v>1621</v>
      </c>
      <c r="F6528" s="3">
        <v>0</v>
      </c>
      <c r="G6528" s="3">
        <v>116.5</v>
      </c>
    </row>
    <row r="6529" spans="1:7" x14ac:dyDescent="0.2">
      <c r="A6529" s="3" t="s">
        <v>1072</v>
      </c>
      <c r="B6529" s="4">
        <v>45443</v>
      </c>
      <c r="C6529" s="3" t="s">
        <v>1168</v>
      </c>
      <c r="D6529" s="3" t="s">
        <v>1542</v>
      </c>
      <c r="E6529" s="3" t="s">
        <v>1543</v>
      </c>
      <c r="F6529" s="3">
        <v>2416379.44</v>
      </c>
      <c r="G6529" s="3">
        <v>13428359.859999999</v>
      </c>
    </row>
    <row r="6530" spans="1:7" x14ac:dyDescent="0.2">
      <c r="A6530" s="3" t="s">
        <v>1072</v>
      </c>
      <c r="B6530" s="4">
        <v>45443</v>
      </c>
      <c r="C6530" s="3" t="s">
        <v>1168</v>
      </c>
      <c r="D6530" s="3" t="s">
        <v>1527</v>
      </c>
      <c r="E6530" s="3" t="s">
        <v>1528</v>
      </c>
      <c r="F6530" s="3">
        <v>0</v>
      </c>
      <c r="G6530" s="3">
        <v>12272.2</v>
      </c>
    </row>
    <row r="6531" spans="1:7" x14ac:dyDescent="0.2">
      <c r="A6531" s="3" t="s">
        <v>1072</v>
      </c>
      <c r="B6531" s="4">
        <v>45443</v>
      </c>
      <c r="C6531" s="3" t="s">
        <v>1168</v>
      </c>
      <c r="D6531" s="3" t="s">
        <v>1779</v>
      </c>
      <c r="E6531" s="3" t="s">
        <v>1780</v>
      </c>
      <c r="F6531" s="3">
        <v>0</v>
      </c>
      <c r="G6531" s="3">
        <v>869565.22</v>
      </c>
    </row>
    <row r="6532" spans="1:7" x14ac:dyDescent="0.2">
      <c r="A6532" s="3" t="s">
        <v>1072</v>
      </c>
      <c r="B6532" s="4">
        <v>45443</v>
      </c>
      <c r="C6532" s="3" t="s">
        <v>1210</v>
      </c>
      <c r="D6532" s="3" t="s">
        <v>1509</v>
      </c>
      <c r="E6532" s="3" t="s">
        <v>1510</v>
      </c>
      <c r="F6532" s="3">
        <v>-168.62</v>
      </c>
      <c r="G6532" s="3">
        <v>-316.66000000000003</v>
      </c>
    </row>
    <row r="6533" spans="1:7" x14ac:dyDescent="0.2">
      <c r="A6533" s="3" t="s">
        <v>1069</v>
      </c>
      <c r="B6533" s="4">
        <v>45443</v>
      </c>
      <c r="C6533" s="3" t="s">
        <v>1210</v>
      </c>
      <c r="D6533" s="3" t="s">
        <v>1249</v>
      </c>
      <c r="E6533" s="3" t="s">
        <v>1250</v>
      </c>
      <c r="F6533" s="3">
        <v>-1373.09</v>
      </c>
      <c r="G6533" s="3">
        <v>-105730.61</v>
      </c>
    </row>
    <row r="6534" spans="1:7" x14ac:dyDescent="0.2">
      <c r="A6534" s="3" t="s">
        <v>1069</v>
      </c>
      <c r="B6534" s="4">
        <v>45443</v>
      </c>
      <c r="C6534" s="3" t="s">
        <v>1168</v>
      </c>
      <c r="D6534" s="3" t="s">
        <v>1692</v>
      </c>
      <c r="E6534" s="3" t="s">
        <v>1149</v>
      </c>
      <c r="F6534" s="3">
        <v>0</v>
      </c>
      <c r="G6534" s="3">
        <v>580</v>
      </c>
    </row>
    <row r="6535" spans="1:7" x14ac:dyDescent="0.2">
      <c r="A6535" s="3" t="s">
        <v>1072</v>
      </c>
      <c r="B6535" s="4">
        <v>45443</v>
      </c>
      <c r="C6535" s="3" t="s">
        <v>1168</v>
      </c>
      <c r="D6535" s="3" t="s">
        <v>1325</v>
      </c>
      <c r="E6535" s="3" t="s">
        <v>1073</v>
      </c>
      <c r="F6535" s="3">
        <v>0</v>
      </c>
      <c r="G6535" s="3">
        <v>580</v>
      </c>
    </row>
    <row r="6536" spans="1:7" x14ac:dyDescent="0.2">
      <c r="A6536" s="3" t="s">
        <v>1069</v>
      </c>
      <c r="B6536" s="4">
        <v>45443</v>
      </c>
      <c r="C6536" s="3" t="s">
        <v>1168</v>
      </c>
      <c r="D6536" s="3" t="s">
        <v>1169</v>
      </c>
      <c r="E6536" s="3" t="s">
        <v>1079</v>
      </c>
      <c r="F6536" s="3">
        <v>3396</v>
      </c>
      <c r="G6536" s="3">
        <v>5409.96</v>
      </c>
    </row>
    <row r="6537" spans="1:7" x14ac:dyDescent="0.2">
      <c r="A6537" s="3" t="s">
        <v>1074</v>
      </c>
      <c r="B6537" s="4">
        <v>45443</v>
      </c>
      <c r="C6537" s="3" t="s">
        <v>1168</v>
      </c>
      <c r="D6537" s="3" t="s">
        <v>1169</v>
      </c>
      <c r="E6537" s="3" t="s">
        <v>1079</v>
      </c>
      <c r="F6537" s="3">
        <v>0</v>
      </c>
      <c r="G6537" s="3">
        <v>5000</v>
      </c>
    </row>
    <row r="6538" spans="1:7" x14ac:dyDescent="0.2">
      <c r="A6538" s="3" t="s">
        <v>1072</v>
      </c>
      <c r="B6538" s="4">
        <v>45443</v>
      </c>
      <c r="C6538" s="3" t="s">
        <v>1168</v>
      </c>
      <c r="D6538" s="3" t="s">
        <v>1339</v>
      </c>
      <c r="E6538" s="3" t="s">
        <v>1087</v>
      </c>
      <c r="F6538" s="3">
        <v>0</v>
      </c>
      <c r="G6538" s="3">
        <v>150</v>
      </c>
    </row>
    <row r="6539" spans="1:7" x14ac:dyDescent="0.2">
      <c r="A6539" s="3" t="s">
        <v>1072</v>
      </c>
      <c r="B6539" s="4">
        <v>45443</v>
      </c>
      <c r="C6539" s="3" t="s">
        <v>1168</v>
      </c>
      <c r="D6539" s="3" t="s">
        <v>1195</v>
      </c>
      <c r="E6539" s="3" t="s">
        <v>1085</v>
      </c>
      <c r="F6539" s="3">
        <v>1844.44</v>
      </c>
      <c r="G6539" s="3">
        <v>5919.71</v>
      </c>
    </row>
    <row r="6540" spans="1:7" x14ac:dyDescent="0.2">
      <c r="A6540" s="3" t="s">
        <v>1069</v>
      </c>
      <c r="B6540" s="4">
        <v>45443</v>
      </c>
      <c r="C6540" s="3" t="s">
        <v>1168</v>
      </c>
      <c r="D6540" s="3" t="s">
        <v>1195</v>
      </c>
      <c r="E6540" s="3" t="s">
        <v>1085</v>
      </c>
      <c r="F6540" s="3">
        <v>426.08</v>
      </c>
      <c r="G6540" s="3">
        <v>1258.8399999999999</v>
      </c>
    </row>
    <row r="6541" spans="1:7" x14ac:dyDescent="0.2">
      <c r="A6541" s="3" t="s">
        <v>1072</v>
      </c>
      <c r="B6541" s="4">
        <v>45443</v>
      </c>
      <c r="C6541" s="3" t="s">
        <v>1168</v>
      </c>
      <c r="D6541" s="3" t="s">
        <v>1504</v>
      </c>
      <c r="E6541" s="3" t="s">
        <v>1142</v>
      </c>
      <c r="F6541" s="3">
        <v>3725</v>
      </c>
      <c r="G6541" s="3">
        <v>11175</v>
      </c>
    </row>
    <row r="6542" spans="1:7" x14ac:dyDescent="0.2">
      <c r="A6542" s="3" t="s">
        <v>1069</v>
      </c>
      <c r="B6542" s="4">
        <v>45443</v>
      </c>
      <c r="C6542" s="3" t="s">
        <v>1168</v>
      </c>
      <c r="D6542" s="3" t="s">
        <v>1251</v>
      </c>
      <c r="E6542" s="3" t="s">
        <v>1095</v>
      </c>
      <c r="F6542" s="3">
        <v>91600.320000000007</v>
      </c>
      <c r="G6542" s="3">
        <v>342045.96</v>
      </c>
    </row>
    <row r="6543" spans="1:7" x14ac:dyDescent="0.2">
      <c r="A6543" s="3" t="s">
        <v>1072</v>
      </c>
      <c r="B6543" s="4">
        <v>45443</v>
      </c>
      <c r="C6543" s="3" t="s">
        <v>1168</v>
      </c>
      <c r="D6543" s="3" t="s">
        <v>1348</v>
      </c>
      <c r="E6543" s="3" t="s">
        <v>1095</v>
      </c>
      <c r="F6543" s="3">
        <v>105436.08</v>
      </c>
      <c r="G6543" s="3">
        <v>369878.24</v>
      </c>
    </row>
    <row r="6544" spans="1:7" x14ac:dyDescent="0.2">
      <c r="A6544" s="3" t="s">
        <v>1069</v>
      </c>
      <c r="B6544" s="4">
        <v>45443</v>
      </c>
      <c r="C6544" s="3" t="s">
        <v>1168</v>
      </c>
      <c r="D6544" s="3" t="s">
        <v>1252</v>
      </c>
      <c r="E6544" s="3" t="s">
        <v>1120</v>
      </c>
      <c r="F6544" s="3">
        <v>4200</v>
      </c>
      <c r="G6544" s="3">
        <v>12600</v>
      </c>
    </row>
    <row r="6545" spans="1:7" x14ac:dyDescent="0.2">
      <c r="A6545" s="3" t="s">
        <v>1074</v>
      </c>
      <c r="B6545" s="4">
        <v>45443</v>
      </c>
      <c r="C6545" s="3" t="s">
        <v>1168</v>
      </c>
      <c r="D6545" s="3" t="s">
        <v>1252</v>
      </c>
      <c r="E6545" s="3" t="s">
        <v>1120</v>
      </c>
      <c r="F6545" s="3">
        <v>9750</v>
      </c>
      <c r="G6545" s="3">
        <v>35250</v>
      </c>
    </row>
    <row r="6546" spans="1:7" x14ac:dyDescent="0.2">
      <c r="A6546" s="3" t="s">
        <v>1072</v>
      </c>
      <c r="B6546" s="4">
        <v>45443</v>
      </c>
      <c r="C6546" s="3" t="s">
        <v>1168</v>
      </c>
      <c r="D6546" s="3" t="s">
        <v>1350</v>
      </c>
      <c r="E6546" s="3" t="s">
        <v>1115</v>
      </c>
      <c r="F6546" s="3">
        <v>0</v>
      </c>
      <c r="G6546" s="3">
        <v>10120.99</v>
      </c>
    </row>
    <row r="6547" spans="1:7" x14ac:dyDescent="0.2">
      <c r="A6547" s="3" t="s">
        <v>1072</v>
      </c>
      <c r="B6547" s="4">
        <v>45443</v>
      </c>
      <c r="C6547" s="3" t="s">
        <v>1168</v>
      </c>
      <c r="D6547" s="3" t="s">
        <v>1351</v>
      </c>
      <c r="E6547" s="3" t="s">
        <v>1096</v>
      </c>
      <c r="F6547" s="3">
        <v>0</v>
      </c>
      <c r="G6547" s="3">
        <v>2538.5100000000002</v>
      </c>
    </row>
    <row r="6548" spans="1:7" x14ac:dyDescent="0.2">
      <c r="A6548" s="3" t="s">
        <v>1072</v>
      </c>
      <c r="B6548" s="4">
        <v>45443</v>
      </c>
      <c r="C6548" s="3" t="s">
        <v>1168</v>
      </c>
      <c r="D6548" s="3" t="s">
        <v>1472</v>
      </c>
      <c r="E6548" s="3" t="s">
        <v>1473</v>
      </c>
      <c r="F6548" s="3">
        <v>0</v>
      </c>
      <c r="G6548" s="3">
        <v>1</v>
      </c>
    </row>
    <row r="6549" spans="1:7" x14ac:dyDescent="0.2">
      <c r="A6549" s="3" t="s">
        <v>1072</v>
      </c>
      <c r="B6549" s="4">
        <v>45443</v>
      </c>
      <c r="C6549" s="3" t="s">
        <v>1168</v>
      </c>
      <c r="D6549" s="3" t="s">
        <v>1474</v>
      </c>
      <c r="E6549" s="3" t="s">
        <v>1114</v>
      </c>
      <c r="F6549" s="3">
        <v>0</v>
      </c>
      <c r="G6549" s="3">
        <v>1115.8699999999999</v>
      </c>
    </row>
    <row r="6550" spans="1:7" x14ac:dyDescent="0.2">
      <c r="A6550" s="3" t="s">
        <v>1069</v>
      </c>
      <c r="B6550" s="4">
        <v>45443</v>
      </c>
      <c r="C6550" s="3" t="s">
        <v>1168</v>
      </c>
      <c r="D6550" s="3" t="s">
        <v>1767</v>
      </c>
      <c r="E6550" s="3" t="s">
        <v>1768</v>
      </c>
      <c r="F6550" s="3">
        <v>0</v>
      </c>
      <c r="G6550" s="3">
        <v>125588.71</v>
      </c>
    </row>
    <row r="6551" spans="1:7" x14ac:dyDescent="0.2">
      <c r="A6551" s="3" t="s">
        <v>1069</v>
      </c>
      <c r="B6551" s="4">
        <v>45443</v>
      </c>
      <c r="C6551" s="3" t="s">
        <v>1168</v>
      </c>
      <c r="D6551" s="3" t="s">
        <v>1229</v>
      </c>
      <c r="E6551" s="3" t="s">
        <v>1136</v>
      </c>
      <c r="F6551" s="3">
        <v>0</v>
      </c>
      <c r="G6551" s="3">
        <v>108074.29</v>
      </c>
    </row>
    <row r="6552" spans="1:7" x14ac:dyDescent="0.2">
      <c r="A6552" s="3" t="s">
        <v>1074</v>
      </c>
      <c r="B6552" s="4">
        <v>45443</v>
      </c>
      <c r="C6552" s="3" t="s">
        <v>1168</v>
      </c>
      <c r="D6552" s="3" t="s">
        <v>1229</v>
      </c>
      <c r="E6552" s="3" t="s">
        <v>1787</v>
      </c>
      <c r="F6552" s="3">
        <v>9396.76</v>
      </c>
      <c r="G6552" s="3">
        <v>9396.76</v>
      </c>
    </row>
    <row r="6553" spans="1:7" x14ac:dyDescent="0.2">
      <c r="A6553" s="3" t="s">
        <v>1072</v>
      </c>
      <c r="B6553" s="4">
        <v>45443</v>
      </c>
      <c r="C6553" s="3" t="s">
        <v>1168</v>
      </c>
      <c r="D6553" s="3" t="s">
        <v>1229</v>
      </c>
      <c r="E6553" s="3" t="s">
        <v>1106</v>
      </c>
      <c r="F6553" s="3">
        <v>6600.41</v>
      </c>
      <c r="G6553" s="3">
        <v>12758.84</v>
      </c>
    </row>
    <row r="6554" spans="1:7" x14ac:dyDescent="0.2">
      <c r="A6554" s="3" t="s">
        <v>1069</v>
      </c>
      <c r="B6554" s="4">
        <v>45443</v>
      </c>
      <c r="C6554" s="3" t="s">
        <v>1168</v>
      </c>
      <c r="D6554" s="3" t="s">
        <v>1230</v>
      </c>
      <c r="E6554" s="3" t="s">
        <v>1109</v>
      </c>
      <c r="F6554" s="3">
        <v>0</v>
      </c>
      <c r="G6554" s="3">
        <v>4577.68</v>
      </c>
    </row>
    <row r="6555" spans="1:7" x14ac:dyDescent="0.2">
      <c r="A6555" s="3" t="s">
        <v>1074</v>
      </c>
      <c r="B6555" s="4">
        <v>45443</v>
      </c>
      <c r="C6555" s="3" t="s">
        <v>1168</v>
      </c>
      <c r="D6555" s="3" t="s">
        <v>1230</v>
      </c>
      <c r="E6555" s="3" t="s">
        <v>1077</v>
      </c>
      <c r="F6555" s="3">
        <v>40.36</v>
      </c>
      <c r="G6555" s="3">
        <v>116.05</v>
      </c>
    </row>
    <row r="6556" spans="1:7" x14ac:dyDescent="0.2">
      <c r="A6556" s="3" t="s">
        <v>1072</v>
      </c>
      <c r="B6556" s="4">
        <v>45443</v>
      </c>
      <c r="C6556" s="3" t="s">
        <v>1168</v>
      </c>
      <c r="D6556" s="3" t="s">
        <v>1663</v>
      </c>
      <c r="E6556" s="3" t="s">
        <v>1082</v>
      </c>
      <c r="F6556" s="3">
        <v>0</v>
      </c>
      <c r="G6556" s="3">
        <v>191.3</v>
      </c>
    </row>
    <row r="6557" spans="1:7" x14ac:dyDescent="0.2">
      <c r="A6557" s="3" t="s">
        <v>1072</v>
      </c>
      <c r="B6557" s="4">
        <v>45443</v>
      </c>
      <c r="C6557" s="3" t="s">
        <v>1168</v>
      </c>
      <c r="D6557" s="3" t="s">
        <v>1354</v>
      </c>
      <c r="E6557" s="3" t="s">
        <v>1078</v>
      </c>
      <c r="F6557" s="3">
        <v>0</v>
      </c>
      <c r="G6557" s="3">
        <v>18893.080000000002</v>
      </c>
    </row>
    <row r="6558" spans="1:7" x14ac:dyDescent="0.2">
      <c r="A6558" s="3" t="s">
        <v>1069</v>
      </c>
      <c r="B6558" s="4">
        <v>45443</v>
      </c>
      <c r="C6558" s="3" t="s">
        <v>1168</v>
      </c>
      <c r="D6558" s="3" t="s">
        <v>1456</v>
      </c>
      <c r="E6558" s="3" t="s">
        <v>1457</v>
      </c>
      <c r="F6558" s="3">
        <v>0</v>
      </c>
      <c r="G6558" s="3">
        <v>5281.4</v>
      </c>
    </row>
    <row r="6559" spans="1:7" x14ac:dyDescent="0.2">
      <c r="A6559" s="3" t="s">
        <v>1074</v>
      </c>
      <c r="B6559" s="4">
        <v>45443</v>
      </c>
      <c r="C6559" s="3" t="s">
        <v>1168</v>
      </c>
      <c r="D6559" s="3" t="s">
        <v>1608</v>
      </c>
      <c r="E6559" s="3" t="s">
        <v>1609</v>
      </c>
      <c r="F6559" s="3">
        <v>0</v>
      </c>
      <c r="G6559" s="3">
        <v>575.35</v>
      </c>
    </row>
    <row r="6560" spans="1:7" x14ac:dyDescent="0.2">
      <c r="A6560" s="3" t="s">
        <v>1074</v>
      </c>
      <c r="B6560" s="4">
        <v>45443</v>
      </c>
      <c r="C6560" s="3" t="s">
        <v>1168</v>
      </c>
      <c r="D6560" s="3" t="s">
        <v>1627</v>
      </c>
      <c r="E6560" s="3" t="s">
        <v>1628</v>
      </c>
      <c r="F6560" s="3">
        <v>0</v>
      </c>
      <c r="G6560" s="3">
        <v>6267.13</v>
      </c>
    </row>
    <row r="6561" spans="1:7" x14ac:dyDescent="0.2">
      <c r="A6561" s="3" t="s">
        <v>1074</v>
      </c>
      <c r="B6561" s="4">
        <v>45443</v>
      </c>
      <c r="C6561" s="3" t="s">
        <v>1168</v>
      </c>
      <c r="D6561" s="3" t="s">
        <v>1575</v>
      </c>
      <c r="E6561" s="3" t="s">
        <v>1576</v>
      </c>
      <c r="F6561" s="3">
        <v>0</v>
      </c>
      <c r="G6561" s="3">
        <v>308712.32000000001</v>
      </c>
    </row>
    <row r="6562" spans="1:7" x14ac:dyDescent="0.2">
      <c r="A6562" s="3" t="s">
        <v>1074</v>
      </c>
      <c r="B6562" s="4">
        <v>45443</v>
      </c>
      <c r="C6562" s="3" t="s">
        <v>1168</v>
      </c>
      <c r="D6562" s="3" t="s">
        <v>1721</v>
      </c>
      <c r="E6562" s="3" t="s">
        <v>1152</v>
      </c>
      <c r="F6562" s="3">
        <v>5429</v>
      </c>
      <c r="G6562" s="3">
        <v>16226.32</v>
      </c>
    </row>
    <row r="6563" spans="1:7" x14ac:dyDescent="0.2">
      <c r="A6563" s="3" t="s">
        <v>1069</v>
      </c>
      <c r="B6563" s="4">
        <v>45443</v>
      </c>
      <c r="C6563" s="3" t="s">
        <v>1168</v>
      </c>
      <c r="D6563" s="3" t="s">
        <v>1722</v>
      </c>
      <c r="E6563" s="3" t="s">
        <v>1116</v>
      </c>
      <c r="F6563" s="3">
        <v>6060.18</v>
      </c>
      <c r="G6563" s="3">
        <v>27761.48</v>
      </c>
    </row>
    <row r="6564" spans="1:7" x14ac:dyDescent="0.2">
      <c r="A6564" s="3" t="s">
        <v>1069</v>
      </c>
      <c r="B6564" s="4">
        <v>45443</v>
      </c>
      <c r="C6564" s="3" t="s">
        <v>1168</v>
      </c>
      <c r="D6564" s="3" t="s">
        <v>1253</v>
      </c>
      <c r="E6564" s="3" t="s">
        <v>1103</v>
      </c>
      <c r="F6564" s="3">
        <v>1173.03</v>
      </c>
      <c r="G6564" s="3">
        <v>8400.11</v>
      </c>
    </row>
    <row r="6565" spans="1:7" x14ac:dyDescent="0.2">
      <c r="A6565" s="3" t="s">
        <v>1072</v>
      </c>
      <c r="B6565" s="4">
        <v>45443</v>
      </c>
      <c r="C6565" s="3" t="s">
        <v>1168</v>
      </c>
      <c r="D6565" s="3" t="s">
        <v>1357</v>
      </c>
      <c r="E6565" s="3" t="s">
        <v>1157</v>
      </c>
      <c r="F6565" s="3">
        <v>5724.8</v>
      </c>
      <c r="G6565" s="3">
        <v>10933.26</v>
      </c>
    </row>
    <row r="6566" spans="1:7" x14ac:dyDescent="0.2">
      <c r="A6566" s="3" t="s">
        <v>1072</v>
      </c>
      <c r="B6566" s="4">
        <v>45443</v>
      </c>
      <c r="C6566" s="3" t="s">
        <v>1168</v>
      </c>
      <c r="D6566" s="3" t="s">
        <v>1201</v>
      </c>
      <c r="E6566" s="3" t="s">
        <v>1112</v>
      </c>
      <c r="F6566" s="3">
        <v>0</v>
      </c>
      <c r="G6566" s="3">
        <v>4971.8</v>
      </c>
    </row>
    <row r="6567" spans="1:7" x14ac:dyDescent="0.2">
      <c r="A6567" s="3" t="s">
        <v>1072</v>
      </c>
      <c r="B6567" s="4">
        <v>45443</v>
      </c>
      <c r="C6567" s="3" t="s">
        <v>1168</v>
      </c>
      <c r="D6567" s="3" t="s">
        <v>1360</v>
      </c>
      <c r="E6567" s="3" t="s">
        <v>1098</v>
      </c>
      <c r="F6567" s="3">
        <v>2383.9699999999998</v>
      </c>
      <c r="G6567" s="3">
        <v>6299.64</v>
      </c>
    </row>
    <row r="6568" spans="1:7" x14ac:dyDescent="0.2">
      <c r="A6568" s="3" t="s">
        <v>1072</v>
      </c>
      <c r="B6568" s="4">
        <v>45443</v>
      </c>
      <c r="C6568" s="3" t="s">
        <v>1168</v>
      </c>
      <c r="D6568" s="3" t="s">
        <v>1361</v>
      </c>
      <c r="E6568" s="3" t="s">
        <v>1121</v>
      </c>
      <c r="F6568" s="3">
        <v>31820</v>
      </c>
      <c r="G6568" s="3">
        <v>105821.43</v>
      </c>
    </row>
    <row r="6569" spans="1:7" x14ac:dyDescent="0.2">
      <c r="A6569" s="3" t="s">
        <v>1072</v>
      </c>
      <c r="B6569" s="4">
        <v>45443</v>
      </c>
      <c r="C6569" s="3" t="s">
        <v>1168</v>
      </c>
      <c r="D6569" s="3" t="s">
        <v>1231</v>
      </c>
      <c r="E6569" s="3" t="s">
        <v>1083</v>
      </c>
      <c r="F6569" s="3">
        <v>989.75</v>
      </c>
      <c r="G6569" s="3">
        <v>2969.25</v>
      </c>
    </row>
    <row r="6570" spans="1:7" x14ac:dyDescent="0.2">
      <c r="A6570" s="3" t="s">
        <v>1072</v>
      </c>
      <c r="B6570" s="4">
        <v>45443</v>
      </c>
      <c r="C6570" s="3" t="s">
        <v>1168</v>
      </c>
      <c r="D6570" s="3" t="s">
        <v>1254</v>
      </c>
      <c r="E6570" s="3" t="s">
        <v>1075</v>
      </c>
      <c r="F6570" s="3">
        <v>3370.9</v>
      </c>
      <c r="G6570" s="3">
        <v>11732.84</v>
      </c>
    </row>
    <row r="6571" spans="1:7" x14ac:dyDescent="0.2">
      <c r="A6571" s="3" t="s">
        <v>1074</v>
      </c>
      <c r="B6571" s="4">
        <v>45443</v>
      </c>
      <c r="C6571" s="3" t="s">
        <v>1168</v>
      </c>
      <c r="D6571" s="3" t="s">
        <v>1254</v>
      </c>
      <c r="E6571" s="3" t="s">
        <v>1075</v>
      </c>
      <c r="F6571" s="3">
        <v>0</v>
      </c>
      <c r="G6571" s="3">
        <v>2815.04</v>
      </c>
    </row>
    <row r="6572" spans="1:7" x14ac:dyDescent="0.2">
      <c r="A6572" s="3" t="s">
        <v>1072</v>
      </c>
      <c r="B6572" s="4">
        <v>45443</v>
      </c>
      <c r="C6572" s="3" t="s">
        <v>1168</v>
      </c>
      <c r="D6572" s="3" t="s">
        <v>1362</v>
      </c>
      <c r="E6572" s="3" t="s">
        <v>1123</v>
      </c>
      <c r="F6572" s="3">
        <v>0</v>
      </c>
      <c r="G6572" s="3">
        <v>771426.33</v>
      </c>
    </row>
    <row r="6573" spans="1:7" x14ac:dyDescent="0.2">
      <c r="A6573" s="3" t="s">
        <v>1069</v>
      </c>
      <c r="B6573" s="4">
        <v>45443</v>
      </c>
      <c r="C6573" s="3" t="s">
        <v>1168</v>
      </c>
      <c r="D6573" s="3" t="s">
        <v>1213</v>
      </c>
      <c r="E6573" s="3" t="s">
        <v>1150</v>
      </c>
      <c r="F6573" s="3">
        <v>374.64</v>
      </c>
      <c r="G6573" s="3">
        <v>1123.92</v>
      </c>
    </row>
    <row r="6574" spans="1:7" x14ac:dyDescent="0.2">
      <c r="A6574" s="3" t="s">
        <v>1072</v>
      </c>
      <c r="B6574" s="4">
        <v>45443</v>
      </c>
      <c r="C6574" s="3" t="s">
        <v>1168</v>
      </c>
      <c r="D6574" s="3" t="s">
        <v>1765</v>
      </c>
      <c r="E6574" s="3" t="s">
        <v>1766</v>
      </c>
      <c r="F6574" s="3">
        <v>865.63</v>
      </c>
      <c r="G6574" s="3">
        <v>5222.33</v>
      </c>
    </row>
    <row r="6575" spans="1:7" x14ac:dyDescent="0.2">
      <c r="A6575" s="3" t="s">
        <v>1072</v>
      </c>
      <c r="B6575" s="4">
        <v>45443</v>
      </c>
      <c r="C6575" s="3" t="s">
        <v>1168</v>
      </c>
      <c r="D6575" s="3" t="s">
        <v>1368</v>
      </c>
      <c r="E6575" s="3" t="s">
        <v>1124</v>
      </c>
      <c r="F6575" s="3">
        <v>3907.75</v>
      </c>
      <c r="G6575" s="3">
        <v>6838.99</v>
      </c>
    </row>
    <row r="6576" spans="1:7" x14ac:dyDescent="0.2">
      <c r="A6576" s="3" t="s">
        <v>1072</v>
      </c>
      <c r="B6576" s="4">
        <v>45443</v>
      </c>
      <c r="C6576" s="3" t="s">
        <v>1168</v>
      </c>
      <c r="D6576" s="3" t="s">
        <v>1369</v>
      </c>
      <c r="E6576" s="3" t="s">
        <v>1099</v>
      </c>
      <c r="F6576" s="3">
        <v>0</v>
      </c>
      <c r="G6576" s="3">
        <v>9775</v>
      </c>
    </row>
    <row r="6577" spans="1:7" x14ac:dyDescent="0.2">
      <c r="A6577" s="3" t="s">
        <v>1072</v>
      </c>
      <c r="B6577" s="4">
        <v>45443</v>
      </c>
      <c r="C6577" s="3" t="s">
        <v>1168</v>
      </c>
      <c r="D6577" s="3" t="s">
        <v>1370</v>
      </c>
      <c r="E6577" s="3" t="s">
        <v>1129</v>
      </c>
      <c r="F6577" s="3">
        <v>810</v>
      </c>
      <c r="G6577" s="3">
        <v>4050</v>
      </c>
    </row>
    <row r="6578" spans="1:7" x14ac:dyDescent="0.2">
      <c r="A6578" s="3" t="s">
        <v>1072</v>
      </c>
      <c r="B6578" s="4">
        <v>45443</v>
      </c>
      <c r="C6578" s="3" t="s">
        <v>1168</v>
      </c>
      <c r="D6578" s="3" t="s">
        <v>1372</v>
      </c>
      <c r="E6578" s="3" t="s">
        <v>1158</v>
      </c>
      <c r="F6578" s="3">
        <v>600</v>
      </c>
      <c r="G6578" s="3">
        <v>1800</v>
      </c>
    </row>
    <row r="6579" spans="1:7" x14ac:dyDescent="0.2">
      <c r="A6579" s="3" t="s">
        <v>1072</v>
      </c>
      <c r="B6579" s="4">
        <v>45443</v>
      </c>
      <c r="C6579" s="3" t="s">
        <v>1168</v>
      </c>
      <c r="D6579" s="3" t="s">
        <v>1373</v>
      </c>
      <c r="E6579" s="3" t="s">
        <v>1092</v>
      </c>
      <c r="F6579" s="3">
        <v>0</v>
      </c>
      <c r="G6579" s="3">
        <v>2178</v>
      </c>
    </row>
    <row r="6580" spans="1:7" x14ac:dyDescent="0.2">
      <c r="A6580" s="3" t="s">
        <v>1072</v>
      </c>
      <c r="B6580" s="4">
        <v>45443</v>
      </c>
      <c r="C6580" s="3" t="s">
        <v>1168</v>
      </c>
      <c r="D6580" s="3" t="s">
        <v>1737</v>
      </c>
      <c r="E6580" s="3" t="s">
        <v>1148</v>
      </c>
      <c r="F6580" s="3">
        <v>0</v>
      </c>
      <c r="G6580" s="3">
        <v>718.93</v>
      </c>
    </row>
    <row r="6581" spans="1:7" x14ac:dyDescent="0.2">
      <c r="A6581" s="3" t="s">
        <v>1069</v>
      </c>
      <c r="B6581" s="4">
        <v>45443</v>
      </c>
      <c r="C6581" s="3" t="s">
        <v>1168</v>
      </c>
      <c r="D6581" s="3" t="s">
        <v>1232</v>
      </c>
      <c r="E6581" s="3" t="s">
        <v>1105</v>
      </c>
      <c r="F6581" s="3">
        <v>600</v>
      </c>
      <c r="G6581" s="3">
        <v>1800</v>
      </c>
    </row>
    <row r="6582" spans="1:7" x14ac:dyDescent="0.2">
      <c r="A6582" s="3" t="s">
        <v>1074</v>
      </c>
      <c r="B6582" s="4">
        <v>45443</v>
      </c>
      <c r="C6582" s="3" t="s">
        <v>1168</v>
      </c>
      <c r="D6582" s="3" t="s">
        <v>1232</v>
      </c>
      <c r="E6582" s="3" t="s">
        <v>1105</v>
      </c>
      <c r="F6582" s="3">
        <v>600</v>
      </c>
      <c r="G6582" s="3">
        <v>1800</v>
      </c>
    </row>
    <row r="6583" spans="1:7" x14ac:dyDescent="0.2">
      <c r="A6583" s="3" t="s">
        <v>1072</v>
      </c>
      <c r="B6583" s="4">
        <v>45443</v>
      </c>
      <c r="C6583" s="3" t="s">
        <v>1168</v>
      </c>
      <c r="D6583" s="3" t="s">
        <v>1375</v>
      </c>
      <c r="E6583" s="3" t="s">
        <v>1100</v>
      </c>
      <c r="F6583" s="3">
        <v>3667.52</v>
      </c>
      <c r="G6583" s="3">
        <v>10383.58</v>
      </c>
    </row>
    <row r="6584" spans="1:7" x14ac:dyDescent="0.2">
      <c r="A6584" s="3" t="s">
        <v>1072</v>
      </c>
      <c r="B6584" s="4">
        <v>45443</v>
      </c>
      <c r="C6584" s="3" t="s">
        <v>1168</v>
      </c>
      <c r="D6584" s="3" t="s">
        <v>1378</v>
      </c>
      <c r="E6584" s="3" t="s">
        <v>1143</v>
      </c>
      <c r="F6584" s="3">
        <v>0</v>
      </c>
      <c r="G6584" s="3">
        <v>182556.26</v>
      </c>
    </row>
    <row r="6585" spans="1:7" x14ac:dyDescent="0.2">
      <c r="A6585" s="3" t="s">
        <v>1072</v>
      </c>
      <c r="B6585" s="4">
        <v>45443</v>
      </c>
      <c r="C6585" s="3" t="s">
        <v>1168</v>
      </c>
      <c r="D6585" s="3" t="s">
        <v>1379</v>
      </c>
      <c r="E6585" s="3" t="s">
        <v>1107</v>
      </c>
      <c r="F6585" s="3">
        <v>0</v>
      </c>
      <c r="G6585" s="3">
        <v>9344.92</v>
      </c>
    </row>
    <row r="6586" spans="1:7" x14ac:dyDescent="0.2">
      <c r="A6586" s="3" t="s">
        <v>1072</v>
      </c>
      <c r="B6586" s="4">
        <v>45443</v>
      </c>
      <c r="C6586" s="3" t="s">
        <v>1168</v>
      </c>
      <c r="D6586" s="3" t="s">
        <v>1380</v>
      </c>
      <c r="E6586" s="3" t="s">
        <v>1125</v>
      </c>
      <c r="F6586" s="3">
        <v>0</v>
      </c>
      <c r="G6586" s="3">
        <v>5009.96</v>
      </c>
    </row>
    <row r="6587" spans="1:7" x14ac:dyDescent="0.2">
      <c r="A6587" s="3" t="s">
        <v>1072</v>
      </c>
      <c r="B6587" s="4">
        <v>45443</v>
      </c>
      <c r="C6587" s="3" t="s">
        <v>1168</v>
      </c>
      <c r="D6587" s="3" t="s">
        <v>1381</v>
      </c>
      <c r="E6587" s="3" t="s">
        <v>1130</v>
      </c>
      <c r="F6587" s="3">
        <v>0</v>
      </c>
      <c r="G6587" s="3">
        <v>5009.96</v>
      </c>
    </row>
    <row r="6588" spans="1:7" x14ac:dyDescent="0.2">
      <c r="A6588" s="3" t="s">
        <v>1069</v>
      </c>
      <c r="B6588" s="4">
        <v>45443</v>
      </c>
      <c r="C6588" s="3" t="s">
        <v>1172</v>
      </c>
      <c r="D6588" s="3" t="s">
        <v>1173</v>
      </c>
      <c r="E6588" s="3" t="s">
        <v>1174</v>
      </c>
      <c r="F6588" s="3">
        <v>0</v>
      </c>
      <c r="G6588" s="3">
        <v>-100</v>
      </c>
    </row>
    <row r="6589" spans="1:7" x14ac:dyDescent="0.2">
      <c r="A6589" s="3" t="s">
        <v>1072</v>
      </c>
      <c r="B6589" s="4">
        <v>45443</v>
      </c>
      <c r="C6589" s="3" t="s">
        <v>1172</v>
      </c>
      <c r="D6589" s="3" t="s">
        <v>1382</v>
      </c>
      <c r="E6589" s="3" t="s">
        <v>1383</v>
      </c>
      <c r="F6589" s="3">
        <v>0</v>
      </c>
      <c r="G6589" s="3">
        <v>-120</v>
      </c>
    </row>
    <row r="6590" spans="1:7" x14ac:dyDescent="0.2">
      <c r="A6590" s="3" t="s">
        <v>1072</v>
      </c>
      <c r="B6590" s="4">
        <v>45443</v>
      </c>
      <c r="C6590" s="3" t="s">
        <v>1172</v>
      </c>
      <c r="D6590" s="3" t="s">
        <v>1384</v>
      </c>
      <c r="E6590" s="3" t="s">
        <v>1385</v>
      </c>
      <c r="F6590" s="3">
        <v>0</v>
      </c>
      <c r="G6590" s="3">
        <v>511734.13</v>
      </c>
    </row>
    <row r="6591" spans="1:7" x14ac:dyDescent="0.2">
      <c r="A6591" s="3" t="s">
        <v>1069</v>
      </c>
      <c r="B6591" s="4">
        <v>45443</v>
      </c>
      <c r="C6591" s="3" t="s">
        <v>1172</v>
      </c>
      <c r="D6591" s="3" t="s">
        <v>1384</v>
      </c>
      <c r="E6591" s="3" t="s">
        <v>1385</v>
      </c>
      <c r="F6591" s="3">
        <v>0</v>
      </c>
      <c r="G6591" s="3">
        <v>-39564532.869999997</v>
      </c>
    </row>
    <row r="6592" spans="1:7" x14ac:dyDescent="0.2">
      <c r="A6592" s="3" t="s">
        <v>1074</v>
      </c>
      <c r="B6592" s="4">
        <v>45443</v>
      </c>
      <c r="C6592" s="3" t="s">
        <v>1172</v>
      </c>
      <c r="D6592" s="3" t="s">
        <v>1384</v>
      </c>
      <c r="E6592" s="3" t="s">
        <v>1385</v>
      </c>
      <c r="F6592" s="3">
        <v>0</v>
      </c>
      <c r="G6592" s="3">
        <v>-30792555.219999999</v>
      </c>
    </row>
    <row r="6593" spans="1:7" x14ac:dyDescent="0.2">
      <c r="A6593" s="3" t="s">
        <v>1069</v>
      </c>
      <c r="B6593" s="4">
        <v>45443</v>
      </c>
      <c r="C6593" s="3" t="s">
        <v>1180</v>
      </c>
      <c r="D6593" s="3" t="s">
        <v>1241</v>
      </c>
      <c r="E6593" s="3" t="s">
        <v>1242</v>
      </c>
      <c r="F6593" s="3">
        <v>0</v>
      </c>
      <c r="G6593" s="3">
        <v>17562360.850000001</v>
      </c>
    </row>
    <row r="6594" spans="1:7" x14ac:dyDescent="0.2">
      <c r="A6594" s="3" t="s">
        <v>1069</v>
      </c>
      <c r="B6594" s="4">
        <v>45443</v>
      </c>
      <c r="C6594" s="3" t="s">
        <v>1180</v>
      </c>
      <c r="D6594" s="3" t="s">
        <v>1733</v>
      </c>
      <c r="E6594" s="3" t="s">
        <v>1734</v>
      </c>
      <c r="F6594" s="3">
        <v>0</v>
      </c>
      <c r="G6594" s="3">
        <v>13457359</v>
      </c>
    </row>
    <row r="6595" spans="1:7" x14ac:dyDescent="0.2">
      <c r="A6595" s="3" t="s">
        <v>1072</v>
      </c>
      <c r="B6595" s="4">
        <v>45443</v>
      </c>
      <c r="C6595" s="3" t="s">
        <v>1180</v>
      </c>
      <c r="D6595" s="3" t="s">
        <v>1483</v>
      </c>
      <c r="E6595" s="3" t="s">
        <v>1177</v>
      </c>
      <c r="F6595" s="3">
        <v>-81000</v>
      </c>
      <c r="G6595" s="3">
        <v>-4128423.63</v>
      </c>
    </row>
    <row r="6596" spans="1:7" x14ac:dyDescent="0.2">
      <c r="A6596" s="3" t="s">
        <v>1072</v>
      </c>
      <c r="B6596" s="4">
        <v>45443</v>
      </c>
      <c r="C6596" s="3" t="s">
        <v>1180</v>
      </c>
      <c r="D6596" s="3" t="s">
        <v>1769</v>
      </c>
      <c r="E6596" s="3" t="s">
        <v>1770</v>
      </c>
      <c r="F6596" s="3">
        <v>0</v>
      </c>
      <c r="G6596" s="3">
        <v>-145000</v>
      </c>
    </row>
    <row r="6597" spans="1:7" x14ac:dyDescent="0.2">
      <c r="A6597" s="3" t="s">
        <v>1072</v>
      </c>
      <c r="B6597" s="4">
        <v>45443</v>
      </c>
      <c r="C6597" s="3" t="s">
        <v>1180</v>
      </c>
      <c r="D6597" s="3" t="s">
        <v>1388</v>
      </c>
      <c r="E6597" s="3" t="s">
        <v>1389</v>
      </c>
      <c r="F6597" s="3">
        <v>0</v>
      </c>
      <c r="G6597" s="3">
        <v>-4342.5</v>
      </c>
    </row>
    <row r="6598" spans="1:7" x14ac:dyDescent="0.2">
      <c r="A6598" s="3" t="s">
        <v>1072</v>
      </c>
      <c r="B6598" s="4">
        <v>45443</v>
      </c>
      <c r="C6598" s="3" t="s">
        <v>1180</v>
      </c>
      <c r="D6598" s="3" t="s">
        <v>1723</v>
      </c>
      <c r="E6598" s="3" t="s">
        <v>1724</v>
      </c>
      <c r="F6598" s="3">
        <v>0</v>
      </c>
      <c r="G6598" s="3">
        <v>4702.3500000000004</v>
      </c>
    </row>
    <row r="6599" spans="1:7" x14ac:dyDescent="0.2">
      <c r="A6599" s="3" t="s">
        <v>1072</v>
      </c>
      <c r="B6599" s="4">
        <v>45443</v>
      </c>
      <c r="C6599" s="3" t="s">
        <v>1180</v>
      </c>
      <c r="D6599" s="3" t="s">
        <v>1390</v>
      </c>
      <c r="E6599" s="3" t="s">
        <v>1391</v>
      </c>
      <c r="F6599" s="3">
        <v>32000</v>
      </c>
      <c r="G6599" s="3">
        <v>-1180000</v>
      </c>
    </row>
    <row r="6600" spans="1:7" x14ac:dyDescent="0.2">
      <c r="A6600" s="3" t="s">
        <v>1072</v>
      </c>
      <c r="B6600" s="4">
        <v>45443</v>
      </c>
      <c r="C6600" s="3" t="s">
        <v>1180</v>
      </c>
      <c r="D6600" s="3" t="s">
        <v>1392</v>
      </c>
      <c r="E6600" s="3" t="s">
        <v>1393</v>
      </c>
      <c r="F6600" s="3">
        <v>0</v>
      </c>
      <c r="G6600" s="3">
        <v>4342.5</v>
      </c>
    </row>
    <row r="6601" spans="1:7" x14ac:dyDescent="0.2">
      <c r="A6601" s="3" t="s">
        <v>1072</v>
      </c>
      <c r="B6601" s="4">
        <v>45443</v>
      </c>
      <c r="C6601" s="3" t="s">
        <v>1180</v>
      </c>
      <c r="D6601" s="3" t="s">
        <v>1394</v>
      </c>
      <c r="E6601" s="3" t="s">
        <v>1256</v>
      </c>
      <c r="F6601" s="3">
        <v>600</v>
      </c>
      <c r="G6601" s="3">
        <v>-55800</v>
      </c>
    </row>
    <row r="6602" spans="1:7" x14ac:dyDescent="0.2">
      <c r="A6602" s="3" t="s">
        <v>1072</v>
      </c>
      <c r="B6602" s="4">
        <v>45443</v>
      </c>
      <c r="C6602" s="3" t="s">
        <v>1180</v>
      </c>
      <c r="D6602" s="3" t="s">
        <v>1395</v>
      </c>
      <c r="E6602" s="3" t="s">
        <v>1396</v>
      </c>
      <c r="F6602" s="3">
        <v>-4946500</v>
      </c>
      <c r="G6602" s="3">
        <v>-33576238.420000002</v>
      </c>
    </row>
    <row r="6603" spans="1:7" x14ac:dyDescent="0.2">
      <c r="A6603" s="3" t="s">
        <v>1072</v>
      </c>
      <c r="B6603" s="4">
        <v>45443</v>
      </c>
      <c r="C6603" s="3" t="s">
        <v>1180</v>
      </c>
      <c r="D6603" s="3" t="s">
        <v>1397</v>
      </c>
      <c r="E6603" s="3" t="s">
        <v>1398</v>
      </c>
      <c r="F6603" s="3">
        <v>-50024.5</v>
      </c>
      <c r="G6603" s="3">
        <v>-249013.94</v>
      </c>
    </row>
    <row r="6604" spans="1:7" x14ac:dyDescent="0.2">
      <c r="A6604" s="3" t="s">
        <v>1072</v>
      </c>
      <c r="B6604" s="4">
        <v>45443</v>
      </c>
      <c r="C6604" s="3" t="s">
        <v>1180</v>
      </c>
      <c r="D6604" s="3" t="s">
        <v>1512</v>
      </c>
      <c r="E6604" s="3" t="s">
        <v>1513</v>
      </c>
      <c r="F6604" s="3">
        <v>-1300000</v>
      </c>
      <c r="G6604" s="3">
        <v>25192687.399999999</v>
      </c>
    </row>
    <row r="6605" spans="1:7" x14ac:dyDescent="0.2">
      <c r="A6605" s="3" t="s">
        <v>1072</v>
      </c>
      <c r="B6605" s="4">
        <v>45443</v>
      </c>
      <c r="C6605" s="3" t="s">
        <v>1180</v>
      </c>
      <c r="D6605" s="3" t="s">
        <v>1399</v>
      </c>
      <c r="E6605" s="3" t="s">
        <v>1400</v>
      </c>
      <c r="F6605" s="3">
        <v>50000</v>
      </c>
      <c r="G6605" s="3">
        <v>367399</v>
      </c>
    </row>
    <row r="6606" spans="1:7" x14ac:dyDescent="0.2">
      <c r="A6606" s="3" t="s">
        <v>1074</v>
      </c>
      <c r="B6606" s="4">
        <v>45443</v>
      </c>
      <c r="C6606" s="3" t="s">
        <v>1175</v>
      </c>
      <c r="D6606" s="3" t="s">
        <v>1492</v>
      </c>
      <c r="E6606" s="3" t="s">
        <v>1493</v>
      </c>
      <c r="F6606" s="3">
        <v>-85672.43</v>
      </c>
      <c r="G6606" s="3">
        <v>-58838104.920000002</v>
      </c>
    </row>
    <row r="6607" spans="1:7" x14ac:dyDescent="0.2">
      <c r="A6607" s="3" t="s">
        <v>1069</v>
      </c>
      <c r="B6607" s="4">
        <v>45443</v>
      </c>
      <c r="C6607" s="3" t="s">
        <v>1175</v>
      </c>
      <c r="D6607" s="3" t="s">
        <v>1176</v>
      </c>
      <c r="E6607" s="3" t="s">
        <v>1177</v>
      </c>
      <c r="F6607" s="3">
        <v>0</v>
      </c>
      <c r="G6607" s="3">
        <v>1846000</v>
      </c>
    </row>
    <row r="6608" spans="1:7" x14ac:dyDescent="0.2">
      <c r="A6608" s="3" t="s">
        <v>1069</v>
      </c>
      <c r="B6608" s="4">
        <v>45443</v>
      </c>
      <c r="C6608" s="3" t="s">
        <v>1175</v>
      </c>
      <c r="D6608" s="3" t="s">
        <v>1178</v>
      </c>
      <c r="E6608" s="3" t="s">
        <v>1179</v>
      </c>
      <c r="F6608" s="3">
        <v>4946500</v>
      </c>
      <c r="G6608" s="3">
        <v>33576238.420000002</v>
      </c>
    </row>
    <row r="6609" spans="1:7" x14ac:dyDescent="0.2">
      <c r="A6609" s="3" t="s">
        <v>1069</v>
      </c>
      <c r="B6609" s="4">
        <v>45443</v>
      </c>
      <c r="C6609" s="3" t="s">
        <v>1175</v>
      </c>
      <c r="D6609" s="3" t="s">
        <v>1233</v>
      </c>
      <c r="E6609" s="3" t="s">
        <v>1234</v>
      </c>
      <c r="F6609" s="3">
        <v>35000</v>
      </c>
      <c r="G6609" s="3">
        <v>2139275</v>
      </c>
    </row>
    <row r="6610" spans="1:7" x14ac:dyDescent="0.2">
      <c r="A6610" s="3" t="s">
        <v>1069</v>
      </c>
      <c r="B6610" s="4">
        <v>45443</v>
      </c>
      <c r="C6610" s="3" t="s">
        <v>1175</v>
      </c>
      <c r="D6610" s="3" t="s">
        <v>1494</v>
      </c>
      <c r="E6610" s="3" t="s">
        <v>1495</v>
      </c>
      <c r="F6610" s="3">
        <v>85671.71</v>
      </c>
      <c r="G6610" s="3">
        <v>59038103.670000002</v>
      </c>
    </row>
    <row r="6611" spans="1:7" x14ac:dyDescent="0.2">
      <c r="A6611" s="3" t="s">
        <v>1069</v>
      </c>
      <c r="B6611" s="4">
        <v>45443</v>
      </c>
      <c r="C6611" s="3" t="s">
        <v>1175</v>
      </c>
      <c r="D6611" s="3" t="s">
        <v>1756</v>
      </c>
      <c r="E6611" s="3" t="s">
        <v>1757</v>
      </c>
      <c r="F6611" s="3">
        <v>-5000</v>
      </c>
      <c r="G6611" s="3">
        <v>0</v>
      </c>
    </row>
    <row r="6612" spans="1:7" x14ac:dyDescent="0.2">
      <c r="A6612" s="3" t="s">
        <v>1069</v>
      </c>
      <c r="B6612" s="4">
        <v>45443</v>
      </c>
      <c r="C6612" s="3" t="s">
        <v>1175</v>
      </c>
      <c r="D6612" s="3" t="s">
        <v>1516</v>
      </c>
      <c r="E6612" s="3" t="s">
        <v>1400</v>
      </c>
      <c r="F6612" s="3">
        <v>-54000</v>
      </c>
      <c r="G6612" s="3">
        <v>-54000</v>
      </c>
    </row>
    <row r="6613" spans="1:7" x14ac:dyDescent="0.2">
      <c r="A6613" s="3" t="s">
        <v>1069</v>
      </c>
      <c r="B6613" s="4">
        <v>45443</v>
      </c>
      <c r="C6613" s="3" t="s">
        <v>1175</v>
      </c>
      <c r="D6613" s="3" t="s">
        <v>1738</v>
      </c>
      <c r="E6613" s="3" t="s">
        <v>1739</v>
      </c>
      <c r="F6613" s="3">
        <v>500</v>
      </c>
      <c r="G6613" s="3">
        <v>1000</v>
      </c>
    </row>
    <row r="6614" spans="1:7" x14ac:dyDescent="0.2">
      <c r="A6614" s="3" t="s">
        <v>1072</v>
      </c>
      <c r="B6614" s="4">
        <v>45443</v>
      </c>
      <c r="C6614" s="3" t="s">
        <v>1175</v>
      </c>
      <c r="D6614" s="3" t="s">
        <v>1405</v>
      </c>
      <c r="E6614" s="3" t="s">
        <v>1406</v>
      </c>
      <c r="F6614" s="3">
        <v>0</v>
      </c>
      <c r="G6614" s="3">
        <v>2507.0500000000002</v>
      </c>
    </row>
    <row r="6615" spans="1:7" x14ac:dyDescent="0.2">
      <c r="A6615" s="3" t="s">
        <v>1069</v>
      </c>
      <c r="B6615" s="4">
        <v>45443</v>
      </c>
      <c r="C6615" s="3" t="s">
        <v>1180</v>
      </c>
      <c r="D6615" s="3" t="s">
        <v>1748</v>
      </c>
      <c r="E6615" s="3" t="s">
        <v>1749</v>
      </c>
      <c r="F6615" s="3">
        <v>0</v>
      </c>
      <c r="G6615" s="3">
        <v>1304260.8700000001</v>
      </c>
    </row>
    <row r="6616" spans="1:7" x14ac:dyDescent="0.2">
      <c r="A6616" s="3" t="s">
        <v>1069</v>
      </c>
      <c r="B6616" s="4">
        <v>45443</v>
      </c>
      <c r="C6616" s="3" t="s">
        <v>1180</v>
      </c>
      <c r="D6616" s="3" t="s">
        <v>1750</v>
      </c>
      <c r="E6616" s="3" t="s">
        <v>1751</v>
      </c>
      <c r="F6616" s="3">
        <v>0</v>
      </c>
      <c r="G6616" s="3">
        <v>1356434.78</v>
      </c>
    </row>
    <row r="6617" spans="1:7" x14ac:dyDescent="0.2">
      <c r="A6617" s="3" t="s">
        <v>1069</v>
      </c>
      <c r="B6617" s="4">
        <v>45443</v>
      </c>
      <c r="C6617" s="3" t="s">
        <v>1180</v>
      </c>
      <c r="D6617" s="3" t="s">
        <v>1752</v>
      </c>
      <c r="E6617" s="3" t="s">
        <v>1753</v>
      </c>
      <c r="F6617" s="3">
        <v>0</v>
      </c>
      <c r="G6617" s="3">
        <v>1373826.09</v>
      </c>
    </row>
    <row r="6618" spans="1:7" x14ac:dyDescent="0.2">
      <c r="A6618" s="3" t="s">
        <v>1069</v>
      </c>
      <c r="B6618" s="4">
        <v>45443</v>
      </c>
      <c r="C6618" s="3" t="s">
        <v>1180</v>
      </c>
      <c r="D6618" s="3" t="s">
        <v>1754</v>
      </c>
      <c r="E6618" s="3" t="s">
        <v>1755</v>
      </c>
      <c r="F6618" s="3">
        <v>0</v>
      </c>
      <c r="G6618" s="3">
        <v>1391217.39</v>
      </c>
    </row>
    <row r="6619" spans="1:7" x14ac:dyDescent="0.2">
      <c r="A6619" s="3" t="s">
        <v>1069</v>
      </c>
      <c r="B6619" s="4">
        <v>45443</v>
      </c>
      <c r="C6619" s="3" t="s">
        <v>1180</v>
      </c>
      <c r="D6619" s="3" t="s">
        <v>1740</v>
      </c>
      <c r="E6619" s="3" t="s">
        <v>1741</v>
      </c>
      <c r="F6619" s="3">
        <v>0</v>
      </c>
      <c r="G6619" s="3">
        <v>1304260.8700000001</v>
      </c>
    </row>
    <row r="6620" spans="1:7" x14ac:dyDescent="0.2">
      <c r="A6620" s="3" t="s">
        <v>1072</v>
      </c>
      <c r="B6620" s="4">
        <v>45443</v>
      </c>
      <c r="C6620" s="3" t="s">
        <v>1180</v>
      </c>
      <c r="D6620" s="3" t="s">
        <v>1409</v>
      </c>
      <c r="E6620" s="3" t="s">
        <v>1410</v>
      </c>
      <c r="F6620" s="3">
        <v>0</v>
      </c>
      <c r="G6620" s="3">
        <v>216064.1</v>
      </c>
    </row>
    <row r="6621" spans="1:7" x14ac:dyDescent="0.2">
      <c r="A6621" s="3" t="s">
        <v>1072</v>
      </c>
      <c r="B6621" s="4">
        <v>45443</v>
      </c>
      <c r="C6621" s="3" t="s">
        <v>1180</v>
      </c>
      <c r="D6621" s="3" t="s">
        <v>1411</v>
      </c>
      <c r="E6621" s="3" t="s">
        <v>1412</v>
      </c>
      <c r="F6621" s="3">
        <v>0</v>
      </c>
      <c r="G6621" s="3">
        <v>-216064.1</v>
      </c>
    </row>
    <row r="6622" spans="1:7" x14ac:dyDescent="0.2">
      <c r="A6622" s="3" t="s">
        <v>1072</v>
      </c>
      <c r="B6622" s="4">
        <v>45443</v>
      </c>
      <c r="C6622" s="3" t="s">
        <v>1180</v>
      </c>
      <c r="D6622" s="3" t="s">
        <v>1413</v>
      </c>
      <c r="E6622" s="3" t="s">
        <v>1414</v>
      </c>
      <c r="F6622" s="3">
        <v>0</v>
      </c>
      <c r="G6622" s="3">
        <v>170108.57</v>
      </c>
    </row>
    <row r="6623" spans="1:7" x14ac:dyDescent="0.2">
      <c r="A6623" s="3" t="s">
        <v>1072</v>
      </c>
      <c r="B6623" s="4">
        <v>45443</v>
      </c>
      <c r="C6623" s="3" t="s">
        <v>1180</v>
      </c>
      <c r="D6623" s="3" t="s">
        <v>1415</v>
      </c>
      <c r="E6623" s="3" t="s">
        <v>1416</v>
      </c>
      <c r="F6623" s="3">
        <v>0</v>
      </c>
      <c r="G6623" s="3">
        <v>-85431.91</v>
      </c>
    </row>
    <row r="6624" spans="1:7" x14ac:dyDescent="0.2">
      <c r="A6624" s="3" t="s">
        <v>1072</v>
      </c>
      <c r="B6624" s="4">
        <v>45443</v>
      </c>
      <c r="C6624" s="3" t="s">
        <v>1180</v>
      </c>
      <c r="D6624" s="3" t="s">
        <v>1462</v>
      </c>
      <c r="E6624" s="3" t="s">
        <v>1463</v>
      </c>
      <c r="F6624" s="3">
        <v>0</v>
      </c>
      <c r="G6624" s="3">
        <v>37955.300000000003</v>
      </c>
    </row>
    <row r="6625" spans="1:7" x14ac:dyDescent="0.2">
      <c r="A6625" s="3" t="s">
        <v>1072</v>
      </c>
      <c r="B6625" s="4">
        <v>45443</v>
      </c>
      <c r="C6625" s="3" t="s">
        <v>1180</v>
      </c>
      <c r="D6625" s="3" t="s">
        <v>1484</v>
      </c>
      <c r="E6625" s="3" t="s">
        <v>1485</v>
      </c>
      <c r="F6625" s="3">
        <v>0</v>
      </c>
      <c r="G6625" s="3">
        <v>-13582.54</v>
      </c>
    </row>
    <row r="6626" spans="1:7" x14ac:dyDescent="0.2">
      <c r="A6626" s="3" t="s">
        <v>1072</v>
      </c>
      <c r="B6626" s="4">
        <v>45443</v>
      </c>
      <c r="C6626" s="3" t="s">
        <v>1180</v>
      </c>
      <c r="D6626" s="3" t="s">
        <v>1417</v>
      </c>
      <c r="E6626" s="3" t="s">
        <v>1418</v>
      </c>
      <c r="F6626" s="3">
        <v>0</v>
      </c>
      <c r="G6626" s="3">
        <v>71322</v>
      </c>
    </row>
    <row r="6627" spans="1:7" x14ac:dyDescent="0.2">
      <c r="A6627" s="3" t="s">
        <v>1072</v>
      </c>
      <c r="B6627" s="4">
        <v>45443</v>
      </c>
      <c r="C6627" s="3" t="s">
        <v>1180</v>
      </c>
      <c r="D6627" s="3" t="s">
        <v>1419</v>
      </c>
      <c r="E6627" s="3" t="s">
        <v>1420</v>
      </c>
      <c r="F6627" s="3">
        <v>0</v>
      </c>
      <c r="G6627" s="3">
        <v>-17937.740000000002</v>
      </c>
    </row>
    <row r="6628" spans="1:7" x14ac:dyDescent="0.2">
      <c r="A6628" s="3" t="s">
        <v>1069</v>
      </c>
      <c r="B6628" s="4">
        <v>45443</v>
      </c>
      <c r="C6628" s="3" t="s">
        <v>1180</v>
      </c>
      <c r="D6628" s="3" t="s">
        <v>1421</v>
      </c>
      <c r="E6628" s="3" t="s">
        <v>1422</v>
      </c>
      <c r="F6628" s="3">
        <v>0</v>
      </c>
      <c r="G6628" s="3">
        <v>874505.75</v>
      </c>
    </row>
    <row r="6629" spans="1:7" x14ac:dyDescent="0.2">
      <c r="A6629" s="3" t="s">
        <v>1074</v>
      </c>
      <c r="B6629" s="4">
        <v>45443</v>
      </c>
      <c r="C6629" s="3" t="s">
        <v>1180</v>
      </c>
      <c r="D6629" s="3" t="s">
        <v>1421</v>
      </c>
      <c r="E6629" s="3" t="s">
        <v>1533</v>
      </c>
      <c r="F6629" s="3">
        <v>0</v>
      </c>
      <c r="G6629" s="3">
        <v>2472501.08</v>
      </c>
    </row>
    <row r="6630" spans="1:7" x14ac:dyDescent="0.2">
      <c r="A6630" s="3" t="s">
        <v>1069</v>
      </c>
      <c r="B6630" s="4">
        <v>45443</v>
      </c>
      <c r="C6630" s="3" t="s">
        <v>1180</v>
      </c>
      <c r="D6630" s="3" t="s">
        <v>1214</v>
      </c>
      <c r="E6630" s="3" t="s">
        <v>1215</v>
      </c>
      <c r="F6630" s="3">
        <v>0</v>
      </c>
      <c r="G6630" s="3">
        <v>26200000</v>
      </c>
    </row>
    <row r="6631" spans="1:7" x14ac:dyDescent="0.2">
      <c r="A6631" s="3" t="s">
        <v>1069</v>
      </c>
      <c r="B6631" s="4">
        <v>45443</v>
      </c>
      <c r="C6631" s="3" t="s">
        <v>1180</v>
      </c>
      <c r="D6631" s="3" t="s">
        <v>1216</v>
      </c>
      <c r="E6631" s="3" t="s">
        <v>1217</v>
      </c>
      <c r="F6631" s="3">
        <v>0</v>
      </c>
      <c r="G6631" s="3">
        <v>68427</v>
      </c>
    </row>
    <row r="6632" spans="1:7" x14ac:dyDescent="0.2">
      <c r="A6632" s="3" t="s">
        <v>1069</v>
      </c>
      <c r="B6632" s="4">
        <v>45443</v>
      </c>
      <c r="C6632" s="3" t="s">
        <v>1180</v>
      </c>
      <c r="D6632" s="3" t="s">
        <v>1218</v>
      </c>
      <c r="E6632" s="3" t="s">
        <v>1219</v>
      </c>
      <c r="F6632" s="3">
        <v>0</v>
      </c>
      <c r="G6632" s="3">
        <v>103812</v>
      </c>
    </row>
    <row r="6633" spans="1:7" x14ac:dyDescent="0.2">
      <c r="A6633" s="3" t="s">
        <v>1069</v>
      </c>
      <c r="B6633" s="4">
        <v>45443</v>
      </c>
      <c r="C6633" s="3" t="s">
        <v>1180</v>
      </c>
      <c r="D6633" s="3" t="s">
        <v>1197</v>
      </c>
      <c r="E6633" s="3" t="s">
        <v>1198</v>
      </c>
      <c r="F6633" s="3">
        <v>0</v>
      </c>
      <c r="G6633" s="3">
        <v>314087</v>
      </c>
    </row>
    <row r="6634" spans="1:7" x14ac:dyDescent="0.2">
      <c r="A6634" s="3" t="s">
        <v>1074</v>
      </c>
      <c r="B6634" s="4">
        <v>45443</v>
      </c>
      <c r="C6634" s="3" t="s">
        <v>1180</v>
      </c>
      <c r="D6634" s="3" t="s">
        <v>1197</v>
      </c>
      <c r="E6634" s="3" t="s">
        <v>1550</v>
      </c>
      <c r="F6634" s="3">
        <v>0</v>
      </c>
      <c r="G6634" s="3">
        <v>719552.6</v>
      </c>
    </row>
    <row r="6635" spans="1:7" x14ac:dyDescent="0.2">
      <c r="A6635" s="3" t="s">
        <v>1069</v>
      </c>
      <c r="B6635" s="4">
        <v>45443</v>
      </c>
      <c r="C6635" s="3" t="s">
        <v>1180</v>
      </c>
      <c r="D6635" s="3" t="s">
        <v>1496</v>
      </c>
      <c r="E6635" s="3" t="s">
        <v>1497</v>
      </c>
      <c r="F6635" s="3">
        <v>0</v>
      </c>
      <c r="G6635" s="3">
        <v>139500</v>
      </c>
    </row>
    <row r="6636" spans="1:7" x14ac:dyDescent="0.2">
      <c r="A6636" s="3" t="s">
        <v>1069</v>
      </c>
      <c r="B6636" s="4">
        <v>45443</v>
      </c>
      <c r="C6636" s="3" t="s">
        <v>1180</v>
      </c>
      <c r="D6636" s="3" t="s">
        <v>1181</v>
      </c>
      <c r="E6636" s="3" t="s">
        <v>1182</v>
      </c>
      <c r="F6636" s="3">
        <v>0</v>
      </c>
      <c r="G6636" s="3">
        <v>8557641.8000000007</v>
      </c>
    </row>
    <row r="6637" spans="1:7" x14ac:dyDescent="0.2">
      <c r="A6637" s="3" t="s">
        <v>1069</v>
      </c>
      <c r="B6637" s="4">
        <v>45443</v>
      </c>
      <c r="C6637" s="3" t="s">
        <v>1180</v>
      </c>
      <c r="D6637" s="3" t="s">
        <v>1263</v>
      </c>
      <c r="E6637" s="3" t="s">
        <v>1264</v>
      </c>
      <c r="F6637" s="3">
        <v>0</v>
      </c>
      <c r="G6637" s="3">
        <v>13807.78</v>
      </c>
    </row>
    <row r="6638" spans="1:7" x14ac:dyDescent="0.2">
      <c r="A6638" s="3" t="s">
        <v>1069</v>
      </c>
      <c r="B6638" s="4">
        <v>45443</v>
      </c>
      <c r="C6638" s="3" t="s">
        <v>1180</v>
      </c>
      <c r="D6638" s="3" t="s">
        <v>1202</v>
      </c>
      <c r="E6638" s="3" t="s">
        <v>1203</v>
      </c>
      <c r="F6638" s="3">
        <v>0</v>
      </c>
      <c r="G6638" s="3">
        <v>197060.09</v>
      </c>
    </row>
    <row r="6639" spans="1:7" x14ac:dyDescent="0.2">
      <c r="A6639" s="3" t="s">
        <v>1074</v>
      </c>
      <c r="B6639" s="4">
        <v>45443</v>
      </c>
      <c r="C6639" s="3" t="s">
        <v>1180</v>
      </c>
      <c r="D6639" s="3" t="s">
        <v>1202</v>
      </c>
      <c r="E6639" s="3" t="s">
        <v>1577</v>
      </c>
      <c r="F6639" s="3">
        <v>0</v>
      </c>
      <c r="G6639" s="3">
        <v>321942.46999999997</v>
      </c>
    </row>
    <row r="6640" spans="1:7" x14ac:dyDescent="0.2">
      <c r="A6640" s="3" t="s">
        <v>1069</v>
      </c>
      <c r="B6640" s="4">
        <v>45443</v>
      </c>
      <c r="C6640" s="3" t="s">
        <v>1180</v>
      </c>
      <c r="D6640" s="3" t="s">
        <v>1204</v>
      </c>
      <c r="E6640" s="3" t="s">
        <v>1205</v>
      </c>
      <c r="F6640" s="3">
        <v>0</v>
      </c>
      <c r="G6640" s="3">
        <v>7500</v>
      </c>
    </row>
    <row r="6641" spans="1:7" x14ac:dyDescent="0.2">
      <c r="A6641" s="3" t="s">
        <v>1074</v>
      </c>
      <c r="B6641" s="4">
        <v>45443</v>
      </c>
      <c r="C6641" s="3" t="s">
        <v>1180</v>
      </c>
      <c r="D6641" s="3" t="s">
        <v>1204</v>
      </c>
      <c r="E6641" s="3" t="s">
        <v>1673</v>
      </c>
      <c r="F6641" s="3">
        <v>0</v>
      </c>
      <c r="G6641" s="3">
        <v>114370.5</v>
      </c>
    </row>
    <row r="6642" spans="1:7" x14ac:dyDescent="0.2">
      <c r="A6642" s="3" t="s">
        <v>1069</v>
      </c>
      <c r="B6642" s="4">
        <v>45443</v>
      </c>
      <c r="C6642" s="3" t="s">
        <v>1180</v>
      </c>
      <c r="D6642" s="3" t="s">
        <v>1199</v>
      </c>
      <c r="E6642" s="3" t="s">
        <v>1200</v>
      </c>
      <c r="F6642" s="3">
        <v>0</v>
      </c>
      <c r="G6642" s="3">
        <v>146256.38</v>
      </c>
    </row>
    <row r="6643" spans="1:7" x14ac:dyDescent="0.2">
      <c r="A6643" s="3" t="s">
        <v>1069</v>
      </c>
      <c r="B6643" s="4">
        <v>45443</v>
      </c>
      <c r="C6643" s="3" t="s">
        <v>1180</v>
      </c>
      <c r="D6643" s="3" t="s">
        <v>1486</v>
      </c>
      <c r="E6643" s="3" t="s">
        <v>1487</v>
      </c>
      <c r="F6643" s="3">
        <v>0</v>
      </c>
      <c r="G6643" s="3">
        <v>20600</v>
      </c>
    </row>
    <row r="6644" spans="1:7" x14ac:dyDescent="0.2">
      <c r="A6644" s="3" t="s">
        <v>1069</v>
      </c>
      <c r="B6644" s="4">
        <v>45443</v>
      </c>
      <c r="C6644" s="3" t="s">
        <v>1180</v>
      </c>
      <c r="D6644" s="3" t="s">
        <v>1220</v>
      </c>
      <c r="E6644" s="3" t="s">
        <v>1221</v>
      </c>
      <c r="F6644" s="3">
        <v>0</v>
      </c>
      <c r="G6644" s="3">
        <v>15175</v>
      </c>
    </row>
    <row r="6645" spans="1:7" x14ac:dyDescent="0.2">
      <c r="A6645" s="3" t="s">
        <v>1069</v>
      </c>
      <c r="B6645" s="4">
        <v>45443</v>
      </c>
      <c r="C6645" s="3" t="s">
        <v>1180</v>
      </c>
      <c r="D6645" s="3" t="s">
        <v>1498</v>
      </c>
      <c r="E6645" s="3" t="s">
        <v>1499</v>
      </c>
      <c r="F6645" s="3">
        <v>0</v>
      </c>
      <c r="G6645" s="3">
        <v>570856.07999999996</v>
      </c>
    </row>
    <row r="6646" spans="1:7" x14ac:dyDescent="0.2">
      <c r="A6646" s="3" t="s">
        <v>1069</v>
      </c>
      <c r="B6646" s="4">
        <v>45443</v>
      </c>
      <c r="C6646" s="3" t="s">
        <v>1180</v>
      </c>
      <c r="D6646" s="3" t="s">
        <v>1183</v>
      </c>
      <c r="E6646" s="3" t="s">
        <v>1184</v>
      </c>
      <c r="F6646" s="3">
        <v>0</v>
      </c>
      <c r="G6646" s="3">
        <v>47748851.509999998</v>
      </c>
    </row>
    <row r="6647" spans="1:7" x14ac:dyDescent="0.2">
      <c r="A6647" s="3" t="s">
        <v>1074</v>
      </c>
      <c r="B6647" s="4">
        <v>45443</v>
      </c>
      <c r="C6647" s="3" t="s">
        <v>1180</v>
      </c>
      <c r="D6647" s="3" t="s">
        <v>1183</v>
      </c>
      <c r="E6647" s="3" t="s">
        <v>1631</v>
      </c>
      <c r="F6647" s="3">
        <v>2263040.14</v>
      </c>
      <c r="G6647" s="3">
        <v>61429397.789999999</v>
      </c>
    </row>
    <row r="6648" spans="1:7" x14ac:dyDescent="0.2">
      <c r="A6648" s="3" t="s">
        <v>1069</v>
      </c>
      <c r="B6648" s="4">
        <v>45443</v>
      </c>
      <c r="C6648" s="3" t="s">
        <v>1180</v>
      </c>
      <c r="D6648" s="3" t="s">
        <v>1222</v>
      </c>
      <c r="E6648" s="3" t="s">
        <v>1223</v>
      </c>
      <c r="F6648" s="3">
        <v>0</v>
      </c>
      <c r="G6648" s="3">
        <v>3850818.04</v>
      </c>
    </row>
    <row r="6649" spans="1:7" x14ac:dyDescent="0.2">
      <c r="A6649" s="3" t="s">
        <v>1074</v>
      </c>
      <c r="B6649" s="4">
        <v>45443</v>
      </c>
      <c r="C6649" s="3" t="s">
        <v>1180</v>
      </c>
      <c r="D6649" s="3" t="s">
        <v>1222</v>
      </c>
      <c r="E6649" s="3" t="s">
        <v>1664</v>
      </c>
      <c r="F6649" s="3">
        <v>0</v>
      </c>
      <c r="G6649" s="3">
        <v>1826086.96</v>
      </c>
    </row>
    <row r="6650" spans="1:7" x14ac:dyDescent="0.2">
      <c r="A6650" s="3" t="s">
        <v>1069</v>
      </c>
      <c r="B6650" s="4">
        <v>45443</v>
      </c>
      <c r="C6650" s="3" t="s">
        <v>1180</v>
      </c>
      <c r="D6650" s="3" t="s">
        <v>1235</v>
      </c>
      <c r="E6650" s="3" t="s">
        <v>1236</v>
      </c>
      <c r="F6650" s="3">
        <v>0</v>
      </c>
      <c r="G6650" s="3">
        <v>782608.07</v>
      </c>
    </row>
    <row r="6651" spans="1:7" x14ac:dyDescent="0.2">
      <c r="A6651" s="3" t="s">
        <v>1074</v>
      </c>
      <c r="B6651" s="4">
        <v>45443</v>
      </c>
      <c r="C6651" s="3" t="s">
        <v>1180</v>
      </c>
      <c r="D6651" s="3" t="s">
        <v>1235</v>
      </c>
      <c r="E6651" s="3" t="s">
        <v>1715</v>
      </c>
      <c r="F6651" s="3">
        <v>0</v>
      </c>
      <c r="G6651" s="3">
        <v>217391.3</v>
      </c>
    </row>
    <row r="6652" spans="1:7" x14ac:dyDescent="0.2">
      <c r="A6652" s="3" t="s">
        <v>1069</v>
      </c>
      <c r="B6652" s="4">
        <v>45443</v>
      </c>
      <c r="C6652" s="3" t="s">
        <v>1180</v>
      </c>
      <c r="D6652" s="3" t="s">
        <v>1206</v>
      </c>
      <c r="E6652" s="3" t="s">
        <v>1207</v>
      </c>
      <c r="F6652" s="3">
        <v>0</v>
      </c>
      <c r="G6652" s="3">
        <v>166550</v>
      </c>
    </row>
    <row r="6653" spans="1:7" x14ac:dyDescent="0.2">
      <c r="A6653" s="3" t="s">
        <v>1074</v>
      </c>
      <c r="B6653" s="4">
        <v>45443</v>
      </c>
      <c r="C6653" s="3" t="s">
        <v>1180</v>
      </c>
      <c r="D6653" s="3" t="s">
        <v>1206</v>
      </c>
      <c r="E6653" s="3" t="s">
        <v>1697</v>
      </c>
      <c r="F6653" s="3">
        <v>0</v>
      </c>
      <c r="G6653" s="3">
        <v>2834.7</v>
      </c>
    </row>
    <row r="6654" spans="1:7" x14ac:dyDescent="0.2">
      <c r="A6654" s="3" t="s">
        <v>1069</v>
      </c>
      <c r="B6654" s="4">
        <v>45443</v>
      </c>
      <c r="C6654" s="3" t="s">
        <v>1180</v>
      </c>
      <c r="D6654" s="3" t="s">
        <v>1208</v>
      </c>
      <c r="E6654" s="3" t="s">
        <v>1209</v>
      </c>
      <c r="F6654" s="3">
        <v>0</v>
      </c>
      <c r="G6654" s="3">
        <v>45000</v>
      </c>
    </row>
    <row r="6655" spans="1:7" x14ac:dyDescent="0.2">
      <c r="A6655" s="3" t="s">
        <v>1069</v>
      </c>
      <c r="B6655" s="4">
        <v>45443</v>
      </c>
      <c r="C6655" s="3" t="s">
        <v>1180</v>
      </c>
      <c r="D6655" s="3" t="s">
        <v>1259</v>
      </c>
      <c r="E6655" s="3" t="s">
        <v>1260</v>
      </c>
      <c r="F6655" s="3">
        <v>6000</v>
      </c>
      <c r="G6655" s="3">
        <v>221000</v>
      </c>
    </row>
    <row r="6656" spans="1:7" x14ac:dyDescent="0.2">
      <c r="A6656" s="3" t="s">
        <v>1074</v>
      </c>
      <c r="B6656" s="4">
        <v>45443</v>
      </c>
      <c r="C6656" s="3" t="s">
        <v>1180</v>
      </c>
      <c r="D6656" s="3" t="s">
        <v>1674</v>
      </c>
      <c r="E6656" s="3" t="s">
        <v>1675</v>
      </c>
      <c r="F6656" s="3">
        <v>0</v>
      </c>
      <c r="G6656" s="3">
        <v>695752.14</v>
      </c>
    </row>
    <row r="6657" spans="1:7" x14ac:dyDescent="0.2">
      <c r="A6657" s="3" t="s">
        <v>1074</v>
      </c>
      <c r="B6657" s="4">
        <v>45443</v>
      </c>
      <c r="C6657" s="3" t="s">
        <v>1180</v>
      </c>
      <c r="D6657" s="3" t="s">
        <v>1578</v>
      </c>
      <c r="E6657" s="3" t="s">
        <v>1579</v>
      </c>
      <c r="F6657" s="3">
        <v>0</v>
      </c>
      <c r="G6657" s="3">
        <v>66190.11</v>
      </c>
    </row>
    <row r="6658" spans="1:7" x14ac:dyDescent="0.2">
      <c r="A6658" s="3" t="s">
        <v>1069</v>
      </c>
      <c r="B6658" s="4">
        <v>45443</v>
      </c>
      <c r="C6658" s="3" t="s">
        <v>1180</v>
      </c>
      <c r="D6658" s="3" t="s">
        <v>1265</v>
      </c>
      <c r="E6658" s="3" t="s">
        <v>1266</v>
      </c>
      <c r="F6658" s="3">
        <v>0</v>
      </c>
      <c r="G6658" s="3">
        <v>3252759.95</v>
      </c>
    </row>
    <row r="6659" spans="1:7" x14ac:dyDescent="0.2">
      <c r="A6659" s="3" t="s">
        <v>1074</v>
      </c>
      <c r="B6659" s="4">
        <v>45443</v>
      </c>
      <c r="C6659" s="3" t="s">
        <v>1180</v>
      </c>
      <c r="D6659" s="3" t="s">
        <v>1265</v>
      </c>
      <c r="E6659" s="3" t="s">
        <v>1518</v>
      </c>
      <c r="F6659" s="3">
        <v>0</v>
      </c>
      <c r="G6659" s="3">
        <v>1673231.19</v>
      </c>
    </row>
    <row r="6660" spans="1:7" x14ac:dyDescent="0.2">
      <c r="A6660" s="3" t="s">
        <v>1069</v>
      </c>
      <c r="B6660" s="4">
        <v>45443</v>
      </c>
      <c r="C6660" s="3" t="s">
        <v>1180</v>
      </c>
      <c r="D6660" s="3" t="s">
        <v>1423</v>
      </c>
      <c r="E6660" s="3" t="s">
        <v>1424</v>
      </c>
      <c r="F6660" s="3">
        <v>0</v>
      </c>
      <c r="G6660" s="3">
        <v>622274.51</v>
      </c>
    </row>
    <row r="6661" spans="1:7" x14ac:dyDescent="0.2">
      <c r="A6661" s="3" t="s">
        <v>1074</v>
      </c>
      <c r="B6661" s="4">
        <v>45443</v>
      </c>
      <c r="C6661" s="3" t="s">
        <v>1180</v>
      </c>
      <c r="D6661" s="3" t="s">
        <v>1519</v>
      </c>
      <c r="E6661" s="3" t="s">
        <v>1551</v>
      </c>
      <c r="F6661" s="3">
        <v>0</v>
      </c>
      <c r="G6661" s="3">
        <v>76530</v>
      </c>
    </row>
    <row r="6662" spans="1:7" x14ac:dyDescent="0.2">
      <c r="A6662" s="3" t="s">
        <v>1069</v>
      </c>
      <c r="B6662" s="4">
        <v>45443</v>
      </c>
      <c r="C6662" s="3" t="s">
        <v>1180</v>
      </c>
      <c r="D6662" s="3" t="s">
        <v>1519</v>
      </c>
      <c r="E6662" s="3" t="s">
        <v>1520</v>
      </c>
      <c r="F6662" s="3">
        <v>0</v>
      </c>
      <c r="G6662" s="3">
        <v>985049.68</v>
      </c>
    </row>
    <row r="6663" spans="1:7" x14ac:dyDescent="0.2">
      <c r="A6663" s="3" t="s">
        <v>1074</v>
      </c>
      <c r="B6663" s="4">
        <v>45443</v>
      </c>
      <c r="C6663" s="3" t="s">
        <v>1180</v>
      </c>
      <c r="D6663" s="3" t="s">
        <v>1521</v>
      </c>
      <c r="E6663" s="3" t="s">
        <v>1522</v>
      </c>
      <c r="F6663" s="3">
        <v>2800</v>
      </c>
      <c r="G6663" s="3">
        <v>34200</v>
      </c>
    </row>
    <row r="6664" spans="1:7" x14ac:dyDescent="0.2">
      <c r="A6664" s="3" t="s">
        <v>1074</v>
      </c>
      <c r="B6664" s="4">
        <v>45443</v>
      </c>
      <c r="C6664" s="3" t="s">
        <v>1180</v>
      </c>
      <c r="D6664" s="3" t="s">
        <v>1534</v>
      </c>
      <c r="E6664" s="3" t="s">
        <v>1535</v>
      </c>
      <c r="F6664" s="3">
        <v>0</v>
      </c>
      <c r="G6664" s="3">
        <v>3363043.48</v>
      </c>
    </row>
    <row r="6665" spans="1:7" x14ac:dyDescent="0.2">
      <c r="A6665" s="3" t="s">
        <v>1074</v>
      </c>
      <c r="B6665" s="4">
        <v>45443</v>
      </c>
      <c r="C6665" s="3" t="s">
        <v>1180</v>
      </c>
      <c r="D6665" s="3" t="s">
        <v>1610</v>
      </c>
      <c r="E6665" s="3" t="s">
        <v>1611</v>
      </c>
      <c r="F6665" s="3">
        <v>0</v>
      </c>
      <c r="G6665" s="3">
        <v>1797445.87</v>
      </c>
    </row>
    <row r="6666" spans="1:7" x14ac:dyDescent="0.2">
      <c r="A6666" s="3" t="s">
        <v>1074</v>
      </c>
      <c r="B6666" s="4">
        <v>45443</v>
      </c>
      <c r="C6666" s="3" t="s">
        <v>1180</v>
      </c>
      <c r="D6666" s="3" t="s">
        <v>1653</v>
      </c>
      <c r="E6666" s="3" t="s">
        <v>1654</v>
      </c>
      <c r="F6666" s="3">
        <v>0</v>
      </c>
      <c r="G6666" s="3">
        <v>16307183.050000001</v>
      </c>
    </row>
    <row r="6667" spans="1:7" x14ac:dyDescent="0.2">
      <c r="A6667" s="3" t="s">
        <v>1069</v>
      </c>
      <c r="B6667" s="4">
        <v>45443</v>
      </c>
      <c r="C6667" s="3" t="s">
        <v>1180</v>
      </c>
      <c r="D6667" s="3" t="s">
        <v>1536</v>
      </c>
      <c r="E6667" s="3" t="s">
        <v>1537</v>
      </c>
      <c r="F6667" s="3">
        <v>0</v>
      </c>
      <c r="G6667" s="3">
        <v>2148883.15</v>
      </c>
    </row>
    <row r="6668" spans="1:7" x14ac:dyDescent="0.2">
      <c r="A6668" s="3" t="s">
        <v>1069</v>
      </c>
      <c r="B6668" s="4">
        <v>45443</v>
      </c>
      <c r="C6668" s="3" t="s">
        <v>1180</v>
      </c>
      <c r="D6668" s="3" t="s">
        <v>1665</v>
      </c>
      <c r="E6668" s="3" t="s">
        <v>1666</v>
      </c>
      <c r="F6668" s="3">
        <v>0</v>
      </c>
      <c r="G6668" s="3">
        <v>1068455</v>
      </c>
    </row>
    <row r="6669" spans="1:7" x14ac:dyDescent="0.2">
      <c r="A6669" s="3" t="s">
        <v>1074</v>
      </c>
      <c r="B6669" s="4">
        <v>45443</v>
      </c>
      <c r="C6669" s="3" t="s">
        <v>1180</v>
      </c>
      <c r="D6669" s="3" t="s">
        <v>1665</v>
      </c>
      <c r="E6669" s="3" t="s">
        <v>1716</v>
      </c>
      <c r="F6669" s="3">
        <v>0</v>
      </c>
      <c r="G6669" s="3">
        <v>2188325.96</v>
      </c>
    </row>
    <row r="6670" spans="1:7" x14ac:dyDescent="0.2">
      <c r="A6670" s="3" t="s">
        <v>1069</v>
      </c>
      <c r="B6670" s="4">
        <v>45443</v>
      </c>
      <c r="C6670" s="3" t="s">
        <v>1180</v>
      </c>
      <c r="D6670" s="3" t="s">
        <v>1655</v>
      </c>
      <c r="E6670" s="3" t="s">
        <v>1656</v>
      </c>
      <c r="F6670" s="3">
        <v>0</v>
      </c>
      <c r="G6670" s="3">
        <v>-24427668.440000001</v>
      </c>
    </row>
    <row r="6671" spans="1:7" x14ac:dyDescent="0.2">
      <c r="A6671" s="3" t="s">
        <v>1072</v>
      </c>
      <c r="B6671" s="4">
        <v>45443</v>
      </c>
      <c r="C6671" s="3" t="s">
        <v>1180</v>
      </c>
      <c r="D6671" s="3" t="s">
        <v>1425</v>
      </c>
      <c r="E6671" s="3" t="s">
        <v>1426</v>
      </c>
      <c r="F6671" s="3">
        <v>0</v>
      </c>
      <c r="G6671" s="3">
        <v>29600</v>
      </c>
    </row>
    <row r="6672" spans="1:7" x14ac:dyDescent="0.2">
      <c r="A6672" s="3" t="s">
        <v>1072</v>
      </c>
      <c r="B6672" s="4">
        <v>45443</v>
      </c>
      <c r="C6672" s="3" t="s">
        <v>1180</v>
      </c>
      <c r="D6672" s="3" t="s">
        <v>1427</v>
      </c>
      <c r="E6672" s="3" t="s">
        <v>1428</v>
      </c>
      <c r="F6672" s="3">
        <v>2602496.16</v>
      </c>
      <c r="G6672" s="3">
        <v>12398275.65</v>
      </c>
    </row>
    <row r="6673" spans="1:7" x14ac:dyDescent="0.2">
      <c r="A6673" s="3" t="s">
        <v>1069</v>
      </c>
      <c r="B6673" s="4">
        <v>45443</v>
      </c>
      <c r="C6673" s="3" t="s">
        <v>1180</v>
      </c>
      <c r="D6673" s="3" t="s">
        <v>1427</v>
      </c>
      <c r="E6673" s="3" t="s">
        <v>1428</v>
      </c>
      <c r="F6673" s="3">
        <v>152.91</v>
      </c>
      <c r="G6673" s="3">
        <v>495139.42</v>
      </c>
    </row>
    <row r="6674" spans="1:7" x14ac:dyDescent="0.2">
      <c r="A6674" s="3" t="s">
        <v>1074</v>
      </c>
      <c r="B6674" s="4">
        <v>45443</v>
      </c>
      <c r="C6674" s="3" t="s">
        <v>1180</v>
      </c>
      <c r="D6674" s="3" t="s">
        <v>1427</v>
      </c>
      <c r="E6674" s="3" t="s">
        <v>1428</v>
      </c>
      <c r="F6674" s="3">
        <v>1460578.41</v>
      </c>
      <c r="G6674" s="3">
        <v>4436006.75</v>
      </c>
    </row>
    <row r="6675" spans="1:7" x14ac:dyDescent="0.2">
      <c r="A6675" s="3" t="s">
        <v>1072</v>
      </c>
      <c r="B6675" s="4">
        <v>45443</v>
      </c>
      <c r="C6675" s="3" t="s">
        <v>1180</v>
      </c>
      <c r="D6675" s="3" t="s">
        <v>1431</v>
      </c>
      <c r="E6675" s="3" t="s">
        <v>1432</v>
      </c>
      <c r="F6675" s="3">
        <v>173</v>
      </c>
      <c r="G6675" s="3">
        <v>-1589</v>
      </c>
    </row>
    <row r="6676" spans="1:7" x14ac:dyDescent="0.2">
      <c r="A6676" s="3" t="s">
        <v>1069</v>
      </c>
      <c r="B6676" s="4">
        <v>45443</v>
      </c>
      <c r="C6676" s="3" t="s">
        <v>1180</v>
      </c>
      <c r="D6676" s="3" t="s">
        <v>1187</v>
      </c>
      <c r="E6676" s="3" t="s">
        <v>1188</v>
      </c>
      <c r="F6676" s="3">
        <v>1625478.25</v>
      </c>
      <c r="G6676" s="3">
        <v>1893018.43</v>
      </c>
    </row>
    <row r="6677" spans="1:7" x14ac:dyDescent="0.2">
      <c r="A6677" s="3" t="s">
        <v>1072</v>
      </c>
      <c r="B6677" s="4">
        <v>45443</v>
      </c>
      <c r="C6677" s="3" t="s">
        <v>1180</v>
      </c>
      <c r="D6677" s="3" t="s">
        <v>1187</v>
      </c>
      <c r="E6677" s="3" t="s">
        <v>1433</v>
      </c>
      <c r="F6677" s="3">
        <v>73867.259999999995</v>
      </c>
      <c r="G6677" s="3">
        <v>-56265.11</v>
      </c>
    </row>
    <row r="6678" spans="1:7" x14ac:dyDescent="0.2">
      <c r="A6678" s="3" t="s">
        <v>1072</v>
      </c>
      <c r="B6678" s="4">
        <v>45443</v>
      </c>
      <c r="C6678" s="3" t="s">
        <v>1180</v>
      </c>
      <c r="D6678" s="3" t="s">
        <v>1189</v>
      </c>
      <c r="E6678" s="3" t="s">
        <v>1434</v>
      </c>
      <c r="F6678" s="3">
        <v>0</v>
      </c>
      <c r="G6678" s="3">
        <v>-1188</v>
      </c>
    </row>
    <row r="6679" spans="1:7" x14ac:dyDescent="0.2">
      <c r="A6679" s="3" t="s">
        <v>1072</v>
      </c>
      <c r="B6679" s="4">
        <v>45443</v>
      </c>
      <c r="C6679" s="3" t="s">
        <v>1180</v>
      </c>
      <c r="D6679" s="3" t="s">
        <v>1435</v>
      </c>
      <c r="E6679" s="3" t="s">
        <v>1436</v>
      </c>
      <c r="F6679" s="3">
        <v>0</v>
      </c>
      <c r="G6679" s="3">
        <v>571.54999999999995</v>
      </c>
    </row>
    <row r="6680" spans="1:7" x14ac:dyDescent="0.2">
      <c r="A6680" s="3" t="s">
        <v>1069</v>
      </c>
      <c r="B6680" s="4">
        <v>45443</v>
      </c>
      <c r="C6680" s="3" t="s">
        <v>1180</v>
      </c>
      <c r="D6680" s="3" t="s">
        <v>1435</v>
      </c>
      <c r="E6680" s="3" t="s">
        <v>1434</v>
      </c>
      <c r="F6680" s="3">
        <v>0</v>
      </c>
      <c r="G6680" s="3">
        <v>8620</v>
      </c>
    </row>
    <row r="6681" spans="1:7" x14ac:dyDescent="0.2">
      <c r="A6681" s="3" t="s">
        <v>1069</v>
      </c>
      <c r="B6681" s="4">
        <v>45443</v>
      </c>
      <c r="C6681" s="3" t="s">
        <v>1180</v>
      </c>
      <c r="D6681" s="3" t="s">
        <v>1243</v>
      </c>
      <c r="E6681" s="3" t="s">
        <v>1244</v>
      </c>
      <c r="F6681" s="3">
        <v>0</v>
      </c>
      <c r="G6681" s="3">
        <v>889.13</v>
      </c>
    </row>
    <row r="6682" spans="1:7" x14ac:dyDescent="0.2">
      <c r="A6682" s="3" t="s">
        <v>1069</v>
      </c>
      <c r="B6682" s="4">
        <v>45443</v>
      </c>
      <c r="C6682" s="3" t="s">
        <v>1180</v>
      </c>
      <c r="D6682" s="3" t="s">
        <v>1245</v>
      </c>
      <c r="E6682" s="3" t="s">
        <v>1246</v>
      </c>
      <c r="F6682" s="3">
        <v>-1570386.85</v>
      </c>
      <c r="G6682" s="3">
        <v>159799.14000000001</v>
      </c>
    </row>
    <row r="6683" spans="1:7" x14ac:dyDescent="0.2">
      <c r="A6683" s="3" t="s">
        <v>1069</v>
      </c>
      <c r="B6683" s="4">
        <v>45443</v>
      </c>
      <c r="C6683" s="3" t="s">
        <v>1180</v>
      </c>
      <c r="D6683" s="3" t="s">
        <v>1727</v>
      </c>
      <c r="E6683" s="3" t="s">
        <v>1728</v>
      </c>
      <c r="F6683" s="3">
        <v>-26386.68</v>
      </c>
      <c r="G6683" s="3">
        <v>158140.76</v>
      </c>
    </row>
    <row r="6684" spans="1:7" x14ac:dyDescent="0.2">
      <c r="A6684" s="3" t="s">
        <v>1069</v>
      </c>
      <c r="B6684" s="4">
        <v>45443</v>
      </c>
      <c r="C6684" s="3" t="s">
        <v>1180</v>
      </c>
      <c r="D6684" s="3" t="s">
        <v>1523</v>
      </c>
      <c r="E6684" s="3" t="s">
        <v>1524</v>
      </c>
      <c r="F6684" s="3">
        <v>-1929589.04</v>
      </c>
      <c r="G6684" s="3">
        <v>-3802496.16</v>
      </c>
    </row>
    <row r="6685" spans="1:7" x14ac:dyDescent="0.2">
      <c r="A6685" s="3" t="s">
        <v>1072</v>
      </c>
      <c r="B6685" s="4">
        <v>45443</v>
      </c>
      <c r="C6685" s="3" t="s">
        <v>1175</v>
      </c>
      <c r="D6685" s="3" t="s">
        <v>1437</v>
      </c>
      <c r="E6685" s="3" t="s">
        <v>1438</v>
      </c>
      <c r="F6685" s="3">
        <v>-0.03</v>
      </c>
      <c r="G6685" s="3">
        <v>-13.59</v>
      </c>
    </row>
    <row r="6686" spans="1:7" x14ac:dyDescent="0.2">
      <c r="A6686" s="3" t="s">
        <v>1069</v>
      </c>
      <c r="B6686" s="4">
        <v>45443</v>
      </c>
      <c r="C6686" s="3" t="s">
        <v>1175</v>
      </c>
      <c r="D6686" s="3" t="s">
        <v>1437</v>
      </c>
      <c r="E6686" s="3" t="s">
        <v>1438</v>
      </c>
      <c r="F6686" s="3">
        <v>0.03</v>
      </c>
      <c r="G6686" s="3">
        <v>7.0000000000000007E-2</v>
      </c>
    </row>
    <row r="6687" spans="1:7" x14ac:dyDescent="0.2">
      <c r="A6687" s="3" t="s">
        <v>1074</v>
      </c>
      <c r="B6687" s="4">
        <v>45443</v>
      </c>
      <c r="C6687" s="3" t="s">
        <v>1175</v>
      </c>
      <c r="D6687" s="3" t="s">
        <v>1437</v>
      </c>
      <c r="E6687" s="3" t="s">
        <v>1438</v>
      </c>
      <c r="F6687" s="3">
        <v>0.02</v>
      </c>
      <c r="G6687" s="3">
        <v>0.01</v>
      </c>
    </row>
    <row r="6688" spans="1:7" x14ac:dyDescent="0.2">
      <c r="A6688" s="3" t="s">
        <v>1072</v>
      </c>
      <c r="B6688" s="4">
        <v>45443</v>
      </c>
      <c r="C6688" s="3" t="s">
        <v>1175</v>
      </c>
      <c r="D6688" s="3" t="s">
        <v>1191</v>
      </c>
      <c r="E6688" s="3" t="s">
        <v>1192</v>
      </c>
      <c r="F6688" s="3">
        <v>2847876.6</v>
      </c>
      <c r="G6688" s="3">
        <v>-1400764.66</v>
      </c>
    </row>
    <row r="6689" spans="1:7" x14ac:dyDescent="0.2">
      <c r="A6689" s="3" t="s">
        <v>1069</v>
      </c>
      <c r="B6689" s="4">
        <v>45443</v>
      </c>
      <c r="C6689" s="3" t="s">
        <v>1175</v>
      </c>
      <c r="D6689" s="3" t="s">
        <v>1191</v>
      </c>
      <c r="E6689" s="3" t="s">
        <v>1192</v>
      </c>
      <c r="F6689" s="3">
        <v>-1918642.03</v>
      </c>
      <c r="G6689" s="3">
        <v>-151283663.36000001</v>
      </c>
    </row>
    <row r="6690" spans="1:7" x14ac:dyDescent="0.2">
      <c r="A6690" s="3" t="s">
        <v>1074</v>
      </c>
      <c r="B6690" s="4">
        <v>45443</v>
      </c>
      <c r="C6690" s="3" t="s">
        <v>1175</v>
      </c>
      <c r="D6690" s="3" t="s">
        <v>1191</v>
      </c>
      <c r="E6690" s="3" t="s">
        <v>1192</v>
      </c>
      <c r="F6690" s="3">
        <v>-2427732.7200000002</v>
      </c>
      <c r="G6690" s="3">
        <v>-10009016.99</v>
      </c>
    </row>
    <row r="6691" spans="1:7" x14ac:dyDescent="0.2">
      <c r="A6691" s="3" t="s">
        <v>1072</v>
      </c>
      <c r="B6691" s="4">
        <v>45443</v>
      </c>
      <c r="C6691" s="3" t="s">
        <v>1175</v>
      </c>
      <c r="D6691" s="3" t="s">
        <v>1488</v>
      </c>
      <c r="E6691" s="3" t="s">
        <v>1489</v>
      </c>
      <c r="F6691" s="3">
        <v>0</v>
      </c>
      <c r="G6691" s="3">
        <v>-2920.29</v>
      </c>
    </row>
    <row r="6692" spans="1:7" x14ac:dyDescent="0.2">
      <c r="A6692" s="3" t="s">
        <v>1072</v>
      </c>
      <c r="B6692" s="4">
        <v>45443</v>
      </c>
      <c r="C6692" s="3" t="s">
        <v>1175</v>
      </c>
      <c r="D6692" s="3" t="s">
        <v>1439</v>
      </c>
      <c r="E6692" s="3" t="s">
        <v>1440</v>
      </c>
      <c r="F6692" s="3">
        <v>366361.83</v>
      </c>
      <c r="G6692" s="3">
        <v>366361.83</v>
      </c>
    </row>
    <row r="6693" spans="1:7" x14ac:dyDescent="0.2">
      <c r="A6693" s="3" t="s">
        <v>1072</v>
      </c>
      <c r="B6693" s="4">
        <v>45443</v>
      </c>
      <c r="C6693" s="3" t="s">
        <v>1175</v>
      </c>
      <c r="D6693" s="3" t="s">
        <v>1441</v>
      </c>
      <c r="E6693" s="3" t="s">
        <v>1442</v>
      </c>
      <c r="F6693" s="3">
        <v>100193.08</v>
      </c>
      <c r="G6693" s="3">
        <v>11181.87</v>
      </c>
    </row>
    <row r="6694" spans="1:7" x14ac:dyDescent="0.2">
      <c r="A6694" s="3" t="s">
        <v>1072</v>
      </c>
      <c r="B6694" s="4">
        <v>45443</v>
      </c>
      <c r="C6694" s="3" t="s">
        <v>1175</v>
      </c>
      <c r="D6694" s="3" t="s">
        <v>1464</v>
      </c>
      <c r="E6694" s="3" t="s">
        <v>1465</v>
      </c>
      <c r="F6694" s="3">
        <v>3156.9</v>
      </c>
      <c r="G6694" s="3">
        <v>-46257.05</v>
      </c>
    </row>
    <row r="6695" spans="1:7" x14ac:dyDescent="0.2">
      <c r="A6695" s="3" t="s">
        <v>1072</v>
      </c>
      <c r="B6695" s="4">
        <v>45443</v>
      </c>
      <c r="C6695" s="3" t="s">
        <v>1175</v>
      </c>
      <c r="D6695" s="3" t="s">
        <v>1729</v>
      </c>
      <c r="E6695" s="3" t="s">
        <v>1730</v>
      </c>
      <c r="F6695" s="3">
        <v>0</v>
      </c>
      <c r="G6695" s="3">
        <v>130000</v>
      </c>
    </row>
    <row r="6696" spans="1:7" x14ac:dyDescent="0.2">
      <c r="A6696" s="3" t="s">
        <v>1072</v>
      </c>
      <c r="B6696" s="4">
        <v>45443</v>
      </c>
      <c r="C6696" s="3" t="s">
        <v>1175</v>
      </c>
      <c r="D6696" s="3" t="s">
        <v>1193</v>
      </c>
      <c r="E6696" s="3" t="s">
        <v>1443</v>
      </c>
      <c r="F6696" s="3">
        <v>-34536.99</v>
      </c>
      <c r="G6696" s="3">
        <v>-274918.06</v>
      </c>
    </row>
    <row r="6697" spans="1:7" x14ac:dyDescent="0.2">
      <c r="A6697" s="3" t="s">
        <v>1069</v>
      </c>
      <c r="B6697" s="4">
        <v>45443</v>
      </c>
      <c r="C6697" s="3" t="s">
        <v>1175</v>
      </c>
      <c r="D6697" s="3" t="s">
        <v>1193</v>
      </c>
      <c r="E6697" s="3" t="s">
        <v>1194</v>
      </c>
      <c r="F6697" s="3">
        <v>-3245407.61</v>
      </c>
      <c r="G6697" s="3">
        <v>-5583787.0599999996</v>
      </c>
    </row>
    <row r="6698" spans="1:7" x14ac:dyDescent="0.2">
      <c r="A6698" s="3" t="s">
        <v>1074</v>
      </c>
      <c r="B6698" s="4">
        <v>45443</v>
      </c>
      <c r="C6698" s="3" t="s">
        <v>1175</v>
      </c>
      <c r="D6698" s="3" t="s">
        <v>1193</v>
      </c>
      <c r="E6698" s="3" t="s">
        <v>1194</v>
      </c>
      <c r="F6698" s="3">
        <v>130727.39</v>
      </c>
      <c r="G6698" s="3">
        <v>6653884.5099999998</v>
      </c>
    </row>
    <row r="6699" spans="1:7" x14ac:dyDescent="0.2">
      <c r="A6699" s="3" t="s">
        <v>1072</v>
      </c>
      <c r="B6699" s="4">
        <v>45443</v>
      </c>
      <c r="C6699" s="3" t="s">
        <v>1175</v>
      </c>
      <c r="D6699" s="3" t="s">
        <v>1731</v>
      </c>
      <c r="E6699" s="3" t="s">
        <v>1732</v>
      </c>
      <c r="F6699" s="3">
        <v>0</v>
      </c>
      <c r="G6699" s="3">
        <v>-1869.8</v>
      </c>
    </row>
    <row r="6700" spans="1:7" x14ac:dyDescent="0.2">
      <c r="A6700" s="3" t="s">
        <v>1069</v>
      </c>
      <c r="B6700" s="4">
        <v>45443</v>
      </c>
      <c r="C6700" s="3" t="s">
        <v>1175</v>
      </c>
      <c r="D6700" s="3" t="s">
        <v>1657</v>
      </c>
      <c r="E6700" s="3" t="s">
        <v>1658</v>
      </c>
      <c r="F6700" s="3">
        <v>0</v>
      </c>
      <c r="G6700" s="3">
        <v>59039.93</v>
      </c>
    </row>
    <row r="6701" spans="1:7" x14ac:dyDescent="0.2">
      <c r="A6701" s="3" t="s">
        <v>1074</v>
      </c>
      <c r="B6701" s="4">
        <v>45443</v>
      </c>
      <c r="C6701" s="3" t="s">
        <v>1175</v>
      </c>
      <c r="D6701" s="3" t="s">
        <v>1717</v>
      </c>
      <c r="E6701" s="3" t="s">
        <v>1718</v>
      </c>
      <c r="F6701" s="3">
        <v>0</v>
      </c>
      <c r="G6701" s="3">
        <v>-0.4</v>
      </c>
    </row>
    <row r="6702" spans="1:7" x14ac:dyDescent="0.2">
      <c r="A6702" s="3" t="s">
        <v>1074</v>
      </c>
      <c r="B6702" s="4">
        <v>45443</v>
      </c>
      <c r="C6702" s="3" t="s">
        <v>1175</v>
      </c>
      <c r="D6702" s="3" t="s">
        <v>1781</v>
      </c>
      <c r="E6702" s="3" t="s">
        <v>1782</v>
      </c>
      <c r="F6702" s="3">
        <v>0</v>
      </c>
      <c r="G6702" s="3">
        <v>1326506.8500000001</v>
      </c>
    </row>
    <row r="6703" spans="1:7" x14ac:dyDescent="0.2">
      <c r="A6703" s="3" t="s">
        <v>1072</v>
      </c>
      <c r="B6703" s="4">
        <v>45443</v>
      </c>
      <c r="C6703" s="3" t="s">
        <v>1175</v>
      </c>
      <c r="D6703" s="3" t="s">
        <v>1444</v>
      </c>
      <c r="E6703" s="3" t="s">
        <v>1445</v>
      </c>
      <c r="F6703" s="3">
        <v>0</v>
      </c>
      <c r="G6703" s="3">
        <v>393799.61</v>
      </c>
    </row>
    <row r="6704" spans="1:7" x14ac:dyDescent="0.2">
      <c r="A6704" s="3" t="s">
        <v>1072</v>
      </c>
      <c r="B6704" s="4">
        <v>45443</v>
      </c>
      <c r="C6704" s="3" t="s">
        <v>1175</v>
      </c>
      <c r="D6704" s="3" t="s">
        <v>1446</v>
      </c>
      <c r="E6704" s="3" t="s">
        <v>1447</v>
      </c>
      <c r="F6704" s="3">
        <v>0</v>
      </c>
      <c r="G6704" s="3">
        <v>-254.99</v>
      </c>
    </row>
    <row r="6705" spans="1:7" x14ac:dyDescent="0.2">
      <c r="A6705" s="3" t="s">
        <v>1788</v>
      </c>
      <c r="B6705" s="4">
        <v>44561</v>
      </c>
      <c r="C6705" s="3" t="s">
        <v>1180</v>
      </c>
      <c r="D6705" s="3" t="s">
        <v>1187</v>
      </c>
      <c r="E6705" s="3" t="s">
        <v>1789</v>
      </c>
      <c r="F6705" s="3">
        <v>100228.16</v>
      </c>
      <c r="G6705" s="3">
        <v>112865.05</v>
      </c>
    </row>
    <row r="6706" spans="1:7" x14ac:dyDescent="0.2">
      <c r="A6706" s="3" t="s">
        <v>1790</v>
      </c>
      <c r="B6706" s="4">
        <v>44561</v>
      </c>
      <c r="C6706" s="3" t="s">
        <v>1180</v>
      </c>
      <c r="D6706" s="3" t="s">
        <v>1187</v>
      </c>
      <c r="E6706" s="3" t="s">
        <v>1791</v>
      </c>
      <c r="F6706" s="3">
        <v>21535.56</v>
      </c>
      <c r="G6706" s="3">
        <v>34051.47</v>
      </c>
    </row>
    <row r="6707" spans="1:7" x14ac:dyDescent="0.2">
      <c r="A6707" s="3" t="s">
        <v>1792</v>
      </c>
      <c r="B6707" s="4">
        <v>44561</v>
      </c>
      <c r="C6707" s="3" t="s">
        <v>1180</v>
      </c>
      <c r="D6707" s="3" t="s">
        <v>1187</v>
      </c>
      <c r="E6707" s="3" t="s">
        <v>1793</v>
      </c>
      <c r="F6707" s="3">
        <v>22.63</v>
      </c>
      <c r="G6707" s="3">
        <v>152828.91</v>
      </c>
    </row>
    <row r="6708" spans="1:7" x14ac:dyDescent="0.2">
      <c r="A6708" s="3" t="s">
        <v>1794</v>
      </c>
      <c r="B6708" s="4">
        <v>44561</v>
      </c>
      <c r="C6708" s="3" t="s">
        <v>1180</v>
      </c>
      <c r="D6708" s="3" t="s">
        <v>1187</v>
      </c>
      <c r="E6708" s="3" t="s">
        <v>1795</v>
      </c>
      <c r="F6708" s="3">
        <v>43487.34</v>
      </c>
      <c r="G6708" s="3">
        <v>61453.25</v>
      </c>
    </row>
    <row r="6709" spans="1:7" x14ac:dyDescent="0.2">
      <c r="A6709" s="3" t="s">
        <v>1796</v>
      </c>
      <c r="B6709" s="4">
        <v>44561</v>
      </c>
      <c r="C6709" s="3" t="s">
        <v>1180</v>
      </c>
      <c r="D6709" s="3" t="s">
        <v>1187</v>
      </c>
      <c r="E6709" s="3" t="s">
        <v>1797</v>
      </c>
      <c r="F6709" s="3">
        <v>6164.74</v>
      </c>
      <c r="G6709" s="3">
        <v>36778.65</v>
      </c>
    </row>
    <row r="6710" spans="1:7" x14ac:dyDescent="0.2">
      <c r="A6710" s="3" t="s">
        <v>1094</v>
      </c>
      <c r="B6710" s="4">
        <v>44561</v>
      </c>
      <c r="C6710" s="3" t="s">
        <v>1180</v>
      </c>
      <c r="D6710" s="3" t="s">
        <v>1187</v>
      </c>
      <c r="E6710" s="3" t="s">
        <v>1798</v>
      </c>
      <c r="F6710" s="3">
        <v>1686.66</v>
      </c>
      <c r="G6710" s="3">
        <v>3743.29</v>
      </c>
    </row>
    <row r="6711" spans="1:7" x14ac:dyDescent="0.2">
      <c r="A6711" s="3" t="s">
        <v>1799</v>
      </c>
      <c r="B6711" s="4">
        <v>44561</v>
      </c>
      <c r="C6711" s="3" t="s">
        <v>1180</v>
      </c>
      <c r="D6711" s="3" t="s">
        <v>1187</v>
      </c>
      <c r="E6711" s="3" t="s">
        <v>1800</v>
      </c>
      <c r="F6711" s="3">
        <v>63110.09</v>
      </c>
      <c r="G6711" s="3">
        <v>64999.74</v>
      </c>
    </row>
    <row r="6712" spans="1:7" x14ac:dyDescent="0.2">
      <c r="A6712" s="3" t="s">
        <v>1788</v>
      </c>
      <c r="B6712" s="4">
        <v>44561</v>
      </c>
      <c r="C6712" s="3" t="s">
        <v>1180</v>
      </c>
      <c r="D6712" s="3" t="s">
        <v>1801</v>
      </c>
      <c r="E6712" s="3" t="s">
        <v>1802</v>
      </c>
      <c r="F6712" s="3">
        <v>650.86</v>
      </c>
      <c r="G6712" s="3">
        <v>727.46</v>
      </c>
    </row>
    <row r="6713" spans="1:7" x14ac:dyDescent="0.2">
      <c r="A6713" s="3" t="s">
        <v>1094</v>
      </c>
      <c r="B6713" s="4">
        <v>44561</v>
      </c>
      <c r="C6713" s="3" t="s">
        <v>1180</v>
      </c>
      <c r="D6713" s="3" t="s">
        <v>1189</v>
      </c>
      <c r="E6713" s="3" t="s">
        <v>1803</v>
      </c>
      <c r="F6713" s="3">
        <v>-3643862</v>
      </c>
      <c r="G6713" s="3">
        <v>822937.7</v>
      </c>
    </row>
    <row r="6714" spans="1:7" x14ac:dyDescent="0.2">
      <c r="A6714" s="3" t="s">
        <v>1799</v>
      </c>
      <c r="B6714" s="4">
        <v>44561</v>
      </c>
      <c r="C6714" s="3" t="s">
        <v>1180</v>
      </c>
      <c r="D6714" s="3" t="s">
        <v>1189</v>
      </c>
      <c r="E6714" s="3" t="s">
        <v>1804</v>
      </c>
      <c r="F6714" s="3">
        <v>-259.12</v>
      </c>
      <c r="G6714" s="3">
        <v>141.03</v>
      </c>
    </row>
    <row r="6715" spans="1:7" x14ac:dyDescent="0.2">
      <c r="A6715" s="3" t="s">
        <v>1796</v>
      </c>
      <c r="B6715" s="4">
        <v>44561</v>
      </c>
      <c r="C6715" s="3" t="s">
        <v>1180</v>
      </c>
      <c r="D6715" s="3" t="s">
        <v>1189</v>
      </c>
      <c r="E6715" s="3" t="s">
        <v>1805</v>
      </c>
      <c r="F6715" s="3">
        <v>644.54</v>
      </c>
      <c r="G6715" s="3">
        <v>681.56</v>
      </c>
    </row>
    <row r="6716" spans="1:7" x14ac:dyDescent="0.2">
      <c r="A6716" s="3" t="s">
        <v>1792</v>
      </c>
      <c r="B6716" s="4">
        <v>44561</v>
      </c>
      <c r="C6716" s="3" t="s">
        <v>1180</v>
      </c>
      <c r="D6716" s="3" t="s">
        <v>1806</v>
      </c>
      <c r="E6716" s="3" t="s">
        <v>1807</v>
      </c>
      <c r="F6716" s="3">
        <v>-85</v>
      </c>
      <c r="G6716" s="3">
        <v>4486.21</v>
      </c>
    </row>
    <row r="6717" spans="1:7" x14ac:dyDescent="0.2">
      <c r="A6717" s="3" t="s">
        <v>1792</v>
      </c>
      <c r="B6717" s="4">
        <v>44561</v>
      </c>
      <c r="C6717" s="3" t="s">
        <v>1180</v>
      </c>
      <c r="D6717" s="3" t="s">
        <v>1243</v>
      </c>
      <c r="E6717" s="3" t="s">
        <v>1808</v>
      </c>
      <c r="F6717" s="3">
        <v>0</v>
      </c>
      <c r="G6717" s="3">
        <v>500</v>
      </c>
    </row>
    <row r="6718" spans="1:7" x14ac:dyDescent="0.2">
      <c r="A6718" s="3" t="s">
        <v>1788</v>
      </c>
      <c r="B6718" s="4">
        <v>44561</v>
      </c>
      <c r="C6718" s="3" t="s">
        <v>1180</v>
      </c>
      <c r="D6718" s="3" t="s">
        <v>1245</v>
      </c>
      <c r="E6718" s="3" t="s">
        <v>1809</v>
      </c>
      <c r="F6718" s="3">
        <v>-268.60000000000002</v>
      </c>
      <c r="G6718" s="3">
        <v>818.07</v>
      </c>
    </row>
    <row r="6719" spans="1:7" x14ac:dyDescent="0.2">
      <c r="A6719" s="3" t="s">
        <v>1788</v>
      </c>
      <c r="B6719" s="4">
        <v>44561</v>
      </c>
      <c r="C6719" s="3" t="s">
        <v>1180</v>
      </c>
      <c r="D6719" s="3" t="s">
        <v>1810</v>
      </c>
      <c r="E6719" s="3" t="s">
        <v>1811</v>
      </c>
      <c r="F6719" s="3">
        <v>48.56</v>
      </c>
      <c r="G6719" s="3">
        <v>4402.21</v>
      </c>
    </row>
    <row r="6720" spans="1:7" x14ac:dyDescent="0.2">
      <c r="A6720" s="3" t="s">
        <v>1792</v>
      </c>
      <c r="B6720" s="4">
        <v>44561</v>
      </c>
      <c r="C6720" s="3" t="s">
        <v>1180</v>
      </c>
      <c r="D6720" s="3" t="s">
        <v>1727</v>
      </c>
      <c r="E6720" s="3" t="s">
        <v>1812</v>
      </c>
      <c r="F6720" s="3">
        <v>62630.13</v>
      </c>
      <c r="G6720" s="3">
        <v>89640.61</v>
      </c>
    </row>
    <row r="6721" spans="1:7" x14ac:dyDescent="0.2">
      <c r="A6721" s="3" t="s">
        <v>1792</v>
      </c>
      <c r="B6721" s="4">
        <v>44561</v>
      </c>
      <c r="C6721" s="3" t="s">
        <v>1180</v>
      </c>
      <c r="D6721" s="3" t="s">
        <v>1813</v>
      </c>
      <c r="E6721" s="3" t="s">
        <v>1190</v>
      </c>
      <c r="F6721" s="3">
        <v>0</v>
      </c>
      <c r="G6721" s="3">
        <v>200010</v>
      </c>
    </row>
    <row r="6722" spans="1:7" x14ac:dyDescent="0.2">
      <c r="A6722" s="3" t="s">
        <v>1788</v>
      </c>
      <c r="B6722" s="4">
        <v>44592</v>
      </c>
      <c r="C6722" s="3" t="s">
        <v>1180</v>
      </c>
      <c r="D6722" s="3" t="s">
        <v>1187</v>
      </c>
      <c r="E6722" s="3" t="s">
        <v>1789</v>
      </c>
      <c r="F6722" s="3">
        <v>-110733.18</v>
      </c>
      <c r="G6722" s="3">
        <v>2131.87</v>
      </c>
    </row>
    <row r="6723" spans="1:7" x14ac:dyDescent="0.2">
      <c r="A6723" s="3" t="s">
        <v>1790</v>
      </c>
      <c r="B6723" s="4">
        <v>44592</v>
      </c>
      <c r="C6723" s="3" t="s">
        <v>1180</v>
      </c>
      <c r="D6723" s="3" t="s">
        <v>1187</v>
      </c>
      <c r="E6723" s="3" t="s">
        <v>1791</v>
      </c>
      <c r="F6723" s="3">
        <v>-26911.360000000001</v>
      </c>
      <c r="G6723" s="3">
        <v>7140.11</v>
      </c>
    </row>
    <row r="6724" spans="1:7" x14ac:dyDescent="0.2">
      <c r="A6724" s="3" t="s">
        <v>1792</v>
      </c>
      <c r="B6724" s="4">
        <v>44592</v>
      </c>
      <c r="C6724" s="3" t="s">
        <v>1180</v>
      </c>
      <c r="D6724" s="3" t="s">
        <v>1187</v>
      </c>
      <c r="E6724" s="3" t="s">
        <v>1793</v>
      </c>
      <c r="F6724" s="3">
        <v>34.880000000000003</v>
      </c>
      <c r="G6724" s="3">
        <v>152863.79</v>
      </c>
    </row>
    <row r="6725" spans="1:7" x14ac:dyDescent="0.2">
      <c r="A6725" s="3" t="s">
        <v>1794</v>
      </c>
      <c r="B6725" s="4">
        <v>44592</v>
      </c>
      <c r="C6725" s="3" t="s">
        <v>1180</v>
      </c>
      <c r="D6725" s="3" t="s">
        <v>1187</v>
      </c>
      <c r="E6725" s="3" t="s">
        <v>1795</v>
      </c>
      <c r="F6725" s="3">
        <v>-15887.08</v>
      </c>
      <c r="G6725" s="3">
        <v>45566.17</v>
      </c>
    </row>
    <row r="6726" spans="1:7" x14ac:dyDescent="0.2">
      <c r="A6726" s="3" t="s">
        <v>1796</v>
      </c>
      <c r="B6726" s="4">
        <v>44592</v>
      </c>
      <c r="C6726" s="3" t="s">
        <v>1180</v>
      </c>
      <c r="D6726" s="3" t="s">
        <v>1187</v>
      </c>
      <c r="E6726" s="3" t="s">
        <v>1797</v>
      </c>
      <c r="F6726" s="3">
        <v>15553.18</v>
      </c>
      <c r="G6726" s="3">
        <v>52331.83</v>
      </c>
    </row>
    <row r="6727" spans="1:7" x14ac:dyDescent="0.2">
      <c r="A6727" s="3" t="s">
        <v>1094</v>
      </c>
      <c r="B6727" s="4">
        <v>44592</v>
      </c>
      <c r="C6727" s="3" t="s">
        <v>1180</v>
      </c>
      <c r="D6727" s="3" t="s">
        <v>1187</v>
      </c>
      <c r="E6727" s="3" t="s">
        <v>1798</v>
      </c>
      <c r="F6727" s="3">
        <v>22854.25</v>
      </c>
      <c r="G6727" s="3">
        <v>26597.54</v>
      </c>
    </row>
    <row r="6728" spans="1:7" x14ac:dyDescent="0.2">
      <c r="A6728" s="3" t="s">
        <v>1799</v>
      </c>
      <c r="B6728" s="4">
        <v>44592</v>
      </c>
      <c r="C6728" s="3" t="s">
        <v>1180</v>
      </c>
      <c r="D6728" s="3" t="s">
        <v>1187</v>
      </c>
      <c r="E6728" s="3" t="s">
        <v>1800</v>
      </c>
      <c r="F6728" s="3">
        <v>-42311.48</v>
      </c>
      <c r="G6728" s="3">
        <v>22688.26</v>
      </c>
    </row>
    <row r="6729" spans="1:7" x14ac:dyDescent="0.2">
      <c r="A6729" s="3" t="s">
        <v>1788</v>
      </c>
      <c r="B6729" s="4">
        <v>44592</v>
      </c>
      <c r="C6729" s="3" t="s">
        <v>1180</v>
      </c>
      <c r="D6729" s="3" t="s">
        <v>1801</v>
      </c>
      <c r="E6729" s="3" t="s">
        <v>1802</v>
      </c>
      <c r="F6729" s="3">
        <v>-334.92</v>
      </c>
      <c r="G6729" s="3">
        <v>392.54</v>
      </c>
    </row>
    <row r="6730" spans="1:7" x14ac:dyDescent="0.2">
      <c r="A6730" s="3" t="s">
        <v>1094</v>
      </c>
      <c r="B6730" s="4">
        <v>44592</v>
      </c>
      <c r="C6730" s="3" t="s">
        <v>1180</v>
      </c>
      <c r="D6730" s="3" t="s">
        <v>1189</v>
      </c>
      <c r="E6730" s="3" t="s">
        <v>1803</v>
      </c>
      <c r="F6730" s="3">
        <v>1461951.42</v>
      </c>
      <c r="G6730" s="3">
        <v>2284889.12</v>
      </c>
    </row>
    <row r="6731" spans="1:7" x14ac:dyDescent="0.2">
      <c r="A6731" s="3" t="s">
        <v>1799</v>
      </c>
      <c r="B6731" s="4">
        <v>44592</v>
      </c>
      <c r="C6731" s="3" t="s">
        <v>1180</v>
      </c>
      <c r="D6731" s="3" t="s">
        <v>1189</v>
      </c>
      <c r="E6731" s="3" t="s">
        <v>1804</v>
      </c>
      <c r="F6731" s="3">
        <v>751.94</v>
      </c>
      <c r="G6731" s="3">
        <v>892.97</v>
      </c>
    </row>
    <row r="6732" spans="1:7" x14ac:dyDescent="0.2">
      <c r="A6732" s="3" t="s">
        <v>1796</v>
      </c>
      <c r="B6732" s="4">
        <v>44592</v>
      </c>
      <c r="C6732" s="3" t="s">
        <v>1180</v>
      </c>
      <c r="D6732" s="3" t="s">
        <v>1189</v>
      </c>
      <c r="E6732" s="3" t="s">
        <v>1805</v>
      </c>
      <c r="F6732" s="3">
        <v>-347.56</v>
      </c>
      <c r="G6732" s="3">
        <v>334</v>
      </c>
    </row>
    <row r="6733" spans="1:7" x14ac:dyDescent="0.2">
      <c r="A6733" s="3" t="s">
        <v>1792</v>
      </c>
      <c r="B6733" s="4">
        <v>44592</v>
      </c>
      <c r="C6733" s="3" t="s">
        <v>1180</v>
      </c>
      <c r="D6733" s="3" t="s">
        <v>1806</v>
      </c>
      <c r="E6733" s="3" t="s">
        <v>1807</v>
      </c>
      <c r="F6733" s="3">
        <v>0</v>
      </c>
      <c r="G6733" s="3">
        <v>4486.21</v>
      </c>
    </row>
    <row r="6734" spans="1:7" x14ac:dyDescent="0.2">
      <c r="A6734" s="3" t="s">
        <v>1792</v>
      </c>
      <c r="B6734" s="4">
        <v>44592</v>
      </c>
      <c r="C6734" s="3" t="s">
        <v>1180</v>
      </c>
      <c r="D6734" s="3" t="s">
        <v>1243</v>
      </c>
      <c r="E6734" s="3" t="s">
        <v>1808</v>
      </c>
      <c r="F6734" s="3">
        <v>0</v>
      </c>
      <c r="G6734" s="3">
        <v>500</v>
      </c>
    </row>
    <row r="6735" spans="1:7" x14ac:dyDescent="0.2">
      <c r="A6735" s="3" t="s">
        <v>1788</v>
      </c>
      <c r="B6735" s="4">
        <v>44592</v>
      </c>
      <c r="C6735" s="3" t="s">
        <v>1180</v>
      </c>
      <c r="D6735" s="3" t="s">
        <v>1245</v>
      </c>
      <c r="E6735" s="3" t="s">
        <v>1809</v>
      </c>
      <c r="F6735" s="3">
        <v>-259.12</v>
      </c>
      <c r="G6735" s="3">
        <v>558.95000000000005</v>
      </c>
    </row>
    <row r="6736" spans="1:7" x14ac:dyDescent="0.2">
      <c r="A6736" s="3" t="s">
        <v>1788</v>
      </c>
      <c r="B6736" s="4">
        <v>44592</v>
      </c>
      <c r="C6736" s="3" t="s">
        <v>1180</v>
      </c>
      <c r="D6736" s="3" t="s">
        <v>1810</v>
      </c>
      <c r="E6736" s="3" t="s">
        <v>1811</v>
      </c>
      <c r="F6736" s="3">
        <v>17.27</v>
      </c>
      <c r="G6736" s="3">
        <v>4419.4799999999996</v>
      </c>
    </row>
    <row r="6737" spans="1:7" x14ac:dyDescent="0.2">
      <c r="A6737" s="3" t="s">
        <v>1792</v>
      </c>
      <c r="B6737" s="4">
        <v>44592</v>
      </c>
      <c r="C6737" s="3" t="s">
        <v>1180</v>
      </c>
      <c r="D6737" s="3" t="s">
        <v>1727</v>
      </c>
      <c r="E6737" s="3" t="s">
        <v>1812</v>
      </c>
      <c r="F6737" s="3">
        <v>-73294.759999999995</v>
      </c>
      <c r="G6737" s="3">
        <v>16345.85</v>
      </c>
    </row>
    <row r="6738" spans="1:7" x14ac:dyDescent="0.2">
      <c r="A6738" s="3" t="s">
        <v>1792</v>
      </c>
      <c r="B6738" s="4">
        <v>44592</v>
      </c>
      <c r="C6738" s="3" t="s">
        <v>1180</v>
      </c>
      <c r="D6738" s="3" t="s">
        <v>1813</v>
      </c>
      <c r="E6738" s="3" t="s">
        <v>1190</v>
      </c>
      <c r="F6738" s="3">
        <v>0</v>
      </c>
      <c r="G6738" s="3">
        <v>200010</v>
      </c>
    </row>
    <row r="6739" spans="1:7" x14ac:dyDescent="0.2">
      <c r="A6739" s="3" t="s">
        <v>1788</v>
      </c>
      <c r="B6739" s="4">
        <v>44620</v>
      </c>
      <c r="C6739" s="3" t="s">
        <v>1180</v>
      </c>
      <c r="D6739" s="3" t="s">
        <v>1187</v>
      </c>
      <c r="E6739" s="3" t="s">
        <v>1789</v>
      </c>
      <c r="F6739" s="3">
        <v>26671.29</v>
      </c>
      <c r="G6739" s="3">
        <v>28803.16</v>
      </c>
    </row>
    <row r="6740" spans="1:7" x14ac:dyDescent="0.2">
      <c r="A6740" s="3" t="s">
        <v>1790</v>
      </c>
      <c r="B6740" s="4">
        <v>44620</v>
      </c>
      <c r="C6740" s="3" t="s">
        <v>1180</v>
      </c>
      <c r="D6740" s="3" t="s">
        <v>1187</v>
      </c>
      <c r="E6740" s="3" t="s">
        <v>1791</v>
      </c>
      <c r="F6740" s="3">
        <v>30196.19</v>
      </c>
      <c r="G6740" s="3">
        <v>37336.300000000003</v>
      </c>
    </row>
    <row r="6741" spans="1:7" x14ac:dyDescent="0.2">
      <c r="A6741" s="3" t="s">
        <v>1792</v>
      </c>
      <c r="B6741" s="4">
        <v>44620</v>
      </c>
      <c r="C6741" s="3" t="s">
        <v>1180</v>
      </c>
      <c r="D6741" s="3" t="s">
        <v>1187</v>
      </c>
      <c r="E6741" s="3" t="s">
        <v>1793</v>
      </c>
      <c r="F6741" s="3">
        <v>2.9</v>
      </c>
      <c r="G6741" s="3">
        <v>152866.69</v>
      </c>
    </row>
    <row r="6742" spans="1:7" x14ac:dyDescent="0.2">
      <c r="A6742" s="3" t="s">
        <v>1794</v>
      </c>
      <c r="B6742" s="4">
        <v>44620</v>
      </c>
      <c r="C6742" s="3" t="s">
        <v>1180</v>
      </c>
      <c r="D6742" s="3" t="s">
        <v>1187</v>
      </c>
      <c r="E6742" s="3" t="s">
        <v>1795</v>
      </c>
      <c r="F6742" s="3">
        <v>-13480.8</v>
      </c>
      <c r="G6742" s="3">
        <v>32085.37</v>
      </c>
    </row>
    <row r="6743" spans="1:7" x14ac:dyDescent="0.2">
      <c r="A6743" s="3" t="s">
        <v>1796</v>
      </c>
      <c r="B6743" s="4">
        <v>44620</v>
      </c>
      <c r="C6743" s="3" t="s">
        <v>1180</v>
      </c>
      <c r="D6743" s="3" t="s">
        <v>1187</v>
      </c>
      <c r="E6743" s="3" t="s">
        <v>1797</v>
      </c>
      <c r="F6743" s="3">
        <v>-23467.040000000001</v>
      </c>
      <c r="G6743" s="3">
        <v>28864.79</v>
      </c>
    </row>
    <row r="6744" spans="1:7" x14ac:dyDescent="0.2">
      <c r="A6744" s="3" t="s">
        <v>1094</v>
      </c>
      <c r="B6744" s="4">
        <v>44620</v>
      </c>
      <c r="C6744" s="3" t="s">
        <v>1180</v>
      </c>
      <c r="D6744" s="3" t="s">
        <v>1187</v>
      </c>
      <c r="E6744" s="3" t="s">
        <v>1798</v>
      </c>
      <c r="F6744" s="3">
        <v>66754.070000000007</v>
      </c>
      <c r="G6744" s="3">
        <v>93351.61</v>
      </c>
    </row>
    <row r="6745" spans="1:7" x14ac:dyDescent="0.2">
      <c r="A6745" s="3" t="s">
        <v>1799</v>
      </c>
      <c r="B6745" s="4">
        <v>44620</v>
      </c>
      <c r="C6745" s="3" t="s">
        <v>1180</v>
      </c>
      <c r="D6745" s="3" t="s">
        <v>1187</v>
      </c>
      <c r="E6745" s="3" t="s">
        <v>1800</v>
      </c>
      <c r="F6745" s="3">
        <v>-1707.13</v>
      </c>
      <c r="G6745" s="3">
        <v>20981.13</v>
      </c>
    </row>
    <row r="6746" spans="1:7" x14ac:dyDescent="0.2">
      <c r="A6746" s="3" t="s">
        <v>1788</v>
      </c>
      <c r="B6746" s="4">
        <v>44620</v>
      </c>
      <c r="C6746" s="3" t="s">
        <v>1180</v>
      </c>
      <c r="D6746" s="3" t="s">
        <v>1801</v>
      </c>
      <c r="E6746" s="3" t="s">
        <v>1802</v>
      </c>
      <c r="F6746" s="3">
        <v>-390.22</v>
      </c>
      <c r="G6746" s="3">
        <v>2.3199999999999998</v>
      </c>
    </row>
    <row r="6747" spans="1:7" x14ac:dyDescent="0.2">
      <c r="A6747" s="3" t="s">
        <v>1094</v>
      </c>
      <c r="B6747" s="4">
        <v>44620</v>
      </c>
      <c r="C6747" s="3" t="s">
        <v>1180</v>
      </c>
      <c r="D6747" s="3" t="s">
        <v>1189</v>
      </c>
      <c r="E6747" s="3" t="s">
        <v>1803</v>
      </c>
      <c r="F6747" s="3">
        <v>-1285162.56</v>
      </c>
      <c r="G6747" s="3">
        <v>999726.56</v>
      </c>
    </row>
    <row r="6748" spans="1:7" x14ac:dyDescent="0.2">
      <c r="A6748" s="3" t="s">
        <v>1799</v>
      </c>
      <c r="B6748" s="4">
        <v>44620</v>
      </c>
      <c r="C6748" s="3" t="s">
        <v>1180</v>
      </c>
      <c r="D6748" s="3" t="s">
        <v>1189</v>
      </c>
      <c r="E6748" s="3" t="s">
        <v>1804</v>
      </c>
      <c r="F6748" s="3">
        <v>-279.66000000000003</v>
      </c>
      <c r="G6748" s="3">
        <v>613.30999999999995</v>
      </c>
    </row>
    <row r="6749" spans="1:7" x14ac:dyDescent="0.2">
      <c r="A6749" s="3" t="s">
        <v>1796</v>
      </c>
      <c r="B6749" s="4">
        <v>44620</v>
      </c>
      <c r="C6749" s="3" t="s">
        <v>1180</v>
      </c>
      <c r="D6749" s="3" t="s">
        <v>1189</v>
      </c>
      <c r="E6749" s="3" t="s">
        <v>1805</v>
      </c>
      <c r="F6749" s="3">
        <v>601.88</v>
      </c>
      <c r="G6749" s="3">
        <v>935.88</v>
      </c>
    </row>
    <row r="6750" spans="1:7" x14ac:dyDescent="0.2">
      <c r="A6750" s="3" t="s">
        <v>1792</v>
      </c>
      <c r="B6750" s="4">
        <v>44620</v>
      </c>
      <c r="C6750" s="3" t="s">
        <v>1180</v>
      </c>
      <c r="D6750" s="3" t="s">
        <v>1806</v>
      </c>
      <c r="E6750" s="3" t="s">
        <v>1807</v>
      </c>
      <c r="F6750" s="3">
        <v>-170</v>
      </c>
      <c r="G6750" s="3">
        <v>4316.21</v>
      </c>
    </row>
    <row r="6751" spans="1:7" x14ac:dyDescent="0.2">
      <c r="A6751" s="3" t="s">
        <v>1792</v>
      </c>
      <c r="B6751" s="4">
        <v>44620</v>
      </c>
      <c r="C6751" s="3" t="s">
        <v>1180</v>
      </c>
      <c r="D6751" s="3" t="s">
        <v>1243</v>
      </c>
      <c r="E6751" s="3" t="s">
        <v>1808</v>
      </c>
      <c r="F6751" s="3">
        <v>7.48</v>
      </c>
      <c r="G6751" s="3">
        <v>507.48</v>
      </c>
    </row>
    <row r="6752" spans="1:7" x14ac:dyDescent="0.2">
      <c r="A6752" s="3" t="s">
        <v>1788</v>
      </c>
      <c r="B6752" s="4">
        <v>44620</v>
      </c>
      <c r="C6752" s="3" t="s">
        <v>1180</v>
      </c>
      <c r="D6752" s="3" t="s">
        <v>1245</v>
      </c>
      <c r="E6752" s="3" t="s">
        <v>1809</v>
      </c>
      <c r="F6752" s="3">
        <v>-284.39999999999998</v>
      </c>
      <c r="G6752" s="3">
        <v>274.55</v>
      </c>
    </row>
    <row r="6753" spans="1:7" x14ac:dyDescent="0.2">
      <c r="A6753" s="3" t="s">
        <v>1788</v>
      </c>
      <c r="B6753" s="4">
        <v>44620</v>
      </c>
      <c r="C6753" s="3" t="s">
        <v>1180</v>
      </c>
      <c r="D6753" s="3" t="s">
        <v>1810</v>
      </c>
      <c r="E6753" s="3" t="s">
        <v>1811</v>
      </c>
      <c r="F6753" s="3">
        <v>15.68</v>
      </c>
      <c r="G6753" s="3">
        <v>4435.16</v>
      </c>
    </row>
    <row r="6754" spans="1:7" x14ac:dyDescent="0.2">
      <c r="A6754" s="3" t="s">
        <v>1792</v>
      </c>
      <c r="B6754" s="4">
        <v>44620</v>
      </c>
      <c r="C6754" s="3" t="s">
        <v>1180</v>
      </c>
      <c r="D6754" s="3" t="s">
        <v>1727</v>
      </c>
      <c r="E6754" s="3" t="s">
        <v>1812</v>
      </c>
      <c r="F6754" s="3">
        <v>22198</v>
      </c>
      <c r="G6754" s="3">
        <v>38543.85</v>
      </c>
    </row>
    <row r="6755" spans="1:7" x14ac:dyDescent="0.2">
      <c r="A6755" s="3" t="s">
        <v>1799</v>
      </c>
      <c r="B6755" s="4">
        <v>44620</v>
      </c>
      <c r="C6755" s="3" t="s">
        <v>1180</v>
      </c>
      <c r="D6755" s="3" t="s">
        <v>1727</v>
      </c>
      <c r="E6755" s="3" t="s">
        <v>1814</v>
      </c>
      <c r="F6755" s="3">
        <v>1240.7</v>
      </c>
      <c r="G6755" s="3">
        <v>1240.7</v>
      </c>
    </row>
    <row r="6756" spans="1:7" x14ac:dyDescent="0.2">
      <c r="A6756" s="3" t="s">
        <v>1792</v>
      </c>
      <c r="B6756" s="4">
        <v>44620</v>
      </c>
      <c r="C6756" s="3" t="s">
        <v>1180</v>
      </c>
      <c r="D6756" s="3" t="s">
        <v>1813</v>
      </c>
      <c r="E6756" s="3" t="s">
        <v>1190</v>
      </c>
      <c r="F6756" s="3">
        <v>-200010</v>
      </c>
      <c r="G6756" s="3">
        <v>0</v>
      </c>
    </row>
    <row r="6757" spans="1:7" x14ac:dyDescent="0.2">
      <c r="A6757" s="3" t="s">
        <v>1788</v>
      </c>
      <c r="B6757" s="4">
        <v>44651</v>
      </c>
      <c r="C6757" s="3" t="s">
        <v>1180</v>
      </c>
      <c r="D6757" s="3" t="s">
        <v>1187</v>
      </c>
      <c r="E6757" s="3" t="s">
        <v>1789</v>
      </c>
      <c r="F6757" s="3">
        <v>111644.74</v>
      </c>
      <c r="G6757" s="3">
        <v>140447.9</v>
      </c>
    </row>
    <row r="6758" spans="1:7" x14ac:dyDescent="0.2">
      <c r="A6758" s="3" t="s">
        <v>1790</v>
      </c>
      <c r="B6758" s="4">
        <v>44651</v>
      </c>
      <c r="C6758" s="3" t="s">
        <v>1180</v>
      </c>
      <c r="D6758" s="3" t="s">
        <v>1187</v>
      </c>
      <c r="E6758" s="3" t="s">
        <v>1791</v>
      </c>
      <c r="F6758" s="3">
        <v>-8809.52</v>
      </c>
      <c r="G6758" s="3">
        <v>28526.78</v>
      </c>
    </row>
    <row r="6759" spans="1:7" x14ac:dyDescent="0.2">
      <c r="A6759" s="3" t="s">
        <v>1792</v>
      </c>
      <c r="B6759" s="4">
        <v>44651</v>
      </c>
      <c r="C6759" s="3" t="s">
        <v>1180</v>
      </c>
      <c r="D6759" s="3" t="s">
        <v>1187</v>
      </c>
      <c r="E6759" s="3" t="s">
        <v>1793</v>
      </c>
      <c r="F6759" s="3">
        <v>-177.04</v>
      </c>
      <c r="G6759" s="3">
        <v>152689.65</v>
      </c>
    </row>
    <row r="6760" spans="1:7" x14ac:dyDescent="0.2">
      <c r="A6760" s="3" t="s">
        <v>1794</v>
      </c>
      <c r="B6760" s="4">
        <v>44651</v>
      </c>
      <c r="C6760" s="3" t="s">
        <v>1180</v>
      </c>
      <c r="D6760" s="3" t="s">
        <v>1187</v>
      </c>
      <c r="E6760" s="3" t="s">
        <v>1795</v>
      </c>
      <c r="F6760" s="3">
        <v>8384.3700000000008</v>
      </c>
      <c r="G6760" s="3">
        <v>40469.74</v>
      </c>
    </row>
    <row r="6761" spans="1:7" x14ac:dyDescent="0.2">
      <c r="A6761" s="3" t="s">
        <v>1796</v>
      </c>
      <c r="B6761" s="4">
        <v>44651</v>
      </c>
      <c r="C6761" s="3" t="s">
        <v>1180</v>
      </c>
      <c r="D6761" s="3" t="s">
        <v>1187</v>
      </c>
      <c r="E6761" s="3" t="s">
        <v>1797</v>
      </c>
      <c r="F6761" s="3">
        <v>15459.2</v>
      </c>
      <c r="G6761" s="3">
        <v>44323.99</v>
      </c>
    </row>
    <row r="6762" spans="1:7" x14ac:dyDescent="0.2">
      <c r="A6762" s="3" t="s">
        <v>1094</v>
      </c>
      <c r="B6762" s="4">
        <v>44651</v>
      </c>
      <c r="C6762" s="3" t="s">
        <v>1180</v>
      </c>
      <c r="D6762" s="3" t="s">
        <v>1187</v>
      </c>
      <c r="E6762" s="3" t="s">
        <v>1798</v>
      </c>
      <c r="F6762" s="3">
        <v>90249.8</v>
      </c>
      <c r="G6762" s="3">
        <v>183601.41</v>
      </c>
    </row>
    <row r="6763" spans="1:7" x14ac:dyDescent="0.2">
      <c r="A6763" s="3" t="s">
        <v>1799</v>
      </c>
      <c r="B6763" s="4">
        <v>44651</v>
      </c>
      <c r="C6763" s="3" t="s">
        <v>1180</v>
      </c>
      <c r="D6763" s="3" t="s">
        <v>1187</v>
      </c>
      <c r="E6763" s="3" t="s">
        <v>1800</v>
      </c>
      <c r="F6763" s="3">
        <v>73355.94</v>
      </c>
      <c r="G6763" s="3">
        <v>94337.07</v>
      </c>
    </row>
    <row r="6764" spans="1:7" x14ac:dyDescent="0.2">
      <c r="A6764" s="3" t="s">
        <v>1788</v>
      </c>
      <c r="B6764" s="4">
        <v>44651</v>
      </c>
      <c r="C6764" s="3" t="s">
        <v>1180</v>
      </c>
      <c r="D6764" s="3" t="s">
        <v>1801</v>
      </c>
      <c r="E6764" s="3" t="s">
        <v>1802</v>
      </c>
      <c r="F6764" s="3">
        <v>454.94</v>
      </c>
      <c r="G6764" s="3">
        <v>457.26</v>
      </c>
    </row>
    <row r="6765" spans="1:7" x14ac:dyDescent="0.2">
      <c r="A6765" s="3" t="s">
        <v>1094</v>
      </c>
      <c r="B6765" s="4">
        <v>44651</v>
      </c>
      <c r="C6765" s="3" t="s">
        <v>1180</v>
      </c>
      <c r="D6765" s="3" t="s">
        <v>1189</v>
      </c>
      <c r="E6765" s="3" t="s">
        <v>1803</v>
      </c>
      <c r="F6765" s="3">
        <v>-101662.2</v>
      </c>
      <c r="G6765" s="3">
        <v>898064.36</v>
      </c>
    </row>
    <row r="6766" spans="1:7" x14ac:dyDescent="0.2">
      <c r="A6766" s="3" t="s">
        <v>1799</v>
      </c>
      <c r="B6766" s="4">
        <v>44651</v>
      </c>
      <c r="C6766" s="3" t="s">
        <v>1180</v>
      </c>
      <c r="D6766" s="3" t="s">
        <v>1189</v>
      </c>
      <c r="E6766" s="3" t="s">
        <v>1804</v>
      </c>
      <c r="F6766" s="3">
        <v>-387.1</v>
      </c>
      <c r="G6766" s="3">
        <v>226.21</v>
      </c>
    </row>
    <row r="6767" spans="1:7" x14ac:dyDescent="0.2">
      <c r="A6767" s="3" t="s">
        <v>1796</v>
      </c>
      <c r="B6767" s="4">
        <v>44651</v>
      </c>
      <c r="C6767" s="3" t="s">
        <v>1180</v>
      </c>
      <c r="D6767" s="3" t="s">
        <v>1189</v>
      </c>
      <c r="E6767" s="3" t="s">
        <v>1805</v>
      </c>
      <c r="F6767" s="3">
        <v>-565.6</v>
      </c>
      <c r="G6767" s="3">
        <v>370.28</v>
      </c>
    </row>
    <row r="6768" spans="1:7" x14ac:dyDescent="0.2">
      <c r="A6768" s="3" t="s">
        <v>1792</v>
      </c>
      <c r="B6768" s="4">
        <v>44651</v>
      </c>
      <c r="C6768" s="3" t="s">
        <v>1180</v>
      </c>
      <c r="D6768" s="3" t="s">
        <v>1806</v>
      </c>
      <c r="E6768" s="3" t="s">
        <v>1807</v>
      </c>
      <c r="F6768" s="3">
        <v>-85</v>
      </c>
      <c r="G6768" s="3">
        <v>4231.21</v>
      </c>
    </row>
    <row r="6769" spans="1:7" x14ac:dyDescent="0.2">
      <c r="A6769" s="3" t="s">
        <v>1792</v>
      </c>
      <c r="B6769" s="4">
        <v>44651</v>
      </c>
      <c r="C6769" s="3" t="s">
        <v>1180</v>
      </c>
      <c r="D6769" s="3" t="s">
        <v>1243</v>
      </c>
      <c r="E6769" s="3" t="s">
        <v>1808</v>
      </c>
      <c r="F6769" s="3">
        <v>1.79</v>
      </c>
      <c r="G6769" s="3">
        <v>509.27</v>
      </c>
    </row>
    <row r="6770" spans="1:7" x14ac:dyDescent="0.2">
      <c r="A6770" s="3" t="s">
        <v>1788</v>
      </c>
      <c r="B6770" s="4">
        <v>44651</v>
      </c>
      <c r="C6770" s="3" t="s">
        <v>1180</v>
      </c>
      <c r="D6770" s="3" t="s">
        <v>1245</v>
      </c>
      <c r="E6770" s="3" t="s">
        <v>1809</v>
      </c>
      <c r="F6770" s="3">
        <v>601.84</v>
      </c>
      <c r="G6770" s="3">
        <v>876.39</v>
      </c>
    </row>
    <row r="6771" spans="1:7" x14ac:dyDescent="0.2">
      <c r="A6771" s="3" t="s">
        <v>1788</v>
      </c>
      <c r="B6771" s="4">
        <v>44651</v>
      </c>
      <c r="C6771" s="3" t="s">
        <v>1180</v>
      </c>
      <c r="D6771" s="3" t="s">
        <v>1810</v>
      </c>
      <c r="E6771" s="3" t="s">
        <v>1811</v>
      </c>
      <c r="F6771" s="3">
        <v>17.579999999999998</v>
      </c>
      <c r="G6771" s="3">
        <v>4452.74</v>
      </c>
    </row>
    <row r="6772" spans="1:7" x14ac:dyDescent="0.2">
      <c r="A6772" s="3" t="s">
        <v>1792</v>
      </c>
      <c r="B6772" s="4">
        <v>44651</v>
      </c>
      <c r="C6772" s="3" t="s">
        <v>1180</v>
      </c>
      <c r="D6772" s="3" t="s">
        <v>1727</v>
      </c>
      <c r="E6772" s="3" t="s">
        <v>1812</v>
      </c>
      <c r="F6772" s="3">
        <v>43676.28</v>
      </c>
      <c r="G6772" s="3">
        <v>82220.13</v>
      </c>
    </row>
    <row r="6773" spans="1:7" x14ac:dyDescent="0.2">
      <c r="A6773" s="3" t="s">
        <v>1799</v>
      </c>
      <c r="B6773" s="4">
        <v>44651</v>
      </c>
      <c r="C6773" s="3" t="s">
        <v>1180</v>
      </c>
      <c r="D6773" s="3" t="s">
        <v>1727</v>
      </c>
      <c r="E6773" s="3" t="s">
        <v>1814</v>
      </c>
      <c r="F6773" s="3">
        <v>1537.3</v>
      </c>
      <c r="G6773" s="3">
        <v>2778</v>
      </c>
    </row>
    <row r="6774" spans="1:7" x14ac:dyDescent="0.2">
      <c r="A6774" s="3" t="s">
        <v>1788</v>
      </c>
      <c r="B6774" s="4">
        <v>44681</v>
      </c>
      <c r="C6774" s="3" t="s">
        <v>1180</v>
      </c>
      <c r="D6774" s="3" t="s">
        <v>1187</v>
      </c>
      <c r="E6774" s="3" t="s">
        <v>1789</v>
      </c>
      <c r="F6774" s="3">
        <v>-107722.98</v>
      </c>
      <c r="G6774" s="3">
        <v>32724.92</v>
      </c>
    </row>
    <row r="6775" spans="1:7" x14ac:dyDescent="0.2">
      <c r="A6775" s="3" t="s">
        <v>1790</v>
      </c>
      <c r="B6775" s="4">
        <v>44681</v>
      </c>
      <c r="C6775" s="3" t="s">
        <v>1180</v>
      </c>
      <c r="D6775" s="3" t="s">
        <v>1187</v>
      </c>
      <c r="E6775" s="3" t="s">
        <v>1791</v>
      </c>
      <c r="F6775" s="3">
        <v>18420.47</v>
      </c>
      <c r="G6775" s="3">
        <v>46947.25</v>
      </c>
    </row>
    <row r="6776" spans="1:7" x14ac:dyDescent="0.2">
      <c r="A6776" s="3" t="s">
        <v>1792</v>
      </c>
      <c r="B6776" s="4">
        <v>44681</v>
      </c>
      <c r="C6776" s="3" t="s">
        <v>1180</v>
      </c>
      <c r="D6776" s="3" t="s">
        <v>1187</v>
      </c>
      <c r="E6776" s="3" t="s">
        <v>1793</v>
      </c>
      <c r="F6776" s="3">
        <v>-162.93</v>
      </c>
      <c r="G6776" s="3">
        <v>152526.72</v>
      </c>
    </row>
    <row r="6777" spans="1:7" x14ac:dyDescent="0.2">
      <c r="A6777" s="3" t="s">
        <v>1794</v>
      </c>
      <c r="B6777" s="4">
        <v>44681</v>
      </c>
      <c r="C6777" s="3" t="s">
        <v>1180</v>
      </c>
      <c r="D6777" s="3" t="s">
        <v>1187</v>
      </c>
      <c r="E6777" s="3" t="s">
        <v>1795</v>
      </c>
      <c r="F6777" s="3">
        <v>-10015.4</v>
      </c>
      <c r="G6777" s="3">
        <v>30454.34</v>
      </c>
    </row>
    <row r="6778" spans="1:7" x14ac:dyDescent="0.2">
      <c r="A6778" s="3" t="s">
        <v>1796</v>
      </c>
      <c r="B6778" s="4">
        <v>44681</v>
      </c>
      <c r="C6778" s="3" t="s">
        <v>1180</v>
      </c>
      <c r="D6778" s="3" t="s">
        <v>1187</v>
      </c>
      <c r="E6778" s="3" t="s">
        <v>1797</v>
      </c>
      <c r="F6778" s="3">
        <v>-10713.48</v>
      </c>
      <c r="G6778" s="3">
        <v>33610.51</v>
      </c>
    </row>
    <row r="6779" spans="1:7" x14ac:dyDescent="0.2">
      <c r="A6779" s="3" t="s">
        <v>1094</v>
      </c>
      <c r="B6779" s="4">
        <v>44681</v>
      </c>
      <c r="C6779" s="3" t="s">
        <v>1180</v>
      </c>
      <c r="D6779" s="3" t="s">
        <v>1187</v>
      </c>
      <c r="E6779" s="3" t="s">
        <v>1798</v>
      </c>
      <c r="F6779" s="3">
        <v>-130433.1</v>
      </c>
      <c r="G6779" s="3">
        <v>53168.31</v>
      </c>
    </row>
    <row r="6780" spans="1:7" x14ac:dyDescent="0.2">
      <c r="A6780" s="3" t="s">
        <v>1799</v>
      </c>
      <c r="B6780" s="4">
        <v>44681</v>
      </c>
      <c r="C6780" s="3" t="s">
        <v>1180</v>
      </c>
      <c r="D6780" s="3" t="s">
        <v>1187</v>
      </c>
      <c r="E6780" s="3" t="s">
        <v>1800</v>
      </c>
      <c r="F6780" s="3">
        <v>-64690.98</v>
      </c>
      <c r="G6780" s="3">
        <v>29646.09</v>
      </c>
    </row>
    <row r="6781" spans="1:7" x14ac:dyDescent="0.2">
      <c r="A6781" s="3" t="s">
        <v>1788</v>
      </c>
      <c r="B6781" s="4">
        <v>44681</v>
      </c>
      <c r="C6781" s="3" t="s">
        <v>1180</v>
      </c>
      <c r="D6781" s="3" t="s">
        <v>1801</v>
      </c>
      <c r="E6781" s="3" t="s">
        <v>1802</v>
      </c>
      <c r="F6781" s="3">
        <v>387</v>
      </c>
      <c r="G6781" s="3">
        <v>844.26</v>
      </c>
    </row>
    <row r="6782" spans="1:7" x14ac:dyDescent="0.2">
      <c r="A6782" s="3" t="s">
        <v>1094</v>
      </c>
      <c r="B6782" s="4">
        <v>44681</v>
      </c>
      <c r="C6782" s="3" t="s">
        <v>1180</v>
      </c>
      <c r="D6782" s="3" t="s">
        <v>1189</v>
      </c>
      <c r="E6782" s="3" t="s">
        <v>1803</v>
      </c>
      <c r="F6782" s="3">
        <v>1412197.77</v>
      </c>
      <c r="G6782" s="3">
        <v>2310262.13</v>
      </c>
    </row>
    <row r="6783" spans="1:7" x14ac:dyDescent="0.2">
      <c r="A6783" s="3" t="s">
        <v>1799</v>
      </c>
      <c r="B6783" s="4">
        <v>44681</v>
      </c>
      <c r="C6783" s="3" t="s">
        <v>1180</v>
      </c>
      <c r="D6783" s="3" t="s">
        <v>1189</v>
      </c>
      <c r="E6783" s="3" t="s">
        <v>1804</v>
      </c>
      <c r="F6783" s="3">
        <v>508.62</v>
      </c>
      <c r="G6783" s="3">
        <v>734.83</v>
      </c>
    </row>
    <row r="6784" spans="1:7" x14ac:dyDescent="0.2">
      <c r="A6784" s="3" t="s">
        <v>1796</v>
      </c>
      <c r="B6784" s="4">
        <v>44681</v>
      </c>
      <c r="C6784" s="3" t="s">
        <v>1180</v>
      </c>
      <c r="D6784" s="3" t="s">
        <v>1189</v>
      </c>
      <c r="E6784" s="3" t="s">
        <v>1805</v>
      </c>
      <c r="F6784" s="3">
        <v>368.02</v>
      </c>
      <c r="G6784" s="3">
        <v>738.3</v>
      </c>
    </row>
    <row r="6785" spans="1:7" x14ac:dyDescent="0.2">
      <c r="A6785" s="3" t="s">
        <v>1792</v>
      </c>
      <c r="B6785" s="4">
        <v>44681</v>
      </c>
      <c r="C6785" s="3" t="s">
        <v>1180</v>
      </c>
      <c r="D6785" s="3" t="s">
        <v>1806</v>
      </c>
      <c r="E6785" s="3" t="s">
        <v>1807</v>
      </c>
      <c r="F6785" s="3">
        <v>-85</v>
      </c>
      <c r="G6785" s="3">
        <v>4146.21</v>
      </c>
    </row>
    <row r="6786" spans="1:7" x14ac:dyDescent="0.2">
      <c r="A6786" s="3" t="s">
        <v>1792</v>
      </c>
      <c r="B6786" s="4">
        <v>44681</v>
      </c>
      <c r="C6786" s="3" t="s">
        <v>1180</v>
      </c>
      <c r="D6786" s="3" t="s">
        <v>1243</v>
      </c>
      <c r="E6786" s="3" t="s">
        <v>1808</v>
      </c>
      <c r="F6786" s="3">
        <v>1.74</v>
      </c>
      <c r="G6786" s="3">
        <v>511.01</v>
      </c>
    </row>
    <row r="6787" spans="1:7" x14ac:dyDescent="0.2">
      <c r="A6787" s="3" t="s">
        <v>1788</v>
      </c>
      <c r="B6787" s="4">
        <v>44681</v>
      </c>
      <c r="C6787" s="3" t="s">
        <v>1180</v>
      </c>
      <c r="D6787" s="3" t="s">
        <v>1245</v>
      </c>
      <c r="E6787" s="3" t="s">
        <v>1809</v>
      </c>
      <c r="F6787" s="3">
        <v>-489.8</v>
      </c>
      <c r="G6787" s="3">
        <v>386.59</v>
      </c>
    </row>
    <row r="6788" spans="1:7" x14ac:dyDescent="0.2">
      <c r="A6788" s="3" t="s">
        <v>1788</v>
      </c>
      <c r="B6788" s="4">
        <v>44681</v>
      </c>
      <c r="C6788" s="3" t="s">
        <v>1180</v>
      </c>
      <c r="D6788" s="3" t="s">
        <v>1810</v>
      </c>
      <c r="E6788" s="3" t="s">
        <v>1811</v>
      </c>
      <c r="F6788" s="3">
        <v>0</v>
      </c>
      <c r="G6788" s="3">
        <v>4452.74</v>
      </c>
    </row>
    <row r="6789" spans="1:7" x14ac:dyDescent="0.2">
      <c r="A6789" s="3" t="s">
        <v>1792</v>
      </c>
      <c r="B6789" s="4">
        <v>44681</v>
      </c>
      <c r="C6789" s="3" t="s">
        <v>1180</v>
      </c>
      <c r="D6789" s="3" t="s">
        <v>1727</v>
      </c>
      <c r="E6789" s="3" t="s">
        <v>1812</v>
      </c>
      <c r="F6789" s="3">
        <v>50044.26</v>
      </c>
      <c r="G6789" s="3">
        <v>132264.39000000001</v>
      </c>
    </row>
    <row r="6790" spans="1:7" x14ac:dyDescent="0.2">
      <c r="A6790" s="3" t="s">
        <v>1799</v>
      </c>
      <c r="B6790" s="4">
        <v>44681</v>
      </c>
      <c r="C6790" s="3" t="s">
        <v>1180</v>
      </c>
      <c r="D6790" s="3" t="s">
        <v>1727</v>
      </c>
      <c r="E6790" s="3" t="s">
        <v>1814</v>
      </c>
      <c r="F6790" s="3">
        <v>-2054.9</v>
      </c>
      <c r="G6790" s="3">
        <v>723.1</v>
      </c>
    </row>
    <row r="6791" spans="1:7" x14ac:dyDescent="0.2">
      <c r="A6791" s="3" t="s">
        <v>1788</v>
      </c>
      <c r="B6791" s="4">
        <v>44712</v>
      </c>
      <c r="C6791" s="3" t="s">
        <v>1180</v>
      </c>
      <c r="D6791" s="3" t="s">
        <v>1187</v>
      </c>
      <c r="E6791" s="3" t="s">
        <v>1789</v>
      </c>
      <c r="F6791" s="3">
        <v>-8297.99</v>
      </c>
      <c r="G6791" s="3">
        <v>24426.93</v>
      </c>
    </row>
    <row r="6792" spans="1:7" x14ac:dyDescent="0.2">
      <c r="A6792" s="3" t="s">
        <v>1790</v>
      </c>
      <c r="B6792" s="4">
        <v>44712</v>
      </c>
      <c r="C6792" s="3" t="s">
        <v>1180</v>
      </c>
      <c r="D6792" s="3" t="s">
        <v>1187</v>
      </c>
      <c r="E6792" s="3" t="s">
        <v>1791</v>
      </c>
      <c r="F6792" s="3">
        <v>485.62</v>
      </c>
      <c r="G6792" s="3">
        <v>47432.87</v>
      </c>
    </row>
    <row r="6793" spans="1:7" x14ac:dyDescent="0.2">
      <c r="A6793" s="3" t="s">
        <v>1792</v>
      </c>
      <c r="B6793" s="4">
        <v>44712</v>
      </c>
      <c r="C6793" s="3" t="s">
        <v>1180</v>
      </c>
      <c r="D6793" s="3" t="s">
        <v>1187</v>
      </c>
      <c r="E6793" s="3" t="s">
        <v>1793</v>
      </c>
      <c r="F6793" s="3">
        <v>-38.57</v>
      </c>
      <c r="G6793" s="3">
        <v>152488.15</v>
      </c>
    </row>
    <row r="6794" spans="1:7" x14ac:dyDescent="0.2">
      <c r="A6794" s="3" t="s">
        <v>1794</v>
      </c>
      <c r="B6794" s="4">
        <v>44712</v>
      </c>
      <c r="C6794" s="3" t="s">
        <v>1180</v>
      </c>
      <c r="D6794" s="3" t="s">
        <v>1187</v>
      </c>
      <c r="E6794" s="3" t="s">
        <v>1795</v>
      </c>
      <c r="F6794" s="3">
        <v>20154.439999999999</v>
      </c>
      <c r="G6794" s="3">
        <v>50608.78</v>
      </c>
    </row>
    <row r="6795" spans="1:7" x14ac:dyDescent="0.2">
      <c r="A6795" s="3" t="s">
        <v>1796</v>
      </c>
      <c r="B6795" s="4">
        <v>44712</v>
      </c>
      <c r="C6795" s="3" t="s">
        <v>1180</v>
      </c>
      <c r="D6795" s="3" t="s">
        <v>1187</v>
      </c>
      <c r="E6795" s="3" t="s">
        <v>1797</v>
      </c>
      <c r="F6795" s="3">
        <v>-171.1</v>
      </c>
      <c r="G6795" s="3">
        <v>33439.410000000003</v>
      </c>
    </row>
    <row r="6796" spans="1:7" x14ac:dyDescent="0.2">
      <c r="A6796" s="3" t="s">
        <v>1094</v>
      </c>
      <c r="B6796" s="4">
        <v>44712</v>
      </c>
      <c r="C6796" s="3" t="s">
        <v>1180</v>
      </c>
      <c r="D6796" s="3" t="s">
        <v>1187</v>
      </c>
      <c r="E6796" s="3" t="s">
        <v>1798</v>
      </c>
      <c r="F6796" s="3">
        <v>403261.39</v>
      </c>
      <c r="G6796" s="3">
        <v>456429.7</v>
      </c>
    </row>
    <row r="6797" spans="1:7" x14ac:dyDescent="0.2">
      <c r="A6797" s="3" t="s">
        <v>1799</v>
      </c>
      <c r="B6797" s="4">
        <v>44712</v>
      </c>
      <c r="C6797" s="3" t="s">
        <v>1180</v>
      </c>
      <c r="D6797" s="3" t="s">
        <v>1187</v>
      </c>
      <c r="E6797" s="3" t="s">
        <v>1800</v>
      </c>
      <c r="F6797" s="3">
        <v>51907.19</v>
      </c>
      <c r="G6797" s="3">
        <v>81553.279999999999</v>
      </c>
    </row>
    <row r="6798" spans="1:7" x14ac:dyDescent="0.2">
      <c r="A6798" s="3" t="s">
        <v>1788</v>
      </c>
      <c r="B6798" s="4">
        <v>44712</v>
      </c>
      <c r="C6798" s="3" t="s">
        <v>1180</v>
      </c>
      <c r="D6798" s="3" t="s">
        <v>1801</v>
      </c>
      <c r="E6798" s="3" t="s">
        <v>1802</v>
      </c>
      <c r="F6798" s="3">
        <v>-511.88</v>
      </c>
      <c r="G6798" s="3">
        <v>332.38</v>
      </c>
    </row>
    <row r="6799" spans="1:7" x14ac:dyDescent="0.2">
      <c r="A6799" s="3" t="s">
        <v>1094</v>
      </c>
      <c r="B6799" s="4">
        <v>44712</v>
      </c>
      <c r="C6799" s="3" t="s">
        <v>1180</v>
      </c>
      <c r="D6799" s="3" t="s">
        <v>1189</v>
      </c>
      <c r="E6799" s="3" t="s">
        <v>1803</v>
      </c>
      <c r="F6799" s="3">
        <v>-1603053.6</v>
      </c>
      <c r="G6799" s="3">
        <v>707208.53</v>
      </c>
    </row>
    <row r="6800" spans="1:7" x14ac:dyDescent="0.2">
      <c r="A6800" s="3" t="s">
        <v>1799</v>
      </c>
      <c r="B6800" s="4">
        <v>44712</v>
      </c>
      <c r="C6800" s="3" t="s">
        <v>1180</v>
      </c>
      <c r="D6800" s="3" t="s">
        <v>1189</v>
      </c>
      <c r="E6800" s="3" t="s">
        <v>1804</v>
      </c>
      <c r="F6800" s="3">
        <v>-407.64</v>
      </c>
      <c r="G6800" s="3">
        <v>327.19</v>
      </c>
    </row>
    <row r="6801" spans="1:7" x14ac:dyDescent="0.2">
      <c r="A6801" s="3" t="s">
        <v>1796</v>
      </c>
      <c r="B6801" s="4">
        <v>44712</v>
      </c>
      <c r="C6801" s="3" t="s">
        <v>1180</v>
      </c>
      <c r="D6801" s="3" t="s">
        <v>1189</v>
      </c>
      <c r="E6801" s="3" t="s">
        <v>1805</v>
      </c>
      <c r="F6801" s="3">
        <v>-556.12</v>
      </c>
      <c r="G6801" s="3">
        <v>182.18</v>
      </c>
    </row>
    <row r="6802" spans="1:7" x14ac:dyDescent="0.2">
      <c r="A6802" s="3" t="s">
        <v>1792</v>
      </c>
      <c r="B6802" s="4">
        <v>44712</v>
      </c>
      <c r="C6802" s="3" t="s">
        <v>1180</v>
      </c>
      <c r="D6802" s="3" t="s">
        <v>1806</v>
      </c>
      <c r="E6802" s="3" t="s">
        <v>1807</v>
      </c>
      <c r="F6802" s="3">
        <v>-85</v>
      </c>
      <c r="G6802" s="3">
        <v>4061.21</v>
      </c>
    </row>
    <row r="6803" spans="1:7" x14ac:dyDescent="0.2">
      <c r="A6803" s="3" t="s">
        <v>1792</v>
      </c>
      <c r="B6803" s="4">
        <v>44712</v>
      </c>
      <c r="C6803" s="3" t="s">
        <v>1180</v>
      </c>
      <c r="D6803" s="3" t="s">
        <v>1243</v>
      </c>
      <c r="E6803" s="3" t="s">
        <v>1808</v>
      </c>
      <c r="F6803" s="3">
        <v>0</v>
      </c>
      <c r="G6803" s="3">
        <v>511.01</v>
      </c>
    </row>
    <row r="6804" spans="1:7" x14ac:dyDescent="0.2">
      <c r="A6804" s="3" t="s">
        <v>1788</v>
      </c>
      <c r="B6804" s="4">
        <v>44712</v>
      </c>
      <c r="C6804" s="3" t="s">
        <v>1180</v>
      </c>
      <c r="D6804" s="3" t="s">
        <v>1245</v>
      </c>
      <c r="E6804" s="3" t="s">
        <v>1809</v>
      </c>
      <c r="F6804" s="3">
        <v>581.29999999999995</v>
      </c>
      <c r="G6804" s="3">
        <v>967.89</v>
      </c>
    </row>
    <row r="6805" spans="1:7" x14ac:dyDescent="0.2">
      <c r="A6805" s="3" t="s">
        <v>1788</v>
      </c>
      <c r="B6805" s="4">
        <v>44712</v>
      </c>
      <c r="C6805" s="3" t="s">
        <v>1180</v>
      </c>
      <c r="D6805" s="3" t="s">
        <v>1810</v>
      </c>
      <c r="E6805" s="3" t="s">
        <v>1811</v>
      </c>
      <c r="F6805" s="3">
        <v>0</v>
      </c>
      <c r="G6805" s="3">
        <v>4452.74</v>
      </c>
    </row>
    <row r="6806" spans="1:7" x14ac:dyDescent="0.2">
      <c r="A6806" s="3" t="s">
        <v>1792</v>
      </c>
      <c r="B6806" s="4">
        <v>44712</v>
      </c>
      <c r="C6806" s="3" t="s">
        <v>1180</v>
      </c>
      <c r="D6806" s="3" t="s">
        <v>1727</v>
      </c>
      <c r="E6806" s="3" t="s">
        <v>1812</v>
      </c>
      <c r="F6806" s="3">
        <v>162928.32999999999</v>
      </c>
      <c r="G6806" s="3">
        <v>295192.71999999997</v>
      </c>
    </row>
    <row r="6807" spans="1:7" x14ac:dyDescent="0.2">
      <c r="A6807" s="3" t="s">
        <v>1799</v>
      </c>
      <c r="B6807" s="4">
        <v>44712</v>
      </c>
      <c r="C6807" s="3" t="s">
        <v>1180</v>
      </c>
      <c r="D6807" s="3" t="s">
        <v>1727</v>
      </c>
      <c r="E6807" s="3" t="s">
        <v>1814</v>
      </c>
      <c r="F6807" s="3">
        <v>0</v>
      </c>
      <c r="G6807" s="3">
        <v>723.1</v>
      </c>
    </row>
    <row r="6808" spans="1:7" x14ac:dyDescent="0.2">
      <c r="A6808" s="3" t="s">
        <v>1788</v>
      </c>
      <c r="B6808" s="4">
        <v>44742</v>
      </c>
      <c r="C6808" s="3" t="s">
        <v>1180</v>
      </c>
      <c r="D6808" s="3" t="s">
        <v>1187</v>
      </c>
      <c r="E6808" s="3" t="s">
        <v>1789</v>
      </c>
      <c r="F6808" s="3">
        <v>-13618.26</v>
      </c>
      <c r="G6808" s="3">
        <v>10808.67</v>
      </c>
    </row>
    <row r="6809" spans="1:7" x14ac:dyDescent="0.2">
      <c r="A6809" s="3" t="s">
        <v>1790</v>
      </c>
      <c r="B6809" s="4">
        <v>44742</v>
      </c>
      <c r="C6809" s="3" t="s">
        <v>1180</v>
      </c>
      <c r="D6809" s="3" t="s">
        <v>1187</v>
      </c>
      <c r="E6809" s="3" t="s">
        <v>1791</v>
      </c>
      <c r="F6809" s="3">
        <v>-32058.34</v>
      </c>
      <c r="G6809" s="3">
        <v>15374.53</v>
      </c>
    </row>
    <row r="6810" spans="1:7" x14ac:dyDescent="0.2">
      <c r="A6810" s="3" t="s">
        <v>1792</v>
      </c>
      <c r="B6810" s="4">
        <v>44742</v>
      </c>
      <c r="C6810" s="3" t="s">
        <v>1180</v>
      </c>
      <c r="D6810" s="3" t="s">
        <v>1187</v>
      </c>
      <c r="E6810" s="3" t="s">
        <v>1793</v>
      </c>
      <c r="F6810" s="3">
        <v>958.55</v>
      </c>
      <c r="G6810" s="3">
        <v>153446.70000000001</v>
      </c>
    </row>
    <row r="6811" spans="1:7" x14ac:dyDescent="0.2">
      <c r="A6811" s="3" t="s">
        <v>1794</v>
      </c>
      <c r="B6811" s="4">
        <v>44742</v>
      </c>
      <c r="C6811" s="3" t="s">
        <v>1180</v>
      </c>
      <c r="D6811" s="3" t="s">
        <v>1187</v>
      </c>
      <c r="E6811" s="3" t="s">
        <v>1795</v>
      </c>
      <c r="F6811" s="3">
        <v>-43596.37</v>
      </c>
      <c r="G6811" s="3">
        <v>7012.41</v>
      </c>
    </row>
    <row r="6812" spans="1:7" x14ac:dyDescent="0.2">
      <c r="A6812" s="3" t="s">
        <v>1796</v>
      </c>
      <c r="B6812" s="4">
        <v>44742</v>
      </c>
      <c r="C6812" s="3" t="s">
        <v>1180</v>
      </c>
      <c r="D6812" s="3" t="s">
        <v>1187</v>
      </c>
      <c r="E6812" s="3" t="s">
        <v>1797</v>
      </c>
      <c r="F6812" s="3">
        <v>-3814.72</v>
      </c>
      <c r="G6812" s="3">
        <v>29624.69</v>
      </c>
    </row>
    <row r="6813" spans="1:7" x14ac:dyDescent="0.2">
      <c r="A6813" s="3" t="s">
        <v>1094</v>
      </c>
      <c r="B6813" s="4">
        <v>44742</v>
      </c>
      <c r="C6813" s="3" t="s">
        <v>1180</v>
      </c>
      <c r="D6813" s="3" t="s">
        <v>1187</v>
      </c>
      <c r="E6813" s="3" t="s">
        <v>1798</v>
      </c>
      <c r="F6813" s="3">
        <v>-446475.52000000002</v>
      </c>
      <c r="G6813" s="3">
        <v>9954.18</v>
      </c>
    </row>
    <row r="6814" spans="1:7" x14ac:dyDescent="0.2">
      <c r="A6814" s="3" t="s">
        <v>1799</v>
      </c>
      <c r="B6814" s="4">
        <v>44742</v>
      </c>
      <c r="C6814" s="3" t="s">
        <v>1180</v>
      </c>
      <c r="D6814" s="3" t="s">
        <v>1187</v>
      </c>
      <c r="E6814" s="3" t="s">
        <v>1800</v>
      </c>
      <c r="F6814" s="3">
        <v>-73365.06</v>
      </c>
      <c r="G6814" s="3">
        <v>8188.22</v>
      </c>
    </row>
    <row r="6815" spans="1:7" x14ac:dyDescent="0.2">
      <c r="A6815" s="3" t="s">
        <v>1788</v>
      </c>
      <c r="B6815" s="4">
        <v>44742</v>
      </c>
      <c r="C6815" s="3" t="s">
        <v>1180</v>
      </c>
      <c r="D6815" s="3" t="s">
        <v>1801</v>
      </c>
      <c r="E6815" s="3" t="s">
        <v>1802</v>
      </c>
      <c r="F6815" s="3">
        <v>481.8</v>
      </c>
      <c r="G6815" s="3">
        <v>814.18</v>
      </c>
    </row>
    <row r="6816" spans="1:7" x14ac:dyDescent="0.2">
      <c r="A6816" s="3" t="s">
        <v>1094</v>
      </c>
      <c r="B6816" s="4">
        <v>44742</v>
      </c>
      <c r="C6816" s="3" t="s">
        <v>1180</v>
      </c>
      <c r="D6816" s="3" t="s">
        <v>1189</v>
      </c>
      <c r="E6816" s="3" t="s">
        <v>1803</v>
      </c>
      <c r="F6816" s="3">
        <v>688343.39</v>
      </c>
      <c r="G6816" s="3">
        <v>1395551.92</v>
      </c>
    </row>
    <row r="6817" spans="1:7" x14ac:dyDescent="0.2">
      <c r="A6817" s="3" t="s">
        <v>1799</v>
      </c>
      <c r="B6817" s="4">
        <v>44742</v>
      </c>
      <c r="C6817" s="3" t="s">
        <v>1180</v>
      </c>
      <c r="D6817" s="3" t="s">
        <v>1189</v>
      </c>
      <c r="E6817" s="3" t="s">
        <v>1804</v>
      </c>
      <c r="F6817" s="3">
        <v>567.08000000000004</v>
      </c>
      <c r="G6817" s="3">
        <v>894.27</v>
      </c>
    </row>
    <row r="6818" spans="1:7" x14ac:dyDescent="0.2">
      <c r="A6818" s="3" t="s">
        <v>1796</v>
      </c>
      <c r="B6818" s="4">
        <v>44742</v>
      </c>
      <c r="C6818" s="3" t="s">
        <v>1180</v>
      </c>
      <c r="D6818" s="3" t="s">
        <v>1189</v>
      </c>
      <c r="E6818" s="3" t="s">
        <v>1805</v>
      </c>
      <c r="F6818" s="3">
        <v>450.2</v>
      </c>
      <c r="G6818" s="3">
        <v>632.38</v>
      </c>
    </row>
    <row r="6819" spans="1:7" x14ac:dyDescent="0.2">
      <c r="A6819" s="3" t="s">
        <v>1792</v>
      </c>
      <c r="B6819" s="4">
        <v>44742</v>
      </c>
      <c r="C6819" s="3" t="s">
        <v>1180</v>
      </c>
      <c r="D6819" s="3" t="s">
        <v>1806</v>
      </c>
      <c r="E6819" s="3" t="s">
        <v>1807</v>
      </c>
      <c r="F6819" s="3">
        <v>-85</v>
      </c>
      <c r="G6819" s="3">
        <v>3976.21</v>
      </c>
    </row>
    <row r="6820" spans="1:7" x14ac:dyDescent="0.2">
      <c r="A6820" s="3" t="s">
        <v>1792</v>
      </c>
      <c r="B6820" s="4">
        <v>44742</v>
      </c>
      <c r="C6820" s="3" t="s">
        <v>1180</v>
      </c>
      <c r="D6820" s="3" t="s">
        <v>1243</v>
      </c>
      <c r="E6820" s="3" t="s">
        <v>1808</v>
      </c>
      <c r="F6820" s="3">
        <v>3.75</v>
      </c>
      <c r="G6820" s="3">
        <v>514.76</v>
      </c>
    </row>
    <row r="6821" spans="1:7" x14ac:dyDescent="0.2">
      <c r="A6821" s="3" t="s">
        <v>1788</v>
      </c>
      <c r="B6821" s="4">
        <v>44742</v>
      </c>
      <c r="C6821" s="3" t="s">
        <v>1180</v>
      </c>
      <c r="D6821" s="3" t="s">
        <v>1245</v>
      </c>
      <c r="E6821" s="3" t="s">
        <v>1809</v>
      </c>
      <c r="F6821" s="3">
        <v>-440.82</v>
      </c>
      <c r="G6821" s="3">
        <v>527.07000000000005</v>
      </c>
    </row>
    <row r="6822" spans="1:7" x14ac:dyDescent="0.2">
      <c r="A6822" s="3" t="s">
        <v>1788</v>
      </c>
      <c r="B6822" s="4">
        <v>44742</v>
      </c>
      <c r="C6822" s="3" t="s">
        <v>1180</v>
      </c>
      <c r="D6822" s="3" t="s">
        <v>1810</v>
      </c>
      <c r="E6822" s="3" t="s">
        <v>1811</v>
      </c>
      <c r="F6822" s="3">
        <v>54.57</v>
      </c>
      <c r="G6822" s="3">
        <v>4507.3100000000004</v>
      </c>
    </row>
    <row r="6823" spans="1:7" x14ac:dyDescent="0.2">
      <c r="A6823" s="3" t="s">
        <v>1792</v>
      </c>
      <c r="B6823" s="4">
        <v>44742</v>
      </c>
      <c r="C6823" s="3" t="s">
        <v>1180</v>
      </c>
      <c r="D6823" s="3" t="s">
        <v>1727</v>
      </c>
      <c r="E6823" s="3" t="s">
        <v>1812</v>
      </c>
      <c r="F6823" s="3">
        <v>-283395.59000000003</v>
      </c>
      <c r="G6823" s="3">
        <v>11797.13</v>
      </c>
    </row>
    <row r="6824" spans="1:7" x14ac:dyDescent="0.2">
      <c r="A6824" s="3" t="s">
        <v>1799</v>
      </c>
      <c r="B6824" s="4">
        <v>44742</v>
      </c>
      <c r="C6824" s="3" t="s">
        <v>1180</v>
      </c>
      <c r="D6824" s="3" t="s">
        <v>1727</v>
      </c>
      <c r="E6824" s="3" t="s">
        <v>1814</v>
      </c>
      <c r="F6824" s="3">
        <v>0</v>
      </c>
      <c r="G6824" s="3">
        <v>723.1</v>
      </c>
    </row>
    <row r="6825" spans="1:7" x14ac:dyDescent="0.2">
      <c r="A6825" s="3" t="s">
        <v>1788</v>
      </c>
      <c r="B6825" s="4">
        <v>44773</v>
      </c>
      <c r="C6825" s="3" t="s">
        <v>1180</v>
      </c>
      <c r="D6825" s="3" t="s">
        <v>1187</v>
      </c>
      <c r="E6825" s="3" t="s">
        <v>1789</v>
      </c>
      <c r="F6825" s="3">
        <v>26495.48</v>
      </c>
      <c r="G6825" s="3">
        <v>37304.15</v>
      </c>
    </row>
    <row r="6826" spans="1:7" x14ac:dyDescent="0.2">
      <c r="A6826" s="3" t="s">
        <v>1790</v>
      </c>
      <c r="B6826" s="4">
        <v>44773</v>
      </c>
      <c r="C6826" s="3" t="s">
        <v>1180</v>
      </c>
      <c r="D6826" s="3" t="s">
        <v>1187</v>
      </c>
      <c r="E6826" s="3" t="s">
        <v>1791</v>
      </c>
      <c r="F6826" s="3">
        <v>9477.2099999999991</v>
      </c>
      <c r="G6826" s="3">
        <v>24851.74</v>
      </c>
    </row>
    <row r="6827" spans="1:7" x14ac:dyDescent="0.2">
      <c r="A6827" s="3" t="s">
        <v>1792</v>
      </c>
      <c r="B6827" s="4">
        <v>44773</v>
      </c>
      <c r="C6827" s="3" t="s">
        <v>1180</v>
      </c>
      <c r="D6827" s="3" t="s">
        <v>1187</v>
      </c>
      <c r="E6827" s="3" t="s">
        <v>1793</v>
      </c>
      <c r="F6827" s="3">
        <v>-505.18</v>
      </c>
      <c r="G6827" s="3">
        <v>152941.51999999999</v>
      </c>
    </row>
    <row r="6828" spans="1:7" x14ac:dyDescent="0.2">
      <c r="A6828" s="3" t="s">
        <v>1794</v>
      </c>
      <c r="B6828" s="4">
        <v>44773</v>
      </c>
      <c r="C6828" s="3" t="s">
        <v>1180</v>
      </c>
      <c r="D6828" s="3" t="s">
        <v>1187</v>
      </c>
      <c r="E6828" s="3" t="s">
        <v>1795</v>
      </c>
      <c r="F6828" s="3">
        <v>43850.77</v>
      </c>
      <c r="G6828" s="3">
        <v>50863.18</v>
      </c>
    </row>
    <row r="6829" spans="1:7" x14ac:dyDescent="0.2">
      <c r="A6829" s="3" t="s">
        <v>1796</v>
      </c>
      <c r="B6829" s="4">
        <v>44773</v>
      </c>
      <c r="C6829" s="3" t="s">
        <v>1180</v>
      </c>
      <c r="D6829" s="3" t="s">
        <v>1187</v>
      </c>
      <c r="E6829" s="3" t="s">
        <v>1797</v>
      </c>
      <c r="F6829" s="3">
        <v>16737.939999999999</v>
      </c>
      <c r="G6829" s="3">
        <v>46362.63</v>
      </c>
    </row>
    <row r="6830" spans="1:7" x14ac:dyDescent="0.2">
      <c r="A6830" s="3" t="s">
        <v>1094</v>
      </c>
      <c r="B6830" s="4">
        <v>44773</v>
      </c>
      <c r="C6830" s="3" t="s">
        <v>1180</v>
      </c>
      <c r="D6830" s="3" t="s">
        <v>1187</v>
      </c>
      <c r="E6830" s="3" t="s">
        <v>1798</v>
      </c>
      <c r="F6830" s="3">
        <v>4497.1000000000004</v>
      </c>
      <c r="G6830" s="3">
        <v>14451.28</v>
      </c>
    </row>
    <row r="6831" spans="1:7" x14ac:dyDescent="0.2">
      <c r="A6831" s="3" t="s">
        <v>1799</v>
      </c>
      <c r="B6831" s="4">
        <v>44773</v>
      </c>
      <c r="C6831" s="3" t="s">
        <v>1180</v>
      </c>
      <c r="D6831" s="3" t="s">
        <v>1187</v>
      </c>
      <c r="E6831" s="3" t="s">
        <v>1800</v>
      </c>
      <c r="F6831" s="3">
        <v>22948.39</v>
      </c>
      <c r="G6831" s="3">
        <v>31136.61</v>
      </c>
    </row>
    <row r="6832" spans="1:7" x14ac:dyDescent="0.2">
      <c r="A6832" s="3" t="s">
        <v>1788</v>
      </c>
      <c r="B6832" s="4">
        <v>44773</v>
      </c>
      <c r="C6832" s="3" t="s">
        <v>1180</v>
      </c>
      <c r="D6832" s="3" t="s">
        <v>1801</v>
      </c>
      <c r="E6832" s="3" t="s">
        <v>1802</v>
      </c>
      <c r="F6832" s="3">
        <v>-40.020000000000003</v>
      </c>
      <c r="G6832" s="3">
        <v>774.16</v>
      </c>
    </row>
    <row r="6833" spans="1:7" x14ac:dyDescent="0.2">
      <c r="A6833" s="3" t="s">
        <v>1094</v>
      </c>
      <c r="B6833" s="4">
        <v>44773</v>
      </c>
      <c r="C6833" s="3" t="s">
        <v>1180</v>
      </c>
      <c r="D6833" s="3" t="s">
        <v>1189</v>
      </c>
      <c r="E6833" s="3" t="s">
        <v>1803</v>
      </c>
      <c r="F6833" s="3">
        <v>-997836.75</v>
      </c>
      <c r="G6833" s="3">
        <v>397715.17</v>
      </c>
    </row>
    <row r="6834" spans="1:7" x14ac:dyDescent="0.2">
      <c r="A6834" s="3" t="s">
        <v>1799</v>
      </c>
      <c r="B6834" s="4">
        <v>44773</v>
      </c>
      <c r="C6834" s="3" t="s">
        <v>1180</v>
      </c>
      <c r="D6834" s="3" t="s">
        <v>1189</v>
      </c>
      <c r="E6834" s="3" t="s">
        <v>1804</v>
      </c>
      <c r="F6834" s="3">
        <v>63.06</v>
      </c>
      <c r="G6834" s="3">
        <v>957.33</v>
      </c>
    </row>
    <row r="6835" spans="1:7" x14ac:dyDescent="0.2">
      <c r="A6835" s="3" t="s">
        <v>1796</v>
      </c>
      <c r="B6835" s="4">
        <v>44773</v>
      </c>
      <c r="C6835" s="3" t="s">
        <v>1180</v>
      </c>
      <c r="D6835" s="3" t="s">
        <v>1189</v>
      </c>
      <c r="E6835" s="3" t="s">
        <v>1805</v>
      </c>
      <c r="F6835" s="3">
        <v>-65.3</v>
      </c>
      <c r="G6835" s="3">
        <v>567.08000000000004</v>
      </c>
    </row>
    <row r="6836" spans="1:7" x14ac:dyDescent="0.2">
      <c r="A6836" s="3" t="s">
        <v>1792</v>
      </c>
      <c r="B6836" s="4">
        <v>44773</v>
      </c>
      <c r="C6836" s="3" t="s">
        <v>1180</v>
      </c>
      <c r="D6836" s="3" t="s">
        <v>1806</v>
      </c>
      <c r="E6836" s="3" t="s">
        <v>1807</v>
      </c>
      <c r="F6836" s="3">
        <v>-85</v>
      </c>
      <c r="G6836" s="3">
        <v>3891.21</v>
      </c>
    </row>
    <row r="6837" spans="1:7" x14ac:dyDescent="0.2">
      <c r="A6837" s="3" t="s">
        <v>1792</v>
      </c>
      <c r="B6837" s="4">
        <v>44773</v>
      </c>
      <c r="C6837" s="3" t="s">
        <v>1180</v>
      </c>
      <c r="D6837" s="3" t="s">
        <v>1243</v>
      </c>
      <c r="E6837" s="3" t="s">
        <v>1808</v>
      </c>
      <c r="F6837" s="3">
        <v>2.0299999999999998</v>
      </c>
      <c r="G6837" s="3">
        <v>516.79</v>
      </c>
    </row>
    <row r="6838" spans="1:7" x14ac:dyDescent="0.2">
      <c r="A6838" s="3" t="s">
        <v>1788</v>
      </c>
      <c r="B6838" s="4">
        <v>44773</v>
      </c>
      <c r="C6838" s="3" t="s">
        <v>1180</v>
      </c>
      <c r="D6838" s="3" t="s">
        <v>1245</v>
      </c>
      <c r="E6838" s="3" t="s">
        <v>1809</v>
      </c>
      <c r="F6838" s="3">
        <v>58.32</v>
      </c>
      <c r="G6838" s="3">
        <v>585.39</v>
      </c>
    </row>
    <row r="6839" spans="1:7" x14ac:dyDescent="0.2">
      <c r="A6839" s="3" t="s">
        <v>1788</v>
      </c>
      <c r="B6839" s="4">
        <v>44773</v>
      </c>
      <c r="C6839" s="3" t="s">
        <v>1180</v>
      </c>
      <c r="D6839" s="3" t="s">
        <v>1810</v>
      </c>
      <c r="E6839" s="3" t="s">
        <v>1811</v>
      </c>
      <c r="F6839" s="3">
        <v>19.84</v>
      </c>
      <c r="G6839" s="3">
        <v>4527.1499999999996</v>
      </c>
    </row>
    <row r="6840" spans="1:7" x14ac:dyDescent="0.2">
      <c r="A6840" s="3" t="s">
        <v>1792</v>
      </c>
      <c r="B6840" s="4">
        <v>44773</v>
      </c>
      <c r="C6840" s="3" t="s">
        <v>1180</v>
      </c>
      <c r="D6840" s="3" t="s">
        <v>1727</v>
      </c>
      <c r="E6840" s="3" t="s">
        <v>1812</v>
      </c>
      <c r="F6840" s="3">
        <v>20247.099999999999</v>
      </c>
      <c r="G6840" s="3">
        <v>32044.23</v>
      </c>
    </row>
    <row r="6841" spans="1:7" x14ac:dyDescent="0.2">
      <c r="A6841" s="3" t="s">
        <v>1799</v>
      </c>
      <c r="B6841" s="4">
        <v>44773</v>
      </c>
      <c r="C6841" s="3" t="s">
        <v>1180</v>
      </c>
      <c r="D6841" s="3" t="s">
        <v>1727</v>
      </c>
      <c r="E6841" s="3" t="s">
        <v>1814</v>
      </c>
      <c r="F6841" s="3">
        <v>1000</v>
      </c>
      <c r="G6841" s="3">
        <v>1723.1</v>
      </c>
    </row>
    <row r="6842" spans="1:7" x14ac:dyDescent="0.2">
      <c r="A6842" s="3" t="s">
        <v>1788</v>
      </c>
      <c r="B6842" s="4">
        <v>44804</v>
      </c>
      <c r="C6842" s="3" t="s">
        <v>1180</v>
      </c>
      <c r="D6842" s="3" t="s">
        <v>1187</v>
      </c>
      <c r="E6842" s="3" t="s">
        <v>1789</v>
      </c>
      <c r="F6842" s="3">
        <v>19964.05</v>
      </c>
      <c r="G6842" s="3">
        <v>57268.2</v>
      </c>
    </row>
    <row r="6843" spans="1:7" x14ac:dyDescent="0.2">
      <c r="A6843" s="3" t="s">
        <v>1790</v>
      </c>
      <c r="B6843" s="4">
        <v>44804</v>
      </c>
      <c r="C6843" s="3" t="s">
        <v>1180</v>
      </c>
      <c r="D6843" s="3" t="s">
        <v>1187</v>
      </c>
      <c r="E6843" s="3" t="s">
        <v>1791</v>
      </c>
      <c r="F6843" s="3">
        <v>5809.21</v>
      </c>
      <c r="G6843" s="3">
        <v>30660.95</v>
      </c>
    </row>
    <row r="6844" spans="1:7" x14ac:dyDescent="0.2">
      <c r="A6844" s="3" t="s">
        <v>1792</v>
      </c>
      <c r="B6844" s="4">
        <v>44804</v>
      </c>
      <c r="C6844" s="3" t="s">
        <v>1180</v>
      </c>
      <c r="D6844" s="3" t="s">
        <v>1187</v>
      </c>
      <c r="E6844" s="3" t="s">
        <v>1793</v>
      </c>
      <c r="F6844" s="3">
        <v>64.02</v>
      </c>
      <c r="G6844" s="3">
        <v>153005.54</v>
      </c>
    </row>
    <row r="6845" spans="1:7" x14ac:dyDescent="0.2">
      <c r="A6845" s="3" t="s">
        <v>1794</v>
      </c>
      <c r="B6845" s="4">
        <v>44804</v>
      </c>
      <c r="C6845" s="3" t="s">
        <v>1180</v>
      </c>
      <c r="D6845" s="3" t="s">
        <v>1187</v>
      </c>
      <c r="E6845" s="3" t="s">
        <v>1795</v>
      </c>
      <c r="F6845" s="3">
        <v>-1841.3</v>
      </c>
      <c r="G6845" s="3">
        <v>49021.88</v>
      </c>
    </row>
    <row r="6846" spans="1:7" x14ac:dyDescent="0.2">
      <c r="A6846" s="3" t="s">
        <v>1796</v>
      </c>
      <c r="B6846" s="4">
        <v>44804</v>
      </c>
      <c r="C6846" s="3" t="s">
        <v>1180</v>
      </c>
      <c r="D6846" s="3" t="s">
        <v>1187</v>
      </c>
      <c r="E6846" s="3" t="s">
        <v>1797</v>
      </c>
      <c r="F6846" s="3">
        <v>-2489.83</v>
      </c>
      <c r="G6846" s="3">
        <v>43872.800000000003</v>
      </c>
    </row>
    <row r="6847" spans="1:7" x14ac:dyDescent="0.2">
      <c r="A6847" s="3" t="s">
        <v>1094</v>
      </c>
      <c r="B6847" s="4">
        <v>44804</v>
      </c>
      <c r="C6847" s="3" t="s">
        <v>1180</v>
      </c>
      <c r="D6847" s="3" t="s">
        <v>1187</v>
      </c>
      <c r="E6847" s="3" t="s">
        <v>1798</v>
      </c>
      <c r="F6847" s="3">
        <v>98331.31</v>
      </c>
      <c r="G6847" s="3">
        <v>112782.59</v>
      </c>
    </row>
    <row r="6848" spans="1:7" x14ac:dyDescent="0.2">
      <c r="A6848" s="3" t="s">
        <v>1799</v>
      </c>
      <c r="B6848" s="4">
        <v>44804</v>
      </c>
      <c r="C6848" s="3" t="s">
        <v>1180</v>
      </c>
      <c r="D6848" s="3" t="s">
        <v>1187</v>
      </c>
      <c r="E6848" s="3" t="s">
        <v>1800</v>
      </c>
      <c r="F6848" s="3">
        <v>38780.9</v>
      </c>
      <c r="G6848" s="3">
        <v>69917.509999999995</v>
      </c>
    </row>
    <row r="6849" spans="1:7" x14ac:dyDescent="0.2">
      <c r="A6849" s="3" t="s">
        <v>1788</v>
      </c>
      <c r="B6849" s="4">
        <v>44804</v>
      </c>
      <c r="C6849" s="3" t="s">
        <v>1180</v>
      </c>
      <c r="D6849" s="3" t="s">
        <v>1801</v>
      </c>
      <c r="E6849" s="3" t="s">
        <v>1802</v>
      </c>
      <c r="F6849" s="3">
        <v>-151.34</v>
      </c>
      <c r="G6849" s="3">
        <v>622.82000000000005</v>
      </c>
    </row>
    <row r="6850" spans="1:7" x14ac:dyDescent="0.2">
      <c r="A6850" s="3" t="s">
        <v>1094</v>
      </c>
      <c r="B6850" s="4">
        <v>44804</v>
      </c>
      <c r="C6850" s="3" t="s">
        <v>1180</v>
      </c>
      <c r="D6850" s="3" t="s">
        <v>1189</v>
      </c>
      <c r="E6850" s="3" t="s">
        <v>1803</v>
      </c>
      <c r="F6850" s="3">
        <v>-395124.46</v>
      </c>
      <c r="G6850" s="3">
        <v>2590.71</v>
      </c>
    </row>
    <row r="6851" spans="1:7" x14ac:dyDescent="0.2">
      <c r="A6851" s="3" t="s">
        <v>1799</v>
      </c>
      <c r="B6851" s="4">
        <v>44804</v>
      </c>
      <c r="C6851" s="3" t="s">
        <v>1180</v>
      </c>
      <c r="D6851" s="3" t="s">
        <v>1189</v>
      </c>
      <c r="E6851" s="3" t="s">
        <v>1804</v>
      </c>
      <c r="F6851" s="3">
        <v>-76.790000000000006</v>
      </c>
      <c r="G6851" s="3">
        <v>880.54</v>
      </c>
    </row>
    <row r="6852" spans="1:7" x14ac:dyDescent="0.2">
      <c r="A6852" s="3" t="s">
        <v>1796</v>
      </c>
      <c r="B6852" s="4">
        <v>44804</v>
      </c>
      <c r="C6852" s="3" t="s">
        <v>1180</v>
      </c>
      <c r="D6852" s="3" t="s">
        <v>1189</v>
      </c>
      <c r="E6852" s="3" t="s">
        <v>1805</v>
      </c>
      <c r="F6852" s="3">
        <v>-63.98</v>
      </c>
      <c r="G6852" s="3">
        <v>503.1</v>
      </c>
    </row>
    <row r="6853" spans="1:7" x14ac:dyDescent="0.2">
      <c r="A6853" s="3" t="s">
        <v>1792</v>
      </c>
      <c r="B6853" s="4">
        <v>44804</v>
      </c>
      <c r="C6853" s="3" t="s">
        <v>1180</v>
      </c>
      <c r="D6853" s="3" t="s">
        <v>1806</v>
      </c>
      <c r="E6853" s="3" t="s">
        <v>1807</v>
      </c>
      <c r="F6853" s="3">
        <v>-85</v>
      </c>
      <c r="G6853" s="3">
        <v>3806.21</v>
      </c>
    </row>
    <row r="6854" spans="1:7" x14ac:dyDescent="0.2">
      <c r="A6854" s="3" t="s">
        <v>1792</v>
      </c>
      <c r="B6854" s="4">
        <v>44804</v>
      </c>
      <c r="C6854" s="3" t="s">
        <v>1180</v>
      </c>
      <c r="D6854" s="3" t="s">
        <v>1243</v>
      </c>
      <c r="E6854" s="3" t="s">
        <v>1808</v>
      </c>
      <c r="F6854" s="3">
        <v>2.13</v>
      </c>
      <c r="G6854" s="3">
        <v>518.91999999999996</v>
      </c>
    </row>
    <row r="6855" spans="1:7" x14ac:dyDescent="0.2">
      <c r="A6855" s="3" t="s">
        <v>1788</v>
      </c>
      <c r="B6855" s="4">
        <v>44804</v>
      </c>
      <c r="C6855" s="3" t="s">
        <v>1180</v>
      </c>
      <c r="D6855" s="3" t="s">
        <v>1245</v>
      </c>
      <c r="E6855" s="3" t="s">
        <v>1809</v>
      </c>
      <c r="F6855" s="3">
        <v>-83.02</v>
      </c>
      <c r="G6855" s="3">
        <v>502.37</v>
      </c>
    </row>
    <row r="6856" spans="1:7" x14ac:dyDescent="0.2">
      <c r="A6856" s="3" t="s">
        <v>1788</v>
      </c>
      <c r="B6856" s="4">
        <v>44804</v>
      </c>
      <c r="C6856" s="3" t="s">
        <v>1180</v>
      </c>
      <c r="D6856" s="3" t="s">
        <v>1810</v>
      </c>
      <c r="E6856" s="3" t="s">
        <v>1811</v>
      </c>
      <c r="F6856" s="3">
        <v>20.84</v>
      </c>
      <c r="G6856" s="3">
        <v>4547.99</v>
      </c>
    </row>
    <row r="6857" spans="1:7" x14ac:dyDescent="0.2">
      <c r="A6857" s="3" t="s">
        <v>1792</v>
      </c>
      <c r="B6857" s="4">
        <v>44804</v>
      </c>
      <c r="C6857" s="3" t="s">
        <v>1180</v>
      </c>
      <c r="D6857" s="3" t="s">
        <v>1727</v>
      </c>
      <c r="E6857" s="3" t="s">
        <v>1812</v>
      </c>
      <c r="F6857" s="3">
        <v>47866.39</v>
      </c>
      <c r="G6857" s="3">
        <v>79910.62</v>
      </c>
    </row>
    <row r="6858" spans="1:7" x14ac:dyDescent="0.2">
      <c r="A6858" s="3" t="s">
        <v>1799</v>
      </c>
      <c r="B6858" s="4">
        <v>44804</v>
      </c>
      <c r="C6858" s="3" t="s">
        <v>1180</v>
      </c>
      <c r="D6858" s="3" t="s">
        <v>1727</v>
      </c>
      <c r="E6858" s="3" t="s">
        <v>1814</v>
      </c>
      <c r="F6858" s="3">
        <v>-874.2</v>
      </c>
      <c r="G6858" s="3">
        <v>848.9</v>
      </c>
    </row>
    <row r="6859" spans="1:7" x14ac:dyDescent="0.2">
      <c r="A6859" s="3" t="s">
        <v>1788</v>
      </c>
      <c r="B6859" s="4">
        <v>44834</v>
      </c>
      <c r="C6859" s="3" t="s">
        <v>1180</v>
      </c>
      <c r="D6859" s="3" t="s">
        <v>1187</v>
      </c>
      <c r="E6859" s="3" t="s">
        <v>1789</v>
      </c>
      <c r="F6859" s="3">
        <v>49250.65</v>
      </c>
      <c r="G6859" s="3">
        <v>106518.85</v>
      </c>
    </row>
    <row r="6860" spans="1:7" x14ac:dyDescent="0.2">
      <c r="A6860" s="3" t="s">
        <v>1790</v>
      </c>
      <c r="B6860" s="4">
        <v>44834</v>
      </c>
      <c r="C6860" s="3" t="s">
        <v>1180</v>
      </c>
      <c r="D6860" s="3" t="s">
        <v>1187</v>
      </c>
      <c r="E6860" s="3" t="s">
        <v>1791</v>
      </c>
      <c r="F6860" s="3">
        <v>126021.11</v>
      </c>
      <c r="G6860" s="3">
        <v>156682.06</v>
      </c>
    </row>
    <row r="6861" spans="1:7" x14ac:dyDescent="0.2">
      <c r="A6861" s="3" t="s">
        <v>1792</v>
      </c>
      <c r="B6861" s="4">
        <v>44834</v>
      </c>
      <c r="C6861" s="3" t="s">
        <v>1180</v>
      </c>
      <c r="D6861" s="3" t="s">
        <v>1187</v>
      </c>
      <c r="E6861" s="3" t="s">
        <v>1793</v>
      </c>
      <c r="F6861" s="3">
        <v>-391.17</v>
      </c>
      <c r="G6861" s="3">
        <v>152614.37</v>
      </c>
    </row>
    <row r="6862" spans="1:7" x14ac:dyDescent="0.2">
      <c r="A6862" s="3" t="s">
        <v>1794</v>
      </c>
      <c r="B6862" s="4">
        <v>44834</v>
      </c>
      <c r="C6862" s="3" t="s">
        <v>1180</v>
      </c>
      <c r="D6862" s="3" t="s">
        <v>1187</v>
      </c>
      <c r="E6862" s="3" t="s">
        <v>1795</v>
      </c>
      <c r="F6862" s="3">
        <v>12108.71</v>
      </c>
      <c r="G6862" s="3">
        <v>61130.59</v>
      </c>
    </row>
    <row r="6863" spans="1:7" x14ac:dyDescent="0.2">
      <c r="A6863" s="3" t="s">
        <v>1796</v>
      </c>
      <c r="B6863" s="4">
        <v>44834</v>
      </c>
      <c r="C6863" s="3" t="s">
        <v>1180</v>
      </c>
      <c r="D6863" s="3" t="s">
        <v>1187</v>
      </c>
      <c r="E6863" s="3" t="s">
        <v>1797</v>
      </c>
      <c r="F6863" s="3">
        <v>-9216.61</v>
      </c>
      <c r="G6863" s="3">
        <v>34656.19</v>
      </c>
    </row>
    <row r="6864" spans="1:7" x14ac:dyDescent="0.2">
      <c r="A6864" s="3" t="s">
        <v>1094</v>
      </c>
      <c r="B6864" s="4">
        <v>44834</v>
      </c>
      <c r="C6864" s="3" t="s">
        <v>1180</v>
      </c>
      <c r="D6864" s="3" t="s">
        <v>1187</v>
      </c>
      <c r="E6864" s="3" t="s">
        <v>1798</v>
      </c>
      <c r="F6864" s="3">
        <v>407493.65</v>
      </c>
      <c r="G6864" s="3">
        <v>520276.24</v>
      </c>
    </row>
    <row r="6865" spans="1:7" x14ac:dyDescent="0.2">
      <c r="A6865" s="3" t="s">
        <v>1799</v>
      </c>
      <c r="B6865" s="4">
        <v>44834</v>
      </c>
      <c r="C6865" s="3" t="s">
        <v>1180</v>
      </c>
      <c r="D6865" s="3" t="s">
        <v>1187</v>
      </c>
      <c r="E6865" s="3" t="s">
        <v>1800</v>
      </c>
      <c r="F6865" s="3">
        <v>-37850.46</v>
      </c>
      <c r="G6865" s="3">
        <v>32067.05</v>
      </c>
    </row>
    <row r="6866" spans="1:7" x14ac:dyDescent="0.2">
      <c r="A6866" s="3" t="s">
        <v>1788</v>
      </c>
      <c r="B6866" s="4">
        <v>44834</v>
      </c>
      <c r="C6866" s="3" t="s">
        <v>1180</v>
      </c>
      <c r="D6866" s="3" t="s">
        <v>1801</v>
      </c>
      <c r="E6866" s="3" t="s">
        <v>1802</v>
      </c>
      <c r="F6866" s="3">
        <v>415.02</v>
      </c>
      <c r="G6866" s="3">
        <v>1037.8399999999999</v>
      </c>
    </row>
    <row r="6867" spans="1:7" x14ac:dyDescent="0.2">
      <c r="A6867" s="3" t="s">
        <v>1094</v>
      </c>
      <c r="B6867" s="4">
        <v>44834</v>
      </c>
      <c r="C6867" s="3" t="s">
        <v>1180</v>
      </c>
      <c r="D6867" s="3" t="s">
        <v>1189</v>
      </c>
      <c r="E6867" s="3" t="s">
        <v>1803</v>
      </c>
      <c r="F6867" s="3">
        <v>10.9</v>
      </c>
      <c r="G6867" s="3">
        <v>2601.61</v>
      </c>
    </row>
    <row r="6868" spans="1:7" x14ac:dyDescent="0.2">
      <c r="A6868" s="3" t="s">
        <v>1799</v>
      </c>
      <c r="B6868" s="4">
        <v>44834</v>
      </c>
      <c r="C6868" s="3" t="s">
        <v>1180</v>
      </c>
      <c r="D6868" s="3" t="s">
        <v>1189</v>
      </c>
      <c r="E6868" s="3" t="s">
        <v>1804</v>
      </c>
      <c r="F6868" s="3">
        <v>193.12</v>
      </c>
      <c r="G6868" s="3">
        <v>1073.6600000000001</v>
      </c>
    </row>
    <row r="6869" spans="1:7" x14ac:dyDescent="0.2">
      <c r="A6869" s="3" t="s">
        <v>1796</v>
      </c>
      <c r="B6869" s="4">
        <v>44834</v>
      </c>
      <c r="C6869" s="3" t="s">
        <v>1180</v>
      </c>
      <c r="D6869" s="3" t="s">
        <v>1189</v>
      </c>
      <c r="E6869" s="3" t="s">
        <v>1805</v>
      </c>
      <c r="F6869" s="3">
        <v>377.1</v>
      </c>
      <c r="G6869" s="3">
        <v>880.2</v>
      </c>
    </row>
    <row r="6870" spans="1:7" x14ac:dyDescent="0.2">
      <c r="A6870" s="3" t="s">
        <v>1792</v>
      </c>
      <c r="B6870" s="4">
        <v>44834</v>
      </c>
      <c r="C6870" s="3" t="s">
        <v>1180</v>
      </c>
      <c r="D6870" s="3" t="s">
        <v>1806</v>
      </c>
      <c r="E6870" s="3" t="s">
        <v>1807</v>
      </c>
      <c r="F6870" s="3">
        <v>-85</v>
      </c>
      <c r="G6870" s="3">
        <v>3721.21</v>
      </c>
    </row>
    <row r="6871" spans="1:7" x14ac:dyDescent="0.2">
      <c r="A6871" s="3" t="s">
        <v>1792</v>
      </c>
      <c r="B6871" s="4">
        <v>44834</v>
      </c>
      <c r="C6871" s="3" t="s">
        <v>1180</v>
      </c>
      <c r="D6871" s="3" t="s">
        <v>1243</v>
      </c>
      <c r="E6871" s="3" t="s">
        <v>1808</v>
      </c>
      <c r="F6871" s="3">
        <v>2.1800000000000002</v>
      </c>
      <c r="G6871" s="3">
        <v>521.1</v>
      </c>
    </row>
    <row r="6872" spans="1:7" x14ac:dyDescent="0.2">
      <c r="A6872" s="3" t="s">
        <v>1788</v>
      </c>
      <c r="B6872" s="4">
        <v>44834</v>
      </c>
      <c r="C6872" s="3" t="s">
        <v>1180</v>
      </c>
      <c r="D6872" s="3" t="s">
        <v>1245</v>
      </c>
      <c r="E6872" s="3" t="s">
        <v>1809</v>
      </c>
      <c r="F6872" s="3">
        <v>483.34</v>
      </c>
      <c r="G6872" s="3">
        <v>985.71</v>
      </c>
    </row>
    <row r="6873" spans="1:7" x14ac:dyDescent="0.2">
      <c r="A6873" s="3" t="s">
        <v>1788</v>
      </c>
      <c r="B6873" s="4">
        <v>44834</v>
      </c>
      <c r="C6873" s="3" t="s">
        <v>1180</v>
      </c>
      <c r="D6873" s="3" t="s">
        <v>1810</v>
      </c>
      <c r="E6873" s="3" t="s">
        <v>1811</v>
      </c>
      <c r="F6873" s="3">
        <v>0</v>
      </c>
      <c r="G6873" s="3">
        <v>4547.99</v>
      </c>
    </row>
    <row r="6874" spans="1:7" x14ac:dyDescent="0.2">
      <c r="A6874" s="3" t="s">
        <v>1792</v>
      </c>
      <c r="B6874" s="4">
        <v>44834</v>
      </c>
      <c r="C6874" s="3" t="s">
        <v>1180</v>
      </c>
      <c r="D6874" s="3" t="s">
        <v>1727</v>
      </c>
      <c r="E6874" s="3" t="s">
        <v>1812</v>
      </c>
      <c r="F6874" s="3">
        <v>101652.27</v>
      </c>
      <c r="G6874" s="3">
        <v>181562.89</v>
      </c>
    </row>
    <row r="6875" spans="1:7" x14ac:dyDescent="0.2">
      <c r="A6875" s="3" t="s">
        <v>1799</v>
      </c>
      <c r="B6875" s="4">
        <v>44834</v>
      </c>
      <c r="C6875" s="3" t="s">
        <v>1180</v>
      </c>
      <c r="D6875" s="3" t="s">
        <v>1727</v>
      </c>
      <c r="E6875" s="3" t="s">
        <v>1814</v>
      </c>
      <c r="F6875" s="3">
        <v>-250</v>
      </c>
      <c r="G6875" s="3">
        <v>598.9</v>
      </c>
    </row>
    <row r="6876" spans="1:7" x14ac:dyDescent="0.2">
      <c r="A6876" s="3" t="s">
        <v>1788</v>
      </c>
      <c r="B6876" s="4">
        <v>44865</v>
      </c>
      <c r="C6876" s="3" t="s">
        <v>1180</v>
      </c>
      <c r="D6876" s="3" t="s">
        <v>1187</v>
      </c>
      <c r="E6876" s="3" t="s">
        <v>1789</v>
      </c>
      <c r="F6876" s="3">
        <v>-41341.71</v>
      </c>
      <c r="G6876" s="3">
        <v>65177.14</v>
      </c>
    </row>
    <row r="6877" spans="1:7" x14ac:dyDescent="0.2">
      <c r="A6877" s="3" t="s">
        <v>1790</v>
      </c>
      <c r="B6877" s="4">
        <v>44865</v>
      </c>
      <c r="C6877" s="3" t="s">
        <v>1180</v>
      </c>
      <c r="D6877" s="3" t="s">
        <v>1187</v>
      </c>
      <c r="E6877" s="3" t="s">
        <v>1791</v>
      </c>
      <c r="F6877" s="3">
        <v>42120.71</v>
      </c>
      <c r="G6877" s="3">
        <v>198802.77</v>
      </c>
    </row>
    <row r="6878" spans="1:7" x14ac:dyDescent="0.2">
      <c r="A6878" s="3" t="s">
        <v>1792</v>
      </c>
      <c r="B6878" s="4">
        <v>44865</v>
      </c>
      <c r="C6878" s="3" t="s">
        <v>1180</v>
      </c>
      <c r="D6878" s="3" t="s">
        <v>1187</v>
      </c>
      <c r="E6878" s="3" t="s">
        <v>1793</v>
      </c>
      <c r="F6878" s="3">
        <v>590.04</v>
      </c>
      <c r="G6878" s="3">
        <v>153204.41</v>
      </c>
    </row>
    <row r="6879" spans="1:7" x14ac:dyDescent="0.2">
      <c r="A6879" s="3" t="s">
        <v>1794</v>
      </c>
      <c r="B6879" s="4">
        <v>44865</v>
      </c>
      <c r="C6879" s="3" t="s">
        <v>1180</v>
      </c>
      <c r="D6879" s="3" t="s">
        <v>1187</v>
      </c>
      <c r="E6879" s="3" t="s">
        <v>1795</v>
      </c>
      <c r="F6879" s="3">
        <v>39013.74</v>
      </c>
      <c r="G6879" s="3">
        <v>100144.33</v>
      </c>
    </row>
    <row r="6880" spans="1:7" x14ac:dyDescent="0.2">
      <c r="A6880" s="3" t="s">
        <v>1796</v>
      </c>
      <c r="B6880" s="4">
        <v>44865</v>
      </c>
      <c r="C6880" s="3" t="s">
        <v>1180</v>
      </c>
      <c r="D6880" s="3" t="s">
        <v>1187</v>
      </c>
      <c r="E6880" s="3" t="s">
        <v>1797</v>
      </c>
      <c r="F6880" s="3">
        <v>25344.73</v>
      </c>
      <c r="G6880" s="3">
        <v>60000.92</v>
      </c>
    </row>
    <row r="6881" spans="1:7" x14ac:dyDescent="0.2">
      <c r="A6881" s="3" t="s">
        <v>1094</v>
      </c>
      <c r="B6881" s="4">
        <v>44865</v>
      </c>
      <c r="C6881" s="3" t="s">
        <v>1180</v>
      </c>
      <c r="D6881" s="3" t="s">
        <v>1187</v>
      </c>
      <c r="E6881" s="3" t="s">
        <v>1798</v>
      </c>
      <c r="F6881" s="3">
        <v>-271130.25</v>
      </c>
      <c r="G6881" s="3">
        <v>249145.99</v>
      </c>
    </row>
    <row r="6882" spans="1:7" x14ac:dyDescent="0.2">
      <c r="A6882" s="3" t="s">
        <v>1799</v>
      </c>
      <c r="B6882" s="4">
        <v>44865</v>
      </c>
      <c r="C6882" s="3" t="s">
        <v>1180</v>
      </c>
      <c r="D6882" s="3" t="s">
        <v>1187</v>
      </c>
      <c r="E6882" s="3" t="s">
        <v>1800</v>
      </c>
      <c r="F6882" s="3">
        <v>44219.33</v>
      </c>
      <c r="G6882" s="3">
        <v>76286.38</v>
      </c>
    </row>
    <row r="6883" spans="1:7" x14ac:dyDescent="0.2">
      <c r="A6883" s="3" t="s">
        <v>1788</v>
      </c>
      <c r="B6883" s="4">
        <v>44865</v>
      </c>
      <c r="C6883" s="3" t="s">
        <v>1180</v>
      </c>
      <c r="D6883" s="3" t="s">
        <v>1801</v>
      </c>
      <c r="E6883" s="3" t="s">
        <v>1802</v>
      </c>
      <c r="F6883" s="3">
        <v>-73.06</v>
      </c>
      <c r="G6883" s="3">
        <v>964.78</v>
      </c>
    </row>
    <row r="6884" spans="1:7" x14ac:dyDescent="0.2">
      <c r="A6884" s="3" t="s">
        <v>1094</v>
      </c>
      <c r="B6884" s="4">
        <v>44865</v>
      </c>
      <c r="C6884" s="3" t="s">
        <v>1180</v>
      </c>
      <c r="D6884" s="3" t="s">
        <v>1189</v>
      </c>
      <c r="E6884" s="3" t="s">
        <v>1803</v>
      </c>
      <c r="F6884" s="3">
        <v>12.63</v>
      </c>
      <c r="G6884" s="3">
        <v>2614.2399999999998</v>
      </c>
    </row>
    <row r="6885" spans="1:7" x14ac:dyDescent="0.2">
      <c r="A6885" s="3" t="s">
        <v>1799</v>
      </c>
      <c r="B6885" s="4">
        <v>44865</v>
      </c>
      <c r="C6885" s="3" t="s">
        <v>1180</v>
      </c>
      <c r="D6885" s="3" t="s">
        <v>1189</v>
      </c>
      <c r="E6885" s="3" t="s">
        <v>1804</v>
      </c>
      <c r="F6885" s="3">
        <v>-2.62</v>
      </c>
      <c r="G6885" s="3">
        <v>1071.04</v>
      </c>
    </row>
    <row r="6886" spans="1:7" x14ac:dyDescent="0.2">
      <c r="A6886" s="3" t="s">
        <v>1796</v>
      </c>
      <c r="B6886" s="4">
        <v>44865</v>
      </c>
      <c r="C6886" s="3" t="s">
        <v>1180</v>
      </c>
      <c r="D6886" s="3" t="s">
        <v>1189</v>
      </c>
      <c r="E6886" s="3" t="s">
        <v>1805</v>
      </c>
      <c r="F6886" s="3">
        <v>-71.48</v>
      </c>
      <c r="G6886" s="3">
        <v>808.72</v>
      </c>
    </row>
    <row r="6887" spans="1:7" x14ac:dyDescent="0.2">
      <c r="A6887" s="3" t="s">
        <v>1792</v>
      </c>
      <c r="B6887" s="4">
        <v>44865</v>
      </c>
      <c r="C6887" s="3" t="s">
        <v>1180</v>
      </c>
      <c r="D6887" s="3" t="s">
        <v>1806</v>
      </c>
      <c r="E6887" s="3" t="s">
        <v>1807</v>
      </c>
      <c r="F6887" s="3">
        <v>-85</v>
      </c>
      <c r="G6887" s="3">
        <v>3636.21</v>
      </c>
    </row>
    <row r="6888" spans="1:7" x14ac:dyDescent="0.2">
      <c r="A6888" s="3" t="s">
        <v>1792</v>
      </c>
      <c r="B6888" s="4">
        <v>44865</v>
      </c>
      <c r="C6888" s="3" t="s">
        <v>1180</v>
      </c>
      <c r="D6888" s="3" t="s">
        <v>1243</v>
      </c>
      <c r="E6888" s="3" t="s">
        <v>1808</v>
      </c>
      <c r="F6888" s="3">
        <v>2.54</v>
      </c>
      <c r="G6888" s="3">
        <v>523.64</v>
      </c>
    </row>
    <row r="6889" spans="1:7" x14ac:dyDescent="0.2">
      <c r="A6889" s="3" t="s">
        <v>1788</v>
      </c>
      <c r="B6889" s="4">
        <v>44865</v>
      </c>
      <c r="C6889" s="3" t="s">
        <v>1180</v>
      </c>
      <c r="D6889" s="3" t="s">
        <v>1245</v>
      </c>
      <c r="E6889" s="3" t="s">
        <v>1809</v>
      </c>
      <c r="F6889" s="3">
        <v>-9.48</v>
      </c>
      <c r="G6889" s="3">
        <v>976.23</v>
      </c>
    </row>
    <row r="6890" spans="1:7" x14ac:dyDescent="0.2">
      <c r="A6890" s="3" t="s">
        <v>1788</v>
      </c>
      <c r="B6890" s="4">
        <v>44865</v>
      </c>
      <c r="C6890" s="3" t="s">
        <v>1180</v>
      </c>
      <c r="D6890" s="3" t="s">
        <v>1810</v>
      </c>
      <c r="E6890" s="3" t="s">
        <v>1811</v>
      </c>
      <c r="F6890" s="3">
        <v>45.78</v>
      </c>
      <c r="G6890" s="3">
        <v>4593.7700000000004</v>
      </c>
    </row>
    <row r="6891" spans="1:7" x14ac:dyDescent="0.2">
      <c r="A6891" s="3" t="s">
        <v>1792</v>
      </c>
      <c r="B6891" s="4">
        <v>44865</v>
      </c>
      <c r="C6891" s="3" t="s">
        <v>1180</v>
      </c>
      <c r="D6891" s="3" t="s">
        <v>1727</v>
      </c>
      <c r="E6891" s="3" t="s">
        <v>1812</v>
      </c>
      <c r="F6891" s="3">
        <v>-71656.97</v>
      </c>
      <c r="G6891" s="3">
        <v>109905.92</v>
      </c>
    </row>
    <row r="6892" spans="1:7" x14ac:dyDescent="0.2">
      <c r="A6892" s="3" t="s">
        <v>1799</v>
      </c>
      <c r="B6892" s="4">
        <v>44865</v>
      </c>
      <c r="C6892" s="3" t="s">
        <v>1180</v>
      </c>
      <c r="D6892" s="3" t="s">
        <v>1727</v>
      </c>
      <c r="E6892" s="3" t="s">
        <v>1814</v>
      </c>
      <c r="F6892" s="3">
        <v>0</v>
      </c>
      <c r="G6892" s="3">
        <v>598.9</v>
      </c>
    </row>
    <row r="6893" spans="1:7" x14ac:dyDescent="0.2">
      <c r="A6893" s="3" t="s">
        <v>1788</v>
      </c>
      <c r="B6893" s="4">
        <v>44895</v>
      </c>
      <c r="C6893" s="3" t="s">
        <v>1180</v>
      </c>
      <c r="D6893" s="3" t="s">
        <v>1187</v>
      </c>
      <c r="E6893" s="3" t="s">
        <v>1789</v>
      </c>
      <c r="F6893" s="3">
        <v>936.73</v>
      </c>
      <c r="G6893" s="3">
        <v>66113.87</v>
      </c>
    </row>
    <row r="6894" spans="1:7" x14ac:dyDescent="0.2">
      <c r="A6894" s="3" t="s">
        <v>1790</v>
      </c>
      <c r="B6894" s="4">
        <v>44895</v>
      </c>
      <c r="C6894" s="3" t="s">
        <v>1180</v>
      </c>
      <c r="D6894" s="3" t="s">
        <v>1187</v>
      </c>
      <c r="E6894" s="3" t="s">
        <v>1791</v>
      </c>
      <c r="F6894" s="3">
        <v>104630.44</v>
      </c>
      <c r="G6894" s="3">
        <v>303433.21000000002</v>
      </c>
    </row>
    <row r="6895" spans="1:7" x14ac:dyDescent="0.2">
      <c r="A6895" s="3" t="s">
        <v>1792</v>
      </c>
      <c r="B6895" s="4">
        <v>44895</v>
      </c>
      <c r="C6895" s="3" t="s">
        <v>1180</v>
      </c>
      <c r="D6895" s="3" t="s">
        <v>1187</v>
      </c>
      <c r="E6895" s="3" t="s">
        <v>1793</v>
      </c>
      <c r="F6895" s="3">
        <v>599.66</v>
      </c>
      <c r="G6895" s="3">
        <v>153804.07</v>
      </c>
    </row>
    <row r="6896" spans="1:7" x14ac:dyDescent="0.2">
      <c r="A6896" s="3" t="s">
        <v>1794</v>
      </c>
      <c r="B6896" s="4">
        <v>44895</v>
      </c>
      <c r="C6896" s="3" t="s">
        <v>1180</v>
      </c>
      <c r="D6896" s="3" t="s">
        <v>1187</v>
      </c>
      <c r="E6896" s="3" t="s">
        <v>1795</v>
      </c>
      <c r="F6896" s="3">
        <v>-17549.09</v>
      </c>
      <c r="G6896" s="3">
        <v>82595.240000000005</v>
      </c>
    </row>
    <row r="6897" spans="1:7" x14ac:dyDescent="0.2">
      <c r="A6897" s="3" t="s">
        <v>1796</v>
      </c>
      <c r="B6897" s="4">
        <v>44895</v>
      </c>
      <c r="C6897" s="3" t="s">
        <v>1180</v>
      </c>
      <c r="D6897" s="3" t="s">
        <v>1187</v>
      </c>
      <c r="E6897" s="3" t="s">
        <v>1797</v>
      </c>
      <c r="F6897" s="3">
        <v>-12376.1</v>
      </c>
      <c r="G6897" s="3">
        <v>47624.82</v>
      </c>
    </row>
    <row r="6898" spans="1:7" x14ac:dyDescent="0.2">
      <c r="A6898" s="3" t="s">
        <v>1094</v>
      </c>
      <c r="B6898" s="4">
        <v>44895</v>
      </c>
      <c r="C6898" s="3" t="s">
        <v>1180</v>
      </c>
      <c r="D6898" s="3" t="s">
        <v>1187</v>
      </c>
      <c r="E6898" s="3" t="s">
        <v>1798</v>
      </c>
      <c r="F6898" s="3">
        <v>116087.34</v>
      </c>
      <c r="G6898" s="3">
        <v>365233.33</v>
      </c>
    </row>
    <row r="6899" spans="1:7" x14ac:dyDescent="0.2">
      <c r="A6899" s="3" t="s">
        <v>1799</v>
      </c>
      <c r="B6899" s="4">
        <v>44895</v>
      </c>
      <c r="C6899" s="3" t="s">
        <v>1180</v>
      </c>
      <c r="D6899" s="3" t="s">
        <v>1187</v>
      </c>
      <c r="E6899" s="3" t="s">
        <v>1800</v>
      </c>
      <c r="F6899" s="3">
        <v>6571.48</v>
      </c>
      <c r="G6899" s="3">
        <v>82857.86</v>
      </c>
    </row>
    <row r="6900" spans="1:7" x14ac:dyDescent="0.2">
      <c r="A6900" s="3" t="s">
        <v>1788</v>
      </c>
      <c r="B6900" s="4">
        <v>44895</v>
      </c>
      <c r="C6900" s="3" t="s">
        <v>1180</v>
      </c>
      <c r="D6900" s="3" t="s">
        <v>1801</v>
      </c>
      <c r="E6900" s="3" t="s">
        <v>1802</v>
      </c>
      <c r="F6900" s="3">
        <v>-71.48</v>
      </c>
      <c r="G6900" s="3">
        <v>893.3</v>
      </c>
    </row>
    <row r="6901" spans="1:7" x14ac:dyDescent="0.2">
      <c r="A6901" s="3" t="s">
        <v>1094</v>
      </c>
      <c r="B6901" s="4">
        <v>44895</v>
      </c>
      <c r="C6901" s="3" t="s">
        <v>1180</v>
      </c>
      <c r="D6901" s="3" t="s">
        <v>1189</v>
      </c>
      <c r="E6901" s="3" t="s">
        <v>1803</v>
      </c>
      <c r="F6901" s="3">
        <v>0</v>
      </c>
      <c r="G6901" s="3">
        <v>2614.2399999999998</v>
      </c>
    </row>
    <row r="6902" spans="1:7" x14ac:dyDescent="0.2">
      <c r="A6902" s="3" t="s">
        <v>1799</v>
      </c>
      <c r="B6902" s="4">
        <v>44895</v>
      </c>
      <c r="C6902" s="3" t="s">
        <v>1180</v>
      </c>
      <c r="D6902" s="3" t="s">
        <v>1189</v>
      </c>
      <c r="E6902" s="3" t="s">
        <v>1804</v>
      </c>
      <c r="F6902" s="3">
        <v>150116.53</v>
      </c>
      <c r="G6902" s="3">
        <v>151187.57</v>
      </c>
    </row>
    <row r="6903" spans="1:7" x14ac:dyDescent="0.2">
      <c r="A6903" s="3" t="s">
        <v>1796</v>
      </c>
      <c r="B6903" s="4">
        <v>44895</v>
      </c>
      <c r="C6903" s="3" t="s">
        <v>1180</v>
      </c>
      <c r="D6903" s="3" t="s">
        <v>1189</v>
      </c>
      <c r="E6903" s="3" t="s">
        <v>1805</v>
      </c>
      <c r="F6903" s="3">
        <v>-73.06</v>
      </c>
      <c r="G6903" s="3">
        <v>735.66</v>
      </c>
    </row>
    <row r="6904" spans="1:7" x14ac:dyDescent="0.2">
      <c r="A6904" s="3" t="s">
        <v>1792</v>
      </c>
      <c r="B6904" s="4">
        <v>44895</v>
      </c>
      <c r="C6904" s="3" t="s">
        <v>1180</v>
      </c>
      <c r="D6904" s="3" t="s">
        <v>1806</v>
      </c>
      <c r="E6904" s="3" t="s">
        <v>1807</v>
      </c>
      <c r="F6904" s="3">
        <v>0</v>
      </c>
      <c r="G6904" s="3">
        <v>3636.21</v>
      </c>
    </row>
    <row r="6905" spans="1:7" x14ac:dyDescent="0.2">
      <c r="A6905" s="3" t="s">
        <v>1792</v>
      </c>
      <c r="B6905" s="4">
        <v>44895</v>
      </c>
      <c r="C6905" s="3" t="s">
        <v>1180</v>
      </c>
      <c r="D6905" s="3" t="s">
        <v>1243</v>
      </c>
      <c r="E6905" s="3" t="s">
        <v>1808</v>
      </c>
      <c r="F6905" s="3">
        <v>0</v>
      </c>
      <c r="G6905" s="3">
        <v>523.64</v>
      </c>
    </row>
    <row r="6906" spans="1:7" x14ac:dyDescent="0.2">
      <c r="A6906" s="3" t="s">
        <v>1788</v>
      </c>
      <c r="B6906" s="4">
        <v>44895</v>
      </c>
      <c r="C6906" s="3" t="s">
        <v>1180</v>
      </c>
      <c r="D6906" s="3" t="s">
        <v>1245</v>
      </c>
      <c r="E6906" s="3" t="s">
        <v>1809</v>
      </c>
      <c r="F6906" s="3">
        <v>-11.06</v>
      </c>
      <c r="G6906" s="3">
        <v>965.17</v>
      </c>
    </row>
    <row r="6907" spans="1:7" x14ac:dyDescent="0.2">
      <c r="A6907" s="3" t="s">
        <v>1788</v>
      </c>
      <c r="B6907" s="4">
        <v>44895</v>
      </c>
      <c r="C6907" s="3" t="s">
        <v>1180</v>
      </c>
      <c r="D6907" s="3" t="s">
        <v>1810</v>
      </c>
      <c r="E6907" s="3" t="s">
        <v>1811</v>
      </c>
      <c r="F6907" s="3">
        <v>0</v>
      </c>
      <c r="G6907" s="3">
        <v>4593.7700000000004</v>
      </c>
    </row>
    <row r="6908" spans="1:7" x14ac:dyDescent="0.2">
      <c r="A6908" s="3" t="s">
        <v>1792</v>
      </c>
      <c r="B6908" s="4">
        <v>44895</v>
      </c>
      <c r="C6908" s="3" t="s">
        <v>1180</v>
      </c>
      <c r="D6908" s="3" t="s">
        <v>1727</v>
      </c>
      <c r="E6908" s="3" t="s">
        <v>1812</v>
      </c>
      <c r="F6908" s="3">
        <v>6905.25</v>
      </c>
      <c r="G6908" s="3">
        <v>116811.17</v>
      </c>
    </row>
    <row r="6909" spans="1:7" x14ac:dyDescent="0.2">
      <c r="A6909" s="3" t="s">
        <v>1799</v>
      </c>
      <c r="B6909" s="4">
        <v>44895</v>
      </c>
      <c r="C6909" s="3" t="s">
        <v>1180</v>
      </c>
      <c r="D6909" s="3" t="s">
        <v>1727</v>
      </c>
      <c r="E6909" s="3" t="s">
        <v>1814</v>
      </c>
      <c r="F6909" s="3">
        <v>-250</v>
      </c>
      <c r="G6909" s="3">
        <v>348.9</v>
      </c>
    </row>
    <row r="6910" spans="1:7" x14ac:dyDescent="0.2">
      <c r="A6910" s="3" t="s">
        <v>1788</v>
      </c>
      <c r="B6910" s="4">
        <v>44926</v>
      </c>
      <c r="C6910" s="3" t="s">
        <v>1180</v>
      </c>
      <c r="D6910" s="3" t="s">
        <v>1187</v>
      </c>
      <c r="E6910" s="3" t="s">
        <v>1789</v>
      </c>
      <c r="F6910" s="3">
        <v>-29577.74</v>
      </c>
      <c r="G6910" s="3">
        <v>36536.129999999997</v>
      </c>
    </row>
    <row r="6911" spans="1:7" x14ac:dyDescent="0.2">
      <c r="A6911" s="3" t="s">
        <v>1790</v>
      </c>
      <c r="B6911" s="4">
        <v>44926</v>
      </c>
      <c r="C6911" s="3" t="s">
        <v>1180</v>
      </c>
      <c r="D6911" s="3" t="s">
        <v>1187</v>
      </c>
      <c r="E6911" s="3" t="s">
        <v>1791</v>
      </c>
      <c r="F6911" s="3">
        <v>-286826.82</v>
      </c>
      <c r="G6911" s="3">
        <v>16606.39</v>
      </c>
    </row>
    <row r="6912" spans="1:7" x14ac:dyDescent="0.2">
      <c r="A6912" s="3" t="s">
        <v>1792</v>
      </c>
      <c r="B6912" s="4">
        <v>44926</v>
      </c>
      <c r="C6912" s="3" t="s">
        <v>1180</v>
      </c>
      <c r="D6912" s="3" t="s">
        <v>1187</v>
      </c>
      <c r="E6912" s="3" t="s">
        <v>1793</v>
      </c>
      <c r="F6912" s="3">
        <v>697.46</v>
      </c>
      <c r="G6912" s="3">
        <v>154501.53</v>
      </c>
    </row>
    <row r="6913" spans="1:7" x14ac:dyDescent="0.2">
      <c r="A6913" s="3" t="s">
        <v>1794</v>
      </c>
      <c r="B6913" s="4">
        <v>44926</v>
      </c>
      <c r="C6913" s="3" t="s">
        <v>1180</v>
      </c>
      <c r="D6913" s="3" t="s">
        <v>1187</v>
      </c>
      <c r="E6913" s="3" t="s">
        <v>1795</v>
      </c>
      <c r="F6913" s="3">
        <v>-36425.339999999997</v>
      </c>
      <c r="G6913" s="3">
        <v>46169.9</v>
      </c>
    </row>
    <row r="6914" spans="1:7" x14ac:dyDescent="0.2">
      <c r="A6914" s="3" t="s">
        <v>1796</v>
      </c>
      <c r="B6914" s="4">
        <v>44926</v>
      </c>
      <c r="C6914" s="3" t="s">
        <v>1180</v>
      </c>
      <c r="D6914" s="3" t="s">
        <v>1187</v>
      </c>
      <c r="E6914" s="3" t="s">
        <v>1797</v>
      </c>
      <c r="F6914" s="3">
        <v>23551.97</v>
      </c>
      <c r="G6914" s="3">
        <v>71176.789999999994</v>
      </c>
    </row>
    <row r="6915" spans="1:7" x14ac:dyDescent="0.2">
      <c r="A6915" s="3" t="s">
        <v>1094</v>
      </c>
      <c r="B6915" s="4">
        <v>44926</v>
      </c>
      <c r="C6915" s="3" t="s">
        <v>1180</v>
      </c>
      <c r="D6915" s="3" t="s">
        <v>1187</v>
      </c>
      <c r="E6915" s="3" t="s">
        <v>1798</v>
      </c>
      <c r="F6915" s="3">
        <v>-342424.79</v>
      </c>
      <c r="G6915" s="3">
        <v>22808.54</v>
      </c>
    </row>
    <row r="6916" spans="1:7" x14ac:dyDescent="0.2">
      <c r="A6916" s="3" t="s">
        <v>1799</v>
      </c>
      <c r="B6916" s="4">
        <v>44926</v>
      </c>
      <c r="C6916" s="3" t="s">
        <v>1180</v>
      </c>
      <c r="D6916" s="3" t="s">
        <v>1187</v>
      </c>
      <c r="E6916" s="3" t="s">
        <v>1800</v>
      </c>
      <c r="F6916" s="3">
        <v>-48153.13</v>
      </c>
      <c r="G6916" s="3">
        <v>34704.730000000003</v>
      </c>
    </row>
    <row r="6917" spans="1:7" x14ac:dyDescent="0.2">
      <c r="A6917" s="3" t="s">
        <v>1788</v>
      </c>
      <c r="B6917" s="4">
        <v>44926</v>
      </c>
      <c r="C6917" s="3" t="s">
        <v>1180</v>
      </c>
      <c r="D6917" s="3" t="s">
        <v>1801</v>
      </c>
      <c r="E6917" s="3" t="s">
        <v>1802</v>
      </c>
      <c r="F6917" s="3">
        <v>-73.06</v>
      </c>
      <c r="G6917" s="3">
        <v>820.24</v>
      </c>
    </row>
    <row r="6918" spans="1:7" x14ac:dyDescent="0.2">
      <c r="A6918" s="3" t="s">
        <v>1094</v>
      </c>
      <c r="B6918" s="4">
        <v>44926</v>
      </c>
      <c r="C6918" s="3" t="s">
        <v>1180</v>
      </c>
      <c r="D6918" s="3" t="s">
        <v>1189</v>
      </c>
      <c r="E6918" s="3" t="s">
        <v>1803</v>
      </c>
      <c r="F6918" s="3">
        <v>0</v>
      </c>
      <c r="G6918" s="3">
        <v>2614.2399999999998</v>
      </c>
    </row>
    <row r="6919" spans="1:7" x14ac:dyDescent="0.2">
      <c r="A6919" s="3" t="s">
        <v>1799</v>
      </c>
      <c r="B6919" s="4">
        <v>44926</v>
      </c>
      <c r="C6919" s="3" t="s">
        <v>1180</v>
      </c>
      <c r="D6919" s="3" t="s">
        <v>1189</v>
      </c>
      <c r="E6919" s="3" t="s">
        <v>1804</v>
      </c>
      <c r="F6919" s="3">
        <v>-149870.89000000001</v>
      </c>
      <c r="G6919" s="3">
        <v>1316.68</v>
      </c>
    </row>
    <row r="6920" spans="1:7" x14ac:dyDescent="0.2">
      <c r="A6920" s="3" t="s">
        <v>1796</v>
      </c>
      <c r="B6920" s="4">
        <v>44926</v>
      </c>
      <c r="C6920" s="3" t="s">
        <v>1180</v>
      </c>
      <c r="D6920" s="3" t="s">
        <v>1189</v>
      </c>
      <c r="E6920" s="3" t="s">
        <v>1805</v>
      </c>
      <c r="F6920" s="3">
        <v>-76.22</v>
      </c>
      <c r="G6920" s="3">
        <v>659.44</v>
      </c>
    </row>
    <row r="6921" spans="1:7" x14ac:dyDescent="0.2">
      <c r="A6921" s="3" t="s">
        <v>1792</v>
      </c>
      <c r="B6921" s="4">
        <v>44926</v>
      </c>
      <c r="C6921" s="3" t="s">
        <v>1180</v>
      </c>
      <c r="D6921" s="3" t="s">
        <v>1806</v>
      </c>
      <c r="E6921" s="3" t="s">
        <v>1807</v>
      </c>
      <c r="F6921" s="3">
        <v>0</v>
      </c>
      <c r="G6921" s="3">
        <v>3636.21</v>
      </c>
    </row>
    <row r="6922" spans="1:7" x14ac:dyDescent="0.2">
      <c r="A6922" s="3" t="s">
        <v>1794</v>
      </c>
      <c r="B6922" s="4">
        <v>44926</v>
      </c>
      <c r="C6922" s="3" t="s">
        <v>1180</v>
      </c>
      <c r="D6922" s="3" t="s">
        <v>1435</v>
      </c>
      <c r="E6922" s="3" t="s">
        <v>1815</v>
      </c>
      <c r="F6922" s="3">
        <v>52</v>
      </c>
      <c r="G6922" s="3">
        <v>52</v>
      </c>
    </row>
    <row r="6923" spans="1:7" x14ac:dyDescent="0.2">
      <c r="A6923" s="3" t="s">
        <v>1792</v>
      </c>
      <c r="B6923" s="4">
        <v>44926</v>
      </c>
      <c r="C6923" s="3" t="s">
        <v>1180</v>
      </c>
      <c r="D6923" s="3" t="s">
        <v>1243</v>
      </c>
      <c r="E6923" s="3" t="s">
        <v>1808</v>
      </c>
      <c r="F6923" s="3">
        <v>0</v>
      </c>
      <c r="G6923" s="3">
        <v>523.64</v>
      </c>
    </row>
    <row r="6924" spans="1:7" x14ac:dyDescent="0.2">
      <c r="A6924" s="3" t="s">
        <v>1788</v>
      </c>
      <c r="B6924" s="4">
        <v>44926</v>
      </c>
      <c r="C6924" s="3" t="s">
        <v>1180</v>
      </c>
      <c r="D6924" s="3" t="s">
        <v>1245</v>
      </c>
      <c r="E6924" s="3" t="s">
        <v>1809</v>
      </c>
      <c r="F6924" s="3">
        <v>-7.9</v>
      </c>
      <c r="G6924" s="3">
        <v>957.27</v>
      </c>
    </row>
    <row r="6925" spans="1:7" x14ac:dyDescent="0.2">
      <c r="A6925" s="3" t="s">
        <v>1788</v>
      </c>
      <c r="B6925" s="4">
        <v>44926</v>
      </c>
      <c r="C6925" s="3" t="s">
        <v>1180</v>
      </c>
      <c r="D6925" s="3" t="s">
        <v>1810</v>
      </c>
      <c r="E6925" s="3" t="s">
        <v>1811</v>
      </c>
      <c r="F6925" s="3">
        <v>0</v>
      </c>
      <c r="G6925" s="3">
        <v>4593.7700000000004</v>
      </c>
    </row>
    <row r="6926" spans="1:7" x14ac:dyDescent="0.2">
      <c r="A6926" s="3" t="s">
        <v>1792</v>
      </c>
      <c r="B6926" s="4">
        <v>44926</v>
      </c>
      <c r="C6926" s="3" t="s">
        <v>1180</v>
      </c>
      <c r="D6926" s="3" t="s">
        <v>1727</v>
      </c>
      <c r="E6926" s="3" t="s">
        <v>1812</v>
      </c>
      <c r="F6926" s="3">
        <v>59735.32</v>
      </c>
      <c r="G6926" s="3">
        <v>176546.49</v>
      </c>
    </row>
    <row r="6927" spans="1:7" x14ac:dyDescent="0.2">
      <c r="A6927" s="3" t="s">
        <v>1799</v>
      </c>
      <c r="B6927" s="4">
        <v>44926</v>
      </c>
      <c r="C6927" s="3" t="s">
        <v>1180</v>
      </c>
      <c r="D6927" s="3" t="s">
        <v>1727</v>
      </c>
      <c r="E6927" s="3" t="s">
        <v>1814</v>
      </c>
      <c r="F6927" s="3">
        <v>0</v>
      </c>
      <c r="G6927" s="3">
        <v>348.9</v>
      </c>
    </row>
    <row r="6928" spans="1:7" x14ac:dyDescent="0.2">
      <c r="A6928" s="3" t="s">
        <v>1788</v>
      </c>
      <c r="B6928" s="4">
        <v>44957</v>
      </c>
      <c r="C6928" s="3" t="s">
        <v>1180</v>
      </c>
      <c r="D6928" s="3" t="s">
        <v>1187</v>
      </c>
      <c r="E6928" s="3" t="s">
        <v>1789</v>
      </c>
      <c r="F6928" s="3">
        <v>52593.01</v>
      </c>
      <c r="G6928" s="3">
        <v>89129.14</v>
      </c>
    </row>
    <row r="6929" spans="1:7" x14ac:dyDescent="0.2">
      <c r="A6929" s="3" t="s">
        <v>1790</v>
      </c>
      <c r="B6929" s="4">
        <v>44957</v>
      </c>
      <c r="C6929" s="3" t="s">
        <v>1180</v>
      </c>
      <c r="D6929" s="3" t="s">
        <v>1187</v>
      </c>
      <c r="E6929" s="3" t="s">
        <v>1791</v>
      </c>
      <c r="F6929" s="3">
        <v>175681.76</v>
      </c>
      <c r="G6929" s="3">
        <v>192288.15</v>
      </c>
    </row>
    <row r="6930" spans="1:7" x14ac:dyDescent="0.2">
      <c r="A6930" s="3" t="s">
        <v>1792</v>
      </c>
      <c r="B6930" s="4">
        <v>44957</v>
      </c>
      <c r="C6930" s="3" t="s">
        <v>1180</v>
      </c>
      <c r="D6930" s="3" t="s">
        <v>1187</v>
      </c>
      <c r="E6930" s="3" t="s">
        <v>1793</v>
      </c>
      <c r="F6930" s="3">
        <v>709.13</v>
      </c>
      <c r="G6930" s="3">
        <v>155210.66</v>
      </c>
    </row>
    <row r="6931" spans="1:7" x14ac:dyDescent="0.2">
      <c r="A6931" s="3" t="s">
        <v>1794</v>
      </c>
      <c r="B6931" s="4">
        <v>44957</v>
      </c>
      <c r="C6931" s="3" t="s">
        <v>1180</v>
      </c>
      <c r="D6931" s="3" t="s">
        <v>1187</v>
      </c>
      <c r="E6931" s="3" t="s">
        <v>1795</v>
      </c>
      <c r="F6931" s="3">
        <v>27508.28</v>
      </c>
      <c r="G6931" s="3">
        <v>73678.179999999993</v>
      </c>
    </row>
    <row r="6932" spans="1:7" x14ac:dyDescent="0.2">
      <c r="A6932" s="3" t="s">
        <v>1796</v>
      </c>
      <c r="B6932" s="4">
        <v>44957</v>
      </c>
      <c r="C6932" s="3" t="s">
        <v>1180</v>
      </c>
      <c r="D6932" s="3" t="s">
        <v>1187</v>
      </c>
      <c r="E6932" s="3" t="s">
        <v>1797</v>
      </c>
      <c r="F6932" s="3">
        <v>-8732.1200000000008</v>
      </c>
      <c r="G6932" s="3">
        <v>62444.67</v>
      </c>
    </row>
    <row r="6933" spans="1:7" x14ac:dyDescent="0.2">
      <c r="A6933" s="3" t="s">
        <v>1094</v>
      </c>
      <c r="B6933" s="4">
        <v>44957</v>
      </c>
      <c r="C6933" s="3" t="s">
        <v>1180</v>
      </c>
      <c r="D6933" s="3" t="s">
        <v>1187</v>
      </c>
      <c r="E6933" s="3" t="s">
        <v>1798</v>
      </c>
      <c r="F6933" s="3">
        <v>-15596.96</v>
      </c>
      <c r="G6933" s="3">
        <v>7211.58</v>
      </c>
    </row>
    <row r="6934" spans="1:7" x14ac:dyDescent="0.2">
      <c r="A6934" s="3" t="s">
        <v>1799</v>
      </c>
      <c r="B6934" s="4">
        <v>44957</v>
      </c>
      <c r="C6934" s="3" t="s">
        <v>1180</v>
      </c>
      <c r="D6934" s="3" t="s">
        <v>1187</v>
      </c>
      <c r="E6934" s="3" t="s">
        <v>1800</v>
      </c>
      <c r="F6934" s="3">
        <v>84388.02</v>
      </c>
      <c r="G6934" s="3">
        <v>119092.75</v>
      </c>
    </row>
    <row r="6935" spans="1:7" x14ac:dyDescent="0.2">
      <c r="A6935" s="3" t="s">
        <v>1788</v>
      </c>
      <c r="B6935" s="4">
        <v>44957</v>
      </c>
      <c r="C6935" s="3" t="s">
        <v>1180</v>
      </c>
      <c r="D6935" s="3" t="s">
        <v>1801</v>
      </c>
      <c r="E6935" s="3" t="s">
        <v>1802</v>
      </c>
      <c r="F6935" s="3">
        <v>-63.58</v>
      </c>
      <c r="G6935" s="3">
        <v>756.66</v>
      </c>
    </row>
    <row r="6936" spans="1:7" x14ac:dyDescent="0.2">
      <c r="A6936" s="3" t="s">
        <v>1094</v>
      </c>
      <c r="B6936" s="4">
        <v>44957</v>
      </c>
      <c r="C6936" s="3" t="s">
        <v>1180</v>
      </c>
      <c r="D6936" s="3" t="s">
        <v>1189</v>
      </c>
      <c r="E6936" s="3" t="s">
        <v>1803</v>
      </c>
      <c r="F6936" s="3">
        <v>0</v>
      </c>
      <c r="G6936" s="3">
        <v>2614.2399999999998</v>
      </c>
    </row>
    <row r="6937" spans="1:7" x14ac:dyDescent="0.2">
      <c r="A6937" s="3" t="s">
        <v>1799</v>
      </c>
      <c r="B6937" s="4">
        <v>44957</v>
      </c>
      <c r="C6937" s="3" t="s">
        <v>1180</v>
      </c>
      <c r="D6937" s="3" t="s">
        <v>1189</v>
      </c>
      <c r="E6937" s="3" t="s">
        <v>1804</v>
      </c>
      <c r="F6937" s="3">
        <v>119.8</v>
      </c>
      <c r="G6937" s="3">
        <v>1436.48</v>
      </c>
    </row>
    <row r="6938" spans="1:7" x14ac:dyDescent="0.2">
      <c r="A6938" s="3" t="s">
        <v>1796</v>
      </c>
      <c r="B6938" s="4">
        <v>44957</v>
      </c>
      <c r="C6938" s="3" t="s">
        <v>1180</v>
      </c>
      <c r="D6938" s="3" t="s">
        <v>1189</v>
      </c>
      <c r="E6938" s="3" t="s">
        <v>1805</v>
      </c>
      <c r="F6938" s="3">
        <v>-69.900000000000006</v>
      </c>
      <c r="G6938" s="3">
        <v>589.54</v>
      </c>
    </row>
    <row r="6939" spans="1:7" x14ac:dyDescent="0.2">
      <c r="A6939" s="3" t="s">
        <v>1792</v>
      </c>
      <c r="B6939" s="4">
        <v>44957</v>
      </c>
      <c r="C6939" s="3" t="s">
        <v>1180</v>
      </c>
      <c r="D6939" s="3" t="s">
        <v>1806</v>
      </c>
      <c r="E6939" s="3" t="s">
        <v>1807</v>
      </c>
      <c r="F6939" s="3">
        <v>-255</v>
      </c>
      <c r="G6939" s="3">
        <v>3381.21</v>
      </c>
    </row>
    <row r="6940" spans="1:7" x14ac:dyDescent="0.2">
      <c r="A6940" s="3" t="s">
        <v>1794</v>
      </c>
      <c r="B6940" s="4">
        <v>44957</v>
      </c>
      <c r="C6940" s="3" t="s">
        <v>1180</v>
      </c>
      <c r="D6940" s="3" t="s">
        <v>1435</v>
      </c>
      <c r="E6940" s="3" t="s">
        <v>1815</v>
      </c>
      <c r="F6940" s="3">
        <v>0</v>
      </c>
      <c r="G6940" s="3">
        <v>52</v>
      </c>
    </row>
    <row r="6941" spans="1:7" x14ac:dyDescent="0.2">
      <c r="A6941" s="3" t="s">
        <v>1792</v>
      </c>
      <c r="B6941" s="4">
        <v>44957</v>
      </c>
      <c r="C6941" s="3" t="s">
        <v>1180</v>
      </c>
      <c r="D6941" s="3" t="s">
        <v>1243</v>
      </c>
      <c r="E6941" s="3" t="s">
        <v>1808</v>
      </c>
      <c r="F6941" s="3">
        <v>0</v>
      </c>
      <c r="G6941" s="3">
        <v>523.64</v>
      </c>
    </row>
    <row r="6942" spans="1:7" x14ac:dyDescent="0.2">
      <c r="A6942" s="3" t="s">
        <v>1788</v>
      </c>
      <c r="B6942" s="4">
        <v>44957</v>
      </c>
      <c r="C6942" s="3" t="s">
        <v>1180</v>
      </c>
      <c r="D6942" s="3" t="s">
        <v>1245</v>
      </c>
      <c r="E6942" s="3" t="s">
        <v>1809</v>
      </c>
      <c r="F6942" s="3">
        <v>-4.74</v>
      </c>
      <c r="G6942" s="3">
        <v>952.53</v>
      </c>
    </row>
    <row r="6943" spans="1:7" x14ac:dyDescent="0.2">
      <c r="A6943" s="3" t="s">
        <v>1788</v>
      </c>
      <c r="B6943" s="4">
        <v>44957</v>
      </c>
      <c r="C6943" s="3" t="s">
        <v>1180</v>
      </c>
      <c r="D6943" s="3" t="s">
        <v>1810</v>
      </c>
      <c r="E6943" s="3" t="s">
        <v>1811</v>
      </c>
      <c r="F6943" s="3">
        <v>82.35</v>
      </c>
      <c r="G6943" s="3">
        <v>4676.12</v>
      </c>
    </row>
    <row r="6944" spans="1:7" x14ac:dyDescent="0.2">
      <c r="A6944" s="3" t="s">
        <v>1792</v>
      </c>
      <c r="B6944" s="4">
        <v>44957</v>
      </c>
      <c r="C6944" s="3" t="s">
        <v>1180</v>
      </c>
      <c r="D6944" s="3" t="s">
        <v>1727</v>
      </c>
      <c r="E6944" s="3" t="s">
        <v>1812</v>
      </c>
      <c r="F6944" s="3">
        <v>-143578.94</v>
      </c>
      <c r="G6944" s="3">
        <v>32967.550000000003</v>
      </c>
    </row>
    <row r="6945" spans="1:7" x14ac:dyDescent="0.2">
      <c r="A6945" s="3" t="s">
        <v>1799</v>
      </c>
      <c r="B6945" s="4">
        <v>44957</v>
      </c>
      <c r="C6945" s="3" t="s">
        <v>1180</v>
      </c>
      <c r="D6945" s="3" t="s">
        <v>1727</v>
      </c>
      <c r="E6945" s="3" t="s">
        <v>1814</v>
      </c>
      <c r="F6945" s="3">
        <v>-270</v>
      </c>
      <c r="G6945" s="3">
        <v>78.900000000000006</v>
      </c>
    </row>
    <row r="6946" spans="1:7" x14ac:dyDescent="0.2">
      <c r="A6946" s="3" t="s">
        <v>1788</v>
      </c>
      <c r="B6946" s="4">
        <v>44985</v>
      </c>
      <c r="C6946" s="3" t="s">
        <v>1180</v>
      </c>
      <c r="D6946" s="3" t="s">
        <v>1187</v>
      </c>
      <c r="E6946" s="3" t="s">
        <v>1789</v>
      </c>
      <c r="F6946" s="3">
        <v>-41659.279999999999</v>
      </c>
      <c r="G6946" s="3">
        <v>47469.86</v>
      </c>
    </row>
    <row r="6947" spans="1:7" x14ac:dyDescent="0.2">
      <c r="A6947" s="3" t="s">
        <v>1790</v>
      </c>
      <c r="B6947" s="4">
        <v>44985</v>
      </c>
      <c r="C6947" s="3" t="s">
        <v>1180</v>
      </c>
      <c r="D6947" s="3" t="s">
        <v>1187</v>
      </c>
      <c r="E6947" s="3" t="s">
        <v>1791</v>
      </c>
      <c r="F6947" s="3">
        <v>-100773.5</v>
      </c>
      <c r="G6947" s="3">
        <v>91514.65</v>
      </c>
    </row>
    <row r="6948" spans="1:7" x14ac:dyDescent="0.2">
      <c r="A6948" s="3" t="s">
        <v>1792</v>
      </c>
      <c r="B6948" s="4">
        <v>44985</v>
      </c>
      <c r="C6948" s="3" t="s">
        <v>1180</v>
      </c>
      <c r="D6948" s="3" t="s">
        <v>1187</v>
      </c>
      <c r="E6948" s="3" t="s">
        <v>1793</v>
      </c>
      <c r="F6948" s="3">
        <v>663.2</v>
      </c>
      <c r="G6948" s="3">
        <v>155873.85999999999</v>
      </c>
    </row>
    <row r="6949" spans="1:7" x14ac:dyDescent="0.2">
      <c r="A6949" s="3" t="s">
        <v>1794</v>
      </c>
      <c r="B6949" s="4">
        <v>44985</v>
      </c>
      <c r="C6949" s="3" t="s">
        <v>1180</v>
      </c>
      <c r="D6949" s="3" t="s">
        <v>1187</v>
      </c>
      <c r="E6949" s="3" t="s">
        <v>1795</v>
      </c>
      <c r="F6949" s="3">
        <v>-46229.11</v>
      </c>
      <c r="G6949" s="3">
        <v>27449.07</v>
      </c>
    </row>
    <row r="6950" spans="1:7" x14ac:dyDescent="0.2">
      <c r="A6950" s="3" t="s">
        <v>1796</v>
      </c>
      <c r="B6950" s="4">
        <v>44985</v>
      </c>
      <c r="C6950" s="3" t="s">
        <v>1180</v>
      </c>
      <c r="D6950" s="3" t="s">
        <v>1187</v>
      </c>
      <c r="E6950" s="3" t="s">
        <v>1797</v>
      </c>
      <c r="F6950" s="3">
        <v>-22795.95</v>
      </c>
      <c r="G6950" s="3">
        <v>39648.720000000001</v>
      </c>
    </row>
    <row r="6951" spans="1:7" x14ac:dyDescent="0.2">
      <c r="A6951" s="3" t="s">
        <v>1094</v>
      </c>
      <c r="B6951" s="4">
        <v>44985</v>
      </c>
      <c r="C6951" s="3" t="s">
        <v>1180</v>
      </c>
      <c r="D6951" s="3" t="s">
        <v>1187</v>
      </c>
      <c r="E6951" s="3" t="s">
        <v>1798</v>
      </c>
      <c r="F6951" s="3">
        <v>22377.13</v>
      </c>
      <c r="G6951" s="3">
        <v>29588.71</v>
      </c>
    </row>
    <row r="6952" spans="1:7" x14ac:dyDescent="0.2">
      <c r="A6952" s="3" t="s">
        <v>1799</v>
      </c>
      <c r="B6952" s="4">
        <v>44985</v>
      </c>
      <c r="C6952" s="3" t="s">
        <v>1180</v>
      </c>
      <c r="D6952" s="3" t="s">
        <v>1187</v>
      </c>
      <c r="E6952" s="3" t="s">
        <v>1800</v>
      </c>
      <c r="F6952" s="3">
        <v>-109777.32</v>
      </c>
      <c r="G6952" s="3">
        <v>9315.43</v>
      </c>
    </row>
    <row r="6953" spans="1:7" x14ac:dyDescent="0.2">
      <c r="A6953" s="3" t="s">
        <v>1788</v>
      </c>
      <c r="B6953" s="4">
        <v>44985</v>
      </c>
      <c r="C6953" s="3" t="s">
        <v>1180</v>
      </c>
      <c r="D6953" s="3" t="s">
        <v>1801</v>
      </c>
      <c r="E6953" s="3" t="s">
        <v>1802</v>
      </c>
      <c r="F6953" s="3">
        <v>-71.400000000000006</v>
      </c>
      <c r="G6953" s="3">
        <v>685.26</v>
      </c>
    </row>
    <row r="6954" spans="1:7" x14ac:dyDescent="0.2">
      <c r="A6954" s="3" t="s">
        <v>1094</v>
      </c>
      <c r="B6954" s="4">
        <v>44985</v>
      </c>
      <c r="C6954" s="3" t="s">
        <v>1180</v>
      </c>
      <c r="D6954" s="3" t="s">
        <v>1189</v>
      </c>
      <c r="E6954" s="3" t="s">
        <v>1803</v>
      </c>
      <c r="F6954" s="3">
        <v>57.49</v>
      </c>
      <c r="G6954" s="3">
        <v>2671.73</v>
      </c>
    </row>
    <row r="6955" spans="1:7" x14ac:dyDescent="0.2">
      <c r="A6955" s="3" t="s">
        <v>1799</v>
      </c>
      <c r="B6955" s="4">
        <v>44985</v>
      </c>
      <c r="C6955" s="3" t="s">
        <v>1180</v>
      </c>
      <c r="D6955" s="3" t="s">
        <v>1189</v>
      </c>
      <c r="E6955" s="3" t="s">
        <v>1804</v>
      </c>
      <c r="F6955" s="3">
        <v>-1.66</v>
      </c>
      <c r="G6955" s="3">
        <v>1434.82</v>
      </c>
    </row>
    <row r="6956" spans="1:7" x14ac:dyDescent="0.2">
      <c r="A6956" s="3" t="s">
        <v>1796</v>
      </c>
      <c r="B6956" s="4">
        <v>44985</v>
      </c>
      <c r="C6956" s="3" t="s">
        <v>1180</v>
      </c>
      <c r="D6956" s="3" t="s">
        <v>1189</v>
      </c>
      <c r="E6956" s="3" t="s">
        <v>1805</v>
      </c>
      <c r="F6956" s="3">
        <v>-15.8</v>
      </c>
      <c r="G6956" s="3">
        <v>573.74</v>
      </c>
    </row>
    <row r="6957" spans="1:7" x14ac:dyDescent="0.2">
      <c r="A6957" s="3" t="s">
        <v>1792</v>
      </c>
      <c r="B6957" s="4">
        <v>44985</v>
      </c>
      <c r="C6957" s="3" t="s">
        <v>1180</v>
      </c>
      <c r="D6957" s="3" t="s">
        <v>1806</v>
      </c>
      <c r="E6957" s="3" t="s">
        <v>1807</v>
      </c>
      <c r="F6957" s="3">
        <v>-85</v>
      </c>
      <c r="G6957" s="3">
        <v>3296.21</v>
      </c>
    </row>
    <row r="6958" spans="1:7" x14ac:dyDescent="0.2">
      <c r="A6958" s="3" t="s">
        <v>1794</v>
      </c>
      <c r="B6958" s="4">
        <v>44985</v>
      </c>
      <c r="C6958" s="3" t="s">
        <v>1180</v>
      </c>
      <c r="D6958" s="3" t="s">
        <v>1435</v>
      </c>
      <c r="E6958" s="3" t="s">
        <v>1815</v>
      </c>
      <c r="F6958" s="3">
        <v>0</v>
      </c>
      <c r="G6958" s="3">
        <v>52</v>
      </c>
    </row>
    <row r="6959" spans="1:7" x14ac:dyDescent="0.2">
      <c r="A6959" s="3" t="s">
        <v>1792</v>
      </c>
      <c r="B6959" s="4">
        <v>44985</v>
      </c>
      <c r="C6959" s="3" t="s">
        <v>1180</v>
      </c>
      <c r="D6959" s="3" t="s">
        <v>1243</v>
      </c>
      <c r="E6959" s="3" t="s">
        <v>1808</v>
      </c>
      <c r="F6959" s="3">
        <v>11.51</v>
      </c>
      <c r="G6959" s="3">
        <v>535.15</v>
      </c>
    </row>
    <row r="6960" spans="1:7" x14ac:dyDescent="0.2">
      <c r="A6960" s="3" t="s">
        <v>1788</v>
      </c>
      <c r="B6960" s="4">
        <v>44985</v>
      </c>
      <c r="C6960" s="3" t="s">
        <v>1180</v>
      </c>
      <c r="D6960" s="3" t="s">
        <v>1245</v>
      </c>
      <c r="E6960" s="3" t="s">
        <v>1809</v>
      </c>
      <c r="F6960" s="3">
        <v>-9.48</v>
      </c>
      <c r="G6960" s="3">
        <v>943.05</v>
      </c>
    </row>
    <row r="6961" spans="1:7" x14ac:dyDescent="0.2">
      <c r="A6961" s="3" t="s">
        <v>1788</v>
      </c>
      <c r="B6961" s="4">
        <v>44985</v>
      </c>
      <c r="C6961" s="3" t="s">
        <v>1180</v>
      </c>
      <c r="D6961" s="3" t="s">
        <v>1810</v>
      </c>
      <c r="E6961" s="3" t="s">
        <v>1811</v>
      </c>
      <c r="F6961" s="3">
        <v>0</v>
      </c>
      <c r="G6961" s="3">
        <v>4676.12</v>
      </c>
    </row>
    <row r="6962" spans="1:7" x14ac:dyDescent="0.2">
      <c r="A6962" s="3" t="s">
        <v>1792</v>
      </c>
      <c r="B6962" s="4">
        <v>44985</v>
      </c>
      <c r="C6962" s="3" t="s">
        <v>1180</v>
      </c>
      <c r="D6962" s="3" t="s">
        <v>1727</v>
      </c>
      <c r="E6962" s="3" t="s">
        <v>1812</v>
      </c>
      <c r="F6962" s="3">
        <v>84244.800000000003</v>
      </c>
      <c r="G6962" s="3">
        <v>117212.35</v>
      </c>
    </row>
    <row r="6963" spans="1:7" x14ac:dyDescent="0.2">
      <c r="A6963" s="3" t="s">
        <v>1799</v>
      </c>
      <c r="B6963" s="4">
        <v>44985</v>
      </c>
      <c r="C6963" s="3" t="s">
        <v>1180</v>
      </c>
      <c r="D6963" s="3" t="s">
        <v>1727</v>
      </c>
      <c r="E6963" s="3" t="s">
        <v>1814</v>
      </c>
      <c r="F6963" s="3">
        <v>258.3</v>
      </c>
      <c r="G6963" s="3">
        <v>337.2</v>
      </c>
    </row>
    <row r="6964" spans="1:7" x14ac:dyDescent="0.2">
      <c r="A6964" s="3" t="s">
        <v>1788</v>
      </c>
      <c r="B6964" s="4">
        <v>45016</v>
      </c>
      <c r="C6964" s="3" t="s">
        <v>1180</v>
      </c>
      <c r="D6964" s="3" t="s">
        <v>1187</v>
      </c>
      <c r="E6964" s="3" t="s">
        <v>1789</v>
      </c>
      <c r="F6964" s="3">
        <v>2033923.76</v>
      </c>
      <c r="G6964" s="3">
        <v>2081393.62</v>
      </c>
    </row>
    <row r="6965" spans="1:7" x14ac:dyDescent="0.2">
      <c r="A6965" s="3" t="s">
        <v>1790</v>
      </c>
      <c r="B6965" s="4">
        <v>45016</v>
      </c>
      <c r="C6965" s="3" t="s">
        <v>1180</v>
      </c>
      <c r="D6965" s="3" t="s">
        <v>1187</v>
      </c>
      <c r="E6965" s="3" t="s">
        <v>1791</v>
      </c>
      <c r="F6965" s="3">
        <v>-33794.81</v>
      </c>
      <c r="G6965" s="3">
        <v>57719.839999999997</v>
      </c>
    </row>
    <row r="6966" spans="1:7" x14ac:dyDescent="0.2">
      <c r="A6966" s="3" t="s">
        <v>1792</v>
      </c>
      <c r="B6966" s="4">
        <v>45016</v>
      </c>
      <c r="C6966" s="3" t="s">
        <v>1180</v>
      </c>
      <c r="D6966" s="3" t="s">
        <v>1187</v>
      </c>
      <c r="E6966" s="3" t="s">
        <v>1793</v>
      </c>
      <c r="F6966" s="3">
        <v>-270.77999999999997</v>
      </c>
      <c r="G6966" s="3">
        <v>155603.07999999999</v>
      </c>
    </row>
    <row r="6967" spans="1:7" x14ac:dyDescent="0.2">
      <c r="A6967" s="3" t="s">
        <v>1794</v>
      </c>
      <c r="B6967" s="4">
        <v>45016</v>
      </c>
      <c r="C6967" s="3" t="s">
        <v>1180</v>
      </c>
      <c r="D6967" s="3" t="s">
        <v>1187</v>
      </c>
      <c r="E6967" s="3" t="s">
        <v>1795</v>
      </c>
      <c r="F6967" s="3">
        <v>26829.31</v>
      </c>
      <c r="G6967" s="3">
        <v>54278.38</v>
      </c>
    </row>
    <row r="6968" spans="1:7" x14ac:dyDescent="0.2">
      <c r="A6968" s="3" t="s">
        <v>1796</v>
      </c>
      <c r="B6968" s="4">
        <v>45016</v>
      </c>
      <c r="C6968" s="3" t="s">
        <v>1180</v>
      </c>
      <c r="D6968" s="3" t="s">
        <v>1187</v>
      </c>
      <c r="E6968" s="3" t="s">
        <v>1797</v>
      </c>
      <c r="F6968" s="3">
        <v>6161.47</v>
      </c>
      <c r="G6968" s="3">
        <v>45810.19</v>
      </c>
    </row>
    <row r="6969" spans="1:7" x14ac:dyDescent="0.2">
      <c r="A6969" s="3" t="s">
        <v>1094</v>
      </c>
      <c r="B6969" s="4">
        <v>45016</v>
      </c>
      <c r="C6969" s="3" t="s">
        <v>1180</v>
      </c>
      <c r="D6969" s="3" t="s">
        <v>1187</v>
      </c>
      <c r="E6969" s="3" t="s">
        <v>1798</v>
      </c>
      <c r="F6969" s="3">
        <v>-14410.27</v>
      </c>
      <c r="G6969" s="3">
        <v>15178.44</v>
      </c>
    </row>
    <row r="6970" spans="1:7" x14ac:dyDescent="0.2">
      <c r="A6970" s="3" t="s">
        <v>1799</v>
      </c>
      <c r="B6970" s="4">
        <v>45016</v>
      </c>
      <c r="C6970" s="3" t="s">
        <v>1180</v>
      </c>
      <c r="D6970" s="3" t="s">
        <v>1187</v>
      </c>
      <c r="E6970" s="3" t="s">
        <v>1800</v>
      </c>
      <c r="F6970" s="3">
        <v>110997.11</v>
      </c>
      <c r="G6970" s="3">
        <v>120312.54</v>
      </c>
    </row>
    <row r="6971" spans="1:7" x14ac:dyDescent="0.2">
      <c r="A6971" s="3" t="s">
        <v>1788</v>
      </c>
      <c r="B6971" s="4">
        <v>45016</v>
      </c>
      <c r="C6971" s="3" t="s">
        <v>1180</v>
      </c>
      <c r="D6971" s="3" t="s">
        <v>1801</v>
      </c>
      <c r="E6971" s="3" t="s">
        <v>1802</v>
      </c>
      <c r="F6971" s="3">
        <v>0</v>
      </c>
      <c r="G6971" s="3">
        <v>685.26</v>
      </c>
    </row>
    <row r="6972" spans="1:7" x14ac:dyDescent="0.2">
      <c r="A6972" s="3" t="s">
        <v>1094</v>
      </c>
      <c r="B6972" s="4">
        <v>45016</v>
      </c>
      <c r="C6972" s="3" t="s">
        <v>1180</v>
      </c>
      <c r="D6972" s="3" t="s">
        <v>1189</v>
      </c>
      <c r="E6972" s="3" t="s">
        <v>1803</v>
      </c>
      <c r="F6972" s="3">
        <v>16.73</v>
      </c>
      <c r="G6972" s="3">
        <v>2688.46</v>
      </c>
    </row>
    <row r="6973" spans="1:7" x14ac:dyDescent="0.2">
      <c r="A6973" s="3" t="s">
        <v>1799</v>
      </c>
      <c r="B6973" s="4">
        <v>45016</v>
      </c>
      <c r="C6973" s="3" t="s">
        <v>1180</v>
      </c>
      <c r="D6973" s="3" t="s">
        <v>1189</v>
      </c>
      <c r="E6973" s="3" t="s">
        <v>1804</v>
      </c>
      <c r="F6973" s="3">
        <v>0</v>
      </c>
      <c r="G6973" s="3">
        <v>1434.82</v>
      </c>
    </row>
    <row r="6974" spans="1:7" x14ac:dyDescent="0.2">
      <c r="A6974" s="3" t="s">
        <v>1796</v>
      </c>
      <c r="B6974" s="4">
        <v>45016</v>
      </c>
      <c r="C6974" s="3" t="s">
        <v>1180</v>
      </c>
      <c r="D6974" s="3" t="s">
        <v>1189</v>
      </c>
      <c r="E6974" s="3" t="s">
        <v>1805</v>
      </c>
      <c r="F6974" s="3">
        <v>-61.9</v>
      </c>
      <c r="G6974" s="3">
        <v>511.84</v>
      </c>
    </row>
    <row r="6975" spans="1:7" x14ac:dyDescent="0.2">
      <c r="A6975" s="3" t="s">
        <v>1792</v>
      </c>
      <c r="B6975" s="4">
        <v>45016</v>
      </c>
      <c r="C6975" s="3" t="s">
        <v>1180</v>
      </c>
      <c r="D6975" s="3" t="s">
        <v>1806</v>
      </c>
      <c r="E6975" s="3" t="s">
        <v>1807</v>
      </c>
      <c r="F6975" s="3">
        <v>-85</v>
      </c>
      <c r="G6975" s="3">
        <v>3211.21</v>
      </c>
    </row>
    <row r="6976" spans="1:7" x14ac:dyDescent="0.2">
      <c r="A6976" s="3" t="s">
        <v>1794</v>
      </c>
      <c r="B6976" s="4">
        <v>45016</v>
      </c>
      <c r="C6976" s="3" t="s">
        <v>1180</v>
      </c>
      <c r="D6976" s="3" t="s">
        <v>1435</v>
      </c>
      <c r="E6976" s="3" t="s">
        <v>1815</v>
      </c>
      <c r="F6976" s="3">
        <v>52</v>
      </c>
      <c r="G6976" s="3">
        <v>104</v>
      </c>
    </row>
    <row r="6977" spans="1:7" x14ac:dyDescent="0.2">
      <c r="A6977" s="3" t="s">
        <v>1792</v>
      </c>
      <c r="B6977" s="4">
        <v>45016</v>
      </c>
      <c r="C6977" s="3" t="s">
        <v>1180</v>
      </c>
      <c r="D6977" s="3" t="s">
        <v>1243</v>
      </c>
      <c r="E6977" s="3" t="s">
        <v>1808</v>
      </c>
      <c r="F6977" s="3">
        <v>3.35</v>
      </c>
      <c r="G6977" s="3">
        <v>538.5</v>
      </c>
    </row>
    <row r="6978" spans="1:7" x14ac:dyDescent="0.2">
      <c r="A6978" s="3" t="s">
        <v>1788</v>
      </c>
      <c r="B6978" s="4">
        <v>45016</v>
      </c>
      <c r="C6978" s="3" t="s">
        <v>1180</v>
      </c>
      <c r="D6978" s="3" t="s">
        <v>1245</v>
      </c>
      <c r="E6978" s="3" t="s">
        <v>1809</v>
      </c>
      <c r="F6978" s="3">
        <v>0</v>
      </c>
      <c r="G6978" s="3">
        <v>943.05</v>
      </c>
    </row>
    <row r="6979" spans="1:7" x14ac:dyDescent="0.2">
      <c r="A6979" s="3" t="s">
        <v>1788</v>
      </c>
      <c r="B6979" s="4">
        <v>45016</v>
      </c>
      <c r="C6979" s="3" t="s">
        <v>1180</v>
      </c>
      <c r="D6979" s="3" t="s">
        <v>1810</v>
      </c>
      <c r="E6979" s="3" t="s">
        <v>1811</v>
      </c>
      <c r="F6979" s="3">
        <v>59.26</v>
      </c>
      <c r="G6979" s="3">
        <v>4735.38</v>
      </c>
    </row>
    <row r="6980" spans="1:7" x14ac:dyDescent="0.2">
      <c r="A6980" s="3" t="s">
        <v>1792</v>
      </c>
      <c r="B6980" s="4">
        <v>45016</v>
      </c>
      <c r="C6980" s="3" t="s">
        <v>1180</v>
      </c>
      <c r="D6980" s="3" t="s">
        <v>1727</v>
      </c>
      <c r="E6980" s="3" t="s">
        <v>1812</v>
      </c>
      <c r="F6980" s="3">
        <v>20122.5</v>
      </c>
      <c r="G6980" s="3">
        <v>137334.85</v>
      </c>
    </row>
    <row r="6981" spans="1:7" x14ac:dyDescent="0.2">
      <c r="A6981" s="3" t="s">
        <v>1799</v>
      </c>
      <c r="B6981" s="4">
        <v>45016</v>
      </c>
      <c r="C6981" s="3" t="s">
        <v>1180</v>
      </c>
      <c r="D6981" s="3" t="s">
        <v>1727</v>
      </c>
      <c r="E6981" s="3" t="s">
        <v>1814</v>
      </c>
      <c r="F6981" s="3">
        <v>-20</v>
      </c>
      <c r="G6981" s="3">
        <v>317.2</v>
      </c>
    </row>
    <row r="6982" spans="1:7" x14ac:dyDescent="0.2">
      <c r="A6982" s="3" t="s">
        <v>1788</v>
      </c>
      <c r="B6982" s="4">
        <v>45046</v>
      </c>
      <c r="C6982" s="3" t="s">
        <v>1180</v>
      </c>
      <c r="D6982" s="3" t="s">
        <v>1187</v>
      </c>
      <c r="E6982" s="3" t="s">
        <v>1789</v>
      </c>
      <c r="F6982" s="3">
        <v>-2011872.49</v>
      </c>
      <c r="G6982" s="3">
        <v>69521.13</v>
      </c>
    </row>
    <row r="6983" spans="1:7" x14ac:dyDescent="0.2">
      <c r="A6983" s="3" t="s">
        <v>1790</v>
      </c>
      <c r="B6983" s="4">
        <v>45046</v>
      </c>
      <c r="C6983" s="3" t="s">
        <v>1180</v>
      </c>
      <c r="D6983" s="3" t="s">
        <v>1187</v>
      </c>
      <c r="E6983" s="3" t="s">
        <v>1791</v>
      </c>
      <c r="F6983" s="3">
        <v>137127.57</v>
      </c>
      <c r="G6983" s="3">
        <v>194847.41</v>
      </c>
    </row>
    <row r="6984" spans="1:7" x14ac:dyDescent="0.2">
      <c r="A6984" s="3" t="s">
        <v>1792</v>
      </c>
      <c r="B6984" s="4">
        <v>45046</v>
      </c>
      <c r="C6984" s="3" t="s">
        <v>1180</v>
      </c>
      <c r="D6984" s="3" t="s">
        <v>1187</v>
      </c>
      <c r="E6984" s="3" t="s">
        <v>1793</v>
      </c>
      <c r="F6984" s="3">
        <v>777.01</v>
      </c>
      <c r="G6984" s="3">
        <v>156380.09</v>
      </c>
    </row>
    <row r="6985" spans="1:7" x14ac:dyDescent="0.2">
      <c r="A6985" s="3" t="s">
        <v>1794</v>
      </c>
      <c r="B6985" s="4">
        <v>45046</v>
      </c>
      <c r="C6985" s="3" t="s">
        <v>1180</v>
      </c>
      <c r="D6985" s="3" t="s">
        <v>1187</v>
      </c>
      <c r="E6985" s="3" t="s">
        <v>1795</v>
      </c>
      <c r="F6985" s="3">
        <v>5087.8599999999997</v>
      </c>
      <c r="G6985" s="3">
        <v>59366.239999999998</v>
      </c>
    </row>
    <row r="6986" spans="1:7" x14ac:dyDescent="0.2">
      <c r="A6986" s="3" t="s">
        <v>1796</v>
      </c>
      <c r="B6986" s="4">
        <v>45046</v>
      </c>
      <c r="C6986" s="3" t="s">
        <v>1180</v>
      </c>
      <c r="D6986" s="3" t="s">
        <v>1187</v>
      </c>
      <c r="E6986" s="3" t="s">
        <v>1797</v>
      </c>
      <c r="F6986" s="3">
        <v>3703.59</v>
      </c>
      <c r="G6986" s="3">
        <v>49513.78</v>
      </c>
    </row>
    <row r="6987" spans="1:7" x14ac:dyDescent="0.2">
      <c r="A6987" s="3" t="s">
        <v>1094</v>
      </c>
      <c r="B6987" s="4">
        <v>45046</v>
      </c>
      <c r="C6987" s="3" t="s">
        <v>1180</v>
      </c>
      <c r="D6987" s="3" t="s">
        <v>1187</v>
      </c>
      <c r="E6987" s="3" t="s">
        <v>1798</v>
      </c>
      <c r="F6987" s="3">
        <v>32391.98</v>
      </c>
      <c r="G6987" s="3">
        <v>47570.42</v>
      </c>
    </row>
    <row r="6988" spans="1:7" x14ac:dyDescent="0.2">
      <c r="A6988" s="3" t="s">
        <v>1799</v>
      </c>
      <c r="B6988" s="4">
        <v>45046</v>
      </c>
      <c r="C6988" s="3" t="s">
        <v>1180</v>
      </c>
      <c r="D6988" s="3" t="s">
        <v>1187</v>
      </c>
      <c r="E6988" s="3" t="s">
        <v>1800</v>
      </c>
      <c r="F6988" s="3">
        <v>-99306.02</v>
      </c>
      <c r="G6988" s="3">
        <v>21006.52</v>
      </c>
    </row>
    <row r="6989" spans="1:7" x14ac:dyDescent="0.2">
      <c r="A6989" s="3" t="s">
        <v>1788</v>
      </c>
      <c r="B6989" s="4">
        <v>45046</v>
      </c>
      <c r="C6989" s="3" t="s">
        <v>1180</v>
      </c>
      <c r="D6989" s="3" t="s">
        <v>1801</v>
      </c>
      <c r="E6989" s="3" t="s">
        <v>1802</v>
      </c>
      <c r="F6989" s="3">
        <v>-71.290000000000006</v>
      </c>
      <c r="G6989" s="3">
        <v>613.97</v>
      </c>
    </row>
    <row r="6990" spans="1:7" x14ac:dyDescent="0.2">
      <c r="A6990" s="3" t="s">
        <v>1094</v>
      </c>
      <c r="B6990" s="4">
        <v>45046</v>
      </c>
      <c r="C6990" s="3" t="s">
        <v>1180</v>
      </c>
      <c r="D6990" s="3" t="s">
        <v>1189</v>
      </c>
      <c r="E6990" s="3" t="s">
        <v>1803</v>
      </c>
      <c r="F6990" s="3">
        <v>16.350000000000001</v>
      </c>
      <c r="G6990" s="3">
        <v>2704.81</v>
      </c>
    </row>
    <row r="6991" spans="1:7" x14ac:dyDescent="0.2">
      <c r="A6991" s="3" t="s">
        <v>1799</v>
      </c>
      <c r="B6991" s="4">
        <v>45046</v>
      </c>
      <c r="C6991" s="3" t="s">
        <v>1180</v>
      </c>
      <c r="D6991" s="3" t="s">
        <v>1189</v>
      </c>
      <c r="E6991" s="3" t="s">
        <v>1804</v>
      </c>
      <c r="F6991" s="3">
        <v>-1.35</v>
      </c>
      <c r="G6991" s="3">
        <v>1433.47</v>
      </c>
    </row>
    <row r="6992" spans="1:7" x14ac:dyDescent="0.2">
      <c r="A6992" s="3" t="s">
        <v>1796</v>
      </c>
      <c r="B6992" s="4">
        <v>45046</v>
      </c>
      <c r="C6992" s="3" t="s">
        <v>1180</v>
      </c>
      <c r="D6992" s="3" t="s">
        <v>1189</v>
      </c>
      <c r="E6992" s="3" t="s">
        <v>1805</v>
      </c>
      <c r="F6992" s="3">
        <v>-71.27</v>
      </c>
      <c r="G6992" s="3">
        <v>440.57</v>
      </c>
    </row>
    <row r="6993" spans="1:7" x14ac:dyDescent="0.2">
      <c r="A6993" s="3" t="s">
        <v>1792</v>
      </c>
      <c r="B6993" s="4">
        <v>45046</v>
      </c>
      <c r="C6993" s="3" t="s">
        <v>1180</v>
      </c>
      <c r="D6993" s="3" t="s">
        <v>1806</v>
      </c>
      <c r="E6993" s="3" t="s">
        <v>1807</v>
      </c>
      <c r="F6993" s="3">
        <v>-85</v>
      </c>
      <c r="G6993" s="3">
        <v>3126.21</v>
      </c>
    </row>
    <row r="6994" spans="1:7" x14ac:dyDescent="0.2">
      <c r="A6994" s="3" t="s">
        <v>1794</v>
      </c>
      <c r="B6994" s="4">
        <v>45046</v>
      </c>
      <c r="C6994" s="3" t="s">
        <v>1180</v>
      </c>
      <c r="D6994" s="3" t="s">
        <v>1435</v>
      </c>
      <c r="E6994" s="3" t="s">
        <v>1815</v>
      </c>
      <c r="F6994" s="3">
        <v>52</v>
      </c>
      <c r="G6994" s="3">
        <v>156</v>
      </c>
    </row>
    <row r="6995" spans="1:7" x14ac:dyDescent="0.2">
      <c r="A6995" s="3" t="s">
        <v>1792</v>
      </c>
      <c r="B6995" s="4">
        <v>45046</v>
      </c>
      <c r="C6995" s="3" t="s">
        <v>1180</v>
      </c>
      <c r="D6995" s="3" t="s">
        <v>1243</v>
      </c>
      <c r="E6995" s="3" t="s">
        <v>1808</v>
      </c>
      <c r="F6995" s="3">
        <v>3.28</v>
      </c>
      <c r="G6995" s="3">
        <v>541.78</v>
      </c>
    </row>
    <row r="6996" spans="1:7" x14ac:dyDescent="0.2">
      <c r="A6996" s="3" t="s">
        <v>1788</v>
      </c>
      <c r="B6996" s="4">
        <v>45046</v>
      </c>
      <c r="C6996" s="3" t="s">
        <v>1180</v>
      </c>
      <c r="D6996" s="3" t="s">
        <v>1245</v>
      </c>
      <c r="E6996" s="3" t="s">
        <v>1809</v>
      </c>
      <c r="F6996" s="3">
        <v>-12.64</v>
      </c>
      <c r="G6996" s="3">
        <v>930.41</v>
      </c>
    </row>
    <row r="6997" spans="1:7" x14ac:dyDescent="0.2">
      <c r="A6997" s="3" t="s">
        <v>1788</v>
      </c>
      <c r="B6997" s="4">
        <v>45046</v>
      </c>
      <c r="C6997" s="3" t="s">
        <v>1180</v>
      </c>
      <c r="D6997" s="3" t="s">
        <v>1810</v>
      </c>
      <c r="E6997" s="3" t="s">
        <v>1811</v>
      </c>
      <c r="F6997" s="3">
        <v>31.12</v>
      </c>
      <c r="G6997" s="3">
        <v>4766.5</v>
      </c>
    </row>
    <row r="6998" spans="1:7" x14ac:dyDescent="0.2">
      <c r="A6998" s="3" t="s">
        <v>1792</v>
      </c>
      <c r="B6998" s="4">
        <v>45046</v>
      </c>
      <c r="C6998" s="3" t="s">
        <v>1180</v>
      </c>
      <c r="D6998" s="3" t="s">
        <v>1727</v>
      </c>
      <c r="E6998" s="3" t="s">
        <v>1812</v>
      </c>
      <c r="F6998" s="3">
        <v>122971.26</v>
      </c>
      <c r="G6998" s="3">
        <v>260306.11</v>
      </c>
    </row>
    <row r="6999" spans="1:7" x14ac:dyDescent="0.2">
      <c r="A6999" s="3" t="s">
        <v>1799</v>
      </c>
      <c r="B6999" s="4">
        <v>45046</v>
      </c>
      <c r="C6999" s="3" t="s">
        <v>1180</v>
      </c>
      <c r="D6999" s="3" t="s">
        <v>1727</v>
      </c>
      <c r="E6999" s="3" t="s">
        <v>1814</v>
      </c>
      <c r="F6999" s="3">
        <v>-300</v>
      </c>
      <c r="G6999" s="3">
        <v>17.2</v>
      </c>
    </row>
    <row r="7000" spans="1:7" x14ac:dyDescent="0.2">
      <c r="A7000" s="3" t="s">
        <v>1788</v>
      </c>
      <c r="B7000" s="4">
        <v>45077</v>
      </c>
      <c r="C7000" s="3" t="s">
        <v>1180</v>
      </c>
      <c r="D7000" s="3" t="s">
        <v>1187</v>
      </c>
      <c r="E7000" s="3" t="s">
        <v>1789</v>
      </c>
      <c r="F7000" s="3">
        <v>-15279.59</v>
      </c>
      <c r="G7000" s="3">
        <v>54241.54</v>
      </c>
    </row>
    <row r="7001" spans="1:7" x14ac:dyDescent="0.2">
      <c r="A7001" s="3" t="s">
        <v>1790</v>
      </c>
      <c r="B7001" s="4">
        <v>45077</v>
      </c>
      <c r="C7001" s="3" t="s">
        <v>1180</v>
      </c>
      <c r="D7001" s="3" t="s">
        <v>1187</v>
      </c>
      <c r="E7001" s="3" t="s">
        <v>1791</v>
      </c>
      <c r="F7001" s="3">
        <v>-128014.26</v>
      </c>
      <c r="G7001" s="3">
        <v>66833.149999999994</v>
      </c>
    </row>
    <row r="7002" spans="1:7" x14ac:dyDescent="0.2">
      <c r="A7002" s="3" t="s">
        <v>1792</v>
      </c>
      <c r="B7002" s="4">
        <v>45077</v>
      </c>
      <c r="C7002" s="3" t="s">
        <v>1180</v>
      </c>
      <c r="D7002" s="3" t="s">
        <v>1187</v>
      </c>
      <c r="E7002" s="3" t="s">
        <v>1793</v>
      </c>
      <c r="F7002" s="3">
        <v>809.04</v>
      </c>
      <c r="G7002" s="3">
        <v>157189.13</v>
      </c>
    </row>
    <row r="7003" spans="1:7" x14ac:dyDescent="0.2">
      <c r="A7003" s="3" t="s">
        <v>1794</v>
      </c>
      <c r="B7003" s="4">
        <v>45077</v>
      </c>
      <c r="C7003" s="3" t="s">
        <v>1180</v>
      </c>
      <c r="D7003" s="3" t="s">
        <v>1187</v>
      </c>
      <c r="E7003" s="3" t="s">
        <v>1795</v>
      </c>
      <c r="F7003" s="3">
        <v>28920.38</v>
      </c>
      <c r="G7003" s="3">
        <v>88286.62</v>
      </c>
    </row>
    <row r="7004" spans="1:7" x14ac:dyDescent="0.2">
      <c r="A7004" s="3" t="s">
        <v>1796</v>
      </c>
      <c r="B7004" s="4">
        <v>45077</v>
      </c>
      <c r="C7004" s="3" t="s">
        <v>1180</v>
      </c>
      <c r="D7004" s="3" t="s">
        <v>1187</v>
      </c>
      <c r="E7004" s="3" t="s">
        <v>1797</v>
      </c>
      <c r="F7004" s="3">
        <v>15782.5</v>
      </c>
      <c r="G7004" s="3">
        <v>65296.28</v>
      </c>
    </row>
    <row r="7005" spans="1:7" x14ac:dyDescent="0.2">
      <c r="A7005" s="3" t="s">
        <v>1094</v>
      </c>
      <c r="B7005" s="4">
        <v>45077</v>
      </c>
      <c r="C7005" s="3" t="s">
        <v>1180</v>
      </c>
      <c r="D7005" s="3" t="s">
        <v>1187</v>
      </c>
      <c r="E7005" s="3" t="s">
        <v>1798</v>
      </c>
      <c r="F7005" s="3">
        <v>-5946.99</v>
      </c>
      <c r="G7005" s="3">
        <v>41623.43</v>
      </c>
    </row>
    <row r="7006" spans="1:7" x14ac:dyDescent="0.2">
      <c r="A7006" s="3" t="s">
        <v>1799</v>
      </c>
      <c r="B7006" s="4">
        <v>45077</v>
      </c>
      <c r="C7006" s="3" t="s">
        <v>1180</v>
      </c>
      <c r="D7006" s="3" t="s">
        <v>1187</v>
      </c>
      <c r="E7006" s="3" t="s">
        <v>1800</v>
      </c>
      <c r="F7006" s="3">
        <v>119621.57</v>
      </c>
      <c r="G7006" s="3">
        <v>140628.09</v>
      </c>
    </row>
    <row r="7007" spans="1:7" x14ac:dyDescent="0.2">
      <c r="A7007" s="3" t="s">
        <v>1788</v>
      </c>
      <c r="B7007" s="4">
        <v>45077</v>
      </c>
      <c r="C7007" s="3" t="s">
        <v>1180</v>
      </c>
      <c r="D7007" s="3" t="s">
        <v>1801</v>
      </c>
      <c r="E7007" s="3" t="s">
        <v>1802</v>
      </c>
      <c r="F7007" s="3">
        <v>-71.13</v>
      </c>
      <c r="G7007" s="3">
        <v>542.84</v>
      </c>
    </row>
    <row r="7008" spans="1:7" x14ac:dyDescent="0.2">
      <c r="A7008" s="3" t="s">
        <v>1094</v>
      </c>
      <c r="B7008" s="4">
        <v>45077</v>
      </c>
      <c r="C7008" s="3" t="s">
        <v>1180</v>
      </c>
      <c r="D7008" s="3" t="s">
        <v>1189</v>
      </c>
      <c r="E7008" s="3" t="s">
        <v>1803</v>
      </c>
      <c r="F7008" s="3">
        <v>17.52</v>
      </c>
      <c r="G7008" s="3">
        <v>2722.33</v>
      </c>
    </row>
    <row r="7009" spans="1:7" x14ac:dyDescent="0.2">
      <c r="A7009" s="3" t="s">
        <v>1799</v>
      </c>
      <c r="B7009" s="4">
        <v>45077</v>
      </c>
      <c r="C7009" s="3" t="s">
        <v>1180</v>
      </c>
      <c r="D7009" s="3" t="s">
        <v>1189</v>
      </c>
      <c r="E7009" s="3" t="s">
        <v>1804</v>
      </c>
      <c r="F7009" s="3">
        <v>-2.61</v>
      </c>
      <c r="G7009" s="3">
        <v>1430.86</v>
      </c>
    </row>
    <row r="7010" spans="1:7" x14ac:dyDescent="0.2">
      <c r="A7010" s="3" t="s">
        <v>1796</v>
      </c>
      <c r="B7010" s="4">
        <v>45077</v>
      </c>
      <c r="C7010" s="3" t="s">
        <v>1180</v>
      </c>
      <c r="D7010" s="3" t="s">
        <v>1189</v>
      </c>
      <c r="E7010" s="3" t="s">
        <v>1805</v>
      </c>
      <c r="F7010" s="3">
        <v>-71.260000000000005</v>
      </c>
      <c r="G7010" s="3">
        <v>369.31</v>
      </c>
    </row>
    <row r="7011" spans="1:7" x14ac:dyDescent="0.2">
      <c r="A7011" s="3" t="s">
        <v>1792</v>
      </c>
      <c r="B7011" s="4">
        <v>45077</v>
      </c>
      <c r="C7011" s="3" t="s">
        <v>1180</v>
      </c>
      <c r="D7011" s="3" t="s">
        <v>1806</v>
      </c>
      <c r="E7011" s="3" t="s">
        <v>1807</v>
      </c>
      <c r="F7011" s="3">
        <v>0</v>
      </c>
      <c r="G7011" s="3">
        <v>3126.21</v>
      </c>
    </row>
    <row r="7012" spans="1:7" x14ac:dyDescent="0.2">
      <c r="A7012" s="3" t="s">
        <v>1794</v>
      </c>
      <c r="B7012" s="4">
        <v>45077</v>
      </c>
      <c r="C7012" s="3" t="s">
        <v>1180</v>
      </c>
      <c r="D7012" s="3" t="s">
        <v>1435</v>
      </c>
      <c r="E7012" s="3" t="s">
        <v>1815</v>
      </c>
      <c r="F7012" s="3">
        <v>52</v>
      </c>
      <c r="G7012" s="3">
        <v>208</v>
      </c>
    </row>
    <row r="7013" spans="1:7" x14ac:dyDescent="0.2">
      <c r="A7013" s="3" t="s">
        <v>1792</v>
      </c>
      <c r="B7013" s="4">
        <v>45077</v>
      </c>
      <c r="C7013" s="3" t="s">
        <v>1180</v>
      </c>
      <c r="D7013" s="3" t="s">
        <v>1243</v>
      </c>
      <c r="E7013" s="3" t="s">
        <v>1808</v>
      </c>
      <c r="F7013" s="3">
        <v>3.51</v>
      </c>
      <c r="G7013" s="3">
        <v>545.29</v>
      </c>
    </row>
    <row r="7014" spans="1:7" x14ac:dyDescent="0.2">
      <c r="A7014" s="3" t="s">
        <v>1788</v>
      </c>
      <c r="B7014" s="4">
        <v>45077</v>
      </c>
      <c r="C7014" s="3" t="s">
        <v>1180</v>
      </c>
      <c r="D7014" s="3" t="s">
        <v>1245</v>
      </c>
      <c r="E7014" s="3" t="s">
        <v>1809</v>
      </c>
      <c r="F7014" s="3">
        <v>-14.22</v>
      </c>
      <c r="G7014" s="3">
        <v>916.19</v>
      </c>
    </row>
    <row r="7015" spans="1:7" x14ac:dyDescent="0.2">
      <c r="A7015" s="3" t="s">
        <v>1788</v>
      </c>
      <c r="B7015" s="4">
        <v>45077</v>
      </c>
      <c r="C7015" s="3" t="s">
        <v>1180</v>
      </c>
      <c r="D7015" s="3" t="s">
        <v>1810</v>
      </c>
      <c r="E7015" s="3" t="s">
        <v>1811</v>
      </c>
      <c r="F7015" s="3">
        <v>33.049999999999997</v>
      </c>
      <c r="G7015" s="3">
        <v>4799.55</v>
      </c>
    </row>
    <row r="7016" spans="1:7" x14ac:dyDescent="0.2">
      <c r="A7016" s="3" t="s">
        <v>1792</v>
      </c>
      <c r="B7016" s="4">
        <v>45077</v>
      </c>
      <c r="C7016" s="3" t="s">
        <v>1180</v>
      </c>
      <c r="D7016" s="3" t="s">
        <v>1727</v>
      </c>
      <c r="E7016" s="3" t="s">
        <v>1812</v>
      </c>
      <c r="F7016" s="3">
        <v>-121286.13</v>
      </c>
      <c r="G7016" s="3">
        <v>139019.98000000001</v>
      </c>
    </row>
    <row r="7017" spans="1:7" x14ac:dyDescent="0.2">
      <c r="A7017" s="3" t="s">
        <v>1799</v>
      </c>
      <c r="B7017" s="4">
        <v>45077</v>
      </c>
      <c r="C7017" s="3" t="s">
        <v>1180</v>
      </c>
      <c r="D7017" s="3" t="s">
        <v>1727</v>
      </c>
      <c r="E7017" s="3" t="s">
        <v>1814</v>
      </c>
      <c r="F7017" s="3">
        <v>0</v>
      </c>
      <c r="G7017" s="3">
        <v>17.2</v>
      </c>
    </row>
    <row r="7018" spans="1:7" x14ac:dyDescent="0.2">
      <c r="A7018" s="3" t="s">
        <v>1788</v>
      </c>
      <c r="B7018" s="4">
        <v>45107</v>
      </c>
      <c r="C7018" s="3" t="s">
        <v>1180</v>
      </c>
      <c r="D7018" s="3" t="s">
        <v>1187</v>
      </c>
      <c r="E7018" s="3" t="s">
        <v>1789</v>
      </c>
      <c r="F7018" s="3">
        <v>-18661.259999999998</v>
      </c>
      <c r="G7018" s="3">
        <v>35580.28</v>
      </c>
    </row>
    <row r="7019" spans="1:7" x14ac:dyDescent="0.2">
      <c r="A7019" s="3" t="s">
        <v>1790</v>
      </c>
      <c r="B7019" s="4">
        <v>45107</v>
      </c>
      <c r="C7019" s="3" t="s">
        <v>1180</v>
      </c>
      <c r="D7019" s="3" t="s">
        <v>1187</v>
      </c>
      <c r="E7019" s="3" t="s">
        <v>1791</v>
      </c>
      <c r="F7019" s="3">
        <v>-46440.13</v>
      </c>
      <c r="G7019" s="3">
        <v>20393.02</v>
      </c>
    </row>
    <row r="7020" spans="1:7" x14ac:dyDescent="0.2">
      <c r="A7020" s="3" t="s">
        <v>1792</v>
      </c>
      <c r="B7020" s="4">
        <v>45107</v>
      </c>
      <c r="C7020" s="3" t="s">
        <v>1180</v>
      </c>
      <c r="D7020" s="3" t="s">
        <v>1187</v>
      </c>
      <c r="E7020" s="3" t="s">
        <v>1793</v>
      </c>
      <c r="F7020" s="3">
        <v>-12.64</v>
      </c>
      <c r="G7020" s="3">
        <v>157176.49</v>
      </c>
    </row>
    <row r="7021" spans="1:7" x14ac:dyDescent="0.2">
      <c r="A7021" s="3" t="s">
        <v>1794</v>
      </c>
      <c r="B7021" s="4">
        <v>45107</v>
      </c>
      <c r="C7021" s="3" t="s">
        <v>1180</v>
      </c>
      <c r="D7021" s="3" t="s">
        <v>1187</v>
      </c>
      <c r="E7021" s="3" t="s">
        <v>1795</v>
      </c>
      <c r="F7021" s="3">
        <v>-7562.55</v>
      </c>
      <c r="G7021" s="3">
        <v>80724.070000000007</v>
      </c>
    </row>
    <row r="7022" spans="1:7" x14ac:dyDescent="0.2">
      <c r="A7022" s="3" t="s">
        <v>1796</v>
      </c>
      <c r="B7022" s="4">
        <v>45107</v>
      </c>
      <c r="C7022" s="3" t="s">
        <v>1180</v>
      </c>
      <c r="D7022" s="3" t="s">
        <v>1187</v>
      </c>
      <c r="E7022" s="3" t="s">
        <v>1797</v>
      </c>
      <c r="F7022" s="3">
        <v>8170.37</v>
      </c>
      <c r="G7022" s="3">
        <v>73466.649999999994</v>
      </c>
    </row>
    <row r="7023" spans="1:7" x14ac:dyDescent="0.2">
      <c r="A7023" s="3" t="s">
        <v>1094</v>
      </c>
      <c r="B7023" s="4">
        <v>45107</v>
      </c>
      <c r="C7023" s="3" t="s">
        <v>1180</v>
      </c>
      <c r="D7023" s="3" t="s">
        <v>1187</v>
      </c>
      <c r="E7023" s="3" t="s">
        <v>1798</v>
      </c>
      <c r="F7023" s="3">
        <v>-19798.150000000001</v>
      </c>
      <c r="G7023" s="3">
        <v>21825.279999999999</v>
      </c>
    </row>
    <row r="7024" spans="1:7" x14ac:dyDescent="0.2">
      <c r="A7024" s="3" t="s">
        <v>1799</v>
      </c>
      <c r="B7024" s="4">
        <v>45107</v>
      </c>
      <c r="C7024" s="3" t="s">
        <v>1180</v>
      </c>
      <c r="D7024" s="3" t="s">
        <v>1187</v>
      </c>
      <c r="E7024" s="3" t="s">
        <v>1800</v>
      </c>
      <c r="F7024" s="3">
        <v>-106665.06</v>
      </c>
      <c r="G7024" s="3">
        <v>33963.03</v>
      </c>
    </row>
    <row r="7025" spans="1:7" x14ac:dyDescent="0.2">
      <c r="A7025" s="3" t="s">
        <v>1788</v>
      </c>
      <c r="B7025" s="4">
        <v>45107</v>
      </c>
      <c r="C7025" s="3" t="s">
        <v>1180</v>
      </c>
      <c r="D7025" s="3" t="s">
        <v>1801</v>
      </c>
      <c r="E7025" s="3" t="s">
        <v>1802</v>
      </c>
      <c r="F7025" s="3">
        <v>-71.09</v>
      </c>
      <c r="G7025" s="3">
        <v>471.75</v>
      </c>
    </row>
    <row r="7026" spans="1:7" x14ac:dyDescent="0.2">
      <c r="A7026" s="3" t="s">
        <v>1094</v>
      </c>
      <c r="B7026" s="4">
        <v>45107</v>
      </c>
      <c r="C7026" s="3" t="s">
        <v>1180</v>
      </c>
      <c r="D7026" s="3" t="s">
        <v>1189</v>
      </c>
      <c r="E7026" s="3" t="s">
        <v>1803</v>
      </c>
      <c r="F7026" s="3">
        <v>0</v>
      </c>
      <c r="G7026" s="3">
        <v>2722.33</v>
      </c>
    </row>
    <row r="7027" spans="1:7" x14ac:dyDescent="0.2">
      <c r="A7027" s="3" t="s">
        <v>1799</v>
      </c>
      <c r="B7027" s="4">
        <v>45107</v>
      </c>
      <c r="C7027" s="3" t="s">
        <v>1180</v>
      </c>
      <c r="D7027" s="3" t="s">
        <v>1189</v>
      </c>
      <c r="E7027" s="3" t="s">
        <v>1804</v>
      </c>
      <c r="F7027" s="3">
        <v>0</v>
      </c>
      <c r="G7027" s="3">
        <v>1430.86</v>
      </c>
    </row>
    <row r="7028" spans="1:7" x14ac:dyDescent="0.2">
      <c r="A7028" s="3" t="s">
        <v>1796</v>
      </c>
      <c r="B7028" s="4">
        <v>45107</v>
      </c>
      <c r="C7028" s="3" t="s">
        <v>1180</v>
      </c>
      <c r="D7028" s="3" t="s">
        <v>1189</v>
      </c>
      <c r="E7028" s="3" t="s">
        <v>1805</v>
      </c>
      <c r="F7028" s="3">
        <v>-69.61</v>
      </c>
      <c r="G7028" s="3">
        <v>299.7</v>
      </c>
    </row>
    <row r="7029" spans="1:7" x14ac:dyDescent="0.2">
      <c r="A7029" s="3" t="s">
        <v>1792</v>
      </c>
      <c r="B7029" s="4">
        <v>45107</v>
      </c>
      <c r="C7029" s="3" t="s">
        <v>1180</v>
      </c>
      <c r="D7029" s="3" t="s">
        <v>1806</v>
      </c>
      <c r="E7029" s="3" t="s">
        <v>1807</v>
      </c>
      <c r="F7029" s="3">
        <v>0</v>
      </c>
      <c r="G7029" s="3">
        <v>3126.21</v>
      </c>
    </row>
    <row r="7030" spans="1:7" x14ac:dyDescent="0.2">
      <c r="A7030" s="3" t="s">
        <v>1794</v>
      </c>
      <c r="B7030" s="4">
        <v>45107</v>
      </c>
      <c r="C7030" s="3" t="s">
        <v>1180</v>
      </c>
      <c r="D7030" s="3" t="s">
        <v>1435</v>
      </c>
      <c r="E7030" s="3" t="s">
        <v>1815</v>
      </c>
      <c r="F7030" s="3">
        <v>52</v>
      </c>
      <c r="G7030" s="3">
        <v>260</v>
      </c>
    </row>
    <row r="7031" spans="1:7" x14ac:dyDescent="0.2">
      <c r="A7031" s="3" t="s">
        <v>1792</v>
      </c>
      <c r="B7031" s="4">
        <v>45107</v>
      </c>
      <c r="C7031" s="3" t="s">
        <v>1180</v>
      </c>
      <c r="D7031" s="3" t="s">
        <v>1243</v>
      </c>
      <c r="E7031" s="3" t="s">
        <v>1808</v>
      </c>
      <c r="F7031" s="3">
        <v>0</v>
      </c>
      <c r="G7031" s="3">
        <v>545.29</v>
      </c>
    </row>
    <row r="7032" spans="1:7" x14ac:dyDescent="0.2">
      <c r="A7032" s="3" t="s">
        <v>1788</v>
      </c>
      <c r="B7032" s="4">
        <v>45107</v>
      </c>
      <c r="C7032" s="3" t="s">
        <v>1180</v>
      </c>
      <c r="D7032" s="3" t="s">
        <v>1245</v>
      </c>
      <c r="E7032" s="3" t="s">
        <v>1809</v>
      </c>
      <c r="F7032" s="3">
        <v>-11.06</v>
      </c>
      <c r="G7032" s="3">
        <v>905.13</v>
      </c>
    </row>
    <row r="7033" spans="1:7" x14ac:dyDescent="0.2">
      <c r="A7033" s="3" t="s">
        <v>1788</v>
      </c>
      <c r="B7033" s="4">
        <v>45107</v>
      </c>
      <c r="C7033" s="3" t="s">
        <v>1180</v>
      </c>
      <c r="D7033" s="3" t="s">
        <v>1810</v>
      </c>
      <c r="E7033" s="3" t="s">
        <v>1811</v>
      </c>
      <c r="F7033" s="3">
        <v>33.380000000000003</v>
      </c>
      <c r="G7033" s="3">
        <v>4832.93</v>
      </c>
    </row>
    <row r="7034" spans="1:7" x14ac:dyDescent="0.2">
      <c r="A7034" s="3" t="s">
        <v>1792</v>
      </c>
      <c r="B7034" s="4">
        <v>45107</v>
      </c>
      <c r="C7034" s="3" t="s">
        <v>1180</v>
      </c>
      <c r="D7034" s="3" t="s">
        <v>1727</v>
      </c>
      <c r="E7034" s="3" t="s">
        <v>1812</v>
      </c>
      <c r="F7034" s="3">
        <v>102142.26</v>
      </c>
      <c r="G7034" s="3">
        <v>241162.23999999999</v>
      </c>
    </row>
    <row r="7035" spans="1:7" x14ac:dyDescent="0.2">
      <c r="A7035" s="3" t="s">
        <v>1799</v>
      </c>
      <c r="B7035" s="4">
        <v>45107</v>
      </c>
      <c r="C7035" s="3" t="s">
        <v>1180</v>
      </c>
      <c r="D7035" s="3" t="s">
        <v>1727</v>
      </c>
      <c r="E7035" s="3" t="s">
        <v>1814</v>
      </c>
      <c r="F7035" s="3">
        <v>0</v>
      </c>
      <c r="G7035" s="3">
        <v>17.2</v>
      </c>
    </row>
    <row r="7036" spans="1:7" x14ac:dyDescent="0.2">
      <c r="A7036" s="3" t="s">
        <v>1788</v>
      </c>
      <c r="B7036" s="4">
        <v>45138</v>
      </c>
      <c r="C7036" s="3" t="s">
        <v>1180</v>
      </c>
      <c r="D7036" s="3" t="s">
        <v>1187</v>
      </c>
      <c r="E7036" s="3" t="s">
        <v>1789</v>
      </c>
      <c r="F7036" s="3">
        <v>-22804.58</v>
      </c>
      <c r="G7036" s="3">
        <v>12775.7</v>
      </c>
    </row>
    <row r="7037" spans="1:7" x14ac:dyDescent="0.2">
      <c r="A7037" s="3" t="s">
        <v>1790</v>
      </c>
      <c r="B7037" s="4">
        <v>45138</v>
      </c>
      <c r="C7037" s="3" t="s">
        <v>1180</v>
      </c>
      <c r="D7037" s="3" t="s">
        <v>1187</v>
      </c>
      <c r="E7037" s="3" t="s">
        <v>1791</v>
      </c>
      <c r="F7037" s="3">
        <v>78255.58</v>
      </c>
      <c r="G7037" s="3">
        <v>98648.6</v>
      </c>
    </row>
    <row r="7038" spans="1:7" x14ac:dyDescent="0.2">
      <c r="A7038" s="3" t="s">
        <v>1792</v>
      </c>
      <c r="B7038" s="4">
        <v>45138</v>
      </c>
      <c r="C7038" s="3" t="s">
        <v>1180</v>
      </c>
      <c r="D7038" s="3" t="s">
        <v>1187</v>
      </c>
      <c r="E7038" s="3" t="s">
        <v>1793</v>
      </c>
      <c r="F7038" s="3">
        <v>0</v>
      </c>
      <c r="G7038" s="3">
        <v>157176.49</v>
      </c>
    </row>
    <row r="7039" spans="1:7" x14ac:dyDescent="0.2">
      <c r="A7039" s="3" t="s">
        <v>1794</v>
      </c>
      <c r="B7039" s="4">
        <v>45138</v>
      </c>
      <c r="C7039" s="3" t="s">
        <v>1180</v>
      </c>
      <c r="D7039" s="3" t="s">
        <v>1187</v>
      </c>
      <c r="E7039" s="3" t="s">
        <v>1795</v>
      </c>
      <c r="F7039" s="3">
        <v>-41321.82</v>
      </c>
      <c r="G7039" s="3">
        <v>39402.25</v>
      </c>
    </row>
    <row r="7040" spans="1:7" x14ac:dyDescent="0.2">
      <c r="A7040" s="3" t="s">
        <v>1796</v>
      </c>
      <c r="B7040" s="4">
        <v>45138</v>
      </c>
      <c r="C7040" s="3" t="s">
        <v>1180</v>
      </c>
      <c r="D7040" s="3" t="s">
        <v>1187</v>
      </c>
      <c r="E7040" s="3" t="s">
        <v>1797</v>
      </c>
      <c r="F7040" s="3">
        <v>-22843</v>
      </c>
      <c r="G7040" s="3">
        <v>50623.65</v>
      </c>
    </row>
    <row r="7041" spans="1:7" x14ac:dyDescent="0.2">
      <c r="A7041" s="3" t="s">
        <v>1094</v>
      </c>
      <c r="B7041" s="4">
        <v>45138</v>
      </c>
      <c r="C7041" s="3" t="s">
        <v>1180</v>
      </c>
      <c r="D7041" s="3" t="s">
        <v>1187</v>
      </c>
      <c r="E7041" s="3" t="s">
        <v>1798</v>
      </c>
      <c r="F7041" s="3">
        <v>975.88</v>
      </c>
      <c r="G7041" s="3">
        <v>22801.16</v>
      </c>
    </row>
    <row r="7042" spans="1:7" x14ac:dyDescent="0.2">
      <c r="A7042" s="3" t="s">
        <v>1799</v>
      </c>
      <c r="B7042" s="4">
        <v>45138</v>
      </c>
      <c r="C7042" s="3" t="s">
        <v>1180</v>
      </c>
      <c r="D7042" s="3" t="s">
        <v>1187</v>
      </c>
      <c r="E7042" s="3" t="s">
        <v>1800</v>
      </c>
      <c r="F7042" s="3">
        <v>70536.77</v>
      </c>
      <c r="G7042" s="3">
        <v>104499.8</v>
      </c>
    </row>
    <row r="7043" spans="1:7" x14ac:dyDescent="0.2">
      <c r="A7043" s="3" t="s">
        <v>1788</v>
      </c>
      <c r="B7043" s="4">
        <v>45138</v>
      </c>
      <c r="C7043" s="3" t="s">
        <v>1180</v>
      </c>
      <c r="D7043" s="3" t="s">
        <v>1801</v>
      </c>
      <c r="E7043" s="3" t="s">
        <v>1802</v>
      </c>
      <c r="F7043" s="3">
        <v>0</v>
      </c>
      <c r="G7043" s="3">
        <v>471.75</v>
      </c>
    </row>
    <row r="7044" spans="1:7" x14ac:dyDescent="0.2">
      <c r="A7044" s="3" t="s">
        <v>1094</v>
      </c>
      <c r="B7044" s="4">
        <v>45138</v>
      </c>
      <c r="C7044" s="3" t="s">
        <v>1180</v>
      </c>
      <c r="D7044" s="3" t="s">
        <v>1189</v>
      </c>
      <c r="E7044" s="3" t="s">
        <v>1803</v>
      </c>
      <c r="F7044" s="3">
        <v>0</v>
      </c>
      <c r="G7044" s="3">
        <v>2722.33</v>
      </c>
    </row>
    <row r="7045" spans="1:7" x14ac:dyDescent="0.2">
      <c r="A7045" s="3" t="s">
        <v>1799</v>
      </c>
      <c r="B7045" s="4">
        <v>45138</v>
      </c>
      <c r="C7045" s="3" t="s">
        <v>1180</v>
      </c>
      <c r="D7045" s="3" t="s">
        <v>1189</v>
      </c>
      <c r="E7045" s="3" t="s">
        <v>1804</v>
      </c>
      <c r="F7045" s="3">
        <v>0</v>
      </c>
      <c r="G7045" s="3">
        <v>1430.86</v>
      </c>
    </row>
    <row r="7046" spans="1:7" x14ac:dyDescent="0.2">
      <c r="A7046" s="3" t="s">
        <v>1796</v>
      </c>
      <c r="B7046" s="4">
        <v>45138</v>
      </c>
      <c r="C7046" s="3" t="s">
        <v>1180</v>
      </c>
      <c r="D7046" s="3" t="s">
        <v>1189</v>
      </c>
      <c r="E7046" s="3" t="s">
        <v>1805</v>
      </c>
      <c r="F7046" s="3">
        <v>-64.78</v>
      </c>
      <c r="G7046" s="3">
        <v>234.92</v>
      </c>
    </row>
    <row r="7047" spans="1:7" x14ac:dyDescent="0.2">
      <c r="A7047" s="3" t="s">
        <v>1792</v>
      </c>
      <c r="B7047" s="4">
        <v>45138</v>
      </c>
      <c r="C7047" s="3" t="s">
        <v>1180</v>
      </c>
      <c r="D7047" s="3" t="s">
        <v>1806</v>
      </c>
      <c r="E7047" s="3" t="s">
        <v>1807</v>
      </c>
      <c r="F7047" s="3">
        <v>-170</v>
      </c>
      <c r="G7047" s="3">
        <v>2956.21</v>
      </c>
    </row>
    <row r="7048" spans="1:7" x14ac:dyDescent="0.2">
      <c r="A7048" s="3" t="s">
        <v>1794</v>
      </c>
      <c r="B7048" s="4">
        <v>45138</v>
      </c>
      <c r="C7048" s="3" t="s">
        <v>1180</v>
      </c>
      <c r="D7048" s="3" t="s">
        <v>1435</v>
      </c>
      <c r="E7048" s="3" t="s">
        <v>1815</v>
      </c>
      <c r="F7048" s="3">
        <v>52</v>
      </c>
      <c r="G7048" s="3">
        <v>312</v>
      </c>
    </row>
    <row r="7049" spans="1:7" x14ac:dyDescent="0.2">
      <c r="A7049" s="3" t="s">
        <v>1792</v>
      </c>
      <c r="B7049" s="4">
        <v>45138</v>
      </c>
      <c r="C7049" s="3" t="s">
        <v>1180</v>
      </c>
      <c r="D7049" s="3" t="s">
        <v>1243</v>
      </c>
      <c r="E7049" s="3" t="s">
        <v>1808</v>
      </c>
      <c r="F7049" s="3">
        <v>0</v>
      </c>
      <c r="G7049" s="3">
        <v>545.29</v>
      </c>
    </row>
    <row r="7050" spans="1:7" x14ac:dyDescent="0.2">
      <c r="A7050" s="3" t="s">
        <v>1788</v>
      </c>
      <c r="B7050" s="4">
        <v>45138</v>
      </c>
      <c r="C7050" s="3" t="s">
        <v>1180</v>
      </c>
      <c r="D7050" s="3" t="s">
        <v>1245</v>
      </c>
      <c r="E7050" s="3" t="s">
        <v>1809</v>
      </c>
      <c r="F7050" s="3">
        <v>0</v>
      </c>
      <c r="G7050" s="3">
        <v>905.13</v>
      </c>
    </row>
    <row r="7051" spans="1:7" x14ac:dyDescent="0.2">
      <c r="A7051" s="3" t="s">
        <v>1788</v>
      </c>
      <c r="B7051" s="4">
        <v>45138</v>
      </c>
      <c r="C7051" s="3" t="s">
        <v>1180</v>
      </c>
      <c r="D7051" s="3" t="s">
        <v>1810</v>
      </c>
      <c r="E7051" s="3" t="s">
        <v>1811</v>
      </c>
      <c r="F7051" s="3">
        <v>34.950000000000003</v>
      </c>
      <c r="G7051" s="3">
        <v>4867.88</v>
      </c>
    </row>
    <row r="7052" spans="1:7" x14ac:dyDescent="0.2">
      <c r="A7052" s="3" t="s">
        <v>1792</v>
      </c>
      <c r="B7052" s="4">
        <v>45138</v>
      </c>
      <c r="C7052" s="3" t="s">
        <v>1180</v>
      </c>
      <c r="D7052" s="3" t="s">
        <v>1727</v>
      </c>
      <c r="E7052" s="3" t="s">
        <v>1812</v>
      </c>
      <c r="F7052" s="3">
        <v>-173402.39</v>
      </c>
      <c r="G7052" s="3">
        <v>67759.850000000006</v>
      </c>
    </row>
    <row r="7053" spans="1:7" x14ac:dyDescent="0.2">
      <c r="A7053" s="3" t="s">
        <v>1799</v>
      </c>
      <c r="B7053" s="4">
        <v>45138</v>
      </c>
      <c r="C7053" s="3" t="s">
        <v>1180</v>
      </c>
      <c r="D7053" s="3" t="s">
        <v>1727</v>
      </c>
      <c r="E7053" s="3" t="s">
        <v>1814</v>
      </c>
      <c r="F7053" s="3">
        <v>999</v>
      </c>
      <c r="G7053" s="3">
        <v>1016.2</v>
      </c>
    </row>
    <row r="7054" spans="1:7" x14ac:dyDescent="0.2">
      <c r="A7054" s="3" t="s">
        <v>1788</v>
      </c>
      <c r="B7054" s="4">
        <v>45169</v>
      </c>
      <c r="C7054" s="3" t="s">
        <v>1180</v>
      </c>
      <c r="D7054" s="3" t="s">
        <v>1187</v>
      </c>
      <c r="E7054" s="3" t="s">
        <v>1789</v>
      </c>
      <c r="F7054" s="3">
        <v>10134.98</v>
      </c>
      <c r="G7054" s="3">
        <v>22910.68</v>
      </c>
    </row>
    <row r="7055" spans="1:7" x14ac:dyDescent="0.2">
      <c r="A7055" s="3" t="s">
        <v>1790</v>
      </c>
      <c r="B7055" s="4">
        <v>45169</v>
      </c>
      <c r="C7055" s="3" t="s">
        <v>1180</v>
      </c>
      <c r="D7055" s="3" t="s">
        <v>1187</v>
      </c>
      <c r="E7055" s="3" t="s">
        <v>1791</v>
      </c>
      <c r="F7055" s="3">
        <v>129931.9</v>
      </c>
      <c r="G7055" s="3">
        <v>228580.5</v>
      </c>
    </row>
    <row r="7056" spans="1:7" x14ac:dyDescent="0.2">
      <c r="A7056" s="3" t="s">
        <v>1792</v>
      </c>
      <c r="B7056" s="4">
        <v>45169</v>
      </c>
      <c r="C7056" s="3" t="s">
        <v>1180</v>
      </c>
      <c r="D7056" s="3" t="s">
        <v>1187</v>
      </c>
      <c r="E7056" s="3" t="s">
        <v>1793</v>
      </c>
      <c r="F7056" s="3">
        <v>2631.77</v>
      </c>
      <c r="G7056" s="3">
        <v>159808.26</v>
      </c>
    </row>
    <row r="7057" spans="1:7" x14ac:dyDescent="0.2">
      <c r="A7057" s="3" t="s">
        <v>1794</v>
      </c>
      <c r="B7057" s="4">
        <v>45169</v>
      </c>
      <c r="C7057" s="3" t="s">
        <v>1180</v>
      </c>
      <c r="D7057" s="3" t="s">
        <v>1187</v>
      </c>
      <c r="E7057" s="3" t="s">
        <v>1795</v>
      </c>
      <c r="F7057" s="3">
        <v>-29330.5</v>
      </c>
      <c r="G7057" s="3">
        <v>10071.75</v>
      </c>
    </row>
    <row r="7058" spans="1:7" x14ac:dyDescent="0.2">
      <c r="A7058" s="3" t="s">
        <v>1796</v>
      </c>
      <c r="B7058" s="4">
        <v>45169</v>
      </c>
      <c r="C7058" s="3" t="s">
        <v>1180</v>
      </c>
      <c r="D7058" s="3" t="s">
        <v>1187</v>
      </c>
      <c r="E7058" s="3" t="s">
        <v>1797</v>
      </c>
      <c r="F7058" s="3">
        <v>-9765.7900000000009</v>
      </c>
      <c r="G7058" s="3">
        <v>40857.86</v>
      </c>
    </row>
    <row r="7059" spans="1:7" x14ac:dyDescent="0.2">
      <c r="A7059" s="3" t="s">
        <v>1094</v>
      </c>
      <c r="B7059" s="4">
        <v>45169</v>
      </c>
      <c r="C7059" s="3" t="s">
        <v>1180</v>
      </c>
      <c r="D7059" s="3" t="s">
        <v>1187</v>
      </c>
      <c r="E7059" s="3" t="s">
        <v>1798</v>
      </c>
      <c r="F7059" s="3">
        <v>5465.74</v>
      </c>
      <c r="G7059" s="3">
        <v>28266.9</v>
      </c>
    </row>
    <row r="7060" spans="1:7" x14ac:dyDescent="0.2">
      <c r="A7060" s="3" t="s">
        <v>1799</v>
      </c>
      <c r="B7060" s="4">
        <v>45169</v>
      </c>
      <c r="C7060" s="3" t="s">
        <v>1180</v>
      </c>
      <c r="D7060" s="3" t="s">
        <v>1187</v>
      </c>
      <c r="E7060" s="3" t="s">
        <v>1800</v>
      </c>
      <c r="F7060" s="3">
        <v>-62405.17</v>
      </c>
      <c r="G7060" s="3">
        <v>42094.63</v>
      </c>
    </row>
    <row r="7061" spans="1:7" x14ac:dyDescent="0.2">
      <c r="A7061" s="3" t="s">
        <v>1788</v>
      </c>
      <c r="B7061" s="4">
        <v>45169</v>
      </c>
      <c r="C7061" s="3" t="s">
        <v>1180</v>
      </c>
      <c r="D7061" s="3" t="s">
        <v>1801</v>
      </c>
      <c r="E7061" s="3" t="s">
        <v>1802</v>
      </c>
      <c r="F7061" s="3">
        <v>-230.65</v>
      </c>
      <c r="G7061" s="3">
        <v>241.1</v>
      </c>
    </row>
    <row r="7062" spans="1:7" x14ac:dyDescent="0.2">
      <c r="A7062" s="3" t="s">
        <v>1094</v>
      </c>
      <c r="B7062" s="4">
        <v>45169</v>
      </c>
      <c r="C7062" s="3" t="s">
        <v>1180</v>
      </c>
      <c r="D7062" s="3" t="s">
        <v>1189</v>
      </c>
      <c r="E7062" s="3" t="s">
        <v>1803</v>
      </c>
      <c r="F7062" s="3">
        <v>54.72</v>
      </c>
      <c r="G7062" s="3">
        <v>2777.05</v>
      </c>
    </row>
    <row r="7063" spans="1:7" x14ac:dyDescent="0.2">
      <c r="A7063" s="3" t="s">
        <v>1799</v>
      </c>
      <c r="B7063" s="4">
        <v>45169</v>
      </c>
      <c r="C7063" s="3" t="s">
        <v>1180</v>
      </c>
      <c r="D7063" s="3" t="s">
        <v>1189</v>
      </c>
      <c r="E7063" s="3" t="s">
        <v>1804</v>
      </c>
      <c r="F7063" s="3">
        <v>1.48</v>
      </c>
      <c r="G7063" s="3">
        <v>1432.34</v>
      </c>
    </row>
    <row r="7064" spans="1:7" x14ac:dyDescent="0.2">
      <c r="A7064" s="3" t="s">
        <v>1796</v>
      </c>
      <c r="B7064" s="4">
        <v>45169</v>
      </c>
      <c r="C7064" s="3" t="s">
        <v>1180</v>
      </c>
      <c r="D7064" s="3" t="s">
        <v>1189</v>
      </c>
      <c r="E7064" s="3" t="s">
        <v>1805</v>
      </c>
      <c r="F7064" s="3">
        <v>-159.94</v>
      </c>
      <c r="G7064" s="3">
        <v>74.98</v>
      </c>
    </row>
    <row r="7065" spans="1:7" x14ac:dyDescent="0.2">
      <c r="A7065" s="3" t="s">
        <v>1792</v>
      </c>
      <c r="B7065" s="4">
        <v>45169</v>
      </c>
      <c r="C7065" s="3" t="s">
        <v>1180</v>
      </c>
      <c r="D7065" s="3" t="s">
        <v>1806</v>
      </c>
      <c r="E7065" s="3" t="s">
        <v>1807</v>
      </c>
      <c r="F7065" s="3">
        <v>-170</v>
      </c>
      <c r="G7065" s="3">
        <v>2786.21</v>
      </c>
    </row>
    <row r="7066" spans="1:7" x14ac:dyDescent="0.2">
      <c r="A7066" s="3" t="s">
        <v>1794</v>
      </c>
      <c r="B7066" s="4">
        <v>45169</v>
      </c>
      <c r="C7066" s="3" t="s">
        <v>1180</v>
      </c>
      <c r="D7066" s="3" t="s">
        <v>1435</v>
      </c>
      <c r="E7066" s="3" t="s">
        <v>1815</v>
      </c>
      <c r="F7066" s="3">
        <v>52</v>
      </c>
      <c r="G7066" s="3">
        <v>364</v>
      </c>
    </row>
    <row r="7067" spans="1:7" x14ac:dyDescent="0.2">
      <c r="A7067" s="3" t="s">
        <v>1792</v>
      </c>
      <c r="B7067" s="4">
        <v>45169</v>
      </c>
      <c r="C7067" s="3" t="s">
        <v>1180</v>
      </c>
      <c r="D7067" s="3" t="s">
        <v>1243</v>
      </c>
      <c r="E7067" s="3" t="s">
        <v>1808</v>
      </c>
      <c r="F7067" s="3">
        <v>10.97</v>
      </c>
      <c r="G7067" s="3">
        <v>556.26</v>
      </c>
    </row>
    <row r="7068" spans="1:7" x14ac:dyDescent="0.2">
      <c r="A7068" s="3" t="s">
        <v>1788</v>
      </c>
      <c r="B7068" s="4">
        <v>45169</v>
      </c>
      <c r="C7068" s="3" t="s">
        <v>1180</v>
      </c>
      <c r="D7068" s="3" t="s">
        <v>1245</v>
      </c>
      <c r="E7068" s="3" t="s">
        <v>1809</v>
      </c>
      <c r="F7068" s="3">
        <v>-26.86</v>
      </c>
      <c r="G7068" s="3">
        <v>878.27</v>
      </c>
    </row>
    <row r="7069" spans="1:7" x14ac:dyDescent="0.2">
      <c r="A7069" s="3" t="s">
        <v>1788</v>
      </c>
      <c r="B7069" s="4">
        <v>45169</v>
      </c>
      <c r="C7069" s="3" t="s">
        <v>1180</v>
      </c>
      <c r="D7069" s="3" t="s">
        <v>1810</v>
      </c>
      <c r="E7069" s="3" t="s">
        <v>1811</v>
      </c>
      <c r="F7069" s="3">
        <v>35.119999999999997</v>
      </c>
      <c r="G7069" s="3">
        <v>4903</v>
      </c>
    </row>
    <row r="7070" spans="1:7" x14ac:dyDescent="0.2">
      <c r="A7070" s="3" t="s">
        <v>1792</v>
      </c>
      <c r="B7070" s="4">
        <v>45169</v>
      </c>
      <c r="C7070" s="3" t="s">
        <v>1180</v>
      </c>
      <c r="D7070" s="3" t="s">
        <v>1727</v>
      </c>
      <c r="E7070" s="3" t="s">
        <v>1812</v>
      </c>
      <c r="F7070" s="3">
        <v>-13748.64</v>
      </c>
      <c r="G7070" s="3">
        <v>54011.21</v>
      </c>
    </row>
    <row r="7071" spans="1:7" x14ac:dyDescent="0.2">
      <c r="A7071" s="3" t="s">
        <v>1799</v>
      </c>
      <c r="B7071" s="4">
        <v>45169</v>
      </c>
      <c r="C7071" s="3" t="s">
        <v>1180</v>
      </c>
      <c r="D7071" s="3" t="s">
        <v>1727</v>
      </c>
      <c r="E7071" s="3" t="s">
        <v>1814</v>
      </c>
      <c r="F7071" s="3">
        <v>0</v>
      </c>
      <c r="G7071" s="3">
        <v>1016.2</v>
      </c>
    </row>
    <row r="7072" spans="1:7" x14ac:dyDescent="0.2">
      <c r="A7072" s="3" t="s">
        <v>1788</v>
      </c>
      <c r="B7072" s="4">
        <v>45199</v>
      </c>
      <c r="C7072" s="3" t="s">
        <v>1180</v>
      </c>
      <c r="D7072" s="3" t="s">
        <v>1187</v>
      </c>
      <c r="E7072" s="3" t="s">
        <v>1789</v>
      </c>
      <c r="F7072" s="3">
        <v>32418.42</v>
      </c>
      <c r="G7072" s="3">
        <v>55329.1</v>
      </c>
    </row>
    <row r="7073" spans="1:7" x14ac:dyDescent="0.2">
      <c r="A7073" s="3" t="s">
        <v>1790</v>
      </c>
      <c r="B7073" s="4">
        <v>45199</v>
      </c>
      <c r="C7073" s="3" t="s">
        <v>1180</v>
      </c>
      <c r="D7073" s="3" t="s">
        <v>1187</v>
      </c>
      <c r="E7073" s="3" t="s">
        <v>1791</v>
      </c>
      <c r="F7073" s="3">
        <v>-148335.19</v>
      </c>
      <c r="G7073" s="3">
        <v>80245.31</v>
      </c>
    </row>
    <row r="7074" spans="1:7" x14ac:dyDescent="0.2">
      <c r="A7074" s="3" t="s">
        <v>1792</v>
      </c>
      <c r="B7074" s="4">
        <v>45199</v>
      </c>
      <c r="C7074" s="3" t="s">
        <v>1180</v>
      </c>
      <c r="D7074" s="3" t="s">
        <v>1187</v>
      </c>
      <c r="E7074" s="3" t="s">
        <v>1793</v>
      </c>
      <c r="F7074" s="3">
        <v>-140</v>
      </c>
      <c r="G7074" s="3">
        <v>159668.26</v>
      </c>
    </row>
    <row r="7075" spans="1:7" x14ac:dyDescent="0.2">
      <c r="A7075" s="3" t="s">
        <v>1794</v>
      </c>
      <c r="B7075" s="4">
        <v>45199</v>
      </c>
      <c r="C7075" s="3" t="s">
        <v>1180</v>
      </c>
      <c r="D7075" s="3" t="s">
        <v>1187</v>
      </c>
      <c r="E7075" s="3" t="s">
        <v>1795</v>
      </c>
      <c r="F7075" s="3">
        <v>127751.37</v>
      </c>
      <c r="G7075" s="3">
        <v>137823.12</v>
      </c>
    </row>
    <row r="7076" spans="1:7" x14ac:dyDescent="0.2">
      <c r="A7076" s="3" t="s">
        <v>1796</v>
      </c>
      <c r="B7076" s="4">
        <v>45199</v>
      </c>
      <c r="C7076" s="3" t="s">
        <v>1180</v>
      </c>
      <c r="D7076" s="3" t="s">
        <v>1187</v>
      </c>
      <c r="E7076" s="3" t="s">
        <v>1797</v>
      </c>
      <c r="F7076" s="3">
        <v>104329.29</v>
      </c>
      <c r="G7076" s="3">
        <v>145187.15</v>
      </c>
    </row>
    <row r="7077" spans="1:7" x14ac:dyDescent="0.2">
      <c r="A7077" s="3" t="s">
        <v>1094</v>
      </c>
      <c r="B7077" s="4">
        <v>45199</v>
      </c>
      <c r="C7077" s="3" t="s">
        <v>1180</v>
      </c>
      <c r="D7077" s="3" t="s">
        <v>1187</v>
      </c>
      <c r="E7077" s="3" t="s">
        <v>1798</v>
      </c>
      <c r="F7077" s="3">
        <v>-8285.75</v>
      </c>
      <c r="G7077" s="3">
        <v>19981.150000000001</v>
      </c>
    </row>
    <row r="7078" spans="1:7" x14ac:dyDescent="0.2">
      <c r="A7078" s="3" t="s">
        <v>1799</v>
      </c>
      <c r="B7078" s="4">
        <v>45199</v>
      </c>
      <c r="C7078" s="3" t="s">
        <v>1180</v>
      </c>
      <c r="D7078" s="3" t="s">
        <v>1187</v>
      </c>
      <c r="E7078" s="3" t="s">
        <v>1800</v>
      </c>
      <c r="F7078" s="3">
        <v>2315.7399999999998</v>
      </c>
      <c r="G7078" s="3">
        <v>44410.37</v>
      </c>
    </row>
    <row r="7079" spans="1:7" x14ac:dyDescent="0.2">
      <c r="A7079" s="3" t="s">
        <v>1788</v>
      </c>
      <c r="B7079" s="4">
        <v>45199</v>
      </c>
      <c r="C7079" s="3" t="s">
        <v>1180</v>
      </c>
      <c r="D7079" s="3" t="s">
        <v>1801</v>
      </c>
      <c r="E7079" s="3" t="s">
        <v>1802</v>
      </c>
      <c r="F7079" s="3">
        <v>900</v>
      </c>
      <c r="G7079" s="3">
        <v>1141.0999999999999</v>
      </c>
    </row>
    <row r="7080" spans="1:7" x14ac:dyDescent="0.2">
      <c r="A7080" s="3" t="s">
        <v>1094</v>
      </c>
      <c r="B7080" s="4">
        <v>45199</v>
      </c>
      <c r="C7080" s="3" t="s">
        <v>1180</v>
      </c>
      <c r="D7080" s="3" t="s">
        <v>1189</v>
      </c>
      <c r="E7080" s="3" t="s">
        <v>1803</v>
      </c>
      <c r="F7080" s="3">
        <v>-2756.97</v>
      </c>
      <c r="G7080" s="3">
        <v>20.079999999999998</v>
      </c>
    </row>
    <row r="7081" spans="1:7" x14ac:dyDescent="0.2">
      <c r="A7081" s="3" t="s">
        <v>1799</v>
      </c>
      <c r="B7081" s="4">
        <v>45199</v>
      </c>
      <c r="C7081" s="3" t="s">
        <v>1180</v>
      </c>
      <c r="D7081" s="3" t="s">
        <v>1189</v>
      </c>
      <c r="E7081" s="3" t="s">
        <v>1804</v>
      </c>
      <c r="F7081" s="3">
        <v>0</v>
      </c>
      <c r="G7081" s="3">
        <v>1432.34</v>
      </c>
    </row>
    <row r="7082" spans="1:7" x14ac:dyDescent="0.2">
      <c r="A7082" s="3" t="s">
        <v>1796</v>
      </c>
      <c r="B7082" s="4">
        <v>45199</v>
      </c>
      <c r="C7082" s="3" t="s">
        <v>1180</v>
      </c>
      <c r="D7082" s="3" t="s">
        <v>1189</v>
      </c>
      <c r="E7082" s="3" t="s">
        <v>1805</v>
      </c>
      <c r="F7082" s="3">
        <v>825.59</v>
      </c>
      <c r="G7082" s="3">
        <v>900.57</v>
      </c>
    </row>
    <row r="7083" spans="1:7" x14ac:dyDescent="0.2">
      <c r="A7083" s="3" t="s">
        <v>1792</v>
      </c>
      <c r="B7083" s="4">
        <v>45199</v>
      </c>
      <c r="C7083" s="3" t="s">
        <v>1180</v>
      </c>
      <c r="D7083" s="3" t="s">
        <v>1806</v>
      </c>
      <c r="E7083" s="3" t="s">
        <v>1807</v>
      </c>
      <c r="F7083" s="3">
        <v>-85</v>
      </c>
      <c r="G7083" s="3">
        <v>2701.21</v>
      </c>
    </row>
    <row r="7084" spans="1:7" x14ac:dyDescent="0.2">
      <c r="A7084" s="3" t="s">
        <v>1794</v>
      </c>
      <c r="B7084" s="4">
        <v>45199</v>
      </c>
      <c r="C7084" s="3" t="s">
        <v>1180</v>
      </c>
      <c r="D7084" s="3" t="s">
        <v>1435</v>
      </c>
      <c r="E7084" s="3" t="s">
        <v>1815</v>
      </c>
      <c r="F7084" s="3">
        <v>52</v>
      </c>
      <c r="G7084" s="3">
        <v>416</v>
      </c>
    </row>
    <row r="7085" spans="1:7" x14ac:dyDescent="0.2">
      <c r="A7085" s="3" t="s">
        <v>1792</v>
      </c>
      <c r="B7085" s="4">
        <v>45199</v>
      </c>
      <c r="C7085" s="3" t="s">
        <v>1180</v>
      </c>
      <c r="D7085" s="3" t="s">
        <v>1243</v>
      </c>
      <c r="E7085" s="3" t="s">
        <v>1808</v>
      </c>
      <c r="F7085" s="3">
        <v>0</v>
      </c>
      <c r="G7085" s="3">
        <v>556.26</v>
      </c>
    </row>
    <row r="7086" spans="1:7" x14ac:dyDescent="0.2">
      <c r="A7086" s="3" t="s">
        <v>1788</v>
      </c>
      <c r="B7086" s="4">
        <v>45199</v>
      </c>
      <c r="C7086" s="3" t="s">
        <v>1180</v>
      </c>
      <c r="D7086" s="3" t="s">
        <v>1245</v>
      </c>
      <c r="E7086" s="3" t="s">
        <v>1809</v>
      </c>
      <c r="F7086" s="3">
        <v>-12.64</v>
      </c>
      <c r="G7086" s="3">
        <v>865.63</v>
      </c>
    </row>
    <row r="7087" spans="1:7" x14ac:dyDescent="0.2">
      <c r="A7087" s="3" t="s">
        <v>1788</v>
      </c>
      <c r="B7087" s="4">
        <v>45199</v>
      </c>
      <c r="C7087" s="3" t="s">
        <v>1180</v>
      </c>
      <c r="D7087" s="3" t="s">
        <v>1810</v>
      </c>
      <c r="E7087" s="3" t="s">
        <v>1811</v>
      </c>
      <c r="F7087" s="3">
        <v>34.81</v>
      </c>
      <c r="G7087" s="3">
        <v>4937.8100000000004</v>
      </c>
    </row>
    <row r="7088" spans="1:7" x14ac:dyDescent="0.2">
      <c r="A7088" s="3" t="s">
        <v>1792</v>
      </c>
      <c r="B7088" s="4">
        <v>45199</v>
      </c>
      <c r="C7088" s="3" t="s">
        <v>1180</v>
      </c>
      <c r="D7088" s="3" t="s">
        <v>1727</v>
      </c>
      <c r="E7088" s="3" t="s">
        <v>1812</v>
      </c>
      <c r="F7088" s="3">
        <v>91335.79</v>
      </c>
      <c r="G7088" s="3">
        <v>145347</v>
      </c>
    </row>
    <row r="7089" spans="1:7" x14ac:dyDescent="0.2">
      <c r="A7089" s="3" t="s">
        <v>1799</v>
      </c>
      <c r="B7089" s="4">
        <v>45199</v>
      </c>
      <c r="C7089" s="3" t="s">
        <v>1180</v>
      </c>
      <c r="D7089" s="3" t="s">
        <v>1727</v>
      </c>
      <c r="E7089" s="3" t="s">
        <v>1814</v>
      </c>
      <c r="F7089" s="3">
        <v>0</v>
      </c>
      <c r="G7089" s="3">
        <v>1016.2</v>
      </c>
    </row>
    <row r="7090" spans="1:7" x14ac:dyDescent="0.2">
      <c r="A7090" s="3" t="s">
        <v>1788</v>
      </c>
      <c r="B7090" s="4">
        <v>45230</v>
      </c>
      <c r="C7090" s="3" t="s">
        <v>1180</v>
      </c>
      <c r="D7090" s="3" t="s">
        <v>1187</v>
      </c>
      <c r="E7090" s="3" t="s">
        <v>1789</v>
      </c>
      <c r="F7090" s="3">
        <v>60597.919999999998</v>
      </c>
      <c r="G7090" s="3">
        <v>115927.02</v>
      </c>
    </row>
    <row r="7091" spans="1:7" x14ac:dyDescent="0.2">
      <c r="A7091" s="3" t="s">
        <v>1790</v>
      </c>
      <c r="B7091" s="4">
        <v>45230</v>
      </c>
      <c r="C7091" s="3" t="s">
        <v>1180</v>
      </c>
      <c r="D7091" s="3" t="s">
        <v>1187</v>
      </c>
      <c r="E7091" s="3" t="s">
        <v>1791</v>
      </c>
      <c r="F7091" s="3">
        <v>-62730.28</v>
      </c>
      <c r="G7091" s="3">
        <v>17515.03</v>
      </c>
    </row>
    <row r="7092" spans="1:7" x14ac:dyDescent="0.2">
      <c r="A7092" s="3" t="s">
        <v>1792</v>
      </c>
      <c r="B7092" s="4">
        <v>45230</v>
      </c>
      <c r="C7092" s="3" t="s">
        <v>1180</v>
      </c>
      <c r="D7092" s="3" t="s">
        <v>1187</v>
      </c>
      <c r="E7092" s="3" t="s">
        <v>1793</v>
      </c>
      <c r="F7092" s="3">
        <v>892.27</v>
      </c>
      <c r="G7092" s="3">
        <v>160560.53</v>
      </c>
    </row>
    <row r="7093" spans="1:7" x14ac:dyDescent="0.2">
      <c r="A7093" s="3" t="s">
        <v>1794</v>
      </c>
      <c r="B7093" s="4">
        <v>45230</v>
      </c>
      <c r="C7093" s="3" t="s">
        <v>1180</v>
      </c>
      <c r="D7093" s="3" t="s">
        <v>1187</v>
      </c>
      <c r="E7093" s="3" t="s">
        <v>1795</v>
      </c>
      <c r="F7093" s="3">
        <v>-94447.76</v>
      </c>
      <c r="G7093" s="3">
        <v>43375.360000000001</v>
      </c>
    </row>
    <row r="7094" spans="1:7" x14ac:dyDescent="0.2">
      <c r="A7094" s="3" t="s">
        <v>1796</v>
      </c>
      <c r="B7094" s="4">
        <v>45230</v>
      </c>
      <c r="C7094" s="3" t="s">
        <v>1180</v>
      </c>
      <c r="D7094" s="3" t="s">
        <v>1187</v>
      </c>
      <c r="E7094" s="3" t="s">
        <v>1797</v>
      </c>
      <c r="F7094" s="3">
        <v>-15735.62</v>
      </c>
      <c r="G7094" s="3">
        <v>129451.53</v>
      </c>
    </row>
    <row r="7095" spans="1:7" x14ac:dyDescent="0.2">
      <c r="A7095" s="3" t="s">
        <v>1094</v>
      </c>
      <c r="B7095" s="4">
        <v>45230</v>
      </c>
      <c r="C7095" s="3" t="s">
        <v>1180</v>
      </c>
      <c r="D7095" s="3" t="s">
        <v>1187</v>
      </c>
      <c r="E7095" s="3" t="s">
        <v>1798</v>
      </c>
      <c r="F7095" s="3">
        <v>14611.94</v>
      </c>
      <c r="G7095" s="3">
        <v>34593.089999999997</v>
      </c>
    </row>
    <row r="7096" spans="1:7" x14ac:dyDescent="0.2">
      <c r="A7096" s="3" t="s">
        <v>1799</v>
      </c>
      <c r="B7096" s="4">
        <v>45230</v>
      </c>
      <c r="C7096" s="3" t="s">
        <v>1180</v>
      </c>
      <c r="D7096" s="3" t="s">
        <v>1187</v>
      </c>
      <c r="E7096" s="3" t="s">
        <v>1800</v>
      </c>
      <c r="F7096" s="3">
        <v>47209.87</v>
      </c>
      <c r="G7096" s="3">
        <v>91620.24</v>
      </c>
    </row>
    <row r="7097" spans="1:7" x14ac:dyDescent="0.2">
      <c r="A7097" s="3" t="s">
        <v>1788</v>
      </c>
      <c r="B7097" s="4">
        <v>45230</v>
      </c>
      <c r="C7097" s="3" t="s">
        <v>1180</v>
      </c>
      <c r="D7097" s="3" t="s">
        <v>1801</v>
      </c>
      <c r="E7097" s="3" t="s">
        <v>1802</v>
      </c>
      <c r="F7097" s="3">
        <v>0</v>
      </c>
      <c r="G7097" s="3">
        <v>1141.0999999999999</v>
      </c>
    </row>
    <row r="7098" spans="1:7" x14ac:dyDescent="0.2">
      <c r="A7098" s="3" t="s">
        <v>1094</v>
      </c>
      <c r="B7098" s="4">
        <v>45230</v>
      </c>
      <c r="C7098" s="3" t="s">
        <v>1180</v>
      </c>
      <c r="D7098" s="3" t="s">
        <v>1189</v>
      </c>
      <c r="E7098" s="3" t="s">
        <v>1803</v>
      </c>
      <c r="F7098" s="3">
        <v>3.95</v>
      </c>
      <c r="G7098" s="3">
        <v>24.03</v>
      </c>
    </row>
    <row r="7099" spans="1:7" x14ac:dyDescent="0.2">
      <c r="A7099" s="3" t="s">
        <v>1799</v>
      </c>
      <c r="B7099" s="4">
        <v>45230</v>
      </c>
      <c r="C7099" s="3" t="s">
        <v>1180</v>
      </c>
      <c r="D7099" s="3" t="s">
        <v>1189</v>
      </c>
      <c r="E7099" s="3" t="s">
        <v>1804</v>
      </c>
      <c r="F7099" s="3">
        <v>0</v>
      </c>
      <c r="G7099" s="3">
        <v>1432.34</v>
      </c>
    </row>
    <row r="7100" spans="1:7" x14ac:dyDescent="0.2">
      <c r="A7100" s="3" t="s">
        <v>1796</v>
      </c>
      <c r="B7100" s="4">
        <v>45230</v>
      </c>
      <c r="C7100" s="3" t="s">
        <v>1180</v>
      </c>
      <c r="D7100" s="3" t="s">
        <v>1189</v>
      </c>
      <c r="E7100" s="3" t="s">
        <v>1805</v>
      </c>
      <c r="F7100" s="3">
        <v>-18.96</v>
      </c>
      <c r="G7100" s="3">
        <v>881.61</v>
      </c>
    </row>
    <row r="7101" spans="1:7" x14ac:dyDescent="0.2">
      <c r="A7101" s="3" t="s">
        <v>1792</v>
      </c>
      <c r="B7101" s="4">
        <v>45230</v>
      </c>
      <c r="C7101" s="3" t="s">
        <v>1180</v>
      </c>
      <c r="D7101" s="3" t="s">
        <v>1806</v>
      </c>
      <c r="E7101" s="3" t="s">
        <v>1807</v>
      </c>
      <c r="F7101" s="3">
        <v>-85</v>
      </c>
      <c r="G7101" s="3">
        <v>2616.21</v>
      </c>
    </row>
    <row r="7102" spans="1:7" x14ac:dyDescent="0.2">
      <c r="A7102" s="3" t="s">
        <v>1794</v>
      </c>
      <c r="B7102" s="4">
        <v>45230</v>
      </c>
      <c r="C7102" s="3" t="s">
        <v>1180</v>
      </c>
      <c r="D7102" s="3" t="s">
        <v>1435</v>
      </c>
      <c r="E7102" s="3" t="s">
        <v>1815</v>
      </c>
      <c r="F7102" s="3">
        <v>52</v>
      </c>
      <c r="G7102" s="3">
        <v>468</v>
      </c>
    </row>
    <row r="7103" spans="1:7" x14ac:dyDescent="0.2">
      <c r="A7103" s="3" t="s">
        <v>1792</v>
      </c>
      <c r="B7103" s="4">
        <v>45230</v>
      </c>
      <c r="C7103" s="3" t="s">
        <v>1180</v>
      </c>
      <c r="D7103" s="3" t="s">
        <v>1243</v>
      </c>
      <c r="E7103" s="3" t="s">
        <v>1808</v>
      </c>
      <c r="F7103" s="3">
        <v>7.48</v>
      </c>
      <c r="G7103" s="3">
        <v>563.74</v>
      </c>
    </row>
    <row r="7104" spans="1:7" x14ac:dyDescent="0.2">
      <c r="A7104" s="3" t="s">
        <v>1788</v>
      </c>
      <c r="B7104" s="4">
        <v>45230</v>
      </c>
      <c r="C7104" s="3" t="s">
        <v>1180</v>
      </c>
      <c r="D7104" s="3" t="s">
        <v>1245</v>
      </c>
      <c r="E7104" s="3" t="s">
        <v>1809</v>
      </c>
      <c r="F7104" s="3">
        <v>-11.06</v>
      </c>
      <c r="G7104" s="3">
        <v>854.57</v>
      </c>
    </row>
    <row r="7105" spans="1:7" x14ac:dyDescent="0.2">
      <c r="A7105" s="3" t="s">
        <v>1788</v>
      </c>
      <c r="B7105" s="4">
        <v>45230</v>
      </c>
      <c r="C7105" s="3" t="s">
        <v>1180</v>
      </c>
      <c r="D7105" s="3" t="s">
        <v>1810</v>
      </c>
      <c r="E7105" s="3" t="s">
        <v>1811</v>
      </c>
      <c r="F7105" s="3">
        <v>36</v>
      </c>
      <c r="G7105" s="3">
        <v>4973.8100000000004</v>
      </c>
    </row>
    <row r="7106" spans="1:7" x14ac:dyDescent="0.2">
      <c r="A7106" s="3" t="s">
        <v>1792</v>
      </c>
      <c r="B7106" s="4">
        <v>45230</v>
      </c>
      <c r="C7106" s="3" t="s">
        <v>1180</v>
      </c>
      <c r="D7106" s="3" t="s">
        <v>1727</v>
      </c>
      <c r="E7106" s="3" t="s">
        <v>1812</v>
      </c>
      <c r="F7106" s="3">
        <v>158334.88</v>
      </c>
      <c r="G7106" s="3">
        <v>303681.88</v>
      </c>
    </row>
    <row r="7107" spans="1:7" x14ac:dyDescent="0.2">
      <c r="A7107" s="3" t="s">
        <v>1799</v>
      </c>
      <c r="B7107" s="4">
        <v>45230</v>
      </c>
      <c r="C7107" s="3" t="s">
        <v>1180</v>
      </c>
      <c r="D7107" s="3" t="s">
        <v>1727</v>
      </c>
      <c r="E7107" s="3" t="s">
        <v>1814</v>
      </c>
      <c r="F7107" s="3">
        <v>0</v>
      </c>
      <c r="G7107" s="3">
        <v>1016.2</v>
      </c>
    </row>
    <row r="7108" spans="1:7" x14ac:dyDescent="0.2">
      <c r="A7108" s="3" t="s">
        <v>1792</v>
      </c>
      <c r="B7108" s="4">
        <v>45230</v>
      </c>
      <c r="C7108" s="3" t="s">
        <v>1180</v>
      </c>
      <c r="D7108" s="3" t="s">
        <v>1816</v>
      </c>
      <c r="E7108" s="3" t="s">
        <v>1817</v>
      </c>
      <c r="F7108" s="3">
        <v>500</v>
      </c>
      <c r="G7108" s="3">
        <v>500</v>
      </c>
    </row>
    <row r="7109" spans="1:7" x14ac:dyDescent="0.2">
      <c r="A7109" s="3" t="s">
        <v>1788</v>
      </c>
      <c r="B7109" s="4">
        <v>45260</v>
      </c>
      <c r="C7109" s="3" t="s">
        <v>1180</v>
      </c>
      <c r="D7109" s="3" t="s">
        <v>1187</v>
      </c>
      <c r="E7109" s="3" t="s">
        <v>1789</v>
      </c>
      <c r="F7109" s="3">
        <v>-83556.62</v>
      </c>
      <c r="G7109" s="3">
        <v>32370.400000000001</v>
      </c>
    </row>
    <row r="7110" spans="1:7" x14ac:dyDescent="0.2">
      <c r="A7110" s="3" t="s">
        <v>1790</v>
      </c>
      <c r="B7110" s="4">
        <v>45260</v>
      </c>
      <c r="C7110" s="3" t="s">
        <v>1180</v>
      </c>
      <c r="D7110" s="3" t="s">
        <v>1187</v>
      </c>
      <c r="E7110" s="3" t="s">
        <v>1791</v>
      </c>
      <c r="F7110" s="3">
        <v>30729.64</v>
      </c>
      <c r="G7110" s="3">
        <v>48244.67</v>
      </c>
    </row>
    <row r="7111" spans="1:7" x14ac:dyDescent="0.2">
      <c r="A7111" s="3" t="s">
        <v>1792</v>
      </c>
      <c r="B7111" s="4">
        <v>45260</v>
      </c>
      <c r="C7111" s="3" t="s">
        <v>1180</v>
      </c>
      <c r="D7111" s="3" t="s">
        <v>1187</v>
      </c>
      <c r="E7111" s="3" t="s">
        <v>1793</v>
      </c>
      <c r="F7111" s="3">
        <v>-8460.5300000000007</v>
      </c>
      <c r="G7111" s="3">
        <v>152100</v>
      </c>
    </row>
    <row r="7112" spans="1:7" x14ac:dyDescent="0.2">
      <c r="A7112" s="3" t="s">
        <v>1794</v>
      </c>
      <c r="B7112" s="4">
        <v>45260</v>
      </c>
      <c r="C7112" s="3" t="s">
        <v>1180</v>
      </c>
      <c r="D7112" s="3" t="s">
        <v>1187</v>
      </c>
      <c r="E7112" s="3" t="s">
        <v>1795</v>
      </c>
      <c r="F7112" s="3">
        <v>12422.65</v>
      </c>
      <c r="G7112" s="3">
        <v>55798.01</v>
      </c>
    </row>
    <row r="7113" spans="1:7" x14ac:dyDescent="0.2">
      <c r="A7113" s="3" t="s">
        <v>1796</v>
      </c>
      <c r="B7113" s="4">
        <v>45260</v>
      </c>
      <c r="C7113" s="3" t="s">
        <v>1180</v>
      </c>
      <c r="D7113" s="3" t="s">
        <v>1187</v>
      </c>
      <c r="E7113" s="3" t="s">
        <v>1797</v>
      </c>
      <c r="F7113" s="3">
        <v>-84012.89</v>
      </c>
      <c r="G7113" s="3">
        <v>45438.64</v>
      </c>
    </row>
    <row r="7114" spans="1:7" x14ac:dyDescent="0.2">
      <c r="A7114" s="3" t="s">
        <v>1094</v>
      </c>
      <c r="B7114" s="4">
        <v>45260</v>
      </c>
      <c r="C7114" s="3" t="s">
        <v>1180</v>
      </c>
      <c r="D7114" s="3" t="s">
        <v>1187</v>
      </c>
      <c r="E7114" s="3" t="s">
        <v>1798</v>
      </c>
      <c r="F7114" s="3">
        <v>1243891.69</v>
      </c>
      <c r="G7114" s="3">
        <v>1278484.78</v>
      </c>
    </row>
    <row r="7115" spans="1:7" x14ac:dyDescent="0.2">
      <c r="A7115" s="3" t="s">
        <v>1799</v>
      </c>
      <c r="B7115" s="4">
        <v>45260</v>
      </c>
      <c r="C7115" s="3" t="s">
        <v>1180</v>
      </c>
      <c r="D7115" s="3" t="s">
        <v>1187</v>
      </c>
      <c r="E7115" s="3" t="s">
        <v>1800</v>
      </c>
      <c r="F7115" s="3">
        <v>-35385.32</v>
      </c>
      <c r="G7115" s="3">
        <v>56234.92</v>
      </c>
    </row>
    <row r="7116" spans="1:7" x14ac:dyDescent="0.2">
      <c r="A7116" s="3" t="s">
        <v>1788</v>
      </c>
      <c r="B7116" s="4">
        <v>45260</v>
      </c>
      <c r="C7116" s="3" t="s">
        <v>1180</v>
      </c>
      <c r="D7116" s="3" t="s">
        <v>1801</v>
      </c>
      <c r="E7116" s="3" t="s">
        <v>1802</v>
      </c>
      <c r="F7116" s="3">
        <v>0</v>
      </c>
      <c r="G7116" s="3">
        <v>1141.0999999999999</v>
      </c>
    </row>
    <row r="7117" spans="1:7" x14ac:dyDescent="0.2">
      <c r="A7117" s="3" t="s">
        <v>1094</v>
      </c>
      <c r="B7117" s="4">
        <v>45260</v>
      </c>
      <c r="C7117" s="3" t="s">
        <v>1180</v>
      </c>
      <c r="D7117" s="3" t="s">
        <v>1189</v>
      </c>
      <c r="E7117" s="3" t="s">
        <v>1803</v>
      </c>
      <c r="F7117" s="3">
        <v>0</v>
      </c>
      <c r="G7117" s="3">
        <v>24.03</v>
      </c>
    </row>
    <row r="7118" spans="1:7" x14ac:dyDescent="0.2">
      <c r="A7118" s="3" t="s">
        <v>1799</v>
      </c>
      <c r="B7118" s="4">
        <v>45260</v>
      </c>
      <c r="C7118" s="3" t="s">
        <v>1180</v>
      </c>
      <c r="D7118" s="3" t="s">
        <v>1189</v>
      </c>
      <c r="E7118" s="3" t="s">
        <v>1804</v>
      </c>
      <c r="F7118" s="3">
        <v>0</v>
      </c>
      <c r="G7118" s="3">
        <v>1432.34</v>
      </c>
    </row>
    <row r="7119" spans="1:7" x14ac:dyDescent="0.2">
      <c r="A7119" s="3" t="s">
        <v>1796</v>
      </c>
      <c r="B7119" s="4">
        <v>45260</v>
      </c>
      <c r="C7119" s="3" t="s">
        <v>1180</v>
      </c>
      <c r="D7119" s="3" t="s">
        <v>1189</v>
      </c>
      <c r="E7119" s="3" t="s">
        <v>1805</v>
      </c>
      <c r="F7119" s="3">
        <v>0</v>
      </c>
      <c r="G7119" s="3">
        <v>881.61</v>
      </c>
    </row>
    <row r="7120" spans="1:7" x14ac:dyDescent="0.2">
      <c r="A7120" s="3" t="s">
        <v>1792</v>
      </c>
      <c r="B7120" s="4">
        <v>45260</v>
      </c>
      <c r="C7120" s="3" t="s">
        <v>1180</v>
      </c>
      <c r="D7120" s="3" t="s">
        <v>1806</v>
      </c>
      <c r="E7120" s="3" t="s">
        <v>1807</v>
      </c>
      <c r="F7120" s="3">
        <v>0</v>
      </c>
      <c r="G7120" s="3">
        <v>2616.21</v>
      </c>
    </row>
    <row r="7121" spans="1:7" x14ac:dyDescent="0.2">
      <c r="A7121" s="3" t="s">
        <v>1794</v>
      </c>
      <c r="B7121" s="4">
        <v>45260</v>
      </c>
      <c r="C7121" s="3" t="s">
        <v>1180</v>
      </c>
      <c r="D7121" s="3" t="s">
        <v>1435</v>
      </c>
      <c r="E7121" s="3" t="s">
        <v>1815</v>
      </c>
      <c r="F7121" s="3">
        <v>52</v>
      </c>
      <c r="G7121" s="3">
        <v>520</v>
      </c>
    </row>
    <row r="7122" spans="1:7" x14ac:dyDescent="0.2">
      <c r="A7122" s="3" t="s">
        <v>1792</v>
      </c>
      <c r="B7122" s="4">
        <v>45260</v>
      </c>
      <c r="C7122" s="3" t="s">
        <v>1180</v>
      </c>
      <c r="D7122" s="3" t="s">
        <v>1243</v>
      </c>
      <c r="E7122" s="3" t="s">
        <v>1808</v>
      </c>
      <c r="F7122" s="3">
        <v>0</v>
      </c>
      <c r="G7122" s="3">
        <v>563.74</v>
      </c>
    </row>
    <row r="7123" spans="1:7" x14ac:dyDescent="0.2">
      <c r="A7123" s="3" t="s">
        <v>1788</v>
      </c>
      <c r="B7123" s="4">
        <v>45260</v>
      </c>
      <c r="C7123" s="3" t="s">
        <v>1180</v>
      </c>
      <c r="D7123" s="3" t="s">
        <v>1245</v>
      </c>
      <c r="E7123" s="3" t="s">
        <v>1809</v>
      </c>
      <c r="F7123" s="3">
        <v>-40007.9</v>
      </c>
      <c r="G7123" s="3">
        <v>-39153.33</v>
      </c>
    </row>
    <row r="7124" spans="1:7" x14ac:dyDescent="0.2">
      <c r="A7124" s="3" t="s">
        <v>1788</v>
      </c>
      <c r="B7124" s="4">
        <v>45260</v>
      </c>
      <c r="C7124" s="3" t="s">
        <v>1180</v>
      </c>
      <c r="D7124" s="3" t="s">
        <v>1810</v>
      </c>
      <c r="E7124" s="3" t="s">
        <v>1811</v>
      </c>
      <c r="F7124" s="3">
        <v>0</v>
      </c>
      <c r="G7124" s="3">
        <v>4973.8100000000004</v>
      </c>
    </row>
    <row r="7125" spans="1:7" x14ac:dyDescent="0.2">
      <c r="A7125" s="3" t="s">
        <v>1792</v>
      </c>
      <c r="B7125" s="4">
        <v>45260</v>
      </c>
      <c r="C7125" s="3" t="s">
        <v>1180</v>
      </c>
      <c r="D7125" s="3" t="s">
        <v>1727</v>
      </c>
      <c r="E7125" s="3" t="s">
        <v>1812</v>
      </c>
      <c r="F7125" s="3">
        <v>-197772.73</v>
      </c>
      <c r="G7125" s="3">
        <v>105909.15</v>
      </c>
    </row>
    <row r="7126" spans="1:7" x14ac:dyDescent="0.2">
      <c r="A7126" s="3" t="s">
        <v>1799</v>
      </c>
      <c r="B7126" s="4">
        <v>45260</v>
      </c>
      <c r="C7126" s="3" t="s">
        <v>1180</v>
      </c>
      <c r="D7126" s="3" t="s">
        <v>1727</v>
      </c>
      <c r="E7126" s="3" t="s">
        <v>1814</v>
      </c>
      <c r="F7126" s="3">
        <v>0</v>
      </c>
      <c r="G7126" s="3">
        <v>1016.2</v>
      </c>
    </row>
    <row r="7127" spans="1:7" x14ac:dyDescent="0.2">
      <c r="A7127" s="3" t="s">
        <v>1792</v>
      </c>
      <c r="B7127" s="4">
        <v>45260</v>
      </c>
      <c r="C7127" s="3" t="s">
        <v>1180</v>
      </c>
      <c r="D7127" s="3" t="s">
        <v>1816</v>
      </c>
      <c r="E7127" s="3" t="s">
        <v>1817</v>
      </c>
      <c r="F7127" s="3">
        <v>0</v>
      </c>
      <c r="G7127" s="3">
        <v>500</v>
      </c>
    </row>
    <row r="7128" spans="1:7" x14ac:dyDescent="0.2">
      <c r="A7128" s="3" t="s">
        <v>1788</v>
      </c>
      <c r="B7128" s="4">
        <v>45291</v>
      </c>
      <c r="C7128" s="3" t="s">
        <v>1180</v>
      </c>
      <c r="D7128" s="3" t="s">
        <v>1187</v>
      </c>
      <c r="E7128" s="3" t="s">
        <v>1789</v>
      </c>
      <c r="F7128" s="3">
        <v>16676.77</v>
      </c>
      <c r="G7128" s="3">
        <v>49047.17</v>
      </c>
    </row>
    <row r="7129" spans="1:7" x14ac:dyDescent="0.2">
      <c r="A7129" s="3" t="s">
        <v>1790</v>
      </c>
      <c r="B7129" s="4">
        <v>45291</v>
      </c>
      <c r="C7129" s="3" t="s">
        <v>1180</v>
      </c>
      <c r="D7129" s="3" t="s">
        <v>1187</v>
      </c>
      <c r="E7129" s="3" t="s">
        <v>1791</v>
      </c>
      <c r="F7129" s="3">
        <v>-20974.11</v>
      </c>
      <c r="G7129" s="3">
        <v>27270.560000000001</v>
      </c>
    </row>
    <row r="7130" spans="1:7" x14ac:dyDescent="0.2">
      <c r="A7130" s="3" t="s">
        <v>1792</v>
      </c>
      <c r="B7130" s="4">
        <v>45291</v>
      </c>
      <c r="C7130" s="3" t="s">
        <v>1180</v>
      </c>
      <c r="D7130" s="3" t="s">
        <v>1187</v>
      </c>
      <c r="E7130" s="3" t="s">
        <v>1793</v>
      </c>
      <c r="F7130" s="3">
        <v>2926519.83</v>
      </c>
      <c r="G7130" s="3">
        <v>3078619.83</v>
      </c>
    </row>
    <row r="7131" spans="1:7" x14ac:dyDescent="0.2">
      <c r="A7131" s="3" t="s">
        <v>1794</v>
      </c>
      <c r="B7131" s="4">
        <v>45291</v>
      </c>
      <c r="C7131" s="3" t="s">
        <v>1180</v>
      </c>
      <c r="D7131" s="3" t="s">
        <v>1187</v>
      </c>
      <c r="E7131" s="3" t="s">
        <v>1795</v>
      </c>
      <c r="F7131" s="3">
        <v>25727.67</v>
      </c>
      <c r="G7131" s="3">
        <v>81525.679999999993</v>
      </c>
    </row>
    <row r="7132" spans="1:7" x14ac:dyDescent="0.2">
      <c r="A7132" s="3" t="s">
        <v>1796</v>
      </c>
      <c r="B7132" s="4">
        <v>45291</v>
      </c>
      <c r="C7132" s="3" t="s">
        <v>1180</v>
      </c>
      <c r="D7132" s="3" t="s">
        <v>1187</v>
      </c>
      <c r="E7132" s="3" t="s">
        <v>1797</v>
      </c>
      <c r="F7132" s="3">
        <v>8622.11</v>
      </c>
      <c r="G7132" s="3">
        <v>54060.75</v>
      </c>
    </row>
    <row r="7133" spans="1:7" x14ac:dyDescent="0.2">
      <c r="A7133" s="3" t="s">
        <v>1094</v>
      </c>
      <c r="B7133" s="4">
        <v>45291</v>
      </c>
      <c r="C7133" s="3" t="s">
        <v>1180</v>
      </c>
      <c r="D7133" s="3" t="s">
        <v>1187</v>
      </c>
      <c r="E7133" s="3" t="s">
        <v>1798</v>
      </c>
      <c r="F7133" s="3">
        <v>-1129042.21</v>
      </c>
      <c r="G7133" s="3">
        <v>149442.57</v>
      </c>
    </row>
    <row r="7134" spans="1:7" x14ac:dyDescent="0.2">
      <c r="A7134" s="3" t="s">
        <v>1799</v>
      </c>
      <c r="B7134" s="4">
        <v>45291</v>
      </c>
      <c r="C7134" s="3" t="s">
        <v>1180</v>
      </c>
      <c r="D7134" s="3" t="s">
        <v>1187</v>
      </c>
      <c r="E7134" s="3" t="s">
        <v>1800</v>
      </c>
      <c r="F7134" s="3">
        <v>51082.28</v>
      </c>
      <c r="G7134" s="3">
        <v>107317.2</v>
      </c>
    </row>
    <row r="7135" spans="1:7" x14ac:dyDescent="0.2">
      <c r="A7135" s="3" t="s">
        <v>1788</v>
      </c>
      <c r="B7135" s="4">
        <v>45291</v>
      </c>
      <c r="C7135" s="3" t="s">
        <v>1180</v>
      </c>
      <c r="D7135" s="3" t="s">
        <v>1801</v>
      </c>
      <c r="E7135" s="3" t="s">
        <v>1802</v>
      </c>
      <c r="F7135" s="3">
        <v>0</v>
      </c>
      <c r="G7135" s="3">
        <v>1141.0999999999999</v>
      </c>
    </row>
    <row r="7136" spans="1:7" x14ac:dyDescent="0.2">
      <c r="A7136" s="3" t="s">
        <v>1094</v>
      </c>
      <c r="B7136" s="4">
        <v>45291</v>
      </c>
      <c r="C7136" s="3" t="s">
        <v>1180</v>
      </c>
      <c r="D7136" s="3" t="s">
        <v>1189</v>
      </c>
      <c r="E7136" s="3" t="s">
        <v>1803</v>
      </c>
      <c r="F7136" s="3">
        <v>0</v>
      </c>
      <c r="G7136" s="3">
        <v>24.03</v>
      </c>
    </row>
    <row r="7137" spans="1:7" x14ac:dyDescent="0.2">
      <c r="A7137" s="3" t="s">
        <v>1799</v>
      </c>
      <c r="B7137" s="4">
        <v>45291</v>
      </c>
      <c r="C7137" s="3" t="s">
        <v>1180</v>
      </c>
      <c r="D7137" s="3" t="s">
        <v>1189</v>
      </c>
      <c r="E7137" s="3" t="s">
        <v>1804</v>
      </c>
      <c r="F7137" s="3">
        <v>0</v>
      </c>
      <c r="G7137" s="3">
        <v>1432.34</v>
      </c>
    </row>
    <row r="7138" spans="1:7" x14ac:dyDescent="0.2">
      <c r="A7138" s="3" t="s">
        <v>1796</v>
      </c>
      <c r="B7138" s="4">
        <v>45291</v>
      </c>
      <c r="C7138" s="3" t="s">
        <v>1180</v>
      </c>
      <c r="D7138" s="3" t="s">
        <v>1189</v>
      </c>
      <c r="E7138" s="3" t="s">
        <v>1805</v>
      </c>
      <c r="F7138" s="3">
        <v>0</v>
      </c>
      <c r="G7138" s="3">
        <v>881.61</v>
      </c>
    </row>
    <row r="7139" spans="1:7" x14ac:dyDescent="0.2">
      <c r="A7139" s="3" t="s">
        <v>1792</v>
      </c>
      <c r="B7139" s="4">
        <v>45291</v>
      </c>
      <c r="C7139" s="3" t="s">
        <v>1180</v>
      </c>
      <c r="D7139" s="3" t="s">
        <v>1806</v>
      </c>
      <c r="E7139" s="3" t="s">
        <v>1807</v>
      </c>
      <c r="F7139" s="3">
        <v>0</v>
      </c>
      <c r="G7139" s="3">
        <v>2616.21</v>
      </c>
    </row>
    <row r="7140" spans="1:7" x14ac:dyDescent="0.2">
      <c r="A7140" s="3" t="s">
        <v>1794</v>
      </c>
      <c r="B7140" s="4">
        <v>45291</v>
      </c>
      <c r="C7140" s="3" t="s">
        <v>1180</v>
      </c>
      <c r="D7140" s="3" t="s">
        <v>1435</v>
      </c>
      <c r="E7140" s="3" t="s">
        <v>1815</v>
      </c>
      <c r="F7140" s="3">
        <v>52</v>
      </c>
      <c r="G7140" s="3">
        <v>572</v>
      </c>
    </row>
    <row r="7141" spans="1:7" x14ac:dyDescent="0.2">
      <c r="A7141" s="3" t="s">
        <v>1792</v>
      </c>
      <c r="B7141" s="4">
        <v>45291</v>
      </c>
      <c r="C7141" s="3" t="s">
        <v>1180</v>
      </c>
      <c r="D7141" s="3" t="s">
        <v>1243</v>
      </c>
      <c r="E7141" s="3" t="s">
        <v>1808</v>
      </c>
      <c r="F7141" s="3">
        <v>0</v>
      </c>
      <c r="G7141" s="3">
        <v>563.74</v>
      </c>
    </row>
    <row r="7142" spans="1:7" x14ac:dyDescent="0.2">
      <c r="A7142" s="3" t="s">
        <v>1788</v>
      </c>
      <c r="B7142" s="4">
        <v>45291</v>
      </c>
      <c r="C7142" s="3" t="s">
        <v>1180</v>
      </c>
      <c r="D7142" s="3" t="s">
        <v>1245</v>
      </c>
      <c r="E7142" s="3" t="s">
        <v>1809</v>
      </c>
      <c r="F7142" s="3">
        <v>-4.74</v>
      </c>
      <c r="G7142" s="3">
        <v>-39158.07</v>
      </c>
    </row>
    <row r="7143" spans="1:7" x14ac:dyDescent="0.2">
      <c r="A7143" s="3" t="s">
        <v>1788</v>
      </c>
      <c r="B7143" s="4">
        <v>45291</v>
      </c>
      <c r="C7143" s="3" t="s">
        <v>1180</v>
      </c>
      <c r="D7143" s="3" t="s">
        <v>1810</v>
      </c>
      <c r="E7143" s="3" t="s">
        <v>1811</v>
      </c>
      <c r="F7143" s="3">
        <v>0</v>
      </c>
      <c r="G7143" s="3">
        <v>4973.8100000000004</v>
      </c>
    </row>
    <row r="7144" spans="1:7" x14ac:dyDescent="0.2">
      <c r="A7144" s="3" t="s">
        <v>1792</v>
      </c>
      <c r="B7144" s="4">
        <v>45291</v>
      </c>
      <c r="C7144" s="3" t="s">
        <v>1180</v>
      </c>
      <c r="D7144" s="3" t="s">
        <v>1727</v>
      </c>
      <c r="E7144" s="3" t="s">
        <v>1812</v>
      </c>
      <c r="F7144" s="3">
        <v>113792.8</v>
      </c>
      <c r="G7144" s="3">
        <v>219701.95</v>
      </c>
    </row>
    <row r="7145" spans="1:7" x14ac:dyDescent="0.2">
      <c r="A7145" s="3" t="s">
        <v>1799</v>
      </c>
      <c r="B7145" s="4">
        <v>45291</v>
      </c>
      <c r="C7145" s="3" t="s">
        <v>1180</v>
      </c>
      <c r="D7145" s="3" t="s">
        <v>1727</v>
      </c>
      <c r="E7145" s="3" t="s">
        <v>1814</v>
      </c>
      <c r="F7145" s="3">
        <v>0</v>
      </c>
      <c r="G7145" s="3">
        <v>1016.2</v>
      </c>
    </row>
    <row r="7146" spans="1:7" x14ac:dyDescent="0.2">
      <c r="A7146" s="3" t="s">
        <v>1792</v>
      </c>
      <c r="B7146" s="4">
        <v>45291</v>
      </c>
      <c r="C7146" s="3" t="s">
        <v>1180</v>
      </c>
      <c r="D7146" s="3" t="s">
        <v>1816</v>
      </c>
      <c r="E7146" s="3" t="s">
        <v>1817</v>
      </c>
      <c r="F7146" s="3">
        <v>0</v>
      </c>
      <c r="G7146" s="3">
        <v>500</v>
      </c>
    </row>
    <row r="7147" spans="1:7" x14ac:dyDescent="0.2">
      <c r="A7147" s="3" t="s">
        <v>1788</v>
      </c>
      <c r="B7147" s="4">
        <v>45322</v>
      </c>
      <c r="C7147" s="3" t="s">
        <v>1180</v>
      </c>
      <c r="D7147" s="3" t="s">
        <v>1187</v>
      </c>
      <c r="E7147" s="3" t="s">
        <v>1789</v>
      </c>
      <c r="F7147" s="3">
        <v>7520.18</v>
      </c>
      <c r="G7147" s="3">
        <v>56567.35</v>
      </c>
    </row>
    <row r="7148" spans="1:7" x14ac:dyDescent="0.2">
      <c r="A7148" s="3" t="s">
        <v>1790</v>
      </c>
      <c r="B7148" s="4">
        <v>45322</v>
      </c>
      <c r="C7148" s="3" t="s">
        <v>1180</v>
      </c>
      <c r="D7148" s="3" t="s">
        <v>1187</v>
      </c>
      <c r="E7148" s="3" t="s">
        <v>1791</v>
      </c>
      <c r="F7148" s="3">
        <v>26224.37</v>
      </c>
      <c r="G7148" s="3">
        <v>53494.93</v>
      </c>
    </row>
    <row r="7149" spans="1:7" x14ac:dyDescent="0.2">
      <c r="A7149" s="3" t="s">
        <v>1792</v>
      </c>
      <c r="B7149" s="4">
        <v>45322</v>
      </c>
      <c r="C7149" s="3" t="s">
        <v>1180</v>
      </c>
      <c r="D7149" s="3" t="s">
        <v>1187</v>
      </c>
      <c r="E7149" s="3" t="s">
        <v>1793</v>
      </c>
      <c r="F7149" s="3">
        <v>-1800000</v>
      </c>
      <c r="G7149" s="3">
        <v>1278619.83</v>
      </c>
    </row>
    <row r="7150" spans="1:7" x14ac:dyDescent="0.2">
      <c r="A7150" s="3" t="s">
        <v>1794</v>
      </c>
      <c r="B7150" s="4">
        <v>45322</v>
      </c>
      <c r="C7150" s="3" t="s">
        <v>1180</v>
      </c>
      <c r="D7150" s="3" t="s">
        <v>1187</v>
      </c>
      <c r="E7150" s="3" t="s">
        <v>1795</v>
      </c>
      <c r="F7150" s="3">
        <v>-41507.99</v>
      </c>
      <c r="G7150" s="3">
        <v>40017.69</v>
      </c>
    </row>
    <row r="7151" spans="1:7" x14ac:dyDescent="0.2">
      <c r="A7151" s="3" t="s">
        <v>1796</v>
      </c>
      <c r="B7151" s="4">
        <v>45322</v>
      </c>
      <c r="C7151" s="3" t="s">
        <v>1180</v>
      </c>
      <c r="D7151" s="3" t="s">
        <v>1187</v>
      </c>
      <c r="E7151" s="3" t="s">
        <v>1797</v>
      </c>
      <c r="F7151" s="3">
        <v>-9662.75</v>
      </c>
      <c r="G7151" s="3">
        <v>44398</v>
      </c>
    </row>
    <row r="7152" spans="1:7" x14ac:dyDescent="0.2">
      <c r="A7152" s="3" t="s">
        <v>1094</v>
      </c>
      <c r="B7152" s="4">
        <v>45322</v>
      </c>
      <c r="C7152" s="3" t="s">
        <v>1180</v>
      </c>
      <c r="D7152" s="3" t="s">
        <v>1187</v>
      </c>
      <c r="E7152" s="3" t="s">
        <v>1798</v>
      </c>
      <c r="F7152" s="3">
        <v>-123972.54</v>
      </c>
      <c r="G7152" s="3">
        <v>25470.03</v>
      </c>
    </row>
    <row r="7153" spans="1:7" x14ac:dyDescent="0.2">
      <c r="A7153" s="3" t="s">
        <v>1799</v>
      </c>
      <c r="B7153" s="4">
        <v>45322</v>
      </c>
      <c r="C7153" s="3" t="s">
        <v>1180</v>
      </c>
      <c r="D7153" s="3" t="s">
        <v>1187</v>
      </c>
      <c r="E7153" s="3" t="s">
        <v>1800</v>
      </c>
      <c r="F7153" s="3">
        <v>22684.95</v>
      </c>
      <c r="G7153" s="3">
        <v>130002.15</v>
      </c>
    </row>
    <row r="7154" spans="1:7" x14ac:dyDescent="0.2">
      <c r="A7154" s="3" t="s">
        <v>1788</v>
      </c>
      <c r="B7154" s="4">
        <v>45322</v>
      </c>
      <c r="C7154" s="3" t="s">
        <v>1180</v>
      </c>
      <c r="D7154" s="3" t="s">
        <v>1801</v>
      </c>
      <c r="E7154" s="3" t="s">
        <v>1802</v>
      </c>
      <c r="F7154" s="3">
        <v>0</v>
      </c>
      <c r="G7154" s="3">
        <v>1141.0999999999999</v>
      </c>
    </row>
    <row r="7155" spans="1:7" x14ac:dyDescent="0.2">
      <c r="A7155" s="3" t="s">
        <v>1094</v>
      </c>
      <c r="B7155" s="4">
        <v>45322</v>
      </c>
      <c r="C7155" s="3" t="s">
        <v>1180</v>
      </c>
      <c r="D7155" s="3" t="s">
        <v>1189</v>
      </c>
      <c r="E7155" s="3" t="s">
        <v>1803</v>
      </c>
      <c r="F7155" s="3">
        <v>0</v>
      </c>
      <c r="G7155" s="3">
        <v>24.03</v>
      </c>
    </row>
    <row r="7156" spans="1:7" x14ac:dyDescent="0.2">
      <c r="A7156" s="3" t="s">
        <v>1799</v>
      </c>
      <c r="B7156" s="4">
        <v>45322</v>
      </c>
      <c r="C7156" s="3" t="s">
        <v>1180</v>
      </c>
      <c r="D7156" s="3" t="s">
        <v>1189</v>
      </c>
      <c r="E7156" s="3" t="s">
        <v>1804</v>
      </c>
      <c r="F7156" s="3">
        <v>0</v>
      </c>
      <c r="G7156" s="3">
        <v>1432.34</v>
      </c>
    </row>
    <row r="7157" spans="1:7" x14ac:dyDescent="0.2">
      <c r="A7157" s="3" t="s">
        <v>1796</v>
      </c>
      <c r="B7157" s="4">
        <v>45322</v>
      </c>
      <c r="C7157" s="3" t="s">
        <v>1180</v>
      </c>
      <c r="D7157" s="3" t="s">
        <v>1189</v>
      </c>
      <c r="E7157" s="3" t="s">
        <v>1805</v>
      </c>
      <c r="F7157" s="3">
        <v>0</v>
      </c>
      <c r="G7157" s="3">
        <v>881.61</v>
      </c>
    </row>
    <row r="7158" spans="1:7" x14ac:dyDescent="0.2">
      <c r="A7158" s="3" t="s">
        <v>1792</v>
      </c>
      <c r="B7158" s="4">
        <v>45322</v>
      </c>
      <c r="C7158" s="3" t="s">
        <v>1180</v>
      </c>
      <c r="D7158" s="3" t="s">
        <v>1806</v>
      </c>
      <c r="E7158" s="3" t="s">
        <v>1807</v>
      </c>
      <c r="F7158" s="3">
        <v>0</v>
      </c>
      <c r="G7158" s="3">
        <v>2616.21</v>
      </c>
    </row>
    <row r="7159" spans="1:7" x14ac:dyDescent="0.2">
      <c r="A7159" s="3" t="s">
        <v>1794</v>
      </c>
      <c r="B7159" s="4">
        <v>45322</v>
      </c>
      <c r="C7159" s="3" t="s">
        <v>1180</v>
      </c>
      <c r="D7159" s="3" t="s">
        <v>1435</v>
      </c>
      <c r="E7159" s="3" t="s">
        <v>1815</v>
      </c>
      <c r="F7159" s="3">
        <v>52</v>
      </c>
      <c r="G7159" s="3">
        <v>624</v>
      </c>
    </row>
    <row r="7160" spans="1:7" x14ac:dyDescent="0.2">
      <c r="A7160" s="3" t="s">
        <v>1792</v>
      </c>
      <c r="B7160" s="4">
        <v>45322</v>
      </c>
      <c r="C7160" s="3" t="s">
        <v>1180</v>
      </c>
      <c r="D7160" s="3" t="s">
        <v>1243</v>
      </c>
      <c r="E7160" s="3" t="s">
        <v>1808</v>
      </c>
      <c r="F7160" s="3">
        <v>0</v>
      </c>
      <c r="G7160" s="3">
        <v>563.74</v>
      </c>
    </row>
    <row r="7161" spans="1:7" x14ac:dyDescent="0.2">
      <c r="A7161" s="3" t="s">
        <v>1788</v>
      </c>
      <c r="B7161" s="4">
        <v>45322</v>
      </c>
      <c r="C7161" s="3" t="s">
        <v>1180</v>
      </c>
      <c r="D7161" s="3" t="s">
        <v>1245</v>
      </c>
      <c r="E7161" s="3" t="s">
        <v>1809</v>
      </c>
      <c r="F7161" s="3">
        <v>-3.16</v>
      </c>
      <c r="G7161" s="3">
        <v>-39161.230000000003</v>
      </c>
    </row>
    <row r="7162" spans="1:7" x14ac:dyDescent="0.2">
      <c r="A7162" s="3" t="s">
        <v>1788</v>
      </c>
      <c r="B7162" s="4">
        <v>45322</v>
      </c>
      <c r="C7162" s="3" t="s">
        <v>1180</v>
      </c>
      <c r="D7162" s="3" t="s">
        <v>1810</v>
      </c>
      <c r="E7162" s="3" t="s">
        <v>1811</v>
      </c>
      <c r="F7162" s="3">
        <v>0</v>
      </c>
      <c r="G7162" s="3">
        <v>4973.8100000000004</v>
      </c>
    </row>
    <row r="7163" spans="1:7" x14ac:dyDescent="0.2">
      <c r="A7163" s="3" t="s">
        <v>1792</v>
      </c>
      <c r="B7163" s="4">
        <v>45322</v>
      </c>
      <c r="C7163" s="3" t="s">
        <v>1180</v>
      </c>
      <c r="D7163" s="3" t="s">
        <v>1727</v>
      </c>
      <c r="E7163" s="3" t="s">
        <v>1812</v>
      </c>
      <c r="F7163" s="3">
        <v>1056758.01</v>
      </c>
      <c r="G7163" s="3">
        <v>1276459.96</v>
      </c>
    </row>
    <row r="7164" spans="1:7" x14ac:dyDescent="0.2">
      <c r="A7164" s="3" t="s">
        <v>1799</v>
      </c>
      <c r="B7164" s="4">
        <v>45322</v>
      </c>
      <c r="C7164" s="3" t="s">
        <v>1180</v>
      </c>
      <c r="D7164" s="3" t="s">
        <v>1727</v>
      </c>
      <c r="E7164" s="3" t="s">
        <v>1814</v>
      </c>
      <c r="F7164" s="3">
        <v>0</v>
      </c>
      <c r="G7164" s="3">
        <v>1016.2</v>
      </c>
    </row>
    <row r="7165" spans="1:7" x14ac:dyDescent="0.2">
      <c r="A7165" s="3" t="s">
        <v>1792</v>
      </c>
      <c r="B7165" s="4">
        <v>45322</v>
      </c>
      <c r="C7165" s="3" t="s">
        <v>1180</v>
      </c>
      <c r="D7165" s="3" t="s">
        <v>1816</v>
      </c>
      <c r="E7165" s="3" t="s">
        <v>1817</v>
      </c>
      <c r="F7165" s="3">
        <v>0</v>
      </c>
      <c r="G7165" s="3">
        <v>500</v>
      </c>
    </row>
    <row r="7166" spans="1:7" x14ac:dyDescent="0.2">
      <c r="A7166" s="3" t="s">
        <v>1788</v>
      </c>
      <c r="B7166" s="4">
        <v>45323</v>
      </c>
      <c r="C7166" s="3" t="s">
        <v>1180</v>
      </c>
      <c r="D7166" s="3" t="s">
        <v>1187</v>
      </c>
      <c r="E7166" s="3" t="s">
        <v>1789</v>
      </c>
      <c r="F7166" s="3">
        <v>-1840.95</v>
      </c>
      <c r="G7166" s="3">
        <v>54726.400000000001</v>
      </c>
    </row>
    <row r="7167" spans="1:7" x14ac:dyDescent="0.2">
      <c r="A7167" s="3" t="s">
        <v>1790</v>
      </c>
      <c r="B7167" s="4">
        <v>45323</v>
      </c>
      <c r="C7167" s="3" t="s">
        <v>1180</v>
      </c>
      <c r="D7167" s="3" t="s">
        <v>1187</v>
      </c>
      <c r="E7167" s="3" t="s">
        <v>1791</v>
      </c>
      <c r="F7167" s="3">
        <v>3562.71</v>
      </c>
      <c r="G7167" s="3">
        <v>57057.64</v>
      </c>
    </row>
    <row r="7168" spans="1:7" x14ac:dyDescent="0.2">
      <c r="A7168" s="3" t="s">
        <v>1792</v>
      </c>
      <c r="B7168" s="4">
        <v>45323</v>
      </c>
      <c r="C7168" s="3" t="s">
        <v>1180</v>
      </c>
      <c r="D7168" s="3" t="s">
        <v>1187</v>
      </c>
      <c r="E7168" s="3" t="s">
        <v>1793</v>
      </c>
      <c r="F7168" s="3">
        <v>0</v>
      </c>
      <c r="G7168" s="3">
        <v>1296340.96</v>
      </c>
    </row>
    <row r="7169" spans="1:7" x14ac:dyDescent="0.2">
      <c r="A7169" s="3" t="s">
        <v>1794</v>
      </c>
      <c r="B7169" s="4">
        <v>45323</v>
      </c>
      <c r="C7169" s="3" t="s">
        <v>1180</v>
      </c>
      <c r="D7169" s="3" t="s">
        <v>1187</v>
      </c>
      <c r="E7169" s="3" t="s">
        <v>1795</v>
      </c>
      <c r="F7169" s="3">
        <v>3292.27</v>
      </c>
      <c r="G7169" s="3">
        <v>43309.96</v>
      </c>
    </row>
    <row r="7170" spans="1:7" x14ac:dyDescent="0.2">
      <c r="A7170" s="3" t="s">
        <v>1796</v>
      </c>
      <c r="B7170" s="4">
        <v>45323</v>
      </c>
      <c r="C7170" s="3" t="s">
        <v>1180</v>
      </c>
      <c r="D7170" s="3" t="s">
        <v>1187</v>
      </c>
      <c r="E7170" s="3" t="s">
        <v>1797</v>
      </c>
      <c r="F7170" s="3">
        <v>3667.98</v>
      </c>
      <c r="G7170" s="3">
        <v>48065.98</v>
      </c>
    </row>
    <row r="7171" spans="1:7" x14ac:dyDescent="0.2">
      <c r="A7171" s="3" t="s">
        <v>1094</v>
      </c>
      <c r="B7171" s="4">
        <v>45323</v>
      </c>
      <c r="C7171" s="3" t="s">
        <v>1180</v>
      </c>
      <c r="D7171" s="3" t="s">
        <v>1187</v>
      </c>
      <c r="E7171" s="3" t="s">
        <v>1798</v>
      </c>
      <c r="F7171" s="3">
        <v>0</v>
      </c>
      <c r="G7171" s="3">
        <v>25470.03</v>
      </c>
    </row>
    <row r="7172" spans="1:7" x14ac:dyDescent="0.2">
      <c r="A7172" s="3" t="s">
        <v>1799</v>
      </c>
      <c r="B7172" s="4">
        <v>45323</v>
      </c>
      <c r="C7172" s="3" t="s">
        <v>1180</v>
      </c>
      <c r="D7172" s="3" t="s">
        <v>1187</v>
      </c>
      <c r="E7172" s="3" t="s">
        <v>1800</v>
      </c>
      <c r="F7172" s="3">
        <v>-8081.1</v>
      </c>
      <c r="G7172" s="3">
        <v>121921.05</v>
      </c>
    </row>
    <row r="7173" spans="1:7" x14ac:dyDescent="0.2">
      <c r="A7173" s="3" t="s">
        <v>1788</v>
      </c>
      <c r="B7173" s="4">
        <v>45323</v>
      </c>
      <c r="C7173" s="3" t="s">
        <v>1180</v>
      </c>
      <c r="D7173" s="3" t="s">
        <v>1801</v>
      </c>
      <c r="E7173" s="3" t="s">
        <v>1802</v>
      </c>
      <c r="F7173" s="3">
        <v>0</v>
      </c>
      <c r="G7173" s="3">
        <v>1141.0999999999999</v>
      </c>
    </row>
    <row r="7174" spans="1:7" x14ac:dyDescent="0.2">
      <c r="A7174" s="3" t="s">
        <v>1094</v>
      </c>
      <c r="B7174" s="4">
        <v>45323</v>
      </c>
      <c r="C7174" s="3" t="s">
        <v>1180</v>
      </c>
      <c r="D7174" s="3" t="s">
        <v>1189</v>
      </c>
      <c r="E7174" s="3" t="s">
        <v>1803</v>
      </c>
      <c r="F7174" s="3">
        <v>0</v>
      </c>
      <c r="G7174" s="3">
        <v>24.03</v>
      </c>
    </row>
    <row r="7175" spans="1:7" x14ac:dyDescent="0.2">
      <c r="A7175" s="3" t="s">
        <v>1799</v>
      </c>
      <c r="B7175" s="4">
        <v>45323</v>
      </c>
      <c r="C7175" s="3" t="s">
        <v>1180</v>
      </c>
      <c r="D7175" s="3" t="s">
        <v>1189</v>
      </c>
      <c r="E7175" s="3" t="s">
        <v>1804</v>
      </c>
      <c r="F7175" s="3">
        <v>0</v>
      </c>
      <c r="G7175" s="3">
        <v>1432.34</v>
      </c>
    </row>
    <row r="7176" spans="1:7" x14ac:dyDescent="0.2">
      <c r="A7176" s="3" t="s">
        <v>1796</v>
      </c>
      <c r="B7176" s="4">
        <v>45323</v>
      </c>
      <c r="C7176" s="3" t="s">
        <v>1180</v>
      </c>
      <c r="D7176" s="3" t="s">
        <v>1189</v>
      </c>
      <c r="E7176" s="3" t="s">
        <v>1805</v>
      </c>
      <c r="F7176" s="3">
        <v>0</v>
      </c>
      <c r="G7176" s="3">
        <v>629.13</v>
      </c>
    </row>
    <row r="7177" spans="1:7" x14ac:dyDescent="0.2">
      <c r="A7177" s="3" t="s">
        <v>1792</v>
      </c>
      <c r="B7177" s="4">
        <v>45323</v>
      </c>
      <c r="C7177" s="3" t="s">
        <v>1180</v>
      </c>
      <c r="D7177" s="3" t="s">
        <v>1806</v>
      </c>
      <c r="E7177" s="3" t="s">
        <v>1807</v>
      </c>
      <c r="F7177" s="3">
        <v>0</v>
      </c>
      <c r="G7177" s="3">
        <v>2361.21</v>
      </c>
    </row>
    <row r="7178" spans="1:7" x14ac:dyDescent="0.2">
      <c r="A7178" s="3" t="s">
        <v>1794</v>
      </c>
      <c r="B7178" s="4">
        <v>45323</v>
      </c>
      <c r="C7178" s="3" t="s">
        <v>1180</v>
      </c>
      <c r="D7178" s="3" t="s">
        <v>1435</v>
      </c>
      <c r="E7178" s="3" t="s">
        <v>1815</v>
      </c>
      <c r="F7178" s="3">
        <v>0</v>
      </c>
      <c r="G7178" s="3">
        <v>624</v>
      </c>
    </row>
    <row r="7179" spans="1:7" x14ac:dyDescent="0.2">
      <c r="A7179" s="3" t="s">
        <v>1792</v>
      </c>
      <c r="B7179" s="4">
        <v>45323</v>
      </c>
      <c r="C7179" s="3" t="s">
        <v>1180</v>
      </c>
      <c r="D7179" s="3" t="s">
        <v>1243</v>
      </c>
      <c r="E7179" s="3" t="s">
        <v>1808</v>
      </c>
      <c r="F7179" s="3">
        <v>0</v>
      </c>
      <c r="G7179" s="3">
        <v>563.74</v>
      </c>
    </row>
    <row r="7180" spans="1:7" x14ac:dyDescent="0.2">
      <c r="A7180" s="3" t="s">
        <v>1788</v>
      </c>
      <c r="B7180" s="4">
        <v>45323</v>
      </c>
      <c r="C7180" s="3" t="s">
        <v>1180</v>
      </c>
      <c r="D7180" s="3" t="s">
        <v>1245</v>
      </c>
      <c r="E7180" s="3" t="s">
        <v>1809</v>
      </c>
      <c r="F7180" s="3">
        <v>0</v>
      </c>
      <c r="G7180" s="3">
        <v>-841.93</v>
      </c>
    </row>
    <row r="7181" spans="1:7" x14ac:dyDescent="0.2">
      <c r="A7181" s="3" t="s">
        <v>1788</v>
      </c>
      <c r="B7181" s="4">
        <v>45323</v>
      </c>
      <c r="C7181" s="3" t="s">
        <v>1180</v>
      </c>
      <c r="D7181" s="3" t="s">
        <v>1810</v>
      </c>
      <c r="E7181" s="3" t="s">
        <v>1811</v>
      </c>
      <c r="F7181" s="3">
        <v>0</v>
      </c>
      <c r="G7181" s="3">
        <v>4973.8100000000004</v>
      </c>
    </row>
    <row r="7182" spans="1:7" x14ac:dyDescent="0.2">
      <c r="A7182" s="3" t="s">
        <v>1792</v>
      </c>
      <c r="B7182" s="4">
        <v>45323</v>
      </c>
      <c r="C7182" s="3" t="s">
        <v>1180</v>
      </c>
      <c r="D7182" s="3" t="s">
        <v>1727</v>
      </c>
      <c r="E7182" s="3" t="s">
        <v>1812</v>
      </c>
      <c r="F7182" s="3">
        <v>-9437.8700000000008</v>
      </c>
      <c r="G7182" s="3">
        <v>1267022.0900000001</v>
      </c>
    </row>
    <row r="7183" spans="1:7" x14ac:dyDescent="0.2">
      <c r="A7183" s="3" t="s">
        <v>1799</v>
      </c>
      <c r="B7183" s="4">
        <v>45323</v>
      </c>
      <c r="C7183" s="3" t="s">
        <v>1180</v>
      </c>
      <c r="D7183" s="3" t="s">
        <v>1727</v>
      </c>
      <c r="E7183" s="3" t="s">
        <v>1814</v>
      </c>
      <c r="F7183" s="3">
        <v>0</v>
      </c>
      <c r="G7183" s="3">
        <v>1016.2</v>
      </c>
    </row>
    <row r="7184" spans="1:7" x14ac:dyDescent="0.2">
      <c r="A7184" s="3" t="s">
        <v>1792</v>
      </c>
      <c r="B7184" s="4">
        <v>45323</v>
      </c>
      <c r="C7184" s="3" t="s">
        <v>1180</v>
      </c>
      <c r="D7184" s="3" t="s">
        <v>1816</v>
      </c>
      <c r="E7184" s="3" t="s">
        <v>1817</v>
      </c>
      <c r="F7184" s="3">
        <v>0</v>
      </c>
      <c r="G7184" s="3">
        <v>500</v>
      </c>
    </row>
    <row r="7185" spans="1:7" x14ac:dyDescent="0.2">
      <c r="A7185" s="3" t="s">
        <v>1788</v>
      </c>
      <c r="B7185" s="4">
        <v>45351</v>
      </c>
      <c r="C7185" s="3" t="s">
        <v>1180</v>
      </c>
      <c r="D7185" s="3" t="s">
        <v>1187</v>
      </c>
      <c r="E7185" s="3" t="s">
        <v>1789</v>
      </c>
      <c r="F7185" s="3">
        <v>-7145.17</v>
      </c>
      <c r="G7185" s="3">
        <v>49422.18</v>
      </c>
    </row>
    <row r="7186" spans="1:7" x14ac:dyDescent="0.2">
      <c r="A7186" s="3" t="s">
        <v>1818</v>
      </c>
      <c r="B7186" s="4">
        <v>45351</v>
      </c>
      <c r="C7186" s="3" t="s">
        <v>1180</v>
      </c>
      <c r="D7186" s="3" t="s">
        <v>1187</v>
      </c>
      <c r="E7186" s="3" t="s">
        <v>1789</v>
      </c>
      <c r="F7186" s="3">
        <v>-7145.17</v>
      </c>
      <c r="G7186" s="3">
        <v>49422.18</v>
      </c>
    </row>
    <row r="7187" spans="1:7" x14ac:dyDescent="0.2">
      <c r="A7187" s="3" t="s">
        <v>1819</v>
      </c>
      <c r="B7187" s="4">
        <v>45351</v>
      </c>
      <c r="C7187" s="3" t="s">
        <v>1180</v>
      </c>
      <c r="D7187" s="3" t="s">
        <v>1187</v>
      </c>
      <c r="E7187" s="3" t="s">
        <v>1791</v>
      </c>
      <c r="F7187" s="3">
        <v>8654.15</v>
      </c>
      <c r="G7187" s="3">
        <v>62149.08</v>
      </c>
    </row>
    <row r="7188" spans="1:7" x14ac:dyDescent="0.2">
      <c r="A7188" s="3" t="s">
        <v>1790</v>
      </c>
      <c r="B7188" s="4">
        <v>45351</v>
      </c>
      <c r="C7188" s="3" t="s">
        <v>1180</v>
      </c>
      <c r="D7188" s="3" t="s">
        <v>1187</v>
      </c>
      <c r="E7188" s="3" t="s">
        <v>1791</v>
      </c>
      <c r="F7188" s="3">
        <v>8654.15</v>
      </c>
      <c r="G7188" s="3">
        <v>62149.08</v>
      </c>
    </row>
    <row r="7189" spans="1:7" x14ac:dyDescent="0.2">
      <c r="A7189" s="3" t="s">
        <v>1792</v>
      </c>
      <c r="B7189" s="4">
        <v>45351</v>
      </c>
      <c r="C7189" s="3" t="s">
        <v>1180</v>
      </c>
      <c r="D7189" s="3" t="s">
        <v>1187</v>
      </c>
      <c r="E7189" s="3" t="s">
        <v>1793</v>
      </c>
      <c r="F7189" s="3">
        <v>-487498.9</v>
      </c>
      <c r="G7189" s="3">
        <v>808842.06</v>
      </c>
    </row>
    <row r="7190" spans="1:7" x14ac:dyDescent="0.2">
      <c r="A7190" s="3" t="s">
        <v>1794</v>
      </c>
      <c r="B7190" s="4">
        <v>45351</v>
      </c>
      <c r="C7190" s="3" t="s">
        <v>1180</v>
      </c>
      <c r="D7190" s="3" t="s">
        <v>1187</v>
      </c>
      <c r="E7190" s="3" t="s">
        <v>1795</v>
      </c>
      <c r="F7190" s="3">
        <v>30137.7</v>
      </c>
      <c r="G7190" s="3">
        <v>70155.39</v>
      </c>
    </row>
    <row r="7191" spans="1:7" x14ac:dyDescent="0.2">
      <c r="A7191" s="3" t="s">
        <v>1796</v>
      </c>
      <c r="B7191" s="4">
        <v>45351</v>
      </c>
      <c r="C7191" s="3" t="s">
        <v>1180</v>
      </c>
      <c r="D7191" s="3" t="s">
        <v>1187</v>
      </c>
      <c r="E7191" s="3" t="s">
        <v>1797</v>
      </c>
      <c r="F7191" s="3">
        <v>3706.19</v>
      </c>
      <c r="G7191" s="3">
        <v>48104.19</v>
      </c>
    </row>
    <row r="7192" spans="1:7" x14ac:dyDescent="0.2">
      <c r="A7192" s="3" t="s">
        <v>1094</v>
      </c>
      <c r="B7192" s="4">
        <v>45351</v>
      </c>
      <c r="C7192" s="3" t="s">
        <v>1180</v>
      </c>
      <c r="D7192" s="3" t="s">
        <v>1187</v>
      </c>
      <c r="E7192" s="3" t="s">
        <v>1798</v>
      </c>
      <c r="F7192" s="3">
        <v>8597.3799999999992</v>
      </c>
      <c r="G7192" s="3">
        <v>34067.410000000003</v>
      </c>
    </row>
    <row r="7193" spans="1:7" x14ac:dyDescent="0.2">
      <c r="A7193" s="3" t="s">
        <v>1799</v>
      </c>
      <c r="B7193" s="4">
        <v>45351</v>
      </c>
      <c r="C7193" s="3" t="s">
        <v>1180</v>
      </c>
      <c r="D7193" s="3" t="s">
        <v>1187</v>
      </c>
      <c r="E7193" s="3" t="s">
        <v>1800</v>
      </c>
      <c r="F7193" s="3">
        <v>-67757.13</v>
      </c>
      <c r="G7193" s="3">
        <v>62245.02</v>
      </c>
    </row>
    <row r="7194" spans="1:7" x14ac:dyDescent="0.2">
      <c r="A7194" s="3" t="s">
        <v>1788</v>
      </c>
      <c r="B7194" s="4">
        <v>45351</v>
      </c>
      <c r="C7194" s="3" t="s">
        <v>1180</v>
      </c>
      <c r="D7194" s="3" t="s">
        <v>1801</v>
      </c>
      <c r="E7194" s="3" t="s">
        <v>1802</v>
      </c>
      <c r="F7194" s="3">
        <v>0</v>
      </c>
      <c r="G7194" s="3">
        <v>1141.0999999999999</v>
      </c>
    </row>
    <row r="7195" spans="1:7" x14ac:dyDescent="0.2">
      <c r="A7195" s="3" t="s">
        <v>1818</v>
      </c>
      <c r="B7195" s="4">
        <v>45351</v>
      </c>
      <c r="C7195" s="3" t="s">
        <v>1180</v>
      </c>
      <c r="D7195" s="3" t="s">
        <v>1801</v>
      </c>
      <c r="E7195" s="3" t="s">
        <v>1802</v>
      </c>
      <c r="F7195" s="3">
        <v>0</v>
      </c>
      <c r="G7195" s="3">
        <v>1141.0999999999999</v>
      </c>
    </row>
    <row r="7196" spans="1:7" x14ac:dyDescent="0.2">
      <c r="A7196" s="3" t="s">
        <v>1094</v>
      </c>
      <c r="B7196" s="4">
        <v>45351</v>
      </c>
      <c r="C7196" s="3" t="s">
        <v>1180</v>
      </c>
      <c r="D7196" s="3" t="s">
        <v>1189</v>
      </c>
      <c r="E7196" s="3" t="s">
        <v>1803</v>
      </c>
      <c r="F7196" s="3">
        <v>0.49</v>
      </c>
      <c r="G7196" s="3">
        <v>24.52</v>
      </c>
    </row>
    <row r="7197" spans="1:7" x14ac:dyDescent="0.2">
      <c r="A7197" s="3" t="s">
        <v>1799</v>
      </c>
      <c r="B7197" s="4">
        <v>45351</v>
      </c>
      <c r="C7197" s="3" t="s">
        <v>1180</v>
      </c>
      <c r="D7197" s="3" t="s">
        <v>1189</v>
      </c>
      <c r="E7197" s="3" t="s">
        <v>1804</v>
      </c>
      <c r="F7197" s="3">
        <v>0</v>
      </c>
      <c r="G7197" s="3">
        <v>1432.34</v>
      </c>
    </row>
    <row r="7198" spans="1:7" x14ac:dyDescent="0.2">
      <c r="A7198" s="3" t="s">
        <v>1796</v>
      </c>
      <c r="B7198" s="4">
        <v>45351</v>
      </c>
      <c r="C7198" s="3" t="s">
        <v>1180</v>
      </c>
      <c r="D7198" s="3" t="s">
        <v>1189</v>
      </c>
      <c r="E7198" s="3" t="s">
        <v>1805</v>
      </c>
      <c r="F7198" s="3">
        <v>-149.06</v>
      </c>
      <c r="G7198" s="3">
        <v>480.07</v>
      </c>
    </row>
    <row r="7199" spans="1:7" x14ac:dyDescent="0.2">
      <c r="A7199" s="3" t="s">
        <v>1792</v>
      </c>
      <c r="B7199" s="4">
        <v>45351</v>
      </c>
      <c r="C7199" s="3" t="s">
        <v>1180</v>
      </c>
      <c r="D7199" s="3" t="s">
        <v>1806</v>
      </c>
      <c r="E7199" s="3" t="s">
        <v>1807</v>
      </c>
      <c r="F7199" s="3">
        <v>-85</v>
      </c>
      <c r="G7199" s="3">
        <v>2276.21</v>
      </c>
    </row>
    <row r="7200" spans="1:7" x14ac:dyDescent="0.2">
      <c r="A7200" s="3" t="s">
        <v>1794</v>
      </c>
      <c r="B7200" s="4">
        <v>45351</v>
      </c>
      <c r="C7200" s="3" t="s">
        <v>1180</v>
      </c>
      <c r="D7200" s="3" t="s">
        <v>1435</v>
      </c>
      <c r="E7200" s="3" t="s">
        <v>1815</v>
      </c>
      <c r="F7200" s="3">
        <v>0</v>
      </c>
      <c r="G7200" s="3">
        <v>624</v>
      </c>
    </row>
    <row r="7201" spans="1:7" x14ac:dyDescent="0.2">
      <c r="A7201" s="3" t="s">
        <v>1792</v>
      </c>
      <c r="B7201" s="4">
        <v>45351</v>
      </c>
      <c r="C7201" s="3" t="s">
        <v>1180</v>
      </c>
      <c r="D7201" s="3" t="s">
        <v>1243</v>
      </c>
      <c r="E7201" s="3" t="s">
        <v>1808</v>
      </c>
      <c r="F7201" s="3">
        <v>11.14</v>
      </c>
      <c r="G7201" s="3">
        <v>574.88</v>
      </c>
    </row>
    <row r="7202" spans="1:7" x14ac:dyDescent="0.2">
      <c r="A7202" s="3" t="s">
        <v>1788</v>
      </c>
      <c r="B7202" s="4">
        <v>45351</v>
      </c>
      <c r="C7202" s="3" t="s">
        <v>1180</v>
      </c>
      <c r="D7202" s="3" t="s">
        <v>1245</v>
      </c>
      <c r="E7202" s="3" t="s">
        <v>1809</v>
      </c>
      <c r="F7202" s="3">
        <v>-838.77</v>
      </c>
      <c r="G7202" s="3">
        <v>-1680.7</v>
      </c>
    </row>
    <row r="7203" spans="1:7" x14ac:dyDescent="0.2">
      <c r="A7203" s="3" t="s">
        <v>1818</v>
      </c>
      <c r="B7203" s="4">
        <v>45351</v>
      </c>
      <c r="C7203" s="3" t="s">
        <v>1180</v>
      </c>
      <c r="D7203" s="3" t="s">
        <v>1245</v>
      </c>
      <c r="E7203" s="3" t="s">
        <v>1809</v>
      </c>
      <c r="F7203" s="3">
        <v>-838.77</v>
      </c>
      <c r="G7203" s="3">
        <v>-1680.7</v>
      </c>
    </row>
    <row r="7204" spans="1:7" x14ac:dyDescent="0.2">
      <c r="A7204" s="3" t="s">
        <v>1788</v>
      </c>
      <c r="B7204" s="4">
        <v>45351</v>
      </c>
      <c r="C7204" s="3" t="s">
        <v>1180</v>
      </c>
      <c r="D7204" s="3" t="s">
        <v>1810</v>
      </c>
      <c r="E7204" s="3" t="s">
        <v>1811</v>
      </c>
      <c r="F7204" s="3">
        <v>108.08</v>
      </c>
      <c r="G7204" s="3">
        <v>5081.8900000000003</v>
      </c>
    </row>
    <row r="7205" spans="1:7" x14ac:dyDescent="0.2">
      <c r="A7205" s="3" t="s">
        <v>1818</v>
      </c>
      <c r="B7205" s="4">
        <v>45351</v>
      </c>
      <c r="C7205" s="3" t="s">
        <v>1180</v>
      </c>
      <c r="D7205" s="3" t="s">
        <v>1810</v>
      </c>
      <c r="E7205" s="3" t="s">
        <v>1811</v>
      </c>
      <c r="F7205" s="3">
        <v>108.08</v>
      </c>
      <c r="G7205" s="3">
        <v>5081.8900000000003</v>
      </c>
    </row>
    <row r="7206" spans="1:7" x14ac:dyDescent="0.2">
      <c r="A7206" s="3" t="s">
        <v>1792</v>
      </c>
      <c r="B7206" s="4">
        <v>45351</v>
      </c>
      <c r="C7206" s="3" t="s">
        <v>1180</v>
      </c>
      <c r="D7206" s="3" t="s">
        <v>1727</v>
      </c>
      <c r="E7206" s="3" t="s">
        <v>1812</v>
      </c>
      <c r="F7206" s="3">
        <v>-1097566.6100000001</v>
      </c>
      <c r="G7206" s="3">
        <v>178893.35</v>
      </c>
    </row>
    <row r="7207" spans="1:7" x14ac:dyDescent="0.2">
      <c r="A7207" s="3" t="s">
        <v>1799</v>
      </c>
      <c r="B7207" s="4">
        <v>45351</v>
      </c>
      <c r="C7207" s="3" t="s">
        <v>1180</v>
      </c>
      <c r="D7207" s="3" t="s">
        <v>1727</v>
      </c>
      <c r="E7207" s="3" t="s">
        <v>1814</v>
      </c>
      <c r="F7207" s="3">
        <v>0</v>
      </c>
      <c r="G7207" s="3">
        <v>1016.2</v>
      </c>
    </row>
    <row r="7208" spans="1:7" x14ac:dyDescent="0.2">
      <c r="A7208" s="3" t="s">
        <v>1792</v>
      </c>
      <c r="B7208" s="4">
        <v>45351</v>
      </c>
      <c r="C7208" s="3" t="s">
        <v>1180</v>
      </c>
      <c r="D7208" s="3" t="s">
        <v>1816</v>
      </c>
      <c r="E7208" s="3" t="s">
        <v>1817</v>
      </c>
      <c r="F7208" s="3">
        <v>0</v>
      </c>
      <c r="G7208" s="3">
        <v>500</v>
      </c>
    </row>
    <row r="7209" spans="1:7" x14ac:dyDescent="0.2">
      <c r="A7209" s="3" t="s">
        <v>1818</v>
      </c>
      <c r="B7209" s="4">
        <v>45352</v>
      </c>
      <c r="C7209" s="3" t="s">
        <v>1180</v>
      </c>
      <c r="D7209" s="3" t="s">
        <v>1187</v>
      </c>
      <c r="E7209" s="3" t="s">
        <v>1789</v>
      </c>
      <c r="F7209" s="3">
        <v>-4512.3</v>
      </c>
      <c r="G7209" s="3">
        <v>44909.88</v>
      </c>
    </row>
    <row r="7210" spans="1:7" x14ac:dyDescent="0.2">
      <c r="A7210" s="3" t="s">
        <v>1819</v>
      </c>
      <c r="B7210" s="4">
        <v>45352</v>
      </c>
      <c r="C7210" s="3" t="s">
        <v>1180</v>
      </c>
      <c r="D7210" s="3" t="s">
        <v>1187</v>
      </c>
      <c r="E7210" s="3" t="s">
        <v>1791</v>
      </c>
      <c r="F7210" s="3">
        <v>-34677.74</v>
      </c>
      <c r="G7210" s="3">
        <v>27471.34</v>
      </c>
    </row>
    <row r="7211" spans="1:7" x14ac:dyDescent="0.2">
      <c r="A7211" s="3" t="s">
        <v>1792</v>
      </c>
      <c r="B7211" s="4">
        <v>45352</v>
      </c>
      <c r="C7211" s="3" t="s">
        <v>1180</v>
      </c>
      <c r="D7211" s="3" t="s">
        <v>1187</v>
      </c>
      <c r="E7211" s="3" t="s">
        <v>1793</v>
      </c>
      <c r="F7211" s="3">
        <v>0</v>
      </c>
      <c r="G7211" s="3">
        <v>808842.06</v>
      </c>
    </row>
    <row r="7212" spans="1:7" x14ac:dyDescent="0.2">
      <c r="A7212" s="3" t="s">
        <v>1794</v>
      </c>
      <c r="B7212" s="4">
        <v>45352</v>
      </c>
      <c r="C7212" s="3" t="s">
        <v>1180</v>
      </c>
      <c r="D7212" s="3" t="s">
        <v>1187</v>
      </c>
      <c r="E7212" s="3" t="s">
        <v>1795</v>
      </c>
      <c r="F7212" s="3">
        <v>-9969.25</v>
      </c>
      <c r="G7212" s="3">
        <v>60186.14</v>
      </c>
    </row>
    <row r="7213" spans="1:7" x14ac:dyDescent="0.2">
      <c r="A7213" s="3" t="s">
        <v>1796</v>
      </c>
      <c r="B7213" s="4">
        <v>45352</v>
      </c>
      <c r="C7213" s="3" t="s">
        <v>1180</v>
      </c>
      <c r="D7213" s="3" t="s">
        <v>1187</v>
      </c>
      <c r="E7213" s="3" t="s">
        <v>1797</v>
      </c>
      <c r="F7213" s="3">
        <v>-18806.37</v>
      </c>
      <c r="G7213" s="3">
        <v>29297.82</v>
      </c>
    </row>
    <row r="7214" spans="1:7" x14ac:dyDescent="0.2">
      <c r="A7214" s="3" t="s">
        <v>1094</v>
      </c>
      <c r="B7214" s="4">
        <v>45352</v>
      </c>
      <c r="C7214" s="3" t="s">
        <v>1180</v>
      </c>
      <c r="D7214" s="3" t="s">
        <v>1187</v>
      </c>
      <c r="E7214" s="3" t="s">
        <v>1798</v>
      </c>
      <c r="F7214" s="3">
        <v>-1150</v>
      </c>
      <c r="G7214" s="3">
        <v>32917.410000000003</v>
      </c>
    </row>
    <row r="7215" spans="1:7" x14ac:dyDescent="0.2">
      <c r="A7215" s="3" t="s">
        <v>1799</v>
      </c>
      <c r="B7215" s="4">
        <v>45352</v>
      </c>
      <c r="C7215" s="3" t="s">
        <v>1180</v>
      </c>
      <c r="D7215" s="3" t="s">
        <v>1187</v>
      </c>
      <c r="E7215" s="3" t="s">
        <v>1800</v>
      </c>
      <c r="F7215" s="3">
        <v>-4781.72</v>
      </c>
      <c r="G7215" s="3">
        <v>39281.47</v>
      </c>
    </row>
    <row r="7216" spans="1:7" x14ac:dyDescent="0.2">
      <c r="A7216" s="3" t="s">
        <v>1820</v>
      </c>
      <c r="B7216" s="4">
        <v>45352</v>
      </c>
      <c r="C7216" s="3" t="s">
        <v>1180</v>
      </c>
      <c r="D7216" s="3" t="s">
        <v>1821</v>
      </c>
      <c r="E7216" s="3" t="s">
        <v>1822</v>
      </c>
      <c r="F7216" s="3">
        <v>0</v>
      </c>
      <c r="G7216" s="3">
        <v>-3215.52</v>
      </c>
    </row>
    <row r="7217" spans="1:7" x14ac:dyDescent="0.2">
      <c r="A7217" s="3" t="s">
        <v>1818</v>
      </c>
      <c r="B7217" s="4">
        <v>45352</v>
      </c>
      <c r="C7217" s="3" t="s">
        <v>1180</v>
      </c>
      <c r="D7217" s="3" t="s">
        <v>1801</v>
      </c>
      <c r="E7217" s="3" t="s">
        <v>1802</v>
      </c>
      <c r="F7217" s="3">
        <v>0</v>
      </c>
      <c r="G7217" s="3">
        <v>1141.0999999999999</v>
      </c>
    </row>
    <row r="7218" spans="1:7" x14ac:dyDescent="0.2">
      <c r="A7218" s="3" t="s">
        <v>1094</v>
      </c>
      <c r="B7218" s="4">
        <v>45352</v>
      </c>
      <c r="C7218" s="3" t="s">
        <v>1180</v>
      </c>
      <c r="D7218" s="3" t="s">
        <v>1189</v>
      </c>
      <c r="E7218" s="3" t="s">
        <v>1803</v>
      </c>
      <c r="F7218" s="3">
        <v>0</v>
      </c>
      <c r="G7218" s="3">
        <v>24.52</v>
      </c>
    </row>
    <row r="7219" spans="1:7" x14ac:dyDescent="0.2">
      <c r="A7219" s="3" t="s">
        <v>1799</v>
      </c>
      <c r="B7219" s="4">
        <v>45352</v>
      </c>
      <c r="C7219" s="3" t="s">
        <v>1180</v>
      </c>
      <c r="D7219" s="3" t="s">
        <v>1189</v>
      </c>
      <c r="E7219" s="3" t="s">
        <v>1804</v>
      </c>
      <c r="F7219" s="3">
        <v>0</v>
      </c>
      <c r="G7219" s="3">
        <v>1432.34</v>
      </c>
    </row>
    <row r="7220" spans="1:7" x14ac:dyDescent="0.2">
      <c r="A7220" s="3" t="s">
        <v>1796</v>
      </c>
      <c r="B7220" s="4">
        <v>45352</v>
      </c>
      <c r="C7220" s="3" t="s">
        <v>1180</v>
      </c>
      <c r="D7220" s="3" t="s">
        <v>1189</v>
      </c>
      <c r="E7220" s="3" t="s">
        <v>1805</v>
      </c>
      <c r="F7220" s="3">
        <v>0</v>
      </c>
      <c r="G7220" s="3">
        <v>480.07</v>
      </c>
    </row>
    <row r="7221" spans="1:7" x14ac:dyDescent="0.2">
      <c r="A7221" s="3" t="s">
        <v>1792</v>
      </c>
      <c r="B7221" s="4">
        <v>45352</v>
      </c>
      <c r="C7221" s="3" t="s">
        <v>1180</v>
      </c>
      <c r="D7221" s="3" t="s">
        <v>1806</v>
      </c>
      <c r="E7221" s="3" t="s">
        <v>1807</v>
      </c>
      <c r="F7221" s="3">
        <v>0</v>
      </c>
      <c r="G7221" s="3">
        <v>2276.21</v>
      </c>
    </row>
    <row r="7222" spans="1:7" x14ac:dyDescent="0.2">
      <c r="A7222" s="3" t="s">
        <v>1794</v>
      </c>
      <c r="B7222" s="4">
        <v>45352</v>
      </c>
      <c r="C7222" s="3" t="s">
        <v>1180</v>
      </c>
      <c r="D7222" s="3" t="s">
        <v>1435</v>
      </c>
      <c r="E7222" s="3" t="s">
        <v>1815</v>
      </c>
      <c r="F7222" s="3">
        <v>0</v>
      </c>
      <c r="G7222" s="3">
        <v>624</v>
      </c>
    </row>
    <row r="7223" spans="1:7" x14ac:dyDescent="0.2">
      <c r="A7223" s="3" t="s">
        <v>1792</v>
      </c>
      <c r="B7223" s="4">
        <v>45352</v>
      </c>
      <c r="C7223" s="3" t="s">
        <v>1180</v>
      </c>
      <c r="D7223" s="3" t="s">
        <v>1243</v>
      </c>
      <c r="E7223" s="3" t="s">
        <v>1808</v>
      </c>
      <c r="F7223" s="3">
        <v>0</v>
      </c>
      <c r="G7223" s="3">
        <v>574.88</v>
      </c>
    </row>
    <row r="7224" spans="1:7" x14ac:dyDescent="0.2">
      <c r="A7224" s="3" t="s">
        <v>1818</v>
      </c>
      <c r="B7224" s="4">
        <v>45352</v>
      </c>
      <c r="C7224" s="3" t="s">
        <v>1180</v>
      </c>
      <c r="D7224" s="3" t="s">
        <v>1245</v>
      </c>
      <c r="E7224" s="3" t="s">
        <v>1809</v>
      </c>
      <c r="F7224" s="3">
        <v>0</v>
      </c>
      <c r="G7224" s="3">
        <v>-1680.7</v>
      </c>
    </row>
    <row r="7225" spans="1:7" x14ac:dyDescent="0.2">
      <c r="A7225" s="3" t="s">
        <v>1818</v>
      </c>
      <c r="B7225" s="4">
        <v>45352</v>
      </c>
      <c r="C7225" s="3" t="s">
        <v>1180</v>
      </c>
      <c r="D7225" s="3" t="s">
        <v>1810</v>
      </c>
      <c r="E7225" s="3" t="s">
        <v>1811</v>
      </c>
      <c r="F7225" s="3">
        <v>0</v>
      </c>
      <c r="G7225" s="3">
        <v>5081.8900000000003</v>
      </c>
    </row>
    <row r="7226" spans="1:7" x14ac:dyDescent="0.2">
      <c r="A7226" s="3" t="s">
        <v>1792</v>
      </c>
      <c r="B7226" s="4">
        <v>45352</v>
      </c>
      <c r="C7226" s="3" t="s">
        <v>1180</v>
      </c>
      <c r="D7226" s="3" t="s">
        <v>1727</v>
      </c>
      <c r="E7226" s="3" t="s">
        <v>1812</v>
      </c>
      <c r="F7226" s="3">
        <v>-11300.57</v>
      </c>
      <c r="G7226" s="3">
        <v>158392.78</v>
      </c>
    </row>
    <row r="7227" spans="1:7" x14ac:dyDescent="0.2">
      <c r="A7227" s="3" t="s">
        <v>1799</v>
      </c>
      <c r="B7227" s="4">
        <v>45352</v>
      </c>
      <c r="C7227" s="3" t="s">
        <v>1180</v>
      </c>
      <c r="D7227" s="3" t="s">
        <v>1727</v>
      </c>
      <c r="E7227" s="3" t="s">
        <v>1814</v>
      </c>
      <c r="F7227" s="3">
        <v>0</v>
      </c>
      <c r="G7227" s="3">
        <v>1016.2</v>
      </c>
    </row>
    <row r="7228" spans="1:7" x14ac:dyDescent="0.2">
      <c r="A7228" s="3" t="s">
        <v>1792</v>
      </c>
      <c r="B7228" s="4">
        <v>45352</v>
      </c>
      <c r="C7228" s="3" t="s">
        <v>1180</v>
      </c>
      <c r="D7228" s="3" t="s">
        <v>1816</v>
      </c>
      <c r="E7228" s="3" t="s">
        <v>1817</v>
      </c>
      <c r="F7228" s="3">
        <v>0</v>
      </c>
      <c r="G7228" s="3">
        <v>500</v>
      </c>
    </row>
    <row r="7229" spans="1:7" x14ac:dyDescent="0.2">
      <c r="A7229" s="3" t="s">
        <v>1818</v>
      </c>
      <c r="B7229" s="4">
        <v>45382</v>
      </c>
      <c r="C7229" s="3" t="s">
        <v>1180</v>
      </c>
      <c r="D7229" s="3" t="s">
        <v>1187</v>
      </c>
      <c r="E7229" s="3" t="s">
        <v>1789</v>
      </c>
      <c r="F7229" s="3">
        <v>29217.06</v>
      </c>
      <c r="G7229" s="3">
        <v>78639.240000000005</v>
      </c>
    </row>
    <row r="7230" spans="1:7" x14ac:dyDescent="0.2">
      <c r="A7230" s="3" t="s">
        <v>1819</v>
      </c>
      <c r="B7230" s="4">
        <v>45382</v>
      </c>
      <c r="C7230" s="3" t="s">
        <v>1180</v>
      </c>
      <c r="D7230" s="3" t="s">
        <v>1187</v>
      </c>
      <c r="E7230" s="3" t="s">
        <v>1791</v>
      </c>
      <c r="F7230" s="3">
        <v>47579</v>
      </c>
      <c r="G7230" s="3">
        <v>109728.08</v>
      </c>
    </row>
    <row r="7231" spans="1:7" x14ac:dyDescent="0.2">
      <c r="A7231" s="3" t="s">
        <v>1823</v>
      </c>
      <c r="B7231" s="4">
        <v>45382</v>
      </c>
      <c r="C7231" s="3" t="s">
        <v>1180</v>
      </c>
      <c r="D7231" s="3" t="s">
        <v>1187</v>
      </c>
      <c r="E7231" s="3" t="s">
        <v>1791</v>
      </c>
      <c r="F7231" s="3">
        <v>-4585.24</v>
      </c>
      <c r="G7231" s="3">
        <v>57563.839999999997</v>
      </c>
    </row>
    <row r="7232" spans="1:7" x14ac:dyDescent="0.2">
      <c r="A7232" s="3" t="s">
        <v>1792</v>
      </c>
      <c r="B7232" s="4">
        <v>45382</v>
      </c>
      <c r="C7232" s="3" t="s">
        <v>1180</v>
      </c>
      <c r="D7232" s="3" t="s">
        <v>1187</v>
      </c>
      <c r="E7232" s="3" t="s">
        <v>1793</v>
      </c>
      <c r="F7232" s="3">
        <v>-100099.98</v>
      </c>
      <c r="G7232" s="3">
        <v>708742.08</v>
      </c>
    </row>
    <row r="7233" spans="1:7" x14ac:dyDescent="0.2">
      <c r="A7233" s="3" t="s">
        <v>1794</v>
      </c>
      <c r="B7233" s="4">
        <v>45382</v>
      </c>
      <c r="C7233" s="3" t="s">
        <v>1180</v>
      </c>
      <c r="D7233" s="3" t="s">
        <v>1187</v>
      </c>
      <c r="E7233" s="3" t="s">
        <v>1795</v>
      </c>
      <c r="F7233" s="3">
        <v>-30690.91</v>
      </c>
      <c r="G7233" s="3">
        <v>39464.480000000003</v>
      </c>
    </row>
    <row r="7234" spans="1:7" x14ac:dyDescent="0.2">
      <c r="A7234" s="3" t="s">
        <v>1796</v>
      </c>
      <c r="B7234" s="4">
        <v>45382</v>
      </c>
      <c r="C7234" s="3" t="s">
        <v>1180</v>
      </c>
      <c r="D7234" s="3" t="s">
        <v>1187</v>
      </c>
      <c r="E7234" s="3" t="s">
        <v>1797</v>
      </c>
      <c r="F7234" s="3">
        <v>2013.23</v>
      </c>
      <c r="G7234" s="3">
        <v>50117.42</v>
      </c>
    </row>
    <row r="7235" spans="1:7" x14ac:dyDescent="0.2">
      <c r="A7235" s="3" t="s">
        <v>1094</v>
      </c>
      <c r="B7235" s="4">
        <v>45382</v>
      </c>
      <c r="C7235" s="3" t="s">
        <v>1180</v>
      </c>
      <c r="D7235" s="3" t="s">
        <v>1187</v>
      </c>
      <c r="E7235" s="3" t="s">
        <v>1798</v>
      </c>
      <c r="F7235" s="3">
        <v>161396.64000000001</v>
      </c>
      <c r="G7235" s="3">
        <v>195464.05</v>
      </c>
    </row>
    <row r="7236" spans="1:7" x14ac:dyDescent="0.2">
      <c r="A7236" s="3" t="s">
        <v>1799</v>
      </c>
      <c r="B7236" s="4">
        <v>45382</v>
      </c>
      <c r="C7236" s="3" t="s">
        <v>1180</v>
      </c>
      <c r="D7236" s="3" t="s">
        <v>1187</v>
      </c>
      <c r="E7236" s="3" t="s">
        <v>1800</v>
      </c>
      <c r="F7236" s="3">
        <v>123257.53</v>
      </c>
      <c r="G7236" s="3">
        <v>167320.72</v>
      </c>
    </row>
    <row r="7237" spans="1:7" x14ac:dyDescent="0.2">
      <c r="A7237" s="3" t="s">
        <v>1819</v>
      </c>
      <c r="B7237" s="4">
        <v>45382</v>
      </c>
      <c r="C7237" s="3" t="s">
        <v>1180</v>
      </c>
      <c r="D7237" s="3" t="s">
        <v>1801</v>
      </c>
      <c r="E7237" s="3" t="s">
        <v>1802</v>
      </c>
      <c r="F7237" s="3">
        <v>-141.72</v>
      </c>
      <c r="G7237" s="3">
        <v>-141.72</v>
      </c>
    </row>
    <row r="7238" spans="1:7" x14ac:dyDescent="0.2">
      <c r="A7238" s="3" t="s">
        <v>1818</v>
      </c>
      <c r="B7238" s="4">
        <v>45382</v>
      </c>
      <c r="C7238" s="3" t="s">
        <v>1180</v>
      </c>
      <c r="D7238" s="3" t="s">
        <v>1801</v>
      </c>
      <c r="E7238" s="3" t="s">
        <v>1802</v>
      </c>
      <c r="F7238" s="3">
        <v>0</v>
      </c>
      <c r="G7238" s="3">
        <v>1141.0999999999999</v>
      </c>
    </row>
    <row r="7239" spans="1:7" x14ac:dyDescent="0.2">
      <c r="A7239" s="3" t="s">
        <v>1823</v>
      </c>
      <c r="B7239" s="4">
        <v>45382</v>
      </c>
      <c r="C7239" s="3" t="s">
        <v>1180</v>
      </c>
      <c r="D7239" s="3" t="s">
        <v>1801</v>
      </c>
      <c r="E7239" s="3" t="s">
        <v>1802</v>
      </c>
      <c r="F7239" s="3">
        <v>-141.72</v>
      </c>
      <c r="G7239" s="3">
        <v>-141.72</v>
      </c>
    </row>
    <row r="7240" spans="1:7" x14ac:dyDescent="0.2">
      <c r="A7240" s="3" t="s">
        <v>1094</v>
      </c>
      <c r="B7240" s="4">
        <v>45382</v>
      </c>
      <c r="C7240" s="3" t="s">
        <v>1180</v>
      </c>
      <c r="D7240" s="3" t="s">
        <v>1189</v>
      </c>
      <c r="E7240" s="3" t="s">
        <v>1803</v>
      </c>
      <c r="F7240" s="3">
        <v>0</v>
      </c>
      <c r="G7240" s="3">
        <v>24.52</v>
      </c>
    </row>
    <row r="7241" spans="1:7" x14ac:dyDescent="0.2">
      <c r="A7241" s="3" t="s">
        <v>1799</v>
      </c>
      <c r="B7241" s="4">
        <v>45382</v>
      </c>
      <c r="C7241" s="3" t="s">
        <v>1180</v>
      </c>
      <c r="D7241" s="3" t="s">
        <v>1189</v>
      </c>
      <c r="E7241" s="3" t="s">
        <v>1804</v>
      </c>
      <c r="F7241" s="3">
        <v>0</v>
      </c>
      <c r="G7241" s="3">
        <v>1432.34</v>
      </c>
    </row>
    <row r="7242" spans="1:7" x14ac:dyDescent="0.2">
      <c r="A7242" s="3" t="s">
        <v>1796</v>
      </c>
      <c r="B7242" s="4">
        <v>45382</v>
      </c>
      <c r="C7242" s="3" t="s">
        <v>1180</v>
      </c>
      <c r="D7242" s="3" t="s">
        <v>1189</v>
      </c>
      <c r="E7242" s="3" t="s">
        <v>1805</v>
      </c>
      <c r="F7242" s="3">
        <v>-77.42</v>
      </c>
      <c r="G7242" s="3">
        <v>402.65</v>
      </c>
    </row>
    <row r="7243" spans="1:7" x14ac:dyDescent="0.2">
      <c r="A7243" s="3" t="s">
        <v>1792</v>
      </c>
      <c r="B7243" s="4">
        <v>45382</v>
      </c>
      <c r="C7243" s="3" t="s">
        <v>1180</v>
      </c>
      <c r="D7243" s="3" t="s">
        <v>1806</v>
      </c>
      <c r="E7243" s="3" t="s">
        <v>1807</v>
      </c>
      <c r="F7243" s="3">
        <v>0</v>
      </c>
      <c r="G7243" s="3">
        <v>2276.21</v>
      </c>
    </row>
    <row r="7244" spans="1:7" x14ac:dyDescent="0.2">
      <c r="A7244" s="3" t="s">
        <v>1794</v>
      </c>
      <c r="B7244" s="4">
        <v>45382</v>
      </c>
      <c r="C7244" s="3" t="s">
        <v>1180</v>
      </c>
      <c r="D7244" s="3" t="s">
        <v>1435</v>
      </c>
      <c r="E7244" s="3" t="s">
        <v>1815</v>
      </c>
      <c r="F7244" s="3">
        <v>0</v>
      </c>
      <c r="G7244" s="3">
        <v>624</v>
      </c>
    </row>
    <row r="7245" spans="1:7" x14ac:dyDescent="0.2">
      <c r="A7245" s="3" t="s">
        <v>1792</v>
      </c>
      <c r="B7245" s="4">
        <v>45382</v>
      </c>
      <c r="C7245" s="3" t="s">
        <v>1180</v>
      </c>
      <c r="D7245" s="3" t="s">
        <v>1243</v>
      </c>
      <c r="E7245" s="3" t="s">
        <v>1808</v>
      </c>
      <c r="F7245" s="3">
        <v>0</v>
      </c>
      <c r="G7245" s="3">
        <v>574.88</v>
      </c>
    </row>
    <row r="7246" spans="1:7" x14ac:dyDescent="0.2">
      <c r="A7246" s="3" t="s">
        <v>1818</v>
      </c>
      <c r="B7246" s="4">
        <v>45382</v>
      </c>
      <c r="C7246" s="3" t="s">
        <v>1180</v>
      </c>
      <c r="D7246" s="3" t="s">
        <v>1245</v>
      </c>
      <c r="E7246" s="3" t="s">
        <v>1809</v>
      </c>
      <c r="F7246" s="3">
        <v>0</v>
      </c>
      <c r="G7246" s="3">
        <v>-1680.7</v>
      </c>
    </row>
    <row r="7247" spans="1:7" x14ac:dyDescent="0.2">
      <c r="A7247" s="3" t="s">
        <v>1818</v>
      </c>
      <c r="B7247" s="4">
        <v>45382</v>
      </c>
      <c r="C7247" s="3" t="s">
        <v>1180</v>
      </c>
      <c r="D7247" s="3" t="s">
        <v>1810</v>
      </c>
      <c r="E7247" s="3" t="s">
        <v>1811</v>
      </c>
      <c r="F7247" s="3">
        <v>0</v>
      </c>
      <c r="G7247" s="3">
        <v>5081.8900000000003</v>
      </c>
    </row>
    <row r="7248" spans="1:7" x14ac:dyDescent="0.2">
      <c r="A7248" s="3" t="s">
        <v>1792</v>
      </c>
      <c r="B7248" s="4">
        <v>45382</v>
      </c>
      <c r="C7248" s="3" t="s">
        <v>1180</v>
      </c>
      <c r="D7248" s="3" t="s">
        <v>1727</v>
      </c>
      <c r="E7248" s="3" t="s">
        <v>1812</v>
      </c>
      <c r="F7248" s="3">
        <v>13051.04</v>
      </c>
      <c r="G7248" s="3">
        <v>191944.39</v>
      </c>
    </row>
    <row r="7249" spans="1:7" x14ac:dyDescent="0.2">
      <c r="A7249" s="3" t="s">
        <v>1799</v>
      </c>
      <c r="B7249" s="4">
        <v>45382</v>
      </c>
      <c r="C7249" s="3" t="s">
        <v>1180</v>
      </c>
      <c r="D7249" s="3" t="s">
        <v>1727</v>
      </c>
      <c r="E7249" s="3" t="s">
        <v>1814</v>
      </c>
      <c r="F7249" s="3">
        <v>0</v>
      </c>
      <c r="G7249" s="3">
        <v>1016.2</v>
      </c>
    </row>
    <row r="7250" spans="1:7" x14ac:dyDescent="0.2">
      <c r="A7250" s="3" t="s">
        <v>1792</v>
      </c>
      <c r="B7250" s="4">
        <v>45382</v>
      </c>
      <c r="C7250" s="3" t="s">
        <v>1180</v>
      </c>
      <c r="D7250" s="3" t="s">
        <v>1816</v>
      </c>
      <c r="E7250" s="3" t="s">
        <v>1817</v>
      </c>
      <c r="F7250" s="3">
        <v>0</v>
      </c>
      <c r="G7250" s="3">
        <v>500</v>
      </c>
    </row>
    <row r="7251" spans="1:7" x14ac:dyDescent="0.2">
      <c r="A7251" s="3" t="s">
        <v>1818</v>
      </c>
      <c r="B7251" s="4">
        <v>45412</v>
      </c>
      <c r="C7251" s="3" t="s">
        <v>1180</v>
      </c>
      <c r="D7251" s="3" t="s">
        <v>1187</v>
      </c>
      <c r="E7251" s="3" t="s">
        <v>1789</v>
      </c>
      <c r="F7251" s="3">
        <v>-42689.73</v>
      </c>
      <c r="G7251" s="3">
        <v>35949.51</v>
      </c>
    </row>
    <row r="7252" spans="1:7" x14ac:dyDescent="0.2">
      <c r="A7252" s="3" t="s">
        <v>1819</v>
      </c>
      <c r="B7252" s="4">
        <v>45412</v>
      </c>
      <c r="C7252" s="3" t="s">
        <v>1180</v>
      </c>
      <c r="D7252" s="3" t="s">
        <v>1187</v>
      </c>
      <c r="E7252" s="3" t="s">
        <v>1791</v>
      </c>
      <c r="F7252" s="3">
        <v>-46424.7</v>
      </c>
      <c r="G7252" s="3">
        <v>63303.38</v>
      </c>
    </row>
    <row r="7253" spans="1:7" x14ac:dyDescent="0.2">
      <c r="A7253" s="3" t="s">
        <v>1792</v>
      </c>
      <c r="B7253" s="4">
        <v>45412</v>
      </c>
      <c r="C7253" s="3" t="s">
        <v>1180</v>
      </c>
      <c r="D7253" s="3" t="s">
        <v>1187</v>
      </c>
      <c r="E7253" s="3" t="s">
        <v>1793</v>
      </c>
      <c r="F7253" s="3">
        <v>-178.54</v>
      </c>
      <c r="G7253" s="3">
        <v>811288.84</v>
      </c>
    </row>
    <row r="7254" spans="1:7" x14ac:dyDescent="0.2">
      <c r="A7254" s="3" t="s">
        <v>1794</v>
      </c>
      <c r="B7254" s="4">
        <v>45412</v>
      </c>
      <c r="C7254" s="3" t="s">
        <v>1180</v>
      </c>
      <c r="D7254" s="3" t="s">
        <v>1187</v>
      </c>
      <c r="E7254" s="3" t="s">
        <v>1795</v>
      </c>
      <c r="F7254" s="3">
        <v>-3486.49</v>
      </c>
      <c r="G7254" s="3">
        <v>35977.99</v>
      </c>
    </row>
    <row r="7255" spans="1:7" x14ac:dyDescent="0.2">
      <c r="A7255" s="3" t="s">
        <v>1796</v>
      </c>
      <c r="B7255" s="4">
        <v>45412</v>
      </c>
      <c r="C7255" s="3" t="s">
        <v>1180</v>
      </c>
      <c r="D7255" s="3" t="s">
        <v>1187</v>
      </c>
      <c r="E7255" s="3" t="s">
        <v>1797</v>
      </c>
      <c r="F7255" s="3">
        <v>17779.16</v>
      </c>
      <c r="G7255" s="3">
        <v>67896.58</v>
      </c>
    </row>
    <row r="7256" spans="1:7" x14ac:dyDescent="0.2">
      <c r="A7256" s="3" t="s">
        <v>1094</v>
      </c>
      <c r="B7256" s="4">
        <v>45412</v>
      </c>
      <c r="C7256" s="3" t="s">
        <v>1180</v>
      </c>
      <c r="D7256" s="3" t="s">
        <v>1187</v>
      </c>
      <c r="E7256" s="3" t="s">
        <v>1798</v>
      </c>
      <c r="F7256" s="3">
        <v>-174379.26</v>
      </c>
      <c r="G7256" s="3">
        <v>21084.79</v>
      </c>
    </row>
    <row r="7257" spans="1:7" x14ac:dyDescent="0.2">
      <c r="A7257" s="3" t="s">
        <v>1799</v>
      </c>
      <c r="B7257" s="4">
        <v>45412</v>
      </c>
      <c r="C7257" s="3" t="s">
        <v>1180</v>
      </c>
      <c r="D7257" s="3" t="s">
        <v>1187</v>
      </c>
      <c r="E7257" s="3" t="s">
        <v>1800</v>
      </c>
      <c r="F7257" s="3">
        <v>-4226.22</v>
      </c>
      <c r="G7257" s="3">
        <v>98094.5</v>
      </c>
    </row>
    <row r="7258" spans="1:7" x14ac:dyDescent="0.2">
      <c r="A7258" s="3" t="s">
        <v>1820</v>
      </c>
      <c r="B7258" s="4">
        <v>45412</v>
      </c>
      <c r="C7258" s="3" t="s">
        <v>1180</v>
      </c>
      <c r="D7258" s="3" t="s">
        <v>1821</v>
      </c>
      <c r="E7258" s="3" t="s">
        <v>1822</v>
      </c>
      <c r="F7258" s="3">
        <v>414259.27</v>
      </c>
      <c r="G7258" s="3">
        <v>242195.01</v>
      </c>
    </row>
    <row r="7259" spans="1:7" x14ac:dyDescent="0.2">
      <c r="A7259" s="3" t="s">
        <v>1819</v>
      </c>
      <c r="B7259" s="4">
        <v>45412</v>
      </c>
      <c r="C7259" s="3" t="s">
        <v>1180</v>
      </c>
      <c r="D7259" s="3" t="s">
        <v>1801</v>
      </c>
      <c r="E7259" s="3" t="s">
        <v>1802</v>
      </c>
      <c r="F7259" s="3">
        <v>0</v>
      </c>
      <c r="G7259" s="3">
        <v>-141.72</v>
      </c>
    </row>
    <row r="7260" spans="1:7" x14ac:dyDescent="0.2">
      <c r="A7260" s="3" t="s">
        <v>1818</v>
      </c>
      <c r="B7260" s="4">
        <v>45412</v>
      </c>
      <c r="C7260" s="3" t="s">
        <v>1180</v>
      </c>
      <c r="D7260" s="3" t="s">
        <v>1801</v>
      </c>
      <c r="E7260" s="3" t="s">
        <v>1802</v>
      </c>
      <c r="F7260" s="3">
        <v>0</v>
      </c>
      <c r="G7260" s="3">
        <v>1141.0999999999999</v>
      </c>
    </row>
    <row r="7261" spans="1:7" x14ac:dyDescent="0.2">
      <c r="A7261" s="3" t="s">
        <v>1094</v>
      </c>
      <c r="B7261" s="4">
        <v>45412</v>
      </c>
      <c r="C7261" s="3" t="s">
        <v>1180</v>
      </c>
      <c r="D7261" s="3" t="s">
        <v>1189</v>
      </c>
      <c r="E7261" s="3" t="s">
        <v>1803</v>
      </c>
      <c r="F7261" s="3">
        <v>0</v>
      </c>
      <c r="G7261" s="3">
        <v>24.52</v>
      </c>
    </row>
    <row r="7262" spans="1:7" x14ac:dyDescent="0.2">
      <c r="A7262" s="3" t="s">
        <v>1799</v>
      </c>
      <c r="B7262" s="4">
        <v>45412</v>
      </c>
      <c r="C7262" s="3" t="s">
        <v>1180</v>
      </c>
      <c r="D7262" s="3" t="s">
        <v>1189</v>
      </c>
      <c r="E7262" s="3" t="s">
        <v>1804</v>
      </c>
      <c r="F7262" s="3">
        <v>0</v>
      </c>
      <c r="G7262" s="3">
        <v>1432.34</v>
      </c>
    </row>
    <row r="7263" spans="1:7" x14ac:dyDescent="0.2">
      <c r="A7263" s="3" t="s">
        <v>1796</v>
      </c>
      <c r="B7263" s="4">
        <v>45412</v>
      </c>
      <c r="C7263" s="3" t="s">
        <v>1180</v>
      </c>
      <c r="D7263" s="3" t="s">
        <v>1189</v>
      </c>
      <c r="E7263" s="3" t="s">
        <v>1805</v>
      </c>
      <c r="F7263" s="3">
        <v>0</v>
      </c>
      <c r="G7263" s="3">
        <v>402.65</v>
      </c>
    </row>
    <row r="7264" spans="1:7" x14ac:dyDescent="0.2">
      <c r="A7264" s="3" t="s">
        <v>1792</v>
      </c>
      <c r="B7264" s="4">
        <v>45412</v>
      </c>
      <c r="C7264" s="3" t="s">
        <v>1180</v>
      </c>
      <c r="D7264" s="3" t="s">
        <v>1806</v>
      </c>
      <c r="E7264" s="3" t="s">
        <v>1807</v>
      </c>
      <c r="F7264" s="3">
        <v>0</v>
      </c>
      <c r="G7264" s="3">
        <v>2276.21</v>
      </c>
    </row>
    <row r="7265" spans="1:7" x14ac:dyDescent="0.2">
      <c r="A7265" s="3" t="s">
        <v>1794</v>
      </c>
      <c r="B7265" s="4">
        <v>45412</v>
      </c>
      <c r="C7265" s="3" t="s">
        <v>1180</v>
      </c>
      <c r="D7265" s="3" t="s">
        <v>1435</v>
      </c>
      <c r="E7265" s="3" t="s">
        <v>1815</v>
      </c>
      <c r="F7265" s="3">
        <v>0</v>
      </c>
      <c r="G7265" s="3">
        <v>624</v>
      </c>
    </row>
    <row r="7266" spans="1:7" x14ac:dyDescent="0.2">
      <c r="A7266" s="3" t="s">
        <v>1792</v>
      </c>
      <c r="B7266" s="4">
        <v>45412</v>
      </c>
      <c r="C7266" s="3" t="s">
        <v>1180</v>
      </c>
      <c r="D7266" s="3" t="s">
        <v>1243</v>
      </c>
      <c r="E7266" s="3" t="s">
        <v>1808</v>
      </c>
      <c r="F7266" s="3">
        <v>0</v>
      </c>
      <c r="G7266" s="3">
        <v>574.88</v>
      </c>
    </row>
    <row r="7267" spans="1:7" x14ac:dyDescent="0.2">
      <c r="A7267" s="3" t="s">
        <v>1818</v>
      </c>
      <c r="B7267" s="4">
        <v>45412</v>
      </c>
      <c r="C7267" s="3" t="s">
        <v>1180</v>
      </c>
      <c r="D7267" s="3" t="s">
        <v>1245</v>
      </c>
      <c r="E7267" s="3" t="s">
        <v>1809</v>
      </c>
      <c r="F7267" s="3">
        <v>-184.23</v>
      </c>
      <c r="G7267" s="3">
        <v>-1864.93</v>
      </c>
    </row>
    <row r="7268" spans="1:7" x14ac:dyDescent="0.2">
      <c r="A7268" s="3" t="s">
        <v>1818</v>
      </c>
      <c r="B7268" s="4">
        <v>45412</v>
      </c>
      <c r="C7268" s="3" t="s">
        <v>1180</v>
      </c>
      <c r="D7268" s="3" t="s">
        <v>1810</v>
      </c>
      <c r="E7268" s="3" t="s">
        <v>1811</v>
      </c>
      <c r="F7268" s="3">
        <v>0</v>
      </c>
      <c r="G7268" s="3">
        <v>5081.8900000000003</v>
      </c>
    </row>
    <row r="7269" spans="1:7" x14ac:dyDescent="0.2">
      <c r="A7269" s="3" t="s">
        <v>1792</v>
      </c>
      <c r="B7269" s="4">
        <v>45412</v>
      </c>
      <c r="C7269" s="3" t="s">
        <v>1180</v>
      </c>
      <c r="D7269" s="3" t="s">
        <v>1727</v>
      </c>
      <c r="E7269" s="3" t="s">
        <v>1812</v>
      </c>
      <c r="F7269" s="3">
        <v>-16133.65</v>
      </c>
      <c r="G7269" s="3">
        <v>175810.74</v>
      </c>
    </row>
    <row r="7270" spans="1:7" x14ac:dyDescent="0.2">
      <c r="A7270" s="3" t="s">
        <v>1799</v>
      </c>
      <c r="B7270" s="4">
        <v>45412</v>
      </c>
      <c r="C7270" s="3" t="s">
        <v>1180</v>
      </c>
      <c r="D7270" s="3" t="s">
        <v>1727</v>
      </c>
      <c r="E7270" s="3" t="s">
        <v>1814</v>
      </c>
      <c r="F7270" s="3">
        <v>0</v>
      </c>
      <c r="G7270" s="3">
        <v>1016.2</v>
      </c>
    </row>
    <row r="7271" spans="1:7" x14ac:dyDescent="0.2">
      <c r="A7271" s="3" t="s">
        <v>1792</v>
      </c>
      <c r="B7271" s="4">
        <v>45412</v>
      </c>
      <c r="C7271" s="3" t="s">
        <v>1180</v>
      </c>
      <c r="D7271" s="3" t="s">
        <v>1816</v>
      </c>
      <c r="E7271" s="3" t="s">
        <v>1817</v>
      </c>
      <c r="F7271" s="3">
        <v>21750</v>
      </c>
      <c r="G7271" s="3">
        <v>22250</v>
      </c>
    </row>
    <row r="7272" spans="1:7" x14ac:dyDescent="0.2">
      <c r="A7272" s="3" t="s">
        <v>1818</v>
      </c>
      <c r="B7272" s="4">
        <v>45443</v>
      </c>
      <c r="C7272" s="3" t="s">
        <v>1180</v>
      </c>
      <c r="D7272" s="3" t="s">
        <v>1187</v>
      </c>
      <c r="E7272" s="3" t="s">
        <v>1789</v>
      </c>
      <c r="F7272" s="3">
        <v>435153.26</v>
      </c>
      <c r="G7272" s="3">
        <v>471102.77</v>
      </c>
    </row>
    <row r="7273" spans="1:7" x14ac:dyDescent="0.2">
      <c r="A7273" s="3" t="s">
        <v>1819</v>
      </c>
      <c r="B7273" s="4">
        <v>45443</v>
      </c>
      <c r="C7273" s="3" t="s">
        <v>1180</v>
      </c>
      <c r="D7273" s="3" t="s">
        <v>1187</v>
      </c>
      <c r="E7273" s="3" t="s">
        <v>1791</v>
      </c>
      <c r="F7273" s="3">
        <v>-35890.720000000001</v>
      </c>
      <c r="G7273" s="3">
        <v>27412.66</v>
      </c>
    </row>
    <row r="7274" spans="1:7" x14ac:dyDescent="0.2">
      <c r="A7274" s="3" t="s">
        <v>1792</v>
      </c>
      <c r="B7274" s="4">
        <v>45443</v>
      </c>
      <c r="C7274" s="3" t="s">
        <v>1180</v>
      </c>
      <c r="D7274" s="3" t="s">
        <v>1187</v>
      </c>
      <c r="E7274" s="3" t="s">
        <v>1793</v>
      </c>
      <c r="F7274" s="3">
        <v>0</v>
      </c>
      <c r="G7274" s="3">
        <v>815386.69</v>
      </c>
    </row>
    <row r="7275" spans="1:7" x14ac:dyDescent="0.2">
      <c r="A7275" s="3" t="s">
        <v>1794</v>
      </c>
      <c r="B7275" s="4">
        <v>45443</v>
      </c>
      <c r="C7275" s="3" t="s">
        <v>1180</v>
      </c>
      <c r="D7275" s="3" t="s">
        <v>1187</v>
      </c>
      <c r="E7275" s="3" t="s">
        <v>1795</v>
      </c>
      <c r="F7275" s="3">
        <v>1174.1600000000001</v>
      </c>
      <c r="G7275" s="3">
        <v>37613.9</v>
      </c>
    </row>
    <row r="7276" spans="1:7" x14ac:dyDescent="0.2">
      <c r="A7276" s="3" t="s">
        <v>1796</v>
      </c>
      <c r="B7276" s="4">
        <v>45443</v>
      </c>
      <c r="C7276" s="3" t="s">
        <v>1180</v>
      </c>
      <c r="D7276" s="3" t="s">
        <v>1187</v>
      </c>
      <c r="E7276" s="3" t="s">
        <v>1797</v>
      </c>
      <c r="F7276" s="3">
        <v>-22063.16</v>
      </c>
      <c r="G7276" s="3">
        <v>45833.42</v>
      </c>
    </row>
    <row r="7277" spans="1:7" x14ac:dyDescent="0.2">
      <c r="A7277" s="3" t="s">
        <v>1094</v>
      </c>
      <c r="B7277" s="4">
        <v>45443</v>
      </c>
      <c r="C7277" s="3" t="s">
        <v>1180</v>
      </c>
      <c r="D7277" s="3" t="s">
        <v>1187</v>
      </c>
      <c r="E7277" s="3" t="s">
        <v>1798</v>
      </c>
      <c r="F7277" s="3">
        <v>-886.61</v>
      </c>
      <c r="G7277" s="3">
        <v>20198.18</v>
      </c>
    </row>
    <row r="7278" spans="1:7" x14ac:dyDescent="0.2">
      <c r="A7278" s="3" t="s">
        <v>1799</v>
      </c>
      <c r="B7278" s="4">
        <v>45443</v>
      </c>
      <c r="C7278" s="3" t="s">
        <v>1180</v>
      </c>
      <c r="D7278" s="3" t="s">
        <v>1187</v>
      </c>
      <c r="E7278" s="3" t="s">
        <v>1800</v>
      </c>
      <c r="F7278" s="3">
        <v>-9102.77</v>
      </c>
      <c r="G7278" s="3">
        <v>88991.73</v>
      </c>
    </row>
    <row r="7279" spans="1:7" x14ac:dyDescent="0.2">
      <c r="A7279" s="3" t="s">
        <v>1820</v>
      </c>
      <c r="B7279" s="4">
        <v>45443</v>
      </c>
      <c r="C7279" s="3" t="s">
        <v>1180</v>
      </c>
      <c r="D7279" s="3" t="s">
        <v>1821</v>
      </c>
      <c r="E7279" s="3" t="s">
        <v>1822</v>
      </c>
      <c r="F7279" s="3">
        <v>3923486.29</v>
      </c>
      <c r="G7279" s="3">
        <v>4164353.05</v>
      </c>
    </row>
    <row r="7280" spans="1:7" x14ac:dyDescent="0.2">
      <c r="A7280" s="3" t="s">
        <v>1824</v>
      </c>
      <c r="B7280" s="4">
        <v>45443</v>
      </c>
      <c r="C7280" s="3" t="s">
        <v>1180</v>
      </c>
      <c r="D7280" s="3" t="s">
        <v>1825</v>
      </c>
      <c r="E7280" s="3" t="s">
        <v>1826</v>
      </c>
      <c r="F7280" s="3">
        <v>-1205.49</v>
      </c>
      <c r="G7280" s="3">
        <v>192164.89</v>
      </c>
    </row>
    <row r="7281" spans="1:7" x14ac:dyDescent="0.2">
      <c r="A7281" s="3" t="s">
        <v>1819</v>
      </c>
      <c r="B7281" s="4">
        <v>45443</v>
      </c>
      <c r="C7281" s="3" t="s">
        <v>1180</v>
      </c>
      <c r="D7281" s="3" t="s">
        <v>1801</v>
      </c>
      <c r="E7281" s="3" t="s">
        <v>1802</v>
      </c>
      <c r="F7281" s="3">
        <v>0</v>
      </c>
      <c r="G7281" s="3">
        <v>-141.72</v>
      </c>
    </row>
    <row r="7282" spans="1:7" x14ac:dyDescent="0.2">
      <c r="A7282" s="3" t="s">
        <v>1818</v>
      </c>
      <c r="B7282" s="4">
        <v>45443</v>
      </c>
      <c r="C7282" s="3" t="s">
        <v>1180</v>
      </c>
      <c r="D7282" s="3" t="s">
        <v>1801</v>
      </c>
      <c r="E7282" s="3" t="s">
        <v>1802</v>
      </c>
      <c r="F7282" s="3">
        <v>0</v>
      </c>
      <c r="G7282" s="3">
        <v>1141.0999999999999</v>
      </c>
    </row>
    <row r="7283" spans="1:7" x14ac:dyDescent="0.2">
      <c r="A7283" s="3" t="s">
        <v>1094</v>
      </c>
      <c r="B7283" s="4">
        <v>45443</v>
      </c>
      <c r="C7283" s="3" t="s">
        <v>1180</v>
      </c>
      <c r="D7283" s="3" t="s">
        <v>1189</v>
      </c>
      <c r="E7283" s="3" t="s">
        <v>1803</v>
      </c>
      <c r="F7283" s="3">
        <v>0</v>
      </c>
      <c r="G7283" s="3">
        <v>24.52</v>
      </c>
    </row>
    <row r="7284" spans="1:7" x14ac:dyDescent="0.2">
      <c r="A7284" s="3" t="s">
        <v>1799</v>
      </c>
      <c r="B7284" s="4">
        <v>45443</v>
      </c>
      <c r="C7284" s="3" t="s">
        <v>1180</v>
      </c>
      <c r="D7284" s="3" t="s">
        <v>1189</v>
      </c>
      <c r="E7284" s="3" t="s">
        <v>1804</v>
      </c>
      <c r="F7284" s="3">
        <v>0</v>
      </c>
      <c r="G7284" s="3">
        <v>1432.34</v>
      </c>
    </row>
    <row r="7285" spans="1:7" x14ac:dyDescent="0.2">
      <c r="A7285" s="3" t="s">
        <v>1796</v>
      </c>
      <c r="B7285" s="4">
        <v>45443</v>
      </c>
      <c r="C7285" s="3" t="s">
        <v>1180</v>
      </c>
      <c r="D7285" s="3" t="s">
        <v>1189</v>
      </c>
      <c r="E7285" s="3" t="s">
        <v>1805</v>
      </c>
      <c r="F7285" s="3">
        <v>1000</v>
      </c>
      <c r="G7285" s="3">
        <v>1402.65</v>
      </c>
    </row>
    <row r="7286" spans="1:7" x14ac:dyDescent="0.2">
      <c r="A7286" s="3" t="s">
        <v>1792</v>
      </c>
      <c r="B7286" s="4">
        <v>45443</v>
      </c>
      <c r="C7286" s="3" t="s">
        <v>1180</v>
      </c>
      <c r="D7286" s="3" t="s">
        <v>1806</v>
      </c>
      <c r="E7286" s="3" t="s">
        <v>1807</v>
      </c>
      <c r="F7286" s="3">
        <v>0</v>
      </c>
      <c r="G7286" s="3">
        <v>2276.21</v>
      </c>
    </row>
    <row r="7287" spans="1:7" x14ac:dyDescent="0.2">
      <c r="A7287" s="3" t="s">
        <v>1794</v>
      </c>
      <c r="B7287" s="4">
        <v>45443</v>
      </c>
      <c r="C7287" s="3" t="s">
        <v>1180</v>
      </c>
      <c r="D7287" s="3" t="s">
        <v>1435</v>
      </c>
      <c r="E7287" s="3" t="s">
        <v>1815</v>
      </c>
      <c r="F7287" s="3">
        <v>52</v>
      </c>
      <c r="G7287" s="3">
        <v>676</v>
      </c>
    </row>
    <row r="7288" spans="1:7" x14ac:dyDescent="0.2">
      <c r="A7288" s="3" t="s">
        <v>1792</v>
      </c>
      <c r="B7288" s="4">
        <v>45443</v>
      </c>
      <c r="C7288" s="3" t="s">
        <v>1180</v>
      </c>
      <c r="D7288" s="3" t="s">
        <v>1435</v>
      </c>
      <c r="E7288" s="3" t="s">
        <v>1827</v>
      </c>
      <c r="F7288" s="3">
        <v>-23000</v>
      </c>
      <c r="G7288" s="3">
        <v>-23000</v>
      </c>
    </row>
    <row r="7289" spans="1:7" x14ac:dyDescent="0.2">
      <c r="A7289" s="3" t="s">
        <v>1792</v>
      </c>
      <c r="B7289" s="4">
        <v>45443</v>
      </c>
      <c r="C7289" s="3" t="s">
        <v>1180</v>
      </c>
      <c r="D7289" s="3" t="s">
        <v>1243</v>
      </c>
      <c r="E7289" s="3" t="s">
        <v>1808</v>
      </c>
      <c r="F7289" s="3">
        <v>0</v>
      </c>
      <c r="G7289" s="3">
        <v>574.88</v>
      </c>
    </row>
    <row r="7290" spans="1:7" x14ac:dyDescent="0.2">
      <c r="A7290" s="3" t="s">
        <v>1818</v>
      </c>
      <c r="B7290" s="4">
        <v>45443</v>
      </c>
      <c r="C7290" s="3" t="s">
        <v>1180</v>
      </c>
      <c r="D7290" s="3" t="s">
        <v>1245</v>
      </c>
      <c r="E7290" s="3" t="s">
        <v>1809</v>
      </c>
      <c r="F7290" s="3">
        <v>-127.98</v>
      </c>
      <c r="G7290" s="3">
        <v>-1992.91</v>
      </c>
    </row>
    <row r="7291" spans="1:7" x14ac:dyDescent="0.2">
      <c r="A7291" s="3" t="s">
        <v>1818</v>
      </c>
      <c r="B7291" s="4">
        <v>45443</v>
      </c>
      <c r="C7291" s="3" t="s">
        <v>1180</v>
      </c>
      <c r="D7291" s="3" t="s">
        <v>1810</v>
      </c>
      <c r="E7291" s="3" t="s">
        <v>1811</v>
      </c>
      <c r="F7291" s="3">
        <v>0</v>
      </c>
      <c r="G7291" s="3">
        <v>5081.8900000000003</v>
      </c>
    </row>
    <row r="7292" spans="1:7" x14ac:dyDescent="0.2">
      <c r="A7292" s="3" t="s">
        <v>1792</v>
      </c>
      <c r="B7292" s="4">
        <v>45443</v>
      </c>
      <c r="C7292" s="3" t="s">
        <v>1180</v>
      </c>
      <c r="D7292" s="3" t="s">
        <v>1727</v>
      </c>
      <c r="E7292" s="3" t="s">
        <v>1812</v>
      </c>
      <c r="F7292" s="3">
        <v>-15498.21</v>
      </c>
      <c r="G7292" s="3">
        <v>85074.9</v>
      </c>
    </row>
    <row r="7293" spans="1:7" x14ac:dyDescent="0.2">
      <c r="A7293" s="3" t="s">
        <v>1799</v>
      </c>
      <c r="B7293" s="4">
        <v>45443</v>
      </c>
      <c r="C7293" s="3" t="s">
        <v>1180</v>
      </c>
      <c r="D7293" s="3" t="s">
        <v>1727</v>
      </c>
      <c r="E7293" s="3" t="s">
        <v>1814</v>
      </c>
      <c r="F7293" s="3">
        <v>0</v>
      </c>
      <c r="G7293" s="3">
        <v>1016.2</v>
      </c>
    </row>
    <row r="7294" spans="1:7" x14ac:dyDescent="0.2">
      <c r="A7294" s="3" t="s">
        <v>1792</v>
      </c>
      <c r="B7294" s="4">
        <v>45443</v>
      </c>
      <c r="C7294" s="3" t="s">
        <v>1180</v>
      </c>
      <c r="D7294" s="3" t="s">
        <v>1816</v>
      </c>
      <c r="E7294" s="3" t="s">
        <v>1817</v>
      </c>
      <c r="F7294" s="3">
        <v>-13040.87</v>
      </c>
      <c r="G7294" s="3">
        <v>9209.1299999999992</v>
      </c>
    </row>
  </sheetData>
  <autoFilter ref="A4:G7294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072BA"/>
  </sheetPr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1828</v>
      </c>
    </row>
    <row r="5" spans="1:4" x14ac:dyDescent="0.2">
      <c r="A5" t="s">
        <v>1151</v>
      </c>
      <c r="B5" t="s">
        <v>1168</v>
      </c>
      <c r="C5" s="7">
        <v>45230</v>
      </c>
      <c r="D5">
        <v>5125504.8499999996</v>
      </c>
    </row>
    <row r="6" spans="1:4" x14ac:dyDescent="0.2">
      <c r="A6" t="s">
        <v>1151</v>
      </c>
      <c r="B6" t="s">
        <v>1168</v>
      </c>
      <c r="C6" s="7">
        <v>45260</v>
      </c>
      <c r="D6">
        <v>314037.88</v>
      </c>
    </row>
    <row r="7" spans="1:4" x14ac:dyDescent="0.2">
      <c r="A7" t="s">
        <v>1151</v>
      </c>
      <c r="B7" t="s">
        <v>1168</v>
      </c>
      <c r="C7" s="7">
        <v>45291</v>
      </c>
      <c r="D7">
        <v>314037.88</v>
      </c>
    </row>
    <row r="8" spans="1:4" x14ac:dyDescent="0.2">
      <c r="A8" t="s">
        <v>1151</v>
      </c>
      <c r="B8" t="s">
        <v>1168</v>
      </c>
      <c r="C8" s="7">
        <v>45322</v>
      </c>
      <c r="D8">
        <v>314037.88</v>
      </c>
    </row>
    <row r="9" spans="1:4" x14ac:dyDescent="0.2">
      <c r="A9" t="s">
        <v>1151</v>
      </c>
      <c r="B9" t="s">
        <v>1168</v>
      </c>
      <c r="C9" s="7">
        <v>45351</v>
      </c>
      <c r="D9">
        <v>314037.88</v>
      </c>
    </row>
    <row r="10" spans="1:4" x14ac:dyDescent="0.2">
      <c r="A10" t="s">
        <v>1151</v>
      </c>
      <c r="B10" t="s">
        <v>1168</v>
      </c>
      <c r="C10" s="7">
        <v>45382</v>
      </c>
      <c r="D10">
        <v>314037.88</v>
      </c>
    </row>
    <row r="11" spans="1:4" x14ac:dyDescent="0.2">
      <c r="A11" t="s">
        <v>1151</v>
      </c>
      <c r="B11" t="s">
        <v>1168</v>
      </c>
      <c r="C11" s="7">
        <v>45412</v>
      </c>
      <c r="D11">
        <v>314037.88</v>
      </c>
    </row>
    <row r="12" spans="1:4" x14ac:dyDescent="0.2">
      <c r="A12" t="s">
        <v>1151</v>
      </c>
      <c r="B12" t="s">
        <v>1168</v>
      </c>
      <c r="C12" s="7">
        <v>45443</v>
      </c>
      <c r="D12">
        <v>314037.88</v>
      </c>
    </row>
    <row r="13" spans="1:4" x14ac:dyDescent="0.2">
      <c r="A13" t="s">
        <v>1151</v>
      </c>
      <c r="B13" t="s">
        <v>1168</v>
      </c>
      <c r="C13" s="7">
        <v>45473</v>
      </c>
      <c r="D13">
        <v>314037.88</v>
      </c>
    </row>
    <row r="14" spans="1:4" x14ac:dyDescent="0.2">
      <c r="A14" t="s">
        <v>1151</v>
      </c>
      <c r="B14" t="s">
        <v>1168</v>
      </c>
      <c r="C14" s="7">
        <v>45504</v>
      </c>
      <c r="D14">
        <v>314037.88</v>
      </c>
    </row>
    <row r="15" spans="1:4" x14ac:dyDescent="0.2">
      <c r="A15" t="s">
        <v>1151</v>
      </c>
      <c r="B15" t="s">
        <v>1168</v>
      </c>
      <c r="C15" s="7">
        <v>45535</v>
      </c>
      <c r="D15">
        <v>314037.88</v>
      </c>
    </row>
    <row r="16" spans="1:4" x14ac:dyDescent="0.2">
      <c r="A16" t="s">
        <v>1829</v>
      </c>
      <c r="B16" t="s">
        <v>1168</v>
      </c>
      <c r="C16" s="7">
        <v>45230</v>
      </c>
      <c r="D16">
        <v>5676905</v>
      </c>
    </row>
    <row r="17" spans="1:4" x14ac:dyDescent="0.2">
      <c r="A17" t="s">
        <v>1829</v>
      </c>
      <c r="B17" t="s">
        <v>1168</v>
      </c>
      <c r="C17" s="7">
        <v>45260</v>
      </c>
      <c r="D17">
        <v>392914.30200000003</v>
      </c>
    </row>
    <row r="18" spans="1:4" x14ac:dyDescent="0.2">
      <c r="A18" t="s">
        <v>1829</v>
      </c>
      <c r="B18" t="s">
        <v>1168</v>
      </c>
      <c r="C18" s="7">
        <v>45291</v>
      </c>
      <c r="D18">
        <v>392914.30200000003</v>
      </c>
    </row>
    <row r="19" spans="1:4" x14ac:dyDescent="0.2">
      <c r="A19" t="s">
        <v>1829</v>
      </c>
      <c r="B19" t="s">
        <v>1168</v>
      </c>
      <c r="C19" s="7">
        <v>45322</v>
      </c>
      <c r="D19">
        <v>392914.30200000003</v>
      </c>
    </row>
    <row r="20" spans="1:4" x14ac:dyDescent="0.2">
      <c r="A20" t="s">
        <v>1829</v>
      </c>
      <c r="B20" t="s">
        <v>1168</v>
      </c>
      <c r="C20" s="7">
        <v>45351</v>
      </c>
      <c r="D20">
        <v>392914.30200000003</v>
      </c>
    </row>
    <row r="21" spans="1:4" x14ac:dyDescent="0.2">
      <c r="A21" t="s">
        <v>1829</v>
      </c>
      <c r="B21" t="s">
        <v>1168</v>
      </c>
      <c r="C21" s="7">
        <v>45382</v>
      </c>
      <c r="D21">
        <v>392914.30200000003</v>
      </c>
    </row>
    <row r="22" spans="1:4" x14ac:dyDescent="0.2">
      <c r="A22" t="s">
        <v>1829</v>
      </c>
      <c r="B22" t="s">
        <v>1168</v>
      </c>
      <c r="C22" s="7">
        <v>45412</v>
      </c>
      <c r="D22">
        <v>392914.30200000003</v>
      </c>
    </row>
    <row r="23" spans="1:4" x14ac:dyDescent="0.2">
      <c r="A23" t="s">
        <v>1829</v>
      </c>
      <c r="B23" t="s">
        <v>1168</v>
      </c>
      <c r="C23" s="7">
        <v>45443</v>
      </c>
      <c r="D23">
        <v>392914.30200000003</v>
      </c>
    </row>
    <row r="24" spans="1:4" x14ac:dyDescent="0.2">
      <c r="A24" t="s">
        <v>1829</v>
      </c>
      <c r="B24" t="s">
        <v>1168</v>
      </c>
      <c r="C24" s="7">
        <v>45473</v>
      </c>
      <c r="D24">
        <v>392914.30200000003</v>
      </c>
    </row>
    <row r="25" spans="1:4" x14ac:dyDescent="0.2">
      <c r="A25" t="s">
        <v>1829</v>
      </c>
      <c r="B25" t="s">
        <v>1168</v>
      </c>
      <c r="C25" s="7">
        <v>45504</v>
      </c>
      <c r="D25">
        <v>392914.30200000003</v>
      </c>
    </row>
    <row r="26" spans="1:4" x14ac:dyDescent="0.2">
      <c r="A26" t="s">
        <v>1829</v>
      </c>
      <c r="B26" t="s">
        <v>1168</v>
      </c>
      <c r="C26" s="7">
        <v>45535</v>
      </c>
      <c r="D26">
        <v>392914.30200000003</v>
      </c>
    </row>
    <row r="27" spans="1:4" x14ac:dyDescent="0.2">
      <c r="A27" t="s">
        <v>1830</v>
      </c>
      <c r="B27" t="s">
        <v>1168</v>
      </c>
      <c r="C27" s="7">
        <v>45230</v>
      </c>
      <c r="D27">
        <v>17272544</v>
      </c>
    </row>
    <row r="28" spans="1:4" x14ac:dyDescent="0.2">
      <c r="A28" t="s">
        <v>1830</v>
      </c>
      <c r="B28" t="s">
        <v>1168</v>
      </c>
      <c r="C28" s="7">
        <v>45260</v>
      </c>
      <c r="D28">
        <v>800000</v>
      </c>
    </row>
    <row r="29" spans="1:4" x14ac:dyDescent="0.2">
      <c r="A29" t="s">
        <v>1830</v>
      </c>
      <c r="B29" t="s">
        <v>1168</v>
      </c>
      <c r="C29" s="7">
        <v>45291</v>
      </c>
      <c r="D29">
        <v>800000</v>
      </c>
    </row>
    <row r="30" spans="1:4" x14ac:dyDescent="0.2">
      <c r="A30" t="s">
        <v>1830</v>
      </c>
      <c r="B30" t="s">
        <v>1168</v>
      </c>
      <c r="C30" s="7">
        <v>45322</v>
      </c>
      <c r="D30">
        <v>800000</v>
      </c>
    </row>
    <row r="31" spans="1:4" x14ac:dyDescent="0.2">
      <c r="A31" t="s">
        <v>1830</v>
      </c>
      <c r="B31" t="s">
        <v>1168</v>
      </c>
      <c r="C31" s="7">
        <v>45351</v>
      </c>
      <c r="D31">
        <v>800000</v>
      </c>
    </row>
    <row r="32" spans="1:4" x14ac:dyDescent="0.2">
      <c r="A32" t="s">
        <v>1830</v>
      </c>
      <c r="B32" t="s">
        <v>1168</v>
      </c>
      <c r="C32" s="7">
        <v>45382</v>
      </c>
      <c r="D32">
        <v>800000</v>
      </c>
    </row>
    <row r="33" spans="1:4" x14ac:dyDescent="0.2">
      <c r="A33" t="s">
        <v>1830</v>
      </c>
      <c r="B33" t="s">
        <v>1168</v>
      </c>
      <c r="C33" s="7">
        <v>45412</v>
      </c>
      <c r="D33">
        <v>800000</v>
      </c>
    </row>
    <row r="34" spans="1:4" x14ac:dyDescent="0.2">
      <c r="A34" t="s">
        <v>1830</v>
      </c>
      <c r="B34" t="s">
        <v>1168</v>
      </c>
      <c r="C34" s="7">
        <v>45443</v>
      </c>
      <c r="D34">
        <v>800000</v>
      </c>
    </row>
    <row r="35" spans="1:4" x14ac:dyDescent="0.2">
      <c r="A35" t="s">
        <v>1830</v>
      </c>
      <c r="B35" t="s">
        <v>1168</v>
      </c>
      <c r="C35" s="7">
        <v>45473</v>
      </c>
      <c r="D35">
        <v>800000</v>
      </c>
    </row>
    <row r="36" spans="1:4" x14ac:dyDescent="0.2">
      <c r="A36" t="s">
        <v>1830</v>
      </c>
      <c r="B36" t="s">
        <v>1168</v>
      </c>
      <c r="C36" s="7">
        <v>45504</v>
      </c>
      <c r="D36">
        <v>800000</v>
      </c>
    </row>
    <row r="37" spans="1:4" x14ac:dyDescent="0.2">
      <c r="A37" t="s">
        <v>1830</v>
      </c>
      <c r="B37" t="s">
        <v>1168</v>
      </c>
      <c r="C37" s="7">
        <v>45535</v>
      </c>
      <c r="D37">
        <v>800000</v>
      </c>
    </row>
    <row r="38" spans="1:4" x14ac:dyDescent="0.2">
      <c r="A38" t="s">
        <v>1831</v>
      </c>
      <c r="B38" t="s">
        <v>1168</v>
      </c>
      <c r="C38" s="7">
        <v>45230</v>
      </c>
      <c r="D38">
        <v>5361342.92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tabColor rgb="FFFF204E"/>
  </sheetPr>
  <dimension ref="A1:AF596"/>
  <sheetViews>
    <sheetView tabSelected="1" zoomScale="60" zoomScaleNormal="60" workbookViewId="0">
      <pane xSplit="3" ySplit="5" topLeftCell="D150" activePane="bottomRight" state="frozen"/>
      <selection pane="topRight"/>
      <selection pane="bottomLeft"/>
      <selection pane="bottomRight" activeCell="H157" sqref="H157"/>
    </sheetView>
  </sheetViews>
  <sheetFormatPr baseColWidth="10" defaultColWidth="8.83203125" defaultRowHeight="15" x14ac:dyDescent="0.2"/>
  <cols>
    <col min="1" max="1" width="45.5" customWidth="1"/>
    <col min="2" max="2" width="39" bestFit="1" customWidth="1"/>
    <col min="3" max="32" width="20" customWidth="1"/>
  </cols>
  <sheetData>
    <row r="1" spans="1:32" ht="37" x14ac:dyDescent="0.45">
      <c r="A1" s="133" t="s">
        <v>1832</v>
      </c>
      <c r="B1" s="134"/>
      <c r="AF1" s="11" t="s">
        <v>1833</v>
      </c>
    </row>
    <row r="2" spans="1:32" ht="29" x14ac:dyDescent="0.35">
      <c r="A2" s="12" t="s">
        <v>967</v>
      </c>
      <c r="B2" s="12" t="s">
        <v>1834</v>
      </c>
    </row>
    <row r="3" spans="1:32" ht="34" x14ac:dyDescent="0.2">
      <c r="A3" s="135" t="s">
        <v>1835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7"/>
    </row>
    <row r="4" spans="1:32" x14ac:dyDescent="0.2">
      <c r="A4" s="13"/>
      <c r="AF4" s="14"/>
    </row>
    <row r="5" spans="1:32" ht="29" x14ac:dyDescent="0.35">
      <c r="A5" s="15" t="s">
        <v>1836</v>
      </c>
      <c r="B5" t="str">
        <f>B2</f>
        <v>31-May-2024</v>
      </c>
      <c r="D5" s="12" t="s">
        <v>1837</v>
      </c>
      <c r="G5" s="16"/>
      <c r="I5" s="16">
        <f>EOMONTH(EDATE($B$2, 0), 1)</f>
        <v>45473</v>
      </c>
      <c r="K5" s="16">
        <f>EOMONTH(EDATE(I$5, 0), 1)</f>
        <v>45504</v>
      </c>
      <c r="M5" s="16">
        <f>EOMONTH(EDATE(K$5, 0), 1)</f>
        <v>45535</v>
      </c>
      <c r="O5" s="16">
        <f>EOMONTH(EDATE(M$5, 0), 1)</f>
        <v>45565</v>
      </c>
      <c r="Q5" s="16">
        <f>EOMONTH(EDATE(O$5, 0), 1)</f>
        <v>45596</v>
      </c>
      <c r="S5" s="16">
        <f>EOMONTH(EDATE(Q$5, 0), 1)</f>
        <v>45626</v>
      </c>
      <c r="U5" s="16">
        <f>EOMONTH(EDATE(S$5, 0), 1)</f>
        <v>45657</v>
      </c>
      <c r="W5" s="16">
        <f>EOMONTH(EDATE(U$5, 0), 1)</f>
        <v>45688</v>
      </c>
      <c r="Y5" s="16">
        <f>EOMONTH(EDATE(W$5, 0), 1)</f>
        <v>45716</v>
      </c>
      <c r="AA5" s="16">
        <f>EOMONTH(EDATE(Y$5, 0), 1)</f>
        <v>45747</v>
      </c>
      <c r="AC5" s="16">
        <f>EOMONTH(EDATE(AA$5, 0), 1)</f>
        <v>45777</v>
      </c>
      <c r="AE5" s="16">
        <f>EOMONTH(EDATE(AC$5, 0), 1)</f>
        <v>45808</v>
      </c>
      <c r="AF5" s="14"/>
    </row>
    <row r="6" spans="1:32" ht="29" x14ac:dyDescent="0.35">
      <c r="A6" s="15" t="s">
        <v>1838</v>
      </c>
      <c r="D6" s="17">
        <f>SUM(D7:D23)</f>
        <v>20753341.245582536</v>
      </c>
      <c r="E6" s="18">
        <f>SUM(E7:E23)</f>
        <v>37</v>
      </c>
      <c r="I6" s="19">
        <f t="shared" ref="I6:AF6" si="0">SUM(I7:I23)</f>
        <v>10079683.714441918</v>
      </c>
      <c r="J6" s="20">
        <f t="shared" si="0"/>
        <v>16</v>
      </c>
      <c r="K6" s="19">
        <f t="shared" si="0"/>
        <v>2733448.6104602739</v>
      </c>
      <c r="L6" s="20">
        <f t="shared" si="0"/>
        <v>11</v>
      </c>
      <c r="M6" s="19">
        <f t="shared" si="0"/>
        <v>0</v>
      </c>
      <c r="N6" s="20">
        <f t="shared" si="0"/>
        <v>0</v>
      </c>
      <c r="O6" s="19">
        <f t="shared" si="0"/>
        <v>0</v>
      </c>
      <c r="P6" s="20">
        <f t="shared" si="0"/>
        <v>0</v>
      </c>
      <c r="Q6" s="19">
        <f t="shared" si="0"/>
        <v>0</v>
      </c>
      <c r="R6" s="20">
        <f t="shared" si="0"/>
        <v>0</v>
      </c>
      <c r="S6" s="19">
        <f t="shared" si="0"/>
        <v>0</v>
      </c>
      <c r="T6" s="20">
        <f t="shared" si="0"/>
        <v>0</v>
      </c>
      <c r="U6" s="19">
        <f t="shared" si="0"/>
        <v>7940208.9206803441</v>
      </c>
      <c r="V6" s="20">
        <f t="shared" si="0"/>
        <v>10</v>
      </c>
      <c r="W6" s="19">
        <f t="shared" si="0"/>
        <v>0</v>
      </c>
      <c r="X6" s="20">
        <f t="shared" si="0"/>
        <v>0</v>
      </c>
      <c r="Y6" s="19">
        <f t="shared" si="0"/>
        <v>0</v>
      </c>
      <c r="Z6" s="20">
        <f t="shared" si="0"/>
        <v>0</v>
      </c>
      <c r="AA6" s="19">
        <f t="shared" si="0"/>
        <v>0</v>
      </c>
      <c r="AB6" s="20">
        <f t="shared" si="0"/>
        <v>0</v>
      </c>
      <c r="AC6" s="19">
        <f t="shared" si="0"/>
        <v>0</v>
      </c>
      <c r="AD6" s="20">
        <f t="shared" si="0"/>
        <v>0</v>
      </c>
      <c r="AE6" s="19">
        <f t="shared" si="0"/>
        <v>0</v>
      </c>
      <c r="AF6" s="21">
        <f t="shared" si="0"/>
        <v>0</v>
      </c>
    </row>
    <row r="7" spans="1:32" ht="29" x14ac:dyDescent="0.35">
      <c r="A7" s="15" t="s">
        <v>992</v>
      </c>
      <c r="B7" s="22" t="s">
        <v>26</v>
      </c>
      <c r="C7" s="22">
        <f t="shared" ref="C7:C23" si="1">IF(A7&lt;&gt;"Heron View",1,IF(ISERROR(VLOOKUP($B7,$A$50:$B$62,2,FALSE)),1,SUMIFS($B$50:$B$62,$A$50:$A$62,B7)))</f>
        <v>1</v>
      </c>
      <c r="D7" s="23">
        <f t="shared" ref="D7:D23" si="2">+I7+K7+M7+O7+Q7+S7+U7+W7+Y7+AA7+AC7+AE7</f>
        <v>1852700</v>
      </c>
      <c r="E7" s="18">
        <f t="shared" ref="E7:E23" si="3">+J7+L7+N7+P7+R7+T7+V7+X7+Z7+AB7+AD7+AF7</f>
        <v>2</v>
      </c>
      <c r="I7" s="23">
        <f>SUMIFS(Sales!$S:$S,Sales!$H:$H,"&lt;="&amp;'Cashflow Projection'!I$5,Sales!$E:$E,FALSE,Sales!$F:$F,'Cashflow Projection'!$C7,Sales!$A:$A,'Cashflow Projection'!$A7,Sales!$B:$B,'Cashflow Projection'!$B7,Sales!$H:$H,"&gt;"&amp;'Cashflow Projection'!B$2)*$C7</f>
        <v>1852700</v>
      </c>
      <c r="J7" s="18">
        <f>COUNTIFS(Sales!$H:$H,"&lt;="&amp;'Cashflow Projection'!I$5,Sales!$H:$H,"&gt;"&amp;'Cashflow Projection'!B$2,Sales!$A:$A,'Cashflow Projection'!$A7,Sales!$B:$B,'Cashflow Projection'!$B7,Sales!$F:$F,'Cashflow Projection'!$C7,Sales!$E:$E,FALSE)*$C7</f>
        <v>2</v>
      </c>
      <c r="K7" s="23">
        <f>SUMIFS(Sales!$S:$S,Sales!$H:$H,"&lt;="&amp;'Cashflow Projection'!K$5,Sales!$E:$E,FALSE,Sales!$F:$F,'Cashflow Projection'!$C7,Sales!$A:$A,'Cashflow Projection'!$A7,Sales!$B:$B,'Cashflow Projection'!$B7,Sales!$H:$H,"&gt;"&amp;'Cashflow Projection'!I$5)*$C7</f>
        <v>0</v>
      </c>
      <c r="L7" s="18">
        <f>COUNTIFS(Sales!$H:$H,"&lt;="&amp;'Cashflow Projection'!K$5,Sales!$H:$H,"&gt;"&amp;'Cashflow Projection'!I$5,Sales!$A:$A,'Cashflow Projection'!$A7,Sales!$B:$B,'Cashflow Projection'!$B7,Sales!$F:$F,'Cashflow Projection'!$C7,Sales!$E:$E,FALSE)*$C7</f>
        <v>0</v>
      </c>
      <c r="M7" s="23">
        <f>SUMIFS(Sales!$S:$S,Sales!$H:$H,"&lt;="&amp;'Cashflow Projection'!M$5,Sales!$E:$E,FALSE,Sales!$F:$F,'Cashflow Projection'!$C7,Sales!$A:$A,'Cashflow Projection'!$A7,Sales!$B:$B,'Cashflow Projection'!$B7,Sales!$H:$H,"&gt;"&amp;'Cashflow Projection'!K$5)*$C7</f>
        <v>0</v>
      </c>
      <c r="N7" s="18">
        <f>COUNTIFS(Sales!$H:$H,"&lt;="&amp;'Cashflow Projection'!M$5,Sales!$H:$H,"&gt;"&amp;'Cashflow Projection'!K$5,Sales!$A:$A,'Cashflow Projection'!$A7,Sales!$B:$B,'Cashflow Projection'!$B7,Sales!$F:$F,'Cashflow Projection'!$C7,Sales!$E:$E,FALSE)*$C7</f>
        <v>0</v>
      </c>
      <c r="O7" s="23">
        <f>SUMIFS(Sales!$S:$S,Sales!$H:$H,"&lt;="&amp;'Cashflow Projection'!O$5,Sales!$E:$E,FALSE,Sales!$F:$F,'Cashflow Projection'!$C7,Sales!$A:$A,'Cashflow Projection'!$A7,Sales!$B:$B,'Cashflow Projection'!$B7,Sales!$H:$H,"&gt;"&amp;'Cashflow Projection'!M$5)*$C7</f>
        <v>0</v>
      </c>
      <c r="P7" s="18">
        <f>COUNTIFS(Sales!$H:$H,"&lt;="&amp;'Cashflow Projection'!O$5,Sales!$H:$H,"&gt;"&amp;'Cashflow Projection'!M$5,Sales!$A:$A,'Cashflow Projection'!$A7,Sales!$B:$B,'Cashflow Projection'!$B7,Sales!$F:$F,'Cashflow Projection'!$C7,Sales!$E:$E,FALSE)*$C7</f>
        <v>0</v>
      </c>
      <c r="Q7" s="23">
        <f>SUMIFS(Sales!$S:$S,Sales!$H:$H,"&lt;="&amp;'Cashflow Projection'!Q$5,Sales!$E:$E,FALSE,Sales!$F:$F,'Cashflow Projection'!$C7,Sales!$A:$A,'Cashflow Projection'!$A7,Sales!$B:$B,'Cashflow Projection'!$B7,Sales!$H:$H,"&gt;"&amp;'Cashflow Projection'!O$5)*$C7</f>
        <v>0</v>
      </c>
      <c r="R7" s="18">
        <f>COUNTIFS(Sales!$H:$H,"&lt;="&amp;'Cashflow Projection'!Q$5,Sales!$H:$H,"&gt;"&amp;'Cashflow Projection'!O$5,Sales!$A:$A,'Cashflow Projection'!$A7,Sales!$B:$B,'Cashflow Projection'!$B7,Sales!$F:$F,'Cashflow Projection'!$C7,Sales!$E:$E,FALSE)*$C7</f>
        <v>0</v>
      </c>
      <c r="S7" s="23">
        <f>SUMIFS(Sales!$S:$S,Sales!$H:$H,"&lt;="&amp;'Cashflow Projection'!S$5,Sales!$E:$E,FALSE,Sales!$F:$F,'Cashflow Projection'!$C7,Sales!$A:$A,'Cashflow Projection'!$A7,Sales!$B:$B,'Cashflow Projection'!$B7,Sales!$H:$H,"&gt;"&amp;'Cashflow Projection'!Q$5)*$C7</f>
        <v>0</v>
      </c>
      <c r="T7" s="18">
        <f>COUNTIFS(Sales!$H:$H,"&lt;="&amp;'Cashflow Projection'!S$5,Sales!$H:$H,"&gt;"&amp;'Cashflow Projection'!Q$5,Sales!$A:$A,'Cashflow Projection'!$A7,Sales!$B:$B,'Cashflow Projection'!$B7,Sales!$F:$F,'Cashflow Projection'!$C7,Sales!$E:$E,FALSE)*$C7</f>
        <v>0</v>
      </c>
      <c r="U7" s="23">
        <f>SUMIFS(Sales!$S:$S,Sales!$H:$H,"&lt;="&amp;'Cashflow Projection'!U$5,Sales!$E:$E,FALSE,Sales!$F:$F,'Cashflow Projection'!$C7,Sales!$A:$A,'Cashflow Projection'!$A7,Sales!$B:$B,'Cashflow Projection'!$B7,Sales!$H:$H,"&gt;"&amp;'Cashflow Projection'!S$5)*$C7</f>
        <v>0</v>
      </c>
      <c r="V7" s="18">
        <f>COUNTIFS(Sales!$H:$H,"&lt;="&amp;'Cashflow Projection'!U$5,Sales!$H:$H,"&gt;"&amp;'Cashflow Projection'!S$5,Sales!$A:$A,'Cashflow Projection'!$A7,Sales!$B:$B,'Cashflow Projection'!$B7,Sales!$F:$F,'Cashflow Projection'!$C7,Sales!$E:$E,FALSE)*$C7</f>
        <v>0</v>
      </c>
      <c r="W7" s="23">
        <f>SUMIFS(Sales!$S:$S,Sales!$H:$H,"&lt;="&amp;'Cashflow Projection'!W$5,Sales!$E:$E,FALSE,Sales!$F:$F,'Cashflow Projection'!$C7,Sales!$A:$A,'Cashflow Projection'!$A7,Sales!$B:$B,'Cashflow Projection'!$B7,Sales!$H:$H,"&gt;"&amp;'Cashflow Projection'!U$5)*$C7</f>
        <v>0</v>
      </c>
      <c r="X7" s="18">
        <f>COUNTIFS(Sales!$H:$H,"&lt;="&amp;'Cashflow Projection'!W$5,Sales!$H:$H,"&gt;"&amp;'Cashflow Projection'!U$5,Sales!$A:$A,'Cashflow Projection'!$A7,Sales!$B:$B,'Cashflow Projection'!$B7,Sales!$F:$F,'Cashflow Projection'!$C7,Sales!$E:$E,FALSE)*$C7</f>
        <v>0</v>
      </c>
      <c r="Y7" s="23">
        <f>SUMIFS(Sales!$S:$S,Sales!$H:$H,"&lt;="&amp;'Cashflow Projection'!Y$5,Sales!$E:$E,FALSE,Sales!$F:$F,'Cashflow Projection'!$C7,Sales!$A:$A,'Cashflow Projection'!$A7,Sales!$B:$B,'Cashflow Projection'!$B7,Sales!$H:$H,"&gt;"&amp;'Cashflow Projection'!W$5)*$C7</f>
        <v>0</v>
      </c>
      <c r="Z7" s="18">
        <f>COUNTIFS(Sales!$H:$H,"&lt;="&amp;'Cashflow Projection'!Y$5,Sales!$H:$H,"&gt;"&amp;'Cashflow Projection'!W$5,Sales!$A:$A,'Cashflow Projection'!$A7,Sales!$B:$B,'Cashflow Projection'!$B7,Sales!$F:$F,'Cashflow Projection'!$C7,Sales!$E:$E,FALSE)*$C7</f>
        <v>0</v>
      </c>
      <c r="AA7" s="23">
        <f>SUMIFS(Sales!$S:$S,Sales!$H:$H,"&lt;="&amp;'Cashflow Projection'!AA$5,Sales!$E:$E,FALSE,Sales!$F:$F,'Cashflow Projection'!$C7,Sales!$A:$A,'Cashflow Projection'!$A7,Sales!$B:$B,'Cashflow Projection'!$B7,Sales!$H:$H,"&gt;"&amp;'Cashflow Projection'!Y$5)*$C7</f>
        <v>0</v>
      </c>
      <c r="AB7" s="18">
        <f>COUNTIFS(Sales!$H:$H,"&lt;="&amp;'Cashflow Projection'!AA$5,Sales!$H:$H,"&gt;"&amp;'Cashflow Projection'!Y$5,Sales!$A:$A,'Cashflow Projection'!$A7,Sales!$B:$B,'Cashflow Projection'!$B7,Sales!$F:$F,'Cashflow Projection'!$C7,Sales!$E:$E,FALSE)*$C7</f>
        <v>0</v>
      </c>
      <c r="AC7" s="23">
        <f>SUMIFS(Sales!$S:$S,Sales!$H:$H,"&lt;="&amp;'Cashflow Projection'!AC$5,Sales!$E:$E,FALSE,Sales!$F:$F,'Cashflow Projection'!$C7,Sales!$A:$A,'Cashflow Projection'!$A7,Sales!$B:$B,'Cashflow Projection'!$B7,Sales!$H:$H,"&gt;"&amp;'Cashflow Projection'!AA$5)*$C7</f>
        <v>0</v>
      </c>
      <c r="AD7" s="18">
        <f>COUNTIFS(Sales!$H:$H,"&lt;="&amp;'Cashflow Projection'!AC$5,Sales!$H:$H,"&gt;"&amp;'Cashflow Projection'!AA$5,Sales!$A:$A,'Cashflow Projection'!$A7,Sales!$B:$B,'Cashflow Projection'!$B7,Sales!$F:$F,'Cashflow Projection'!$C7,Sales!$E:$E,FALSE)*$C7</f>
        <v>0</v>
      </c>
      <c r="AE7" s="23">
        <f>SUMIFS(Sales!$S:$S,Sales!$H:$H,"&lt;="&amp;'Cashflow Projection'!AE$5,Sales!$E:$E,FALSE,Sales!$F:$F,'Cashflow Projection'!$C7,Sales!$A:$A,'Cashflow Projection'!$A7,Sales!$B:$B,'Cashflow Projection'!$B7,Sales!$H:$H,"&gt;"&amp;'Cashflow Projection'!AC$5)*$C7</f>
        <v>0</v>
      </c>
      <c r="AF7" s="21">
        <f>COUNTIFS(Sales!$H:$H,"&lt;="&amp;'Cashflow Projection'!AE$5,Sales!$H:$H,"&gt;"&amp;'Cashflow Projection'!AC$5,Sales!$A:$A,'Cashflow Projection'!$A7,Sales!$B:$B,'Cashflow Projection'!$B7,Sales!$F:$F,'Cashflow Projection'!$C7,Sales!$E:$E,FALSE)*$C7</f>
        <v>0</v>
      </c>
    </row>
    <row r="8" spans="1:32" ht="29" x14ac:dyDescent="0.35">
      <c r="A8" s="15" t="s">
        <v>992</v>
      </c>
      <c r="B8" s="22" t="s">
        <v>209</v>
      </c>
      <c r="C8" s="22">
        <f t="shared" si="1"/>
        <v>1</v>
      </c>
      <c r="D8" s="23">
        <f t="shared" si="2"/>
        <v>1794500</v>
      </c>
      <c r="E8" s="18">
        <f t="shared" si="3"/>
        <v>2</v>
      </c>
      <c r="I8" s="23">
        <f>SUMIFS(Sales!$S:$S,Sales!$H:$H,"&lt;="&amp;'Cashflow Projection'!I$5,Sales!$E:$E,FALSE,Sales!$F:$F,'Cashflow Projection'!$C8,Sales!$A:$A,'Cashflow Projection'!$A8,Sales!$B:$B,'Cashflow Projection'!$B8,Sales!$H:$H,"&gt;"&amp;'Cashflow Projection'!B$2)*$C8</f>
        <v>1794500</v>
      </c>
      <c r="J8" s="18">
        <f>COUNTIFS(Sales!$H:$H,"&lt;="&amp;'Cashflow Projection'!I$5,Sales!$H:$H,"&gt;"&amp;'Cashflow Projection'!B$2,Sales!$A:$A,'Cashflow Projection'!$A8,Sales!$B:$B,'Cashflow Projection'!$B8,Sales!$F:$F,'Cashflow Projection'!$C8,Sales!$E:$E,FALSE)*$C8</f>
        <v>2</v>
      </c>
      <c r="K8" s="23">
        <f>SUMIFS(Sales!$S:$S,Sales!$H:$H,"&lt;="&amp;'Cashflow Projection'!K$5,Sales!$E:$E,FALSE,Sales!$F:$F,'Cashflow Projection'!$C8,Sales!$A:$A,'Cashflow Projection'!$A8,Sales!$B:$B,'Cashflow Projection'!$B8,Sales!$H:$H,"&gt;"&amp;'Cashflow Projection'!I$5)*$C8</f>
        <v>0</v>
      </c>
      <c r="L8" s="18">
        <f>COUNTIFS(Sales!$H:$H,"&lt;="&amp;'Cashflow Projection'!K$5,Sales!$H:$H,"&gt;"&amp;'Cashflow Projection'!I$5,Sales!$A:$A,'Cashflow Projection'!$A8,Sales!$B:$B,'Cashflow Projection'!$B8,Sales!$F:$F,'Cashflow Projection'!$C8,Sales!$E:$E,FALSE)*$C8</f>
        <v>0</v>
      </c>
      <c r="M8" s="23">
        <f>SUMIFS(Sales!$S:$S,Sales!$H:$H,"&lt;="&amp;'Cashflow Projection'!M$5,Sales!$E:$E,FALSE,Sales!$F:$F,'Cashflow Projection'!$C8,Sales!$A:$A,'Cashflow Projection'!$A8,Sales!$B:$B,'Cashflow Projection'!$B8,Sales!$H:$H,"&gt;"&amp;'Cashflow Projection'!K$5)*$C8</f>
        <v>0</v>
      </c>
      <c r="N8" s="18">
        <f>COUNTIFS(Sales!$H:$H,"&lt;="&amp;'Cashflow Projection'!M$5,Sales!$H:$H,"&gt;"&amp;'Cashflow Projection'!K$5,Sales!$A:$A,'Cashflow Projection'!$A8,Sales!$B:$B,'Cashflow Projection'!$B8,Sales!$F:$F,'Cashflow Projection'!$C8,Sales!$E:$E,FALSE)*$C8</f>
        <v>0</v>
      </c>
      <c r="O8" s="23">
        <f>SUMIFS(Sales!$S:$S,Sales!$H:$H,"&lt;="&amp;'Cashflow Projection'!O$5,Sales!$E:$E,FALSE,Sales!$F:$F,'Cashflow Projection'!$C8,Sales!$A:$A,'Cashflow Projection'!$A8,Sales!$B:$B,'Cashflow Projection'!$B8,Sales!$H:$H,"&gt;"&amp;'Cashflow Projection'!M$5)*$C8</f>
        <v>0</v>
      </c>
      <c r="P8" s="18">
        <f>COUNTIFS(Sales!$H:$H,"&lt;="&amp;'Cashflow Projection'!O$5,Sales!$H:$H,"&gt;"&amp;'Cashflow Projection'!M$5,Sales!$A:$A,'Cashflow Projection'!$A8,Sales!$B:$B,'Cashflow Projection'!$B8,Sales!$F:$F,'Cashflow Projection'!$C8,Sales!$E:$E,FALSE)*$C8</f>
        <v>0</v>
      </c>
      <c r="Q8" s="23">
        <f>SUMIFS(Sales!$S:$S,Sales!$H:$H,"&lt;="&amp;'Cashflow Projection'!Q$5,Sales!$E:$E,FALSE,Sales!$F:$F,'Cashflow Projection'!$C8,Sales!$A:$A,'Cashflow Projection'!$A8,Sales!$B:$B,'Cashflow Projection'!$B8,Sales!$H:$H,"&gt;"&amp;'Cashflow Projection'!O$5)*$C8</f>
        <v>0</v>
      </c>
      <c r="R8" s="18">
        <f>COUNTIFS(Sales!$H:$H,"&lt;="&amp;'Cashflow Projection'!Q$5,Sales!$H:$H,"&gt;"&amp;'Cashflow Projection'!O$5,Sales!$A:$A,'Cashflow Projection'!$A8,Sales!$B:$B,'Cashflow Projection'!$B8,Sales!$F:$F,'Cashflow Projection'!$C8,Sales!$E:$E,FALSE)*$C8</f>
        <v>0</v>
      </c>
      <c r="S8" s="23">
        <f>SUMIFS(Sales!$S:$S,Sales!$H:$H,"&lt;="&amp;'Cashflow Projection'!S$5,Sales!$E:$E,FALSE,Sales!$F:$F,'Cashflow Projection'!$C8,Sales!$A:$A,'Cashflow Projection'!$A8,Sales!$B:$B,'Cashflow Projection'!$B8,Sales!$H:$H,"&gt;"&amp;'Cashflow Projection'!Q$5)*$C8</f>
        <v>0</v>
      </c>
      <c r="T8" s="18">
        <f>COUNTIFS(Sales!$H:$H,"&lt;="&amp;'Cashflow Projection'!S$5,Sales!$H:$H,"&gt;"&amp;'Cashflow Projection'!Q$5,Sales!$A:$A,'Cashflow Projection'!$A8,Sales!$B:$B,'Cashflow Projection'!$B8,Sales!$F:$F,'Cashflow Projection'!$C8,Sales!$E:$E,FALSE)*$C8</f>
        <v>0</v>
      </c>
      <c r="U8" s="23">
        <f>SUMIFS(Sales!$S:$S,Sales!$H:$H,"&lt;="&amp;'Cashflow Projection'!U$5,Sales!$E:$E,FALSE,Sales!$F:$F,'Cashflow Projection'!$C8,Sales!$A:$A,'Cashflow Projection'!$A8,Sales!$B:$B,'Cashflow Projection'!$B8,Sales!$H:$H,"&gt;"&amp;'Cashflow Projection'!S$5)*$C8</f>
        <v>0</v>
      </c>
      <c r="V8" s="18">
        <f>COUNTIFS(Sales!$H:$H,"&lt;="&amp;'Cashflow Projection'!U$5,Sales!$H:$H,"&gt;"&amp;'Cashflow Projection'!S$5,Sales!$A:$A,'Cashflow Projection'!$A8,Sales!$B:$B,'Cashflow Projection'!$B8,Sales!$F:$F,'Cashflow Projection'!$C8,Sales!$E:$E,FALSE)*$C8</f>
        <v>0</v>
      </c>
      <c r="W8" s="23">
        <f>SUMIFS(Sales!$S:$S,Sales!$H:$H,"&lt;="&amp;'Cashflow Projection'!W$5,Sales!$E:$E,FALSE,Sales!$F:$F,'Cashflow Projection'!$C8,Sales!$A:$A,'Cashflow Projection'!$A8,Sales!$B:$B,'Cashflow Projection'!$B8,Sales!$H:$H,"&gt;"&amp;'Cashflow Projection'!U$5)*$C8</f>
        <v>0</v>
      </c>
      <c r="X8" s="18">
        <f>COUNTIFS(Sales!$H:$H,"&lt;="&amp;'Cashflow Projection'!W$5,Sales!$H:$H,"&gt;"&amp;'Cashflow Projection'!U$5,Sales!$A:$A,'Cashflow Projection'!$A8,Sales!$B:$B,'Cashflow Projection'!$B8,Sales!$F:$F,'Cashflow Projection'!$C8,Sales!$E:$E,FALSE)*$C8</f>
        <v>0</v>
      </c>
      <c r="Y8" s="23">
        <f>SUMIFS(Sales!$S:$S,Sales!$H:$H,"&lt;="&amp;'Cashflow Projection'!Y$5,Sales!$E:$E,FALSE,Sales!$F:$F,'Cashflow Projection'!$C8,Sales!$A:$A,'Cashflow Projection'!$A8,Sales!$B:$B,'Cashflow Projection'!$B8,Sales!$H:$H,"&gt;"&amp;'Cashflow Projection'!W$5)*$C8</f>
        <v>0</v>
      </c>
      <c r="Z8" s="18">
        <f>COUNTIFS(Sales!$H:$H,"&lt;="&amp;'Cashflow Projection'!Y$5,Sales!$H:$H,"&gt;"&amp;'Cashflow Projection'!W$5,Sales!$A:$A,'Cashflow Projection'!$A8,Sales!$B:$B,'Cashflow Projection'!$B8,Sales!$F:$F,'Cashflow Projection'!$C8,Sales!$E:$E,FALSE)*$C8</f>
        <v>0</v>
      </c>
      <c r="AA8" s="23">
        <f>SUMIFS(Sales!$S:$S,Sales!$H:$H,"&lt;="&amp;'Cashflow Projection'!AA$5,Sales!$E:$E,FALSE,Sales!$F:$F,'Cashflow Projection'!$C8,Sales!$A:$A,'Cashflow Projection'!$A8,Sales!$B:$B,'Cashflow Projection'!$B8,Sales!$H:$H,"&gt;"&amp;'Cashflow Projection'!Y$5)*$C8</f>
        <v>0</v>
      </c>
      <c r="AB8" s="18">
        <f>COUNTIFS(Sales!$H:$H,"&lt;="&amp;'Cashflow Projection'!AA$5,Sales!$H:$H,"&gt;"&amp;'Cashflow Projection'!Y$5,Sales!$A:$A,'Cashflow Projection'!$A8,Sales!$B:$B,'Cashflow Projection'!$B8,Sales!$F:$F,'Cashflow Projection'!$C8,Sales!$E:$E,FALSE)*$C8</f>
        <v>0</v>
      </c>
      <c r="AC8" s="23">
        <f>SUMIFS(Sales!$S:$S,Sales!$H:$H,"&lt;="&amp;'Cashflow Projection'!AC$5,Sales!$E:$E,FALSE,Sales!$F:$F,'Cashflow Projection'!$C8,Sales!$A:$A,'Cashflow Projection'!$A8,Sales!$B:$B,'Cashflow Projection'!$B8,Sales!$H:$H,"&gt;"&amp;'Cashflow Projection'!AA$5)*$C8</f>
        <v>0</v>
      </c>
      <c r="AD8" s="18">
        <f>COUNTIFS(Sales!$H:$H,"&lt;="&amp;'Cashflow Projection'!AC$5,Sales!$H:$H,"&gt;"&amp;'Cashflow Projection'!AA$5,Sales!$A:$A,'Cashflow Projection'!$A8,Sales!$B:$B,'Cashflow Projection'!$B8,Sales!$F:$F,'Cashflow Projection'!$C8,Sales!$E:$E,FALSE)*$C8</f>
        <v>0</v>
      </c>
      <c r="AE8" s="23">
        <f>SUMIFS(Sales!$S:$S,Sales!$H:$H,"&lt;="&amp;'Cashflow Projection'!AE$5,Sales!$E:$E,FALSE,Sales!$F:$F,'Cashflow Projection'!$C8,Sales!$A:$A,'Cashflow Projection'!$A8,Sales!$B:$B,'Cashflow Projection'!$B8,Sales!$H:$H,"&gt;"&amp;'Cashflow Projection'!AC$5)*$C8</f>
        <v>0</v>
      </c>
      <c r="AF8" s="21">
        <f>COUNTIFS(Sales!$H:$H,"&lt;="&amp;'Cashflow Projection'!AE$5,Sales!$H:$H,"&gt;"&amp;'Cashflow Projection'!AC$5,Sales!$A:$A,'Cashflow Projection'!$A8,Sales!$B:$B,'Cashflow Projection'!$B8,Sales!$F:$F,'Cashflow Projection'!$C8,Sales!$E:$E,FALSE)*$C8</f>
        <v>0</v>
      </c>
    </row>
    <row r="9" spans="1:32" ht="29" x14ac:dyDescent="0.35">
      <c r="A9" s="15" t="s">
        <v>24</v>
      </c>
      <c r="B9" s="22" t="s">
        <v>209</v>
      </c>
      <c r="C9" s="22">
        <f t="shared" si="1"/>
        <v>1</v>
      </c>
      <c r="D9" s="23">
        <f t="shared" si="2"/>
        <v>6178900</v>
      </c>
      <c r="E9" s="18">
        <f t="shared" si="3"/>
        <v>7</v>
      </c>
      <c r="I9" s="23">
        <f>SUMIFS(Sales!$S:$S,Sales!$H:$H,"&lt;="&amp;'Cashflow Projection'!I$5,Sales!$E:$E,FALSE,Sales!$F:$F,'Cashflow Projection'!$C9,Sales!$A:$A,'Cashflow Projection'!$A9,Sales!$B:$B,'Cashflow Projection'!$B9,Sales!$H:$H,"&gt;"&amp;'Cashflow Projection'!B$2)*$C9</f>
        <v>6178900</v>
      </c>
      <c r="J9" s="18">
        <f>COUNTIFS(Sales!$H:$H,"&lt;="&amp;'Cashflow Projection'!I$5,Sales!$H:$H,"&gt;"&amp;'Cashflow Projection'!B$2,Sales!$A:$A,'Cashflow Projection'!$A9,Sales!$B:$B,'Cashflow Projection'!$B9,Sales!$F:$F,'Cashflow Projection'!$C9,Sales!$E:$E,FALSE)*$C9</f>
        <v>7</v>
      </c>
      <c r="K9" s="23">
        <f>SUMIFS(Sales!$S:$S,Sales!$H:$H,"&lt;="&amp;'Cashflow Projection'!K$5,Sales!$E:$E,FALSE,Sales!$F:$F,'Cashflow Projection'!$C9,Sales!$A:$A,'Cashflow Projection'!$A9,Sales!$B:$B,'Cashflow Projection'!$B9,Sales!$H:$H,"&gt;"&amp;'Cashflow Projection'!I$5)*$C9</f>
        <v>0</v>
      </c>
      <c r="L9" s="18">
        <f>COUNTIFS(Sales!$H:$H,"&lt;="&amp;'Cashflow Projection'!K$5,Sales!$H:$H,"&gt;"&amp;'Cashflow Projection'!I$5,Sales!$A:$A,'Cashflow Projection'!$A9,Sales!$B:$B,'Cashflow Projection'!$B9,Sales!$F:$F,'Cashflow Projection'!$C9,Sales!$E:$E,FALSE)*$C9</f>
        <v>0</v>
      </c>
      <c r="M9" s="23">
        <f>SUMIFS(Sales!$S:$S,Sales!$H:$H,"&lt;="&amp;'Cashflow Projection'!M$5,Sales!$E:$E,FALSE,Sales!$F:$F,'Cashflow Projection'!$C9,Sales!$A:$A,'Cashflow Projection'!$A9,Sales!$B:$B,'Cashflow Projection'!$B9,Sales!$H:$H,"&gt;"&amp;'Cashflow Projection'!K$5)*$C9</f>
        <v>0</v>
      </c>
      <c r="N9" s="18">
        <f>COUNTIFS(Sales!$H:$H,"&lt;="&amp;'Cashflow Projection'!M$5,Sales!$H:$H,"&gt;"&amp;'Cashflow Projection'!K$5,Sales!$A:$A,'Cashflow Projection'!$A9,Sales!$B:$B,'Cashflow Projection'!$B9,Sales!$F:$F,'Cashflow Projection'!$C9,Sales!$E:$E,FALSE)*$C9</f>
        <v>0</v>
      </c>
      <c r="O9" s="23">
        <f>SUMIFS(Sales!$S:$S,Sales!$H:$H,"&lt;="&amp;'Cashflow Projection'!O$5,Sales!$E:$E,FALSE,Sales!$F:$F,'Cashflow Projection'!$C9,Sales!$A:$A,'Cashflow Projection'!$A9,Sales!$B:$B,'Cashflow Projection'!$B9,Sales!$H:$H,"&gt;"&amp;'Cashflow Projection'!M$5)*$C9</f>
        <v>0</v>
      </c>
      <c r="P9" s="18">
        <f>COUNTIFS(Sales!$H:$H,"&lt;="&amp;'Cashflow Projection'!O$5,Sales!$H:$H,"&gt;"&amp;'Cashflow Projection'!M$5,Sales!$A:$A,'Cashflow Projection'!$A9,Sales!$B:$B,'Cashflow Projection'!$B9,Sales!$F:$F,'Cashflow Projection'!$C9,Sales!$E:$E,FALSE)*$C9</f>
        <v>0</v>
      </c>
      <c r="Q9" s="23">
        <f>SUMIFS(Sales!$S:$S,Sales!$H:$H,"&lt;="&amp;'Cashflow Projection'!Q$5,Sales!$E:$E,FALSE,Sales!$F:$F,'Cashflow Projection'!$C9,Sales!$A:$A,'Cashflow Projection'!$A9,Sales!$B:$B,'Cashflow Projection'!$B9,Sales!$H:$H,"&gt;"&amp;'Cashflow Projection'!O$5)*$C9</f>
        <v>0</v>
      </c>
      <c r="R9" s="18">
        <f>COUNTIFS(Sales!$H:$H,"&lt;="&amp;'Cashflow Projection'!Q$5,Sales!$H:$H,"&gt;"&amp;'Cashflow Projection'!O$5,Sales!$A:$A,'Cashflow Projection'!$A9,Sales!$B:$B,'Cashflow Projection'!$B9,Sales!$F:$F,'Cashflow Projection'!$C9,Sales!$E:$E,FALSE)*$C9</f>
        <v>0</v>
      </c>
      <c r="S9" s="23">
        <f>SUMIFS(Sales!$S:$S,Sales!$H:$H,"&lt;="&amp;'Cashflow Projection'!S$5,Sales!$E:$E,FALSE,Sales!$F:$F,'Cashflow Projection'!$C9,Sales!$A:$A,'Cashflow Projection'!$A9,Sales!$B:$B,'Cashflow Projection'!$B9,Sales!$H:$H,"&gt;"&amp;'Cashflow Projection'!Q$5)*$C9</f>
        <v>0</v>
      </c>
      <c r="T9" s="18">
        <f>COUNTIFS(Sales!$H:$H,"&lt;="&amp;'Cashflow Projection'!S$5,Sales!$H:$H,"&gt;"&amp;'Cashflow Projection'!Q$5,Sales!$A:$A,'Cashflow Projection'!$A9,Sales!$B:$B,'Cashflow Projection'!$B9,Sales!$F:$F,'Cashflow Projection'!$C9,Sales!$E:$E,FALSE)*$C9</f>
        <v>0</v>
      </c>
      <c r="U9" s="23">
        <f>SUMIFS(Sales!$S:$S,Sales!$H:$H,"&lt;="&amp;'Cashflow Projection'!U$5,Sales!$E:$E,FALSE,Sales!$F:$F,'Cashflow Projection'!$C9,Sales!$A:$A,'Cashflow Projection'!$A9,Sales!$B:$B,'Cashflow Projection'!$B9,Sales!$H:$H,"&gt;"&amp;'Cashflow Projection'!S$5)*$C9</f>
        <v>0</v>
      </c>
      <c r="V9" s="18">
        <f>COUNTIFS(Sales!$H:$H,"&lt;="&amp;'Cashflow Projection'!U$5,Sales!$H:$H,"&gt;"&amp;'Cashflow Projection'!S$5,Sales!$A:$A,'Cashflow Projection'!$A9,Sales!$B:$B,'Cashflow Projection'!$B9,Sales!$F:$F,'Cashflow Projection'!$C9,Sales!$E:$E,FALSE)*$C9</f>
        <v>0</v>
      </c>
      <c r="W9" s="23">
        <f>SUMIFS(Sales!$S:$S,Sales!$H:$H,"&lt;="&amp;'Cashflow Projection'!W$5,Sales!$E:$E,FALSE,Sales!$F:$F,'Cashflow Projection'!$C9,Sales!$A:$A,'Cashflow Projection'!$A9,Sales!$B:$B,'Cashflow Projection'!$B9,Sales!$H:$H,"&gt;"&amp;'Cashflow Projection'!U$5)*$C9</f>
        <v>0</v>
      </c>
      <c r="X9" s="18">
        <f>COUNTIFS(Sales!$H:$H,"&lt;="&amp;'Cashflow Projection'!W$5,Sales!$H:$H,"&gt;"&amp;'Cashflow Projection'!U$5,Sales!$A:$A,'Cashflow Projection'!$A9,Sales!$B:$B,'Cashflow Projection'!$B9,Sales!$F:$F,'Cashflow Projection'!$C9,Sales!$E:$E,FALSE)*$C9</f>
        <v>0</v>
      </c>
      <c r="Y9" s="23">
        <f>SUMIFS(Sales!$S:$S,Sales!$H:$H,"&lt;="&amp;'Cashflow Projection'!Y$5,Sales!$E:$E,FALSE,Sales!$F:$F,'Cashflow Projection'!$C9,Sales!$A:$A,'Cashflow Projection'!$A9,Sales!$B:$B,'Cashflow Projection'!$B9,Sales!$H:$H,"&gt;"&amp;'Cashflow Projection'!W$5)*$C9</f>
        <v>0</v>
      </c>
      <c r="Z9" s="18">
        <f>COUNTIFS(Sales!$H:$H,"&lt;="&amp;'Cashflow Projection'!Y$5,Sales!$H:$H,"&gt;"&amp;'Cashflow Projection'!W$5,Sales!$A:$A,'Cashflow Projection'!$A9,Sales!$B:$B,'Cashflow Projection'!$B9,Sales!$F:$F,'Cashflow Projection'!$C9,Sales!$E:$E,FALSE)*$C9</f>
        <v>0</v>
      </c>
      <c r="AA9" s="23">
        <f>SUMIFS(Sales!$S:$S,Sales!$H:$H,"&lt;="&amp;'Cashflow Projection'!AA$5,Sales!$E:$E,FALSE,Sales!$F:$F,'Cashflow Projection'!$C9,Sales!$A:$A,'Cashflow Projection'!$A9,Sales!$B:$B,'Cashflow Projection'!$B9,Sales!$H:$H,"&gt;"&amp;'Cashflow Projection'!Y$5)*$C9</f>
        <v>0</v>
      </c>
      <c r="AB9" s="18">
        <f>COUNTIFS(Sales!$H:$H,"&lt;="&amp;'Cashflow Projection'!AA$5,Sales!$H:$H,"&gt;"&amp;'Cashflow Projection'!Y$5,Sales!$A:$A,'Cashflow Projection'!$A9,Sales!$B:$B,'Cashflow Projection'!$B9,Sales!$F:$F,'Cashflow Projection'!$C9,Sales!$E:$E,FALSE)*$C9</f>
        <v>0</v>
      </c>
      <c r="AC9" s="23">
        <f>SUMIFS(Sales!$S:$S,Sales!$H:$H,"&lt;="&amp;'Cashflow Projection'!AC$5,Sales!$E:$E,FALSE,Sales!$F:$F,'Cashflow Projection'!$C9,Sales!$A:$A,'Cashflow Projection'!$A9,Sales!$B:$B,'Cashflow Projection'!$B9,Sales!$H:$H,"&gt;"&amp;'Cashflow Projection'!AA$5)*$C9</f>
        <v>0</v>
      </c>
      <c r="AD9" s="18">
        <f>COUNTIFS(Sales!$H:$H,"&lt;="&amp;'Cashflow Projection'!AC$5,Sales!$H:$H,"&gt;"&amp;'Cashflow Projection'!AA$5,Sales!$A:$A,'Cashflow Projection'!$A9,Sales!$B:$B,'Cashflow Projection'!$B9,Sales!$F:$F,'Cashflow Projection'!$C9,Sales!$E:$E,FALSE)*$C9</f>
        <v>0</v>
      </c>
      <c r="AE9" s="23">
        <f>SUMIFS(Sales!$S:$S,Sales!$H:$H,"&lt;="&amp;'Cashflow Projection'!AE$5,Sales!$E:$E,FALSE,Sales!$F:$F,'Cashflow Projection'!$C9,Sales!$A:$A,'Cashflow Projection'!$A9,Sales!$B:$B,'Cashflow Projection'!$B9,Sales!$H:$H,"&gt;"&amp;'Cashflow Projection'!AC$5)*$C9</f>
        <v>0</v>
      </c>
      <c r="AF9" s="21">
        <f>COUNTIFS(Sales!$H:$H,"&lt;="&amp;'Cashflow Projection'!AE$5,Sales!$H:$H,"&gt;"&amp;'Cashflow Projection'!AC$5,Sales!$A:$A,'Cashflow Projection'!$A9,Sales!$B:$B,'Cashflow Projection'!$B9,Sales!$F:$F,'Cashflow Projection'!$C9,Sales!$E:$E,FALSE)*$C9</f>
        <v>0</v>
      </c>
    </row>
    <row r="10" spans="1:32" ht="29" x14ac:dyDescent="0.35">
      <c r="A10" s="15" t="s">
        <v>386</v>
      </c>
      <c r="B10" s="22" t="s">
        <v>388</v>
      </c>
      <c r="C10" s="22">
        <f t="shared" si="1"/>
        <v>1</v>
      </c>
      <c r="D10" s="23">
        <f t="shared" si="2"/>
        <v>2528554.1423208909</v>
      </c>
      <c r="E10" s="18">
        <f t="shared" si="3"/>
        <v>7</v>
      </c>
      <c r="I10" s="23">
        <f>SUMIFS(Sales!$S:$S,Sales!$H:$H,"&lt;="&amp;'Cashflow Projection'!I$5,Sales!$E:$E,FALSE,Sales!$F:$F,'Cashflow Projection'!$C10,Sales!$A:$A,'Cashflow Projection'!$A10,Sales!$B:$B,'Cashflow Projection'!$B10,Sales!$H:$H,"&gt;"&amp;'Cashflow Projection'!B$2)*$C10</f>
        <v>-27695.693778630113</v>
      </c>
      <c r="J10" s="18">
        <f>COUNTIFS(Sales!$H:$H,"&lt;="&amp;'Cashflow Projection'!I$5,Sales!$H:$H,"&gt;"&amp;'Cashflow Projection'!B$2,Sales!$A:$A,'Cashflow Projection'!$A10,Sales!$B:$B,'Cashflow Projection'!$B10,Sales!$F:$F,'Cashflow Projection'!$C10,Sales!$E:$E,FALSE)*$C10</f>
        <v>2</v>
      </c>
      <c r="K10" s="23">
        <f>SUMIFS(Sales!$S:$S,Sales!$H:$H,"&lt;="&amp;'Cashflow Projection'!K$5,Sales!$E:$E,FALSE,Sales!$F:$F,'Cashflow Projection'!$C10,Sales!$A:$A,'Cashflow Projection'!$A10,Sales!$B:$B,'Cashflow Projection'!$B10,Sales!$H:$H,"&gt;"&amp;'Cashflow Projection'!I$5)*$C10</f>
        <v>0</v>
      </c>
      <c r="L10" s="18">
        <f>COUNTIFS(Sales!$H:$H,"&lt;="&amp;'Cashflow Projection'!K$5,Sales!$H:$H,"&gt;"&amp;'Cashflow Projection'!I$5,Sales!$A:$A,'Cashflow Projection'!$A10,Sales!$B:$B,'Cashflow Projection'!$B10,Sales!$F:$F,'Cashflow Projection'!$C10,Sales!$E:$E,FALSE)*$C10</f>
        <v>0</v>
      </c>
      <c r="M10" s="23">
        <f>SUMIFS(Sales!$S:$S,Sales!$H:$H,"&lt;="&amp;'Cashflow Projection'!M$5,Sales!$E:$E,FALSE,Sales!$F:$F,'Cashflow Projection'!$C10,Sales!$A:$A,'Cashflow Projection'!$A10,Sales!$B:$B,'Cashflow Projection'!$B10,Sales!$H:$H,"&gt;"&amp;'Cashflow Projection'!K$5)*$C10</f>
        <v>0</v>
      </c>
      <c r="N10" s="18">
        <f>COUNTIFS(Sales!$H:$H,"&lt;="&amp;'Cashflow Projection'!M$5,Sales!$H:$H,"&gt;"&amp;'Cashflow Projection'!K$5,Sales!$A:$A,'Cashflow Projection'!$A10,Sales!$B:$B,'Cashflow Projection'!$B10,Sales!$F:$F,'Cashflow Projection'!$C10,Sales!$E:$E,FALSE)*$C10</f>
        <v>0</v>
      </c>
      <c r="O10" s="23">
        <f>SUMIFS(Sales!$S:$S,Sales!$H:$H,"&lt;="&amp;'Cashflow Projection'!O$5,Sales!$E:$E,FALSE,Sales!$F:$F,'Cashflow Projection'!$C10,Sales!$A:$A,'Cashflow Projection'!$A10,Sales!$B:$B,'Cashflow Projection'!$B10,Sales!$H:$H,"&gt;"&amp;'Cashflow Projection'!M$5)*$C10</f>
        <v>0</v>
      </c>
      <c r="P10" s="18">
        <f>COUNTIFS(Sales!$H:$H,"&lt;="&amp;'Cashflow Projection'!O$5,Sales!$H:$H,"&gt;"&amp;'Cashflow Projection'!M$5,Sales!$A:$A,'Cashflow Projection'!$A10,Sales!$B:$B,'Cashflow Projection'!$B10,Sales!$F:$F,'Cashflow Projection'!$C10,Sales!$E:$E,FALSE)*$C10</f>
        <v>0</v>
      </c>
      <c r="Q10" s="23">
        <f>SUMIFS(Sales!$S:$S,Sales!$H:$H,"&lt;="&amp;'Cashflow Projection'!Q$5,Sales!$E:$E,FALSE,Sales!$F:$F,'Cashflow Projection'!$C10,Sales!$A:$A,'Cashflow Projection'!$A10,Sales!$B:$B,'Cashflow Projection'!$B10,Sales!$H:$H,"&gt;"&amp;'Cashflow Projection'!O$5)*$C10</f>
        <v>0</v>
      </c>
      <c r="R10" s="18">
        <f>COUNTIFS(Sales!$H:$H,"&lt;="&amp;'Cashflow Projection'!Q$5,Sales!$H:$H,"&gt;"&amp;'Cashflow Projection'!O$5,Sales!$A:$A,'Cashflow Projection'!$A10,Sales!$B:$B,'Cashflow Projection'!$B10,Sales!$F:$F,'Cashflow Projection'!$C10,Sales!$E:$E,FALSE)*$C10</f>
        <v>0</v>
      </c>
      <c r="S10" s="23">
        <f>SUMIFS(Sales!$S:$S,Sales!$H:$H,"&lt;="&amp;'Cashflow Projection'!S$5,Sales!$E:$E,FALSE,Sales!$F:$F,'Cashflow Projection'!$C10,Sales!$A:$A,'Cashflow Projection'!$A10,Sales!$B:$B,'Cashflow Projection'!$B10,Sales!$H:$H,"&gt;"&amp;'Cashflow Projection'!Q$5)*$C10</f>
        <v>0</v>
      </c>
      <c r="T10" s="18">
        <f>COUNTIFS(Sales!$H:$H,"&lt;="&amp;'Cashflow Projection'!S$5,Sales!$H:$H,"&gt;"&amp;'Cashflow Projection'!Q$5,Sales!$A:$A,'Cashflow Projection'!$A10,Sales!$B:$B,'Cashflow Projection'!$B10,Sales!$F:$F,'Cashflow Projection'!$C10,Sales!$E:$E,FALSE)*$C10</f>
        <v>0</v>
      </c>
      <c r="U10" s="23">
        <f>SUMIFS(Sales!$S:$S,Sales!$H:$H,"&lt;="&amp;'Cashflow Projection'!U$5,Sales!$E:$E,FALSE,Sales!$F:$F,'Cashflow Projection'!$C10,Sales!$A:$A,'Cashflow Projection'!$A10,Sales!$B:$B,'Cashflow Projection'!$B10,Sales!$H:$H,"&gt;"&amp;'Cashflow Projection'!S$5)*$C10</f>
        <v>2556249.8360995213</v>
      </c>
      <c r="V10" s="18">
        <f>COUNTIFS(Sales!$H:$H,"&lt;="&amp;'Cashflow Projection'!U$5,Sales!$H:$H,"&gt;"&amp;'Cashflow Projection'!S$5,Sales!$A:$A,'Cashflow Projection'!$A10,Sales!$B:$B,'Cashflow Projection'!$B10,Sales!$F:$F,'Cashflow Projection'!$C10,Sales!$E:$E,FALSE)*$C10</f>
        <v>5</v>
      </c>
      <c r="W10" s="23">
        <f>SUMIFS(Sales!$S:$S,Sales!$H:$H,"&lt;="&amp;'Cashflow Projection'!W$5,Sales!$E:$E,FALSE,Sales!$F:$F,'Cashflow Projection'!$C10,Sales!$A:$A,'Cashflow Projection'!$A10,Sales!$B:$B,'Cashflow Projection'!$B10,Sales!$H:$H,"&gt;"&amp;'Cashflow Projection'!U$5)*$C10</f>
        <v>0</v>
      </c>
      <c r="X10" s="18">
        <f>COUNTIFS(Sales!$H:$H,"&lt;="&amp;'Cashflow Projection'!W$5,Sales!$H:$H,"&gt;"&amp;'Cashflow Projection'!U$5,Sales!$A:$A,'Cashflow Projection'!$A10,Sales!$B:$B,'Cashflow Projection'!$B10,Sales!$F:$F,'Cashflow Projection'!$C10,Sales!$E:$E,FALSE)*$C10</f>
        <v>0</v>
      </c>
      <c r="Y10" s="23">
        <f>SUMIFS(Sales!$S:$S,Sales!$H:$H,"&lt;="&amp;'Cashflow Projection'!Y$5,Sales!$E:$E,FALSE,Sales!$F:$F,'Cashflow Projection'!$C10,Sales!$A:$A,'Cashflow Projection'!$A10,Sales!$B:$B,'Cashflow Projection'!$B10,Sales!$H:$H,"&gt;"&amp;'Cashflow Projection'!W$5)*$C10</f>
        <v>0</v>
      </c>
      <c r="Z10" s="18">
        <f>COUNTIFS(Sales!$H:$H,"&lt;="&amp;'Cashflow Projection'!Y$5,Sales!$H:$H,"&gt;"&amp;'Cashflow Projection'!W$5,Sales!$A:$A,'Cashflow Projection'!$A10,Sales!$B:$B,'Cashflow Projection'!$B10,Sales!$F:$F,'Cashflow Projection'!$C10,Sales!$E:$E,FALSE)*$C10</f>
        <v>0</v>
      </c>
      <c r="AA10" s="23">
        <f>SUMIFS(Sales!$S:$S,Sales!$H:$H,"&lt;="&amp;'Cashflow Projection'!AA$5,Sales!$E:$E,FALSE,Sales!$F:$F,'Cashflow Projection'!$C10,Sales!$A:$A,'Cashflow Projection'!$A10,Sales!$B:$B,'Cashflow Projection'!$B10,Sales!$H:$H,"&gt;"&amp;'Cashflow Projection'!Y$5)*$C10</f>
        <v>0</v>
      </c>
      <c r="AB10" s="18">
        <f>COUNTIFS(Sales!$H:$H,"&lt;="&amp;'Cashflow Projection'!AA$5,Sales!$H:$H,"&gt;"&amp;'Cashflow Projection'!Y$5,Sales!$A:$A,'Cashflow Projection'!$A10,Sales!$B:$B,'Cashflow Projection'!$B10,Sales!$F:$F,'Cashflow Projection'!$C10,Sales!$E:$E,FALSE)*$C10</f>
        <v>0</v>
      </c>
      <c r="AC10" s="23">
        <f>SUMIFS(Sales!$S:$S,Sales!$H:$H,"&lt;="&amp;'Cashflow Projection'!AC$5,Sales!$E:$E,FALSE,Sales!$F:$F,'Cashflow Projection'!$C10,Sales!$A:$A,'Cashflow Projection'!$A10,Sales!$B:$B,'Cashflow Projection'!$B10,Sales!$H:$H,"&gt;"&amp;'Cashflow Projection'!AA$5)*$C10</f>
        <v>0</v>
      </c>
      <c r="AD10" s="18">
        <f>COUNTIFS(Sales!$H:$H,"&lt;="&amp;'Cashflow Projection'!AC$5,Sales!$H:$H,"&gt;"&amp;'Cashflow Projection'!AA$5,Sales!$A:$A,'Cashflow Projection'!$A10,Sales!$B:$B,'Cashflow Projection'!$B10,Sales!$F:$F,'Cashflow Projection'!$C10,Sales!$E:$E,FALSE)*$C10</f>
        <v>0</v>
      </c>
      <c r="AE10" s="23">
        <f>SUMIFS(Sales!$S:$S,Sales!$H:$H,"&lt;="&amp;'Cashflow Projection'!AE$5,Sales!$E:$E,FALSE,Sales!$F:$F,'Cashflow Projection'!$C10,Sales!$A:$A,'Cashflow Projection'!$A10,Sales!$B:$B,'Cashflow Projection'!$B10,Sales!$H:$H,"&gt;"&amp;'Cashflow Projection'!AC$5)*$C10</f>
        <v>0</v>
      </c>
      <c r="AF10" s="21">
        <f>COUNTIFS(Sales!$H:$H,"&lt;="&amp;'Cashflow Projection'!AE$5,Sales!$H:$H,"&gt;"&amp;'Cashflow Projection'!AC$5,Sales!$A:$A,'Cashflow Projection'!$A10,Sales!$B:$B,'Cashflow Projection'!$B10,Sales!$F:$F,'Cashflow Projection'!$C10,Sales!$E:$E,FALSE)*$C10</f>
        <v>0</v>
      </c>
    </row>
    <row r="11" spans="1:32" ht="29" x14ac:dyDescent="0.35">
      <c r="A11" s="15" t="s">
        <v>386</v>
      </c>
      <c r="B11" s="22" t="s">
        <v>497</v>
      </c>
      <c r="C11" s="22">
        <f t="shared" si="1"/>
        <v>1</v>
      </c>
      <c r="D11" s="23">
        <f t="shared" si="2"/>
        <v>2418596.7859520554</v>
      </c>
      <c r="E11" s="18">
        <f t="shared" si="3"/>
        <v>4</v>
      </c>
      <c r="I11" s="23">
        <f>SUMIFS(Sales!$S:$S,Sales!$H:$H,"&lt;="&amp;'Cashflow Projection'!I$5,Sales!$E:$E,FALSE,Sales!$F:$F,'Cashflow Projection'!$C11,Sales!$A:$A,'Cashflow Projection'!$A11,Sales!$B:$B,'Cashflow Projection'!$B11,Sales!$H:$H,"&gt;"&amp;'Cashflow Projection'!B$2)*$C11</f>
        <v>244017.80137123307</v>
      </c>
      <c r="J11" s="18">
        <f>COUNTIFS(Sales!$H:$H,"&lt;="&amp;'Cashflow Projection'!I$5,Sales!$H:$H,"&gt;"&amp;'Cashflow Projection'!B$2,Sales!$A:$A,'Cashflow Projection'!$A11,Sales!$B:$B,'Cashflow Projection'!$B11,Sales!$F:$F,'Cashflow Projection'!$C11,Sales!$E:$E,FALSE)*$C11</f>
        <v>1</v>
      </c>
      <c r="K11" s="23">
        <f>SUMIFS(Sales!$S:$S,Sales!$H:$H,"&lt;="&amp;'Cashflow Projection'!K$5,Sales!$E:$E,FALSE,Sales!$F:$F,'Cashflow Projection'!$C11,Sales!$A:$A,'Cashflow Projection'!$A11,Sales!$B:$B,'Cashflow Projection'!$B11,Sales!$H:$H,"&gt;"&amp;'Cashflow Projection'!I$5)*$C11</f>
        <v>0</v>
      </c>
      <c r="L11" s="18">
        <f>COUNTIFS(Sales!$H:$H,"&lt;="&amp;'Cashflow Projection'!K$5,Sales!$H:$H,"&gt;"&amp;'Cashflow Projection'!I$5,Sales!$A:$A,'Cashflow Projection'!$A11,Sales!$B:$B,'Cashflow Projection'!$B11,Sales!$F:$F,'Cashflow Projection'!$C11,Sales!$E:$E,FALSE)*$C11</f>
        <v>0</v>
      </c>
      <c r="M11" s="23">
        <f>SUMIFS(Sales!$S:$S,Sales!$H:$H,"&lt;="&amp;'Cashflow Projection'!M$5,Sales!$E:$E,FALSE,Sales!$F:$F,'Cashflow Projection'!$C11,Sales!$A:$A,'Cashflow Projection'!$A11,Sales!$B:$B,'Cashflow Projection'!$B11,Sales!$H:$H,"&gt;"&amp;'Cashflow Projection'!K$5)*$C11</f>
        <v>0</v>
      </c>
      <c r="N11" s="18">
        <f>COUNTIFS(Sales!$H:$H,"&lt;="&amp;'Cashflow Projection'!M$5,Sales!$H:$H,"&gt;"&amp;'Cashflow Projection'!K$5,Sales!$A:$A,'Cashflow Projection'!$A11,Sales!$B:$B,'Cashflow Projection'!$B11,Sales!$F:$F,'Cashflow Projection'!$C11,Sales!$E:$E,FALSE)*$C11</f>
        <v>0</v>
      </c>
      <c r="O11" s="23">
        <f>SUMIFS(Sales!$S:$S,Sales!$H:$H,"&lt;="&amp;'Cashflow Projection'!O$5,Sales!$E:$E,FALSE,Sales!$F:$F,'Cashflow Projection'!$C11,Sales!$A:$A,'Cashflow Projection'!$A11,Sales!$B:$B,'Cashflow Projection'!$B11,Sales!$H:$H,"&gt;"&amp;'Cashflow Projection'!M$5)*$C11</f>
        <v>0</v>
      </c>
      <c r="P11" s="18">
        <f>COUNTIFS(Sales!$H:$H,"&lt;="&amp;'Cashflow Projection'!O$5,Sales!$H:$H,"&gt;"&amp;'Cashflow Projection'!M$5,Sales!$A:$A,'Cashflow Projection'!$A11,Sales!$B:$B,'Cashflow Projection'!$B11,Sales!$F:$F,'Cashflow Projection'!$C11,Sales!$E:$E,FALSE)*$C11</f>
        <v>0</v>
      </c>
      <c r="Q11" s="23">
        <f>SUMIFS(Sales!$S:$S,Sales!$H:$H,"&lt;="&amp;'Cashflow Projection'!Q$5,Sales!$E:$E,FALSE,Sales!$F:$F,'Cashflow Projection'!$C11,Sales!$A:$A,'Cashflow Projection'!$A11,Sales!$B:$B,'Cashflow Projection'!$B11,Sales!$H:$H,"&gt;"&amp;'Cashflow Projection'!O$5)*$C11</f>
        <v>0</v>
      </c>
      <c r="R11" s="18">
        <f>COUNTIFS(Sales!$H:$H,"&lt;="&amp;'Cashflow Projection'!Q$5,Sales!$H:$H,"&gt;"&amp;'Cashflow Projection'!O$5,Sales!$A:$A,'Cashflow Projection'!$A11,Sales!$B:$B,'Cashflow Projection'!$B11,Sales!$F:$F,'Cashflow Projection'!$C11,Sales!$E:$E,FALSE)*$C11</f>
        <v>0</v>
      </c>
      <c r="S11" s="23">
        <f>SUMIFS(Sales!$S:$S,Sales!$H:$H,"&lt;="&amp;'Cashflow Projection'!S$5,Sales!$E:$E,FALSE,Sales!$F:$F,'Cashflow Projection'!$C11,Sales!$A:$A,'Cashflow Projection'!$A11,Sales!$B:$B,'Cashflow Projection'!$B11,Sales!$H:$H,"&gt;"&amp;'Cashflow Projection'!Q$5)*$C11</f>
        <v>0</v>
      </c>
      <c r="T11" s="18">
        <f>COUNTIFS(Sales!$H:$H,"&lt;="&amp;'Cashflow Projection'!S$5,Sales!$H:$H,"&gt;"&amp;'Cashflow Projection'!Q$5,Sales!$A:$A,'Cashflow Projection'!$A11,Sales!$B:$B,'Cashflow Projection'!$B11,Sales!$F:$F,'Cashflow Projection'!$C11,Sales!$E:$E,FALSE)*$C11</f>
        <v>0</v>
      </c>
      <c r="U11" s="23">
        <f>SUMIFS(Sales!$S:$S,Sales!$H:$H,"&lt;="&amp;'Cashflow Projection'!U$5,Sales!$E:$E,FALSE,Sales!$F:$F,'Cashflow Projection'!$C11,Sales!$A:$A,'Cashflow Projection'!$A11,Sales!$B:$B,'Cashflow Projection'!$B11,Sales!$H:$H,"&gt;"&amp;'Cashflow Projection'!S$5)*$C11</f>
        <v>2174578.9845808223</v>
      </c>
      <c r="V11" s="18">
        <f>COUNTIFS(Sales!$H:$H,"&lt;="&amp;'Cashflow Projection'!U$5,Sales!$H:$H,"&gt;"&amp;'Cashflow Projection'!S$5,Sales!$A:$A,'Cashflow Projection'!$A11,Sales!$B:$B,'Cashflow Projection'!$B11,Sales!$F:$F,'Cashflow Projection'!$C11,Sales!$E:$E,FALSE)*$C11</f>
        <v>3</v>
      </c>
      <c r="W11" s="23">
        <f>SUMIFS(Sales!$S:$S,Sales!$H:$H,"&lt;="&amp;'Cashflow Projection'!W$5,Sales!$E:$E,FALSE,Sales!$F:$F,'Cashflow Projection'!$C11,Sales!$A:$A,'Cashflow Projection'!$A11,Sales!$B:$B,'Cashflow Projection'!$B11,Sales!$H:$H,"&gt;"&amp;'Cashflow Projection'!U$5)*$C11</f>
        <v>0</v>
      </c>
      <c r="X11" s="18">
        <f>COUNTIFS(Sales!$H:$H,"&lt;="&amp;'Cashflow Projection'!W$5,Sales!$H:$H,"&gt;"&amp;'Cashflow Projection'!U$5,Sales!$A:$A,'Cashflow Projection'!$A11,Sales!$B:$B,'Cashflow Projection'!$B11,Sales!$F:$F,'Cashflow Projection'!$C11,Sales!$E:$E,FALSE)*$C11</f>
        <v>0</v>
      </c>
      <c r="Y11" s="23">
        <f>SUMIFS(Sales!$S:$S,Sales!$H:$H,"&lt;="&amp;'Cashflow Projection'!Y$5,Sales!$E:$E,FALSE,Sales!$F:$F,'Cashflow Projection'!$C11,Sales!$A:$A,'Cashflow Projection'!$A11,Sales!$B:$B,'Cashflow Projection'!$B11,Sales!$H:$H,"&gt;"&amp;'Cashflow Projection'!W$5)*$C11</f>
        <v>0</v>
      </c>
      <c r="Z11" s="18">
        <f>COUNTIFS(Sales!$H:$H,"&lt;="&amp;'Cashflow Projection'!Y$5,Sales!$H:$H,"&gt;"&amp;'Cashflow Projection'!W$5,Sales!$A:$A,'Cashflow Projection'!$A11,Sales!$B:$B,'Cashflow Projection'!$B11,Sales!$F:$F,'Cashflow Projection'!$C11,Sales!$E:$E,FALSE)*$C11</f>
        <v>0</v>
      </c>
      <c r="AA11" s="23">
        <f>SUMIFS(Sales!$S:$S,Sales!$H:$H,"&lt;="&amp;'Cashflow Projection'!AA$5,Sales!$E:$E,FALSE,Sales!$F:$F,'Cashflow Projection'!$C11,Sales!$A:$A,'Cashflow Projection'!$A11,Sales!$B:$B,'Cashflow Projection'!$B11,Sales!$H:$H,"&gt;"&amp;'Cashflow Projection'!Y$5)*$C11</f>
        <v>0</v>
      </c>
      <c r="AB11" s="18">
        <f>COUNTIFS(Sales!$H:$H,"&lt;="&amp;'Cashflow Projection'!AA$5,Sales!$H:$H,"&gt;"&amp;'Cashflow Projection'!Y$5,Sales!$A:$A,'Cashflow Projection'!$A11,Sales!$B:$B,'Cashflow Projection'!$B11,Sales!$F:$F,'Cashflow Projection'!$C11,Sales!$E:$E,FALSE)*$C11</f>
        <v>0</v>
      </c>
      <c r="AC11" s="23">
        <f>SUMIFS(Sales!$S:$S,Sales!$H:$H,"&lt;="&amp;'Cashflow Projection'!AC$5,Sales!$E:$E,FALSE,Sales!$F:$F,'Cashflow Projection'!$C11,Sales!$A:$A,'Cashflow Projection'!$A11,Sales!$B:$B,'Cashflow Projection'!$B11,Sales!$H:$H,"&gt;"&amp;'Cashflow Projection'!AA$5)*$C11</f>
        <v>0</v>
      </c>
      <c r="AD11" s="18">
        <f>COUNTIFS(Sales!$H:$H,"&lt;="&amp;'Cashflow Projection'!AC$5,Sales!$H:$H,"&gt;"&amp;'Cashflow Projection'!AA$5,Sales!$A:$A,'Cashflow Projection'!$A11,Sales!$B:$B,'Cashflow Projection'!$B11,Sales!$F:$F,'Cashflow Projection'!$C11,Sales!$E:$E,FALSE)*$C11</f>
        <v>0</v>
      </c>
      <c r="AE11" s="23">
        <f>SUMIFS(Sales!$S:$S,Sales!$H:$H,"&lt;="&amp;'Cashflow Projection'!AE$5,Sales!$E:$E,FALSE,Sales!$F:$F,'Cashflow Projection'!$C11,Sales!$A:$A,'Cashflow Projection'!$A11,Sales!$B:$B,'Cashflow Projection'!$B11,Sales!$H:$H,"&gt;"&amp;'Cashflow Projection'!AC$5)*$C11</f>
        <v>0</v>
      </c>
      <c r="AF11" s="21">
        <f>COUNTIFS(Sales!$H:$H,"&lt;="&amp;'Cashflow Projection'!AE$5,Sales!$H:$H,"&gt;"&amp;'Cashflow Projection'!AC$5,Sales!$A:$A,'Cashflow Projection'!$A11,Sales!$B:$B,'Cashflow Projection'!$B11,Sales!$F:$F,'Cashflow Projection'!$C11,Sales!$E:$E,FALSE)*$C11</f>
        <v>0</v>
      </c>
    </row>
    <row r="12" spans="1:32" ht="29" x14ac:dyDescent="0.35">
      <c r="A12" s="15" t="s">
        <v>386</v>
      </c>
      <c r="B12" s="22" t="s">
        <v>569</v>
      </c>
      <c r="C12" s="22">
        <f t="shared" si="1"/>
        <v>0</v>
      </c>
      <c r="D12" s="23">
        <f t="shared" si="2"/>
        <v>0</v>
      </c>
      <c r="E12" s="18">
        <f t="shared" si="3"/>
        <v>0</v>
      </c>
      <c r="I12" s="23">
        <f>SUMIFS(Sales!$S:$S,Sales!$H:$H,"&lt;="&amp;'Cashflow Projection'!I$5,Sales!$E:$E,FALSE,Sales!$F:$F,'Cashflow Projection'!$C12,Sales!$A:$A,'Cashflow Projection'!$A12,Sales!$B:$B,'Cashflow Projection'!$B12,Sales!$H:$H,"&gt;"&amp;'Cashflow Projection'!B$2)*$C12</f>
        <v>0</v>
      </c>
      <c r="J12" s="18">
        <f>COUNTIFS(Sales!$H:$H,"&lt;="&amp;'Cashflow Projection'!I$5,Sales!$H:$H,"&gt;"&amp;'Cashflow Projection'!B$2,Sales!$A:$A,'Cashflow Projection'!$A12,Sales!$B:$B,'Cashflow Projection'!$B12,Sales!$F:$F,'Cashflow Projection'!$C12,Sales!$E:$E,FALSE)*$C12</f>
        <v>0</v>
      </c>
      <c r="K12" s="23">
        <f>SUMIFS(Sales!$S:$S,Sales!$H:$H,"&lt;="&amp;'Cashflow Projection'!K$5,Sales!$E:$E,FALSE,Sales!$F:$F,'Cashflow Projection'!$C12,Sales!$A:$A,'Cashflow Projection'!$A12,Sales!$B:$B,'Cashflow Projection'!$B12,Sales!$H:$H,"&gt;"&amp;'Cashflow Projection'!I$5)*$C12</f>
        <v>0</v>
      </c>
      <c r="L12" s="18">
        <f>COUNTIFS(Sales!$H:$H,"&lt;="&amp;'Cashflow Projection'!K$5,Sales!$H:$H,"&gt;"&amp;'Cashflow Projection'!I$5,Sales!$A:$A,'Cashflow Projection'!$A12,Sales!$B:$B,'Cashflow Projection'!$B12,Sales!$F:$F,'Cashflow Projection'!$C12,Sales!$E:$E,FALSE)*$C12</f>
        <v>0</v>
      </c>
      <c r="M12" s="23">
        <f>SUMIFS(Sales!$S:$S,Sales!$H:$H,"&lt;="&amp;'Cashflow Projection'!M$5,Sales!$E:$E,FALSE,Sales!$F:$F,'Cashflow Projection'!$C12,Sales!$A:$A,'Cashflow Projection'!$A12,Sales!$B:$B,'Cashflow Projection'!$B12,Sales!$H:$H,"&gt;"&amp;'Cashflow Projection'!K$5)*$C12</f>
        <v>0</v>
      </c>
      <c r="N12" s="18">
        <f>COUNTIFS(Sales!$H:$H,"&lt;="&amp;'Cashflow Projection'!M$5,Sales!$H:$H,"&gt;"&amp;'Cashflow Projection'!K$5,Sales!$A:$A,'Cashflow Projection'!$A12,Sales!$B:$B,'Cashflow Projection'!$B12,Sales!$F:$F,'Cashflow Projection'!$C12,Sales!$E:$E,FALSE)*$C12</f>
        <v>0</v>
      </c>
      <c r="O12" s="23">
        <f>SUMIFS(Sales!$S:$S,Sales!$H:$H,"&lt;="&amp;'Cashflow Projection'!O$5,Sales!$E:$E,FALSE,Sales!$F:$F,'Cashflow Projection'!$C12,Sales!$A:$A,'Cashflow Projection'!$A12,Sales!$B:$B,'Cashflow Projection'!$B12,Sales!$H:$H,"&gt;"&amp;'Cashflow Projection'!M$5)*$C12</f>
        <v>0</v>
      </c>
      <c r="P12" s="18">
        <f>COUNTIFS(Sales!$H:$H,"&lt;="&amp;'Cashflow Projection'!O$5,Sales!$H:$H,"&gt;"&amp;'Cashflow Projection'!M$5,Sales!$A:$A,'Cashflow Projection'!$A12,Sales!$B:$B,'Cashflow Projection'!$B12,Sales!$F:$F,'Cashflow Projection'!$C12,Sales!$E:$E,FALSE)*$C12</f>
        <v>0</v>
      </c>
      <c r="Q12" s="23">
        <f>SUMIFS(Sales!$S:$S,Sales!$H:$H,"&lt;="&amp;'Cashflow Projection'!Q$5,Sales!$E:$E,FALSE,Sales!$F:$F,'Cashflow Projection'!$C12,Sales!$A:$A,'Cashflow Projection'!$A12,Sales!$B:$B,'Cashflow Projection'!$B12,Sales!$H:$H,"&gt;"&amp;'Cashflow Projection'!O$5)*$C12</f>
        <v>0</v>
      </c>
      <c r="R12" s="18">
        <f>COUNTIFS(Sales!$H:$H,"&lt;="&amp;'Cashflow Projection'!Q$5,Sales!$H:$H,"&gt;"&amp;'Cashflow Projection'!O$5,Sales!$A:$A,'Cashflow Projection'!$A12,Sales!$B:$B,'Cashflow Projection'!$B12,Sales!$F:$F,'Cashflow Projection'!$C12,Sales!$E:$E,FALSE)*$C12</f>
        <v>0</v>
      </c>
      <c r="S12" s="23">
        <f>SUMIFS(Sales!$S:$S,Sales!$H:$H,"&lt;="&amp;'Cashflow Projection'!S$5,Sales!$E:$E,FALSE,Sales!$F:$F,'Cashflow Projection'!$C12,Sales!$A:$A,'Cashflow Projection'!$A12,Sales!$B:$B,'Cashflow Projection'!$B12,Sales!$H:$H,"&gt;"&amp;'Cashflow Projection'!Q$5)*$C12</f>
        <v>0</v>
      </c>
      <c r="T12" s="18">
        <f>COUNTIFS(Sales!$H:$H,"&lt;="&amp;'Cashflow Projection'!S$5,Sales!$H:$H,"&gt;"&amp;'Cashflow Projection'!Q$5,Sales!$A:$A,'Cashflow Projection'!$A12,Sales!$B:$B,'Cashflow Projection'!$B12,Sales!$F:$F,'Cashflow Projection'!$C12,Sales!$E:$E,FALSE)*$C12</f>
        <v>0</v>
      </c>
      <c r="U12" s="23">
        <f>SUMIFS(Sales!$S:$S,Sales!$H:$H,"&lt;="&amp;'Cashflow Projection'!U$5,Sales!$E:$E,FALSE,Sales!$F:$F,'Cashflow Projection'!$C12,Sales!$A:$A,'Cashflow Projection'!$A12,Sales!$B:$B,'Cashflow Projection'!$B12,Sales!$H:$H,"&gt;"&amp;'Cashflow Projection'!S$5)*$C12</f>
        <v>0</v>
      </c>
      <c r="V12" s="18">
        <f>COUNTIFS(Sales!$H:$H,"&lt;="&amp;'Cashflow Projection'!U$5,Sales!$H:$H,"&gt;"&amp;'Cashflow Projection'!S$5,Sales!$A:$A,'Cashflow Projection'!$A12,Sales!$B:$B,'Cashflow Projection'!$B12,Sales!$F:$F,'Cashflow Projection'!$C12,Sales!$E:$E,FALSE)*$C12</f>
        <v>0</v>
      </c>
      <c r="W12" s="23">
        <f>SUMIFS(Sales!$S:$S,Sales!$H:$H,"&lt;="&amp;'Cashflow Projection'!W$5,Sales!$E:$E,FALSE,Sales!$F:$F,'Cashflow Projection'!$C12,Sales!$A:$A,'Cashflow Projection'!$A12,Sales!$B:$B,'Cashflow Projection'!$B12,Sales!$H:$H,"&gt;"&amp;'Cashflow Projection'!U$5)*$C12</f>
        <v>0</v>
      </c>
      <c r="X12" s="18">
        <f>COUNTIFS(Sales!$H:$H,"&lt;="&amp;'Cashflow Projection'!W$5,Sales!$H:$H,"&gt;"&amp;'Cashflow Projection'!U$5,Sales!$A:$A,'Cashflow Projection'!$A12,Sales!$B:$B,'Cashflow Projection'!$B12,Sales!$F:$F,'Cashflow Projection'!$C12,Sales!$E:$E,FALSE)*$C12</f>
        <v>0</v>
      </c>
      <c r="Y12" s="23">
        <f>SUMIFS(Sales!$S:$S,Sales!$H:$H,"&lt;="&amp;'Cashflow Projection'!Y$5,Sales!$E:$E,FALSE,Sales!$F:$F,'Cashflow Projection'!$C12,Sales!$A:$A,'Cashflow Projection'!$A12,Sales!$B:$B,'Cashflow Projection'!$B12,Sales!$H:$H,"&gt;"&amp;'Cashflow Projection'!W$5)*$C12</f>
        <v>0</v>
      </c>
      <c r="Z12" s="18">
        <f>COUNTIFS(Sales!$H:$H,"&lt;="&amp;'Cashflow Projection'!Y$5,Sales!$H:$H,"&gt;"&amp;'Cashflow Projection'!W$5,Sales!$A:$A,'Cashflow Projection'!$A12,Sales!$B:$B,'Cashflow Projection'!$B12,Sales!$F:$F,'Cashflow Projection'!$C12,Sales!$E:$E,FALSE)*$C12</f>
        <v>0</v>
      </c>
      <c r="AA12" s="23">
        <f>SUMIFS(Sales!$S:$S,Sales!$H:$H,"&lt;="&amp;'Cashflow Projection'!AA$5,Sales!$E:$E,FALSE,Sales!$F:$F,'Cashflow Projection'!$C12,Sales!$A:$A,'Cashflow Projection'!$A12,Sales!$B:$B,'Cashflow Projection'!$B12,Sales!$H:$H,"&gt;"&amp;'Cashflow Projection'!Y$5)*$C12</f>
        <v>0</v>
      </c>
      <c r="AB12" s="18">
        <f>COUNTIFS(Sales!$H:$H,"&lt;="&amp;'Cashflow Projection'!AA$5,Sales!$H:$H,"&gt;"&amp;'Cashflow Projection'!Y$5,Sales!$A:$A,'Cashflow Projection'!$A12,Sales!$B:$B,'Cashflow Projection'!$B12,Sales!$F:$F,'Cashflow Projection'!$C12,Sales!$E:$E,FALSE)*$C12</f>
        <v>0</v>
      </c>
      <c r="AC12" s="23">
        <f>SUMIFS(Sales!$S:$S,Sales!$H:$H,"&lt;="&amp;'Cashflow Projection'!AC$5,Sales!$E:$E,FALSE,Sales!$F:$F,'Cashflow Projection'!$C12,Sales!$A:$A,'Cashflow Projection'!$A12,Sales!$B:$B,'Cashflow Projection'!$B12,Sales!$H:$H,"&gt;"&amp;'Cashflow Projection'!AA$5)*$C12</f>
        <v>0</v>
      </c>
      <c r="AD12" s="18">
        <f>COUNTIFS(Sales!$H:$H,"&lt;="&amp;'Cashflow Projection'!AC$5,Sales!$H:$H,"&gt;"&amp;'Cashflow Projection'!AA$5,Sales!$A:$A,'Cashflow Projection'!$A12,Sales!$B:$B,'Cashflow Projection'!$B12,Sales!$F:$F,'Cashflow Projection'!$C12,Sales!$E:$E,FALSE)*$C12</f>
        <v>0</v>
      </c>
      <c r="AE12" s="23">
        <f>SUMIFS(Sales!$S:$S,Sales!$H:$H,"&lt;="&amp;'Cashflow Projection'!AE$5,Sales!$E:$E,FALSE,Sales!$F:$F,'Cashflow Projection'!$C12,Sales!$A:$A,'Cashflow Projection'!$A12,Sales!$B:$B,'Cashflow Projection'!$B12,Sales!$H:$H,"&gt;"&amp;'Cashflow Projection'!AC$5)*$C12</f>
        <v>0</v>
      </c>
      <c r="AF12" s="21">
        <f>COUNTIFS(Sales!$H:$H,"&lt;="&amp;'Cashflow Projection'!AE$5,Sales!$H:$H,"&gt;"&amp;'Cashflow Projection'!AC$5,Sales!$A:$A,'Cashflow Projection'!$A12,Sales!$B:$B,'Cashflow Projection'!$B12,Sales!$F:$F,'Cashflow Projection'!$C12,Sales!$E:$E,FALSE)*$C12</f>
        <v>0</v>
      </c>
    </row>
    <row r="13" spans="1:32" ht="29" x14ac:dyDescent="0.35">
      <c r="A13" s="15" t="s">
        <v>386</v>
      </c>
      <c r="B13" s="22" t="s">
        <v>598</v>
      </c>
      <c r="C13" s="22">
        <f t="shared" si="1"/>
        <v>0</v>
      </c>
      <c r="D13" s="23">
        <f t="shared" si="2"/>
        <v>0</v>
      </c>
      <c r="E13" s="18">
        <f t="shared" si="3"/>
        <v>0</v>
      </c>
      <c r="I13" s="23">
        <f>SUMIFS(Sales!$S:$S,Sales!$H:$H,"&lt;="&amp;'Cashflow Projection'!I$5,Sales!$E:$E,FALSE,Sales!$F:$F,'Cashflow Projection'!$C13,Sales!$A:$A,'Cashflow Projection'!$A13,Sales!$B:$B,'Cashflow Projection'!$B13,Sales!$H:$H,"&gt;"&amp;'Cashflow Projection'!B$2)*$C13</f>
        <v>0</v>
      </c>
      <c r="J13" s="18">
        <f>COUNTIFS(Sales!$H:$H,"&lt;="&amp;'Cashflow Projection'!I$5,Sales!$H:$H,"&gt;"&amp;'Cashflow Projection'!B$2,Sales!$A:$A,'Cashflow Projection'!$A13,Sales!$B:$B,'Cashflow Projection'!$B13,Sales!$F:$F,'Cashflow Projection'!$C13,Sales!$E:$E,FALSE)*$C13</f>
        <v>0</v>
      </c>
      <c r="K13" s="23">
        <f>SUMIFS(Sales!$S:$S,Sales!$H:$H,"&lt;="&amp;'Cashflow Projection'!K$5,Sales!$E:$E,FALSE,Sales!$F:$F,'Cashflow Projection'!$C13,Sales!$A:$A,'Cashflow Projection'!$A13,Sales!$B:$B,'Cashflow Projection'!$B13,Sales!$H:$H,"&gt;"&amp;'Cashflow Projection'!I$5)*$C13</f>
        <v>0</v>
      </c>
      <c r="L13" s="18">
        <f>COUNTIFS(Sales!$H:$H,"&lt;="&amp;'Cashflow Projection'!K$5,Sales!$H:$H,"&gt;"&amp;'Cashflow Projection'!I$5,Sales!$A:$A,'Cashflow Projection'!$A13,Sales!$B:$B,'Cashflow Projection'!$B13,Sales!$F:$F,'Cashflow Projection'!$C13,Sales!$E:$E,FALSE)*$C13</f>
        <v>0</v>
      </c>
      <c r="M13" s="23">
        <f>SUMIFS(Sales!$S:$S,Sales!$H:$H,"&lt;="&amp;'Cashflow Projection'!M$5,Sales!$E:$E,FALSE,Sales!$F:$F,'Cashflow Projection'!$C13,Sales!$A:$A,'Cashflow Projection'!$A13,Sales!$B:$B,'Cashflow Projection'!$B13,Sales!$H:$H,"&gt;"&amp;'Cashflow Projection'!K$5)*$C13</f>
        <v>0</v>
      </c>
      <c r="N13" s="18">
        <f>COUNTIFS(Sales!$H:$H,"&lt;="&amp;'Cashflow Projection'!M$5,Sales!$H:$H,"&gt;"&amp;'Cashflow Projection'!K$5,Sales!$A:$A,'Cashflow Projection'!$A13,Sales!$B:$B,'Cashflow Projection'!$B13,Sales!$F:$F,'Cashflow Projection'!$C13,Sales!$E:$E,FALSE)*$C13</f>
        <v>0</v>
      </c>
      <c r="O13" s="23">
        <f>SUMIFS(Sales!$S:$S,Sales!$H:$H,"&lt;="&amp;'Cashflow Projection'!O$5,Sales!$E:$E,FALSE,Sales!$F:$F,'Cashflow Projection'!$C13,Sales!$A:$A,'Cashflow Projection'!$A13,Sales!$B:$B,'Cashflow Projection'!$B13,Sales!$H:$H,"&gt;"&amp;'Cashflow Projection'!M$5)*$C13</f>
        <v>0</v>
      </c>
      <c r="P13" s="18">
        <f>COUNTIFS(Sales!$H:$H,"&lt;="&amp;'Cashflow Projection'!O$5,Sales!$H:$H,"&gt;"&amp;'Cashflow Projection'!M$5,Sales!$A:$A,'Cashflow Projection'!$A13,Sales!$B:$B,'Cashflow Projection'!$B13,Sales!$F:$F,'Cashflow Projection'!$C13,Sales!$E:$E,FALSE)*$C13</f>
        <v>0</v>
      </c>
      <c r="Q13" s="23">
        <f>SUMIFS(Sales!$S:$S,Sales!$H:$H,"&lt;="&amp;'Cashflow Projection'!Q$5,Sales!$E:$E,FALSE,Sales!$F:$F,'Cashflow Projection'!$C13,Sales!$A:$A,'Cashflow Projection'!$A13,Sales!$B:$B,'Cashflow Projection'!$B13,Sales!$H:$H,"&gt;"&amp;'Cashflow Projection'!O$5)*$C13</f>
        <v>0</v>
      </c>
      <c r="R13" s="18">
        <f>COUNTIFS(Sales!$H:$H,"&lt;="&amp;'Cashflow Projection'!Q$5,Sales!$H:$H,"&gt;"&amp;'Cashflow Projection'!O$5,Sales!$A:$A,'Cashflow Projection'!$A13,Sales!$B:$B,'Cashflow Projection'!$B13,Sales!$F:$F,'Cashflow Projection'!$C13,Sales!$E:$E,FALSE)*$C13</f>
        <v>0</v>
      </c>
      <c r="S13" s="23">
        <f>SUMIFS(Sales!$S:$S,Sales!$H:$H,"&lt;="&amp;'Cashflow Projection'!S$5,Sales!$E:$E,FALSE,Sales!$F:$F,'Cashflow Projection'!$C13,Sales!$A:$A,'Cashflow Projection'!$A13,Sales!$B:$B,'Cashflow Projection'!$B13,Sales!$H:$H,"&gt;"&amp;'Cashflow Projection'!Q$5)*$C13</f>
        <v>0</v>
      </c>
      <c r="T13" s="18">
        <f>COUNTIFS(Sales!$H:$H,"&lt;="&amp;'Cashflow Projection'!S$5,Sales!$H:$H,"&gt;"&amp;'Cashflow Projection'!Q$5,Sales!$A:$A,'Cashflow Projection'!$A13,Sales!$B:$B,'Cashflow Projection'!$B13,Sales!$F:$F,'Cashflow Projection'!$C13,Sales!$E:$E,FALSE)*$C13</f>
        <v>0</v>
      </c>
      <c r="U13" s="23">
        <f>SUMIFS(Sales!$S:$S,Sales!$H:$H,"&lt;="&amp;'Cashflow Projection'!U$5,Sales!$E:$E,FALSE,Sales!$F:$F,'Cashflow Projection'!$C13,Sales!$A:$A,'Cashflow Projection'!$A13,Sales!$B:$B,'Cashflow Projection'!$B13,Sales!$H:$H,"&gt;"&amp;'Cashflow Projection'!S$5)*$C13</f>
        <v>0</v>
      </c>
      <c r="V13" s="18">
        <f>COUNTIFS(Sales!$H:$H,"&lt;="&amp;'Cashflow Projection'!U$5,Sales!$H:$H,"&gt;"&amp;'Cashflow Projection'!S$5,Sales!$A:$A,'Cashflow Projection'!$A13,Sales!$B:$B,'Cashflow Projection'!$B13,Sales!$F:$F,'Cashflow Projection'!$C13,Sales!$E:$E,FALSE)*$C13</f>
        <v>0</v>
      </c>
      <c r="W13" s="23">
        <f>SUMIFS(Sales!$S:$S,Sales!$H:$H,"&lt;="&amp;'Cashflow Projection'!W$5,Sales!$E:$E,FALSE,Sales!$F:$F,'Cashflow Projection'!$C13,Sales!$A:$A,'Cashflow Projection'!$A13,Sales!$B:$B,'Cashflow Projection'!$B13,Sales!$H:$H,"&gt;"&amp;'Cashflow Projection'!U$5)*$C13</f>
        <v>0</v>
      </c>
      <c r="X13" s="18">
        <f>COUNTIFS(Sales!$H:$H,"&lt;="&amp;'Cashflow Projection'!W$5,Sales!$H:$H,"&gt;"&amp;'Cashflow Projection'!U$5,Sales!$A:$A,'Cashflow Projection'!$A13,Sales!$B:$B,'Cashflow Projection'!$B13,Sales!$F:$F,'Cashflow Projection'!$C13,Sales!$E:$E,FALSE)*$C13</f>
        <v>0</v>
      </c>
      <c r="Y13" s="23">
        <f>SUMIFS(Sales!$S:$S,Sales!$H:$H,"&lt;="&amp;'Cashflow Projection'!Y$5,Sales!$E:$E,FALSE,Sales!$F:$F,'Cashflow Projection'!$C13,Sales!$A:$A,'Cashflow Projection'!$A13,Sales!$B:$B,'Cashflow Projection'!$B13,Sales!$H:$H,"&gt;"&amp;'Cashflow Projection'!W$5)*$C13</f>
        <v>0</v>
      </c>
      <c r="Z13" s="18">
        <f>COUNTIFS(Sales!$H:$H,"&lt;="&amp;'Cashflow Projection'!Y$5,Sales!$H:$H,"&gt;"&amp;'Cashflow Projection'!W$5,Sales!$A:$A,'Cashflow Projection'!$A13,Sales!$B:$B,'Cashflow Projection'!$B13,Sales!$F:$F,'Cashflow Projection'!$C13,Sales!$E:$E,FALSE)*$C13</f>
        <v>0</v>
      </c>
      <c r="AA13" s="23">
        <f>SUMIFS(Sales!$S:$S,Sales!$H:$H,"&lt;="&amp;'Cashflow Projection'!AA$5,Sales!$E:$E,FALSE,Sales!$F:$F,'Cashflow Projection'!$C13,Sales!$A:$A,'Cashflow Projection'!$A13,Sales!$B:$B,'Cashflow Projection'!$B13,Sales!$H:$H,"&gt;"&amp;'Cashflow Projection'!Y$5)*$C13</f>
        <v>0</v>
      </c>
      <c r="AB13" s="18">
        <f>COUNTIFS(Sales!$H:$H,"&lt;="&amp;'Cashflow Projection'!AA$5,Sales!$H:$H,"&gt;"&amp;'Cashflow Projection'!Y$5,Sales!$A:$A,'Cashflow Projection'!$A13,Sales!$B:$B,'Cashflow Projection'!$B13,Sales!$F:$F,'Cashflow Projection'!$C13,Sales!$E:$E,FALSE)*$C13</f>
        <v>0</v>
      </c>
      <c r="AC13" s="23">
        <f>SUMIFS(Sales!$S:$S,Sales!$H:$H,"&lt;="&amp;'Cashflow Projection'!AC$5,Sales!$E:$E,FALSE,Sales!$F:$F,'Cashflow Projection'!$C13,Sales!$A:$A,'Cashflow Projection'!$A13,Sales!$B:$B,'Cashflow Projection'!$B13,Sales!$H:$H,"&gt;"&amp;'Cashflow Projection'!AA$5)*$C13</f>
        <v>0</v>
      </c>
      <c r="AD13" s="18">
        <f>COUNTIFS(Sales!$H:$H,"&lt;="&amp;'Cashflow Projection'!AC$5,Sales!$H:$H,"&gt;"&amp;'Cashflow Projection'!AA$5,Sales!$A:$A,'Cashflow Projection'!$A13,Sales!$B:$B,'Cashflow Projection'!$B13,Sales!$F:$F,'Cashflow Projection'!$C13,Sales!$E:$E,FALSE)*$C13</f>
        <v>0</v>
      </c>
      <c r="AE13" s="23">
        <f>SUMIFS(Sales!$S:$S,Sales!$H:$H,"&lt;="&amp;'Cashflow Projection'!AE$5,Sales!$E:$E,FALSE,Sales!$F:$F,'Cashflow Projection'!$C13,Sales!$A:$A,'Cashflow Projection'!$A13,Sales!$B:$B,'Cashflow Projection'!$B13,Sales!$H:$H,"&gt;"&amp;'Cashflow Projection'!AC$5)*$C13</f>
        <v>0</v>
      </c>
      <c r="AF13" s="21">
        <f>COUNTIFS(Sales!$H:$H,"&lt;="&amp;'Cashflow Projection'!AE$5,Sales!$H:$H,"&gt;"&amp;'Cashflow Projection'!AC$5,Sales!$A:$A,'Cashflow Projection'!$A13,Sales!$B:$B,'Cashflow Projection'!$B13,Sales!$F:$F,'Cashflow Projection'!$C13,Sales!$E:$E,FALSE)*$C13</f>
        <v>0</v>
      </c>
    </row>
    <row r="14" spans="1:32" ht="29" x14ac:dyDescent="0.35">
      <c r="A14" s="15" t="s">
        <v>386</v>
      </c>
      <c r="B14" s="22" t="s">
        <v>628</v>
      </c>
      <c r="C14" s="22">
        <f t="shared" si="1"/>
        <v>0</v>
      </c>
      <c r="D14" s="23">
        <f t="shared" si="2"/>
        <v>0</v>
      </c>
      <c r="E14" s="18">
        <f t="shared" si="3"/>
        <v>0</v>
      </c>
      <c r="I14" s="23">
        <f>SUMIFS(Sales!$S:$S,Sales!$H:$H,"&lt;="&amp;'Cashflow Projection'!I$5,Sales!$E:$E,FALSE,Sales!$F:$F,'Cashflow Projection'!$C14,Sales!$A:$A,'Cashflow Projection'!$A14,Sales!$B:$B,'Cashflow Projection'!$B14,Sales!$H:$H,"&gt;"&amp;'Cashflow Projection'!B$2)*$C14</f>
        <v>0</v>
      </c>
      <c r="J14" s="18">
        <f>COUNTIFS(Sales!$H:$H,"&lt;="&amp;'Cashflow Projection'!I$5,Sales!$H:$H,"&gt;"&amp;'Cashflow Projection'!B$2,Sales!$A:$A,'Cashflow Projection'!$A14,Sales!$B:$B,'Cashflow Projection'!$B14,Sales!$F:$F,'Cashflow Projection'!$C14,Sales!$E:$E,FALSE)*$C14</f>
        <v>0</v>
      </c>
      <c r="K14" s="23">
        <f>SUMIFS(Sales!$S:$S,Sales!$H:$H,"&lt;="&amp;'Cashflow Projection'!K$5,Sales!$E:$E,FALSE,Sales!$F:$F,'Cashflow Projection'!$C14,Sales!$A:$A,'Cashflow Projection'!$A14,Sales!$B:$B,'Cashflow Projection'!$B14,Sales!$H:$H,"&gt;"&amp;'Cashflow Projection'!I$5)*$C14</f>
        <v>0</v>
      </c>
      <c r="L14" s="18">
        <f>COUNTIFS(Sales!$H:$H,"&lt;="&amp;'Cashflow Projection'!K$5,Sales!$H:$H,"&gt;"&amp;'Cashflow Projection'!I$5,Sales!$A:$A,'Cashflow Projection'!$A14,Sales!$B:$B,'Cashflow Projection'!$B14,Sales!$F:$F,'Cashflow Projection'!$C14,Sales!$E:$E,FALSE)*$C14</f>
        <v>0</v>
      </c>
      <c r="M14" s="23">
        <f>SUMIFS(Sales!$S:$S,Sales!$H:$H,"&lt;="&amp;'Cashflow Projection'!M$5,Sales!$E:$E,FALSE,Sales!$F:$F,'Cashflow Projection'!$C14,Sales!$A:$A,'Cashflow Projection'!$A14,Sales!$B:$B,'Cashflow Projection'!$B14,Sales!$H:$H,"&gt;"&amp;'Cashflow Projection'!K$5)*$C14</f>
        <v>0</v>
      </c>
      <c r="N14" s="18">
        <f>COUNTIFS(Sales!$H:$H,"&lt;="&amp;'Cashflow Projection'!M$5,Sales!$H:$H,"&gt;"&amp;'Cashflow Projection'!K$5,Sales!$A:$A,'Cashflow Projection'!$A14,Sales!$B:$B,'Cashflow Projection'!$B14,Sales!$F:$F,'Cashflow Projection'!$C14,Sales!$E:$E,FALSE)*$C14</f>
        <v>0</v>
      </c>
      <c r="O14" s="23">
        <f>SUMIFS(Sales!$S:$S,Sales!$H:$H,"&lt;="&amp;'Cashflow Projection'!O$5,Sales!$E:$E,FALSE,Sales!$F:$F,'Cashflow Projection'!$C14,Sales!$A:$A,'Cashflow Projection'!$A14,Sales!$B:$B,'Cashflow Projection'!$B14,Sales!$H:$H,"&gt;"&amp;'Cashflow Projection'!M$5)*$C14</f>
        <v>0</v>
      </c>
      <c r="P14" s="18">
        <f>COUNTIFS(Sales!$H:$H,"&lt;="&amp;'Cashflow Projection'!O$5,Sales!$H:$H,"&gt;"&amp;'Cashflow Projection'!M$5,Sales!$A:$A,'Cashflow Projection'!$A14,Sales!$B:$B,'Cashflow Projection'!$B14,Sales!$F:$F,'Cashflow Projection'!$C14,Sales!$E:$E,FALSE)*$C14</f>
        <v>0</v>
      </c>
      <c r="Q14" s="23">
        <f>SUMIFS(Sales!$S:$S,Sales!$H:$H,"&lt;="&amp;'Cashflow Projection'!Q$5,Sales!$E:$E,FALSE,Sales!$F:$F,'Cashflow Projection'!$C14,Sales!$A:$A,'Cashflow Projection'!$A14,Sales!$B:$B,'Cashflow Projection'!$B14,Sales!$H:$H,"&gt;"&amp;'Cashflow Projection'!O$5)*$C14</f>
        <v>0</v>
      </c>
      <c r="R14" s="18">
        <f>COUNTIFS(Sales!$H:$H,"&lt;="&amp;'Cashflow Projection'!Q$5,Sales!$H:$H,"&gt;"&amp;'Cashflow Projection'!O$5,Sales!$A:$A,'Cashflow Projection'!$A14,Sales!$B:$B,'Cashflow Projection'!$B14,Sales!$F:$F,'Cashflow Projection'!$C14,Sales!$E:$E,FALSE)*$C14</f>
        <v>0</v>
      </c>
      <c r="S14" s="23">
        <f>SUMIFS(Sales!$S:$S,Sales!$H:$H,"&lt;="&amp;'Cashflow Projection'!S$5,Sales!$E:$E,FALSE,Sales!$F:$F,'Cashflow Projection'!$C14,Sales!$A:$A,'Cashflow Projection'!$A14,Sales!$B:$B,'Cashflow Projection'!$B14,Sales!$H:$H,"&gt;"&amp;'Cashflow Projection'!Q$5)*$C14</f>
        <v>0</v>
      </c>
      <c r="T14" s="18">
        <f>COUNTIFS(Sales!$H:$H,"&lt;="&amp;'Cashflow Projection'!S$5,Sales!$H:$H,"&gt;"&amp;'Cashflow Projection'!Q$5,Sales!$A:$A,'Cashflow Projection'!$A14,Sales!$B:$B,'Cashflow Projection'!$B14,Sales!$F:$F,'Cashflow Projection'!$C14,Sales!$E:$E,FALSE)*$C14</f>
        <v>0</v>
      </c>
      <c r="U14" s="23">
        <f>SUMIFS(Sales!$S:$S,Sales!$H:$H,"&lt;="&amp;'Cashflow Projection'!U$5,Sales!$E:$E,FALSE,Sales!$F:$F,'Cashflow Projection'!$C14,Sales!$A:$A,'Cashflow Projection'!$A14,Sales!$B:$B,'Cashflow Projection'!$B14,Sales!$H:$H,"&gt;"&amp;'Cashflow Projection'!S$5)*$C14</f>
        <v>0</v>
      </c>
      <c r="V14" s="18">
        <f>COUNTIFS(Sales!$H:$H,"&lt;="&amp;'Cashflow Projection'!U$5,Sales!$H:$H,"&gt;"&amp;'Cashflow Projection'!S$5,Sales!$A:$A,'Cashflow Projection'!$A14,Sales!$B:$B,'Cashflow Projection'!$B14,Sales!$F:$F,'Cashflow Projection'!$C14,Sales!$E:$E,FALSE)*$C14</f>
        <v>0</v>
      </c>
      <c r="W14" s="23">
        <f>SUMIFS(Sales!$S:$S,Sales!$H:$H,"&lt;="&amp;'Cashflow Projection'!W$5,Sales!$E:$E,FALSE,Sales!$F:$F,'Cashflow Projection'!$C14,Sales!$A:$A,'Cashflow Projection'!$A14,Sales!$B:$B,'Cashflow Projection'!$B14,Sales!$H:$H,"&gt;"&amp;'Cashflow Projection'!U$5)*$C14</f>
        <v>0</v>
      </c>
      <c r="X14" s="18">
        <f>COUNTIFS(Sales!$H:$H,"&lt;="&amp;'Cashflow Projection'!W$5,Sales!$H:$H,"&gt;"&amp;'Cashflow Projection'!U$5,Sales!$A:$A,'Cashflow Projection'!$A14,Sales!$B:$B,'Cashflow Projection'!$B14,Sales!$F:$F,'Cashflow Projection'!$C14,Sales!$E:$E,FALSE)*$C14</f>
        <v>0</v>
      </c>
      <c r="Y14" s="23">
        <f>SUMIFS(Sales!$S:$S,Sales!$H:$H,"&lt;="&amp;'Cashflow Projection'!Y$5,Sales!$E:$E,FALSE,Sales!$F:$F,'Cashflow Projection'!$C14,Sales!$A:$A,'Cashflow Projection'!$A14,Sales!$B:$B,'Cashflow Projection'!$B14,Sales!$H:$H,"&gt;"&amp;'Cashflow Projection'!W$5)*$C14</f>
        <v>0</v>
      </c>
      <c r="Z14" s="18">
        <f>COUNTIFS(Sales!$H:$H,"&lt;="&amp;'Cashflow Projection'!Y$5,Sales!$H:$H,"&gt;"&amp;'Cashflow Projection'!W$5,Sales!$A:$A,'Cashflow Projection'!$A14,Sales!$B:$B,'Cashflow Projection'!$B14,Sales!$F:$F,'Cashflow Projection'!$C14,Sales!$E:$E,FALSE)*$C14</f>
        <v>0</v>
      </c>
      <c r="AA14" s="23">
        <f>SUMIFS(Sales!$S:$S,Sales!$H:$H,"&lt;="&amp;'Cashflow Projection'!AA$5,Sales!$E:$E,FALSE,Sales!$F:$F,'Cashflow Projection'!$C14,Sales!$A:$A,'Cashflow Projection'!$A14,Sales!$B:$B,'Cashflow Projection'!$B14,Sales!$H:$H,"&gt;"&amp;'Cashflow Projection'!Y$5)*$C14</f>
        <v>0</v>
      </c>
      <c r="AB14" s="18">
        <f>COUNTIFS(Sales!$H:$H,"&lt;="&amp;'Cashflow Projection'!AA$5,Sales!$H:$H,"&gt;"&amp;'Cashflow Projection'!Y$5,Sales!$A:$A,'Cashflow Projection'!$A14,Sales!$B:$B,'Cashflow Projection'!$B14,Sales!$F:$F,'Cashflow Projection'!$C14,Sales!$E:$E,FALSE)*$C14</f>
        <v>0</v>
      </c>
      <c r="AC14" s="23">
        <f>SUMIFS(Sales!$S:$S,Sales!$H:$H,"&lt;="&amp;'Cashflow Projection'!AC$5,Sales!$E:$E,FALSE,Sales!$F:$F,'Cashflow Projection'!$C14,Sales!$A:$A,'Cashflow Projection'!$A14,Sales!$B:$B,'Cashflow Projection'!$B14,Sales!$H:$H,"&gt;"&amp;'Cashflow Projection'!AA$5)*$C14</f>
        <v>0</v>
      </c>
      <c r="AD14" s="18">
        <f>COUNTIFS(Sales!$H:$H,"&lt;="&amp;'Cashflow Projection'!AC$5,Sales!$H:$H,"&gt;"&amp;'Cashflow Projection'!AA$5,Sales!$A:$A,'Cashflow Projection'!$A14,Sales!$B:$B,'Cashflow Projection'!$B14,Sales!$F:$F,'Cashflow Projection'!$C14,Sales!$E:$E,FALSE)*$C14</f>
        <v>0</v>
      </c>
      <c r="AE14" s="23">
        <f>SUMIFS(Sales!$S:$S,Sales!$H:$H,"&lt;="&amp;'Cashflow Projection'!AE$5,Sales!$E:$E,FALSE,Sales!$F:$F,'Cashflow Projection'!$C14,Sales!$A:$A,'Cashflow Projection'!$A14,Sales!$B:$B,'Cashflow Projection'!$B14,Sales!$H:$H,"&gt;"&amp;'Cashflow Projection'!AC$5)*$C14</f>
        <v>0</v>
      </c>
      <c r="AF14" s="21">
        <f>COUNTIFS(Sales!$H:$H,"&lt;="&amp;'Cashflow Projection'!AE$5,Sales!$H:$H,"&gt;"&amp;'Cashflow Projection'!AC$5,Sales!$A:$A,'Cashflow Projection'!$A14,Sales!$B:$B,'Cashflow Projection'!$B14,Sales!$F:$F,'Cashflow Projection'!$C14,Sales!$E:$E,FALSE)*$C14</f>
        <v>0</v>
      </c>
    </row>
    <row r="15" spans="1:32" ht="29" x14ac:dyDescent="0.35">
      <c r="A15" s="15" t="s">
        <v>386</v>
      </c>
      <c r="B15" s="22" t="s">
        <v>675</v>
      </c>
      <c r="C15" s="22">
        <f t="shared" si="1"/>
        <v>1</v>
      </c>
      <c r="D15" s="23">
        <f t="shared" si="2"/>
        <v>2565512.675616438</v>
      </c>
      <c r="E15" s="18">
        <f t="shared" si="3"/>
        <v>8</v>
      </c>
      <c r="I15" s="23">
        <f>SUMIFS(Sales!$S:$S,Sales!$H:$H,"&lt;="&amp;'Cashflow Projection'!I$5,Sales!$E:$E,FALSE,Sales!$F:$F,'Cashflow Projection'!$C15,Sales!$A:$A,'Cashflow Projection'!$A15,Sales!$B:$B,'Cashflow Projection'!$B15,Sales!$H:$H,"&gt;"&amp;'Cashflow Projection'!B$2)*$C15</f>
        <v>0</v>
      </c>
      <c r="J15" s="18">
        <f>COUNTIFS(Sales!$H:$H,"&lt;="&amp;'Cashflow Projection'!I$5,Sales!$H:$H,"&gt;"&amp;'Cashflow Projection'!B$2,Sales!$A:$A,'Cashflow Projection'!$A15,Sales!$B:$B,'Cashflow Projection'!$B15,Sales!$F:$F,'Cashflow Projection'!$C15,Sales!$E:$E,FALSE)*$C15</f>
        <v>0</v>
      </c>
      <c r="K15" s="23">
        <f>SUMIFS(Sales!$S:$S,Sales!$H:$H,"&lt;="&amp;'Cashflow Projection'!K$5,Sales!$E:$E,FALSE,Sales!$F:$F,'Cashflow Projection'!$C15,Sales!$A:$A,'Cashflow Projection'!$A15,Sales!$B:$B,'Cashflow Projection'!$B15,Sales!$H:$H,"&gt;"&amp;'Cashflow Projection'!I$5)*$C15</f>
        <v>2565512.675616438</v>
      </c>
      <c r="L15" s="18">
        <f>COUNTIFS(Sales!$H:$H,"&lt;="&amp;'Cashflow Projection'!K$5,Sales!$H:$H,"&gt;"&amp;'Cashflow Projection'!I$5,Sales!$A:$A,'Cashflow Projection'!$A15,Sales!$B:$B,'Cashflow Projection'!$B15,Sales!$F:$F,'Cashflow Projection'!$C15,Sales!$E:$E,FALSE)*$C15</f>
        <v>8</v>
      </c>
      <c r="M15" s="23">
        <f>SUMIFS(Sales!$S:$S,Sales!$H:$H,"&lt;="&amp;'Cashflow Projection'!M$5,Sales!$E:$E,FALSE,Sales!$F:$F,'Cashflow Projection'!$C15,Sales!$A:$A,'Cashflow Projection'!$A15,Sales!$B:$B,'Cashflow Projection'!$B15,Sales!$H:$H,"&gt;"&amp;'Cashflow Projection'!K$5)*$C15</f>
        <v>0</v>
      </c>
      <c r="N15" s="18">
        <f>COUNTIFS(Sales!$H:$H,"&lt;="&amp;'Cashflow Projection'!M$5,Sales!$H:$H,"&gt;"&amp;'Cashflow Projection'!K$5,Sales!$A:$A,'Cashflow Projection'!$A15,Sales!$B:$B,'Cashflow Projection'!$B15,Sales!$F:$F,'Cashflow Projection'!$C15,Sales!$E:$E,FALSE)*$C15</f>
        <v>0</v>
      </c>
      <c r="O15" s="23">
        <f>SUMIFS(Sales!$S:$S,Sales!$H:$H,"&lt;="&amp;'Cashflow Projection'!O$5,Sales!$E:$E,FALSE,Sales!$F:$F,'Cashflow Projection'!$C15,Sales!$A:$A,'Cashflow Projection'!$A15,Sales!$B:$B,'Cashflow Projection'!$B15,Sales!$H:$H,"&gt;"&amp;'Cashflow Projection'!M$5)*$C15</f>
        <v>0</v>
      </c>
      <c r="P15" s="18">
        <f>COUNTIFS(Sales!$H:$H,"&lt;="&amp;'Cashflow Projection'!O$5,Sales!$H:$H,"&gt;"&amp;'Cashflow Projection'!M$5,Sales!$A:$A,'Cashflow Projection'!$A15,Sales!$B:$B,'Cashflow Projection'!$B15,Sales!$F:$F,'Cashflow Projection'!$C15,Sales!$E:$E,FALSE)*$C15</f>
        <v>0</v>
      </c>
      <c r="Q15" s="23">
        <f>SUMIFS(Sales!$S:$S,Sales!$H:$H,"&lt;="&amp;'Cashflow Projection'!Q$5,Sales!$E:$E,FALSE,Sales!$F:$F,'Cashflow Projection'!$C15,Sales!$A:$A,'Cashflow Projection'!$A15,Sales!$B:$B,'Cashflow Projection'!$B15,Sales!$H:$H,"&gt;"&amp;'Cashflow Projection'!O$5)*$C15</f>
        <v>0</v>
      </c>
      <c r="R15" s="18">
        <f>COUNTIFS(Sales!$H:$H,"&lt;="&amp;'Cashflow Projection'!Q$5,Sales!$H:$H,"&gt;"&amp;'Cashflow Projection'!O$5,Sales!$A:$A,'Cashflow Projection'!$A15,Sales!$B:$B,'Cashflow Projection'!$B15,Sales!$F:$F,'Cashflow Projection'!$C15,Sales!$E:$E,FALSE)*$C15</f>
        <v>0</v>
      </c>
      <c r="S15" s="23">
        <f>SUMIFS(Sales!$S:$S,Sales!$H:$H,"&lt;="&amp;'Cashflow Projection'!S$5,Sales!$E:$E,FALSE,Sales!$F:$F,'Cashflow Projection'!$C15,Sales!$A:$A,'Cashflow Projection'!$A15,Sales!$B:$B,'Cashflow Projection'!$B15,Sales!$H:$H,"&gt;"&amp;'Cashflow Projection'!Q$5)*$C15</f>
        <v>0</v>
      </c>
      <c r="T15" s="18">
        <f>COUNTIFS(Sales!$H:$H,"&lt;="&amp;'Cashflow Projection'!S$5,Sales!$H:$H,"&gt;"&amp;'Cashflow Projection'!Q$5,Sales!$A:$A,'Cashflow Projection'!$A15,Sales!$B:$B,'Cashflow Projection'!$B15,Sales!$F:$F,'Cashflow Projection'!$C15,Sales!$E:$E,FALSE)*$C15</f>
        <v>0</v>
      </c>
      <c r="U15" s="23">
        <f>SUMIFS(Sales!$S:$S,Sales!$H:$H,"&lt;="&amp;'Cashflow Projection'!U$5,Sales!$E:$E,FALSE,Sales!$F:$F,'Cashflow Projection'!$C15,Sales!$A:$A,'Cashflow Projection'!$A15,Sales!$B:$B,'Cashflow Projection'!$B15,Sales!$H:$H,"&gt;"&amp;'Cashflow Projection'!S$5)*$C15</f>
        <v>0</v>
      </c>
      <c r="V15" s="18">
        <f>COUNTIFS(Sales!$H:$H,"&lt;="&amp;'Cashflow Projection'!U$5,Sales!$H:$H,"&gt;"&amp;'Cashflow Projection'!S$5,Sales!$A:$A,'Cashflow Projection'!$A15,Sales!$B:$B,'Cashflow Projection'!$B15,Sales!$F:$F,'Cashflow Projection'!$C15,Sales!$E:$E,FALSE)*$C15</f>
        <v>0</v>
      </c>
      <c r="W15" s="23">
        <f>SUMIFS(Sales!$S:$S,Sales!$H:$H,"&lt;="&amp;'Cashflow Projection'!W$5,Sales!$E:$E,FALSE,Sales!$F:$F,'Cashflow Projection'!$C15,Sales!$A:$A,'Cashflow Projection'!$A15,Sales!$B:$B,'Cashflow Projection'!$B15,Sales!$H:$H,"&gt;"&amp;'Cashflow Projection'!U$5)*$C15</f>
        <v>0</v>
      </c>
      <c r="X15" s="18">
        <f>COUNTIFS(Sales!$H:$H,"&lt;="&amp;'Cashflow Projection'!W$5,Sales!$H:$H,"&gt;"&amp;'Cashflow Projection'!U$5,Sales!$A:$A,'Cashflow Projection'!$A15,Sales!$B:$B,'Cashflow Projection'!$B15,Sales!$F:$F,'Cashflow Projection'!$C15,Sales!$E:$E,FALSE)*$C15</f>
        <v>0</v>
      </c>
      <c r="Y15" s="23">
        <f>SUMIFS(Sales!$S:$S,Sales!$H:$H,"&lt;="&amp;'Cashflow Projection'!Y$5,Sales!$E:$E,FALSE,Sales!$F:$F,'Cashflow Projection'!$C15,Sales!$A:$A,'Cashflow Projection'!$A15,Sales!$B:$B,'Cashflow Projection'!$B15,Sales!$H:$H,"&gt;"&amp;'Cashflow Projection'!W$5)*$C15</f>
        <v>0</v>
      </c>
      <c r="Z15" s="18">
        <f>COUNTIFS(Sales!$H:$H,"&lt;="&amp;'Cashflow Projection'!Y$5,Sales!$H:$H,"&gt;"&amp;'Cashflow Projection'!W$5,Sales!$A:$A,'Cashflow Projection'!$A15,Sales!$B:$B,'Cashflow Projection'!$B15,Sales!$F:$F,'Cashflow Projection'!$C15,Sales!$E:$E,FALSE)*$C15</f>
        <v>0</v>
      </c>
      <c r="AA15" s="23">
        <f>SUMIFS(Sales!$S:$S,Sales!$H:$H,"&lt;="&amp;'Cashflow Projection'!AA$5,Sales!$E:$E,FALSE,Sales!$F:$F,'Cashflow Projection'!$C15,Sales!$A:$A,'Cashflow Projection'!$A15,Sales!$B:$B,'Cashflow Projection'!$B15,Sales!$H:$H,"&gt;"&amp;'Cashflow Projection'!Y$5)*$C15</f>
        <v>0</v>
      </c>
      <c r="AB15" s="18">
        <f>COUNTIFS(Sales!$H:$H,"&lt;="&amp;'Cashflow Projection'!AA$5,Sales!$H:$H,"&gt;"&amp;'Cashflow Projection'!Y$5,Sales!$A:$A,'Cashflow Projection'!$A15,Sales!$B:$B,'Cashflow Projection'!$B15,Sales!$F:$F,'Cashflow Projection'!$C15,Sales!$E:$E,FALSE)*$C15</f>
        <v>0</v>
      </c>
      <c r="AC15" s="23">
        <f>SUMIFS(Sales!$S:$S,Sales!$H:$H,"&lt;="&amp;'Cashflow Projection'!AC$5,Sales!$E:$E,FALSE,Sales!$F:$F,'Cashflow Projection'!$C15,Sales!$A:$A,'Cashflow Projection'!$A15,Sales!$B:$B,'Cashflow Projection'!$B15,Sales!$H:$H,"&gt;"&amp;'Cashflow Projection'!AA$5)*$C15</f>
        <v>0</v>
      </c>
      <c r="AD15" s="18">
        <f>COUNTIFS(Sales!$H:$H,"&lt;="&amp;'Cashflow Projection'!AC$5,Sales!$H:$H,"&gt;"&amp;'Cashflow Projection'!AA$5,Sales!$A:$A,'Cashflow Projection'!$A15,Sales!$B:$B,'Cashflow Projection'!$B15,Sales!$F:$F,'Cashflow Projection'!$C15,Sales!$E:$E,FALSE)*$C15</f>
        <v>0</v>
      </c>
      <c r="AE15" s="23">
        <f>SUMIFS(Sales!$S:$S,Sales!$H:$H,"&lt;="&amp;'Cashflow Projection'!AE$5,Sales!$E:$E,FALSE,Sales!$F:$F,'Cashflow Projection'!$C15,Sales!$A:$A,'Cashflow Projection'!$A15,Sales!$B:$B,'Cashflow Projection'!$B15,Sales!$H:$H,"&gt;"&amp;'Cashflow Projection'!AC$5)*$C15</f>
        <v>0</v>
      </c>
      <c r="AF15" s="21">
        <f>COUNTIFS(Sales!$H:$H,"&lt;="&amp;'Cashflow Projection'!AE$5,Sales!$H:$H,"&gt;"&amp;'Cashflow Projection'!AC$5,Sales!$A:$A,'Cashflow Projection'!$A15,Sales!$B:$B,'Cashflow Projection'!$B15,Sales!$F:$F,'Cashflow Projection'!$C15,Sales!$E:$E,FALSE)*$C15</f>
        <v>0</v>
      </c>
    </row>
    <row r="16" spans="1:32" ht="29" x14ac:dyDescent="0.35">
      <c r="A16" s="15" t="s">
        <v>386</v>
      </c>
      <c r="B16" s="22" t="s">
        <v>684</v>
      </c>
      <c r="C16" s="22">
        <f t="shared" si="1"/>
        <v>0</v>
      </c>
      <c r="D16" s="23">
        <f t="shared" si="2"/>
        <v>0</v>
      </c>
      <c r="E16" s="18">
        <f t="shared" si="3"/>
        <v>0</v>
      </c>
      <c r="I16" s="23">
        <f>SUMIFS(Sales!$S:$S,Sales!$H:$H,"&lt;="&amp;'Cashflow Projection'!I$5,Sales!$E:$E,FALSE,Sales!$F:$F,'Cashflow Projection'!$C16,Sales!$A:$A,'Cashflow Projection'!$A16,Sales!$B:$B,'Cashflow Projection'!$B16,Sales!$H:$H,"&gt;"&amp;'Cashflow Projection'!B$2)*$C16</f>
        <v>0</v>
      </c>
      <c r="J16" s="18">
        <f>COUNTIFS(Sales!$H:$H,"&lt;="&amp;'Cashflow Projection'!I$5,Sales!$H:$H,"&gt;"&amp;'Cashflow Projection'!B$2,Sales!$A:$A,'Cashflow Projection'!$A16,Sales!$B:$B,'Cashflow Projection'!$B16,Sales!$F:$F,'Cashflow Projection'!$C16,Sales!$E:$E,FALSE)*$C16</f>
        <v>0</v>
      </c>
      <c r="K16" s="23">
        <f>SUMIFS(Sales!$S:$S,Sales!$H:$H,"&lt;="&amp;'Cashflow Projection'!K$5,Sales!$E:$E,FALSE,Sales!$F:$F,'Cashflow Projection'!$C16,Sales!$A:$A,'Cashflow Projection'!$A16,Sales!$B:$B,'Cashflow Projection'!$B16,Sales!$H:$H,"&gt;"&amp;'Cashflow Projection'!I$5)*$C16</f>
        <v>0</v>
      </c>
      <c r="L16" s="18">
        <f>COUNTIFS(Sales!$H:$H,"&lt;="&amp;'Cashflow Projection'!K$5,Sales!$H:$H,"&gt;"&amp;'Cashflow Projection'!I$5,Sales!$A:$A,'Cashflow Projection'!$A16,Sales!$B:$B,'Cashflow Projection'!$B16,Sales!$F:$F,'Cashflow Projection'!$C16,Sales!$E:$E,FALSE)*$C16</f>
        <v>0</v>
      </c>
      <c r="M16" s="23">
        <f>SUMIFS(Sales!$S:$S,Sales!$H:$H,"&lt;="&amp;'Cashflow Projection'!M$5,Sales!$E:$E,FALSE,Sales!$F:$F,'Cashflow Projection'!$C16,Sales!$A:$A,'Cashflow Projection'!$A16,Sales!$B:$B,'Cashflow Projection'!$B16,Sales!$H:$H,"&gt;"&amp;'Cashflow Projection'!K$5)*$C16</f>
        <v>0</v>
      </c>
      <c r="N16" s="18">
        <f>COUNTIFS(Sales!$H:$H,"&lt;="&amp;'Cashflow Projection'!M$5,Sales!$H:$H,"&gt;"&amp;'Cashflow Projection'!K$5,Sales!$A:$A,'Cashflow Projection'!$A16,Sales!$B:$B,'Cashflow Projection'!$B16,Sales!$F:$F,'Cashflow Projection'!$C16,Sales!$E:$E,FALSE)*$C16</f>
        <v>0</v>
      </c>
      <c r="O16" s="23">
        <f>SUMIFS(Sales!$S:$S,Sales!$H:$H,"&lt;="&amp;'Cashflow Projection'!O$5,Sales!$E:$E,FALSE,Sales!$F:$F,'Cashflow Projection'!$C16,Sales!$A:$A,'Cashflow Projection'!$A16,Sales!$B:$B,'Cashflow Projection'!$B16,Sales!$H:$H,"&gt;"&amp;'Cashflow Projection'!M$5)*$C16</f>
        <v>0</v>
      </c>
      <c r="P16" s="18">
        <f>COUNTIFS(Sales!$H:$H,"&lt;="&amp;'Cashflow Projection'!O$5,Sales!$H:$H,"&gt;"&amp;'Cashflow Projection'!M$5,Sales!$A:$A,'Cashflow Projection'!$A16,Sales!$B:$B,'Cashflow Projection'!$B16,Sales!$F:$F,'Cashflow Projection'!$C16,Sales!$E:$E,FALSE)*$C16</f>
        <v>0</v>
      </c>
      <c r="Q16" s="23">
        <f>SUMIFS(Sales!$S:$S,Sales!$H:$H,"&lt;="&amp;'Cashflow Projection'!Q$5,Sales!$E:$E,FALSE,Sales!$F:$F,'Cashflow Projection'!$C16,Sales!$A:$A,'Cashflow Projection'!$A16,Sales!$B:$B,'Cashflow Projection'!$B16,Sales!$H:$H,"&gt;"&amp;'Cashflow Projection'!O$5)*$C16</f>
        <v>0</v>
      </c>
      <c r="R16" s="18">
        <f>COUNTIFS(Sales!$H:$H,"&lt;="&amp;'Cashflow Projection'!Q$5,Sales!$H:$H,"&gt;"&amp;'Cashflow Projection'!O$5,Sales!$A:$A,'Cashflow Projection'!$A16,Sales!$B:$B,'Cashflow Projection'!$B16,Sales!$F:$F,'Cashflow Projection'!$C16,Sales!$E:$E,FALSE)*$C16</f>
        <v>0</v>
      </c>
      <c r="S16" s="23">
        <f>SUMIFS(Sales!$S:$S,Sales!$H:$H,"&lt;="&amp;'Cashflow Projection'!S$5,Sales!$E:$E,FALSE,Sales!$F:$F,'Cashflow Projection'!$C16,Sales!$A:$A,'Cashflow Projection'!$A16,Sales!$B:$B,'Cashflow Projection'!$B16,Sales!$H:$H,"&gt;"&amp;'Cashflow Projection'!Q$5)*$C16</f>
        <v>0</v>
      </c>
      <c r="T16" s="18">
        <f>COUNTIFS(Sales!$H:$H,"&lt;="&amp;'Cashflow Projection'!S$5,Sales!$H:$H,"&gt;"&amp;'Cashflow Projection'!Q$5,Sales!$A:$A,'Cashflow Projection'!$A16,Sales!$B:$B,'Cashflow Projection'!$B16,Sales!$F:$F,'Cashflow Projection'!$C16,Sales!$E:$E,FALSE)*$C16</f>
        <v>0</v>
      </c>
      <c r="U16" s="23">
        <f>SUMIFS(Sales!$S:$S,Sales!$H:$H,"&lt;="&amp;'Cashflow Projection'!U$5,Sales!$E:$E,FALSE,Sales!$F:$F,'Cashflow Projection'!$C16,Sales!$A:$A,'Cashflow Projection'!$A16,Sales!$B:$B,'Cashflow Projection'!$B16,Sales!$H:$H,"&gt;"&amp;'Cashflow Projection'!S$5)*$C16</f>
        <v>0</v>
      </c>
      <c r="V16" s="18">
        <f>COUNTIFS(Sales!$H:$H,"&lt;="&amp;'Cashflow Projection'!U$5,Sales!$H:$H,"&gt;"&amp;'Cashflow Projection'!S$5,Sales!$A:$A,'Cashflow Projection'!$A16,Sales!$B:$B,'Cashflow Projection'!$B16,Sales!$F:$F,'Cashflow Projection'!$C16,Sales!$E:$E,FALSE)*$C16</f>
        <v>0</v>
      </c>
      <c r="W16" s="23">
        <f>SUMIFS(Sales!$S:$S,Sales!$H:$H,"&lt;="&amp;'Cashflow Projection'!W$5,Sales!$E:$E,FALSE,Sales!$F:$F,'Cashflow Projection'!$C16,Sales!$A:$A,'Cashflow Projection'!$A16,Sales!$B:$B,'Cashflow Projection'!$B16,Sales!$H:$H,"&gt;"&amp;'Cashflow Projection'!U$5)*$C16</f>
        <v>0</v>
      </c>
      <c r="X16" s="18">
        <f>COUNTIFS(Sales!$H:$H,"&lt;="&amp;'Cashflow Projection'!W$5,Sales!$H:$H,"&gt;"&amp;'Cashflow Projection'!U$5,Sales!$A:$A,'Cashflow Projection'!$A16,Sales!$B:$B,'Cashflow Projection'!$B16,Sales!$F:$F,'Cashflow Projection'!$C16,Sales!$E:$E,FALSE)*$C16</f>
        <v>0</v>
      </c>
      <c r="Y16" s="23">
        <f>SUMIFS(Sales!$S:$S,Sales!$H:$H,"&lt;="&amp;'Cashflow Projection'!Y$5,Sales!$E:$E,FALSE,Sales!$F:$F,'Cashflow Projection'!$C16,Sales!$A:$A,'Cashflow Projection'!$A16,Sales!$B:$B,'Cashflow Projection'!$B16,Sales!$H:$H,"&gt;"&amp;'Cashflow Projection'!W$5)*$C16</f>
        <v>0</v>
      </c>
      <c r="Z16" s="18">
        <f>COUNTIFS(Sales!$H:$H,"&lt;="&amp;'Cashflow Projection'!Y$5,Sales!$H:$H,"&gt;"&amp;'Cashflow Projection'!W$5,Sales!$A:$A,'Cashflow Projection'!$A16,Sales!$B:$B,'Cashflow Projection'!$B16,Sales!$F:$F,'Cashflow Projection'!$C16,Sales!$E:$E,FALSE)*$C16</f>
        <v>0</v>
      </c>
      <c r="AA16" s="23">
        <f>SUMIFS(Sales!$S:$S,Sales!$H:$H,"&lt;="&amp;'Cashflow Projection'!AA$5,Sales!$E:$E,FALSE,Sales!$F:$F,'Cashflow Projection'!$C16,Sales!$A:$A,'Cashflow Projection'!$A16,Sales!$B:$B,'Cashflow Projection'!$B16,Sales!$H:$H,"&gt;"&amp;'Cashflow Projection'!Y$5)*$C16</f>
        <v>0</v>
      </c>
      <c r="AB16" s="18">
        <f>COUNTIFS(Sales!$H:$H,"&lt;="&amp;'Cashflow Projection'!AA$5,Sales!$H:$H,"&gt;"&amp;'Cashflow Projection'!Y$5,Sales!$A:$A,'Cashflow Projection'!$A16,Sales!$B:$B,'Cashflow Projection'!$B16,Sales!$F:$F,'Cashflow Projection'!$C16,Sales!$E:$E,FALSE)*$C16</f>
        <v>0</v>
      </c>
      <c r="AC16" s="23">
        <f>SUMIFS(Sales!$S:$S,Sales!$H:$H,"&lt;="&amp;'Cashflow Projection'!AC$5,Sales!$E:$E,FALSE,Sales!$F:$F,'Cashflow Projection'!$C16,Sales!$A:$A,'Cashflow Projection'!$A16,Sales!$B:$B,'Cashflow Projection'!$B16,Sales!$H:$H,"&gt;"&amp;'Cashflow Projection'!AA$5)*$C16</f>
        <v>0</v>
      </c>
      <c r="AD16" s="18">
        <f>COUNTIFS(Sales!$H:$H,"&lt;="&amp;'Cashflow Projection'!AC$5,Sales!$H:$H,"&gt;"&amp;'Cashflow Projection'!AA$5,Sales!$A:$A,'Cashflow Projection'!$A16,Sales!$B:$B,'Cashflow Projection'!$B16,Sales!$F:$F,'Cashflow Projection'!$C16,Sales!$E:$E,FALSE)*$C16</f>
        <v>0</v>
      </c>
      <c r="AE16" s="23">
        <f>SUMIFS(Sales!$S:$S,Sales!$H:$H,"&lt;="&amp;'Cashflow Projection'!AE$5,Sales!$E:$E,FALSE,Sales!$F:$F,'Cashflow Projection'!$C16,Sales!$A:$A,'Cashflow Projection'!$A16,Sales!$B:$B,'Cashflow Projection'!$B16,Sales!$H:$H,"&gt;"&amp;'Cashflow Projection'!AC$5)*$C16</f>
        <v>0</v>
      </c>
      <c r="AF16" s="21">
        <f>COUNTIFS(Sales!$H:$H,"&lt;="&amp;'Cashflow Projection'!AE$5,Sales!$H:$H,"&gt;"&amp;'Cashflow Projection'!AC$5,Sales!$A:$A,'Cashflow Projection'!$A16,Sales!$B:$B,'Cashflow Projection'!$B16,Sales!$F:$F,'Cashflow Projection'!$C16,Sales!$E:$E,FALSE)*$C16</f>
        <v>0</v>
      </c>
    </row>
    <row r="17" spans="1:32" ht="29" x14ac:dyDescent="0.35">
      <c r="A17" s="15" t="s">
        <v>386</v>
      </c>
      <c r="B17" s="22" t="s">
        <v>711</v>
      </c>
      <c r="C17" s="22">
        <f t="shared" si="1"/>
        <v>0</v>
      </c>
      <c r="D17" s="23">
        <f t="shared" si="2"/>
        <v>0</v>
      </c>
      <c r="E17" s="18">
        <f t="shared" si="3"/>
        <v>0</v>
      </c>
      <c r="I17" s="23">
        <f>SUMIFS(Sales!$S:$S,Sales!$H:$H,"&lt;="&amp;'Cashflow Projection'!I$5,Sales!$E:$E,FALSE,Sales!$F:$F,'Cashflow Projection'!$C17,Sales!$A:$A,'Cashflow Projection'!$A17,Sales!$B:$B,'Cashflow Projection'!$B17,Sales!$H:$H,"&gt;"&amp;'Cashflow Projection'!B$2)*$C17</f>
        <v>0</v>
      </c>
      <c r="J17" s="18">
        <f>COUNTIFS(Sales!$H:$H,"&lt;="&amp;'Cashflow Projection'!I$5,Sales!$H:$H,"&gt;"&amp;'Cashflow Projection'!B$2,Sales!$A:$A,'Cashflow Projection'!$A17,Sales!$B:$B,'Cashflow Projection'!$B17,Sales!$F:$F,'Cashflow Projection'!$C17,Sales!$E:$E,FALSE)*$C17</f>
        <v>0</v>
      </c>
      <c r="K17" s="23">
        <f>SUMIFS(Sales!$S:$S,Sales!$H:$H,"&lt;="&amp;'Cashflow Projection'!K$5,Sales!$E:$E,FALSE,Sales!$F:$F,'Cashflow Projection'!$C17,Sales!$A:$A,'Cashflow Projection'!$A17,Sales!$B:$B,'Cashflow Projection'!$B17,Sales!$H:$H,"&gt;"&amp;'Cashflow Projection'!I$5)*$C17</f>
        <v>0</v>
      </c>
      <c r="L17" s="18">
        <f>COUNTIFS(Sales!$H:$H,"&lt;="&amp;'Cashflow Projection'!K$5,Sales!$H:$H,"&gt;"&amp;'Cashflow Projection'!I$5,Sales!$A:$A,'Cashflow Projection'!$A17,Sales!$B:$B,'Cashflow Projection'!$B17,Sales!$F:$F,'Cashflow Projection'!$C17,Sales!$E:$E,FALSE)*$C17</f>
        <v>0</v>
      </c>
      <c r="M17" s="23">
        <f>SUMIFS(Sales!$S:$S,Sales!$H:$H,"&lt;="&amp;'Cashflow Projection'!M$5,Sales!$E:$E,FALSE,Sales!$F:$F,'Cashflow Projection'!$C17,Sales!$A:$A,'Cashflow Projection'!$A17,Sales!$B:$B,'Cashflow Projection'!$B17,Sales!$H:$H,"&gt;"&amp;'Cashflow Projection'!K$5)*$C17</f>
        <v>0</v>
      </c>
      <c r="N17" s="18">
        <f>COUNTIFS(Sales!$H:$H,"&lt;="&amp;'Cashflow Projection'!M$5,Sales!$H:$H,"&gt;"&amp;'Cashflow Projection'!K$5,Sales!$A:$A,'Cashflow Projection'!$A17,Sales!$B:$B,'Cashflow Projection'!$B17,Sales!$F:$F,'Cashflow Projection'!$C17,Sales!$E:$E,FALSE)*$C17</f>
        <v>0</v>
      </c>
      <c r="O17" s="23">
        <f>SUMIFS(Sales!$S:$S,Sales!$H:$H,"&lt;="&amp;'Cashflow Projection'!O$5,Sales!$E:$E,FALSE,Sales!$F:$F,'Cashflow Projection'!$C17,Sales!$A:$A,'Cashflow Projection'!$A17,Sales!$B:$B,'Cashflow Projection'!$B17,Sales!$H:$H,"&gt;"&amp;'Cashflow Projection'!M$5)*$C17</f>
        <v>0</v>
      </c>
      <c r="P17" s="18">
        <f>COUNTIFS(Sales!$H:$H,"&lt;="&amp;'Cashflow Projection'!O$5,Sales!$H:$H,"&gt;"&amp;'Cashflow Projection'!M$5,Sales!$A:$A,'Cashflow Projection'!$A17,Sales!$B:$B,'Cashflow Projection'!$B17,Sales!$F:$F,'Cashflow Projection'!$C17,Sales!$E:$E,FALSE)*$C17</f>
        <v>0</v>
      </c>
      <c r="Q17" s="23">
        <f>SUMIFS(Sales!$S:$S,Sales!$H:$H,"&lt;="&amp;'Cashflow Projection'!Q$5,Sales!$E:$E,FALSE,Sales!$F:$F,'Cashflow Projection'!$C17,Sales!$A:$A,'Cashflow Projection'!$A17,Sales!$B:$B,'Cashflow Projection'!$B17,Sales!$H:$H,"&gt;"&amp;'Cashflow Projection'!O$5)*$C17</f>
        <v>0</v>
      </c>
      <c r="R17" s="18">
        <f>COUNTIFS(Sales!$H:$H,"&lt;="&amp;'Cashflow Projection'!Q$5,Sales!$H:$H,"&gt;"&amp;'Cashflow Projection'!O$5,Sales!$A:$A,'Cashflow Projection'!$A17,Sales!$B:$B,'Cashflow Projection'!$B17,Sales!$F:$F,'Cashflow Projection'!$C17,Sales!$E:$E,FALSE)*$C17</f>
        <v>0</v>
      </c>
      <c r="S17" s="23">
        <f>SUMIFS(Sales!$S:$S,Sales!$H:$H,"&lt;="&amp;'Cashflow Projection'!S$5,Sales!$E:$E,FALSE,Sales!$F:$F,'Cashflow Projection'!$C17,Sales!$A:$A,'Cashflow Projection'!$A17,Sales!$B:$B,'Cashflow Projection'!$B17,Sales!$H:$H,"&gt;"&amp;'Cashflow Projection'!Q$5)*$C17</f>
        <v>0</v>
      </c>
      <c r="T17" s="18">
        <f>COUNTIFS(Sales!$H:$H,"&lt;="&amp;'Cashflow Projection'!S$5,Sales!$H:$H,"&gt;"&amp;'Cashflow Projection'!Q$5,Sales!$A:$A,'Cashflow Projection'!$A17,Sales!$B:$B,'Cashflow Projection'!$B17,Sales!$F:$F,'Cashflow Projection'!$C17,Sales!$E:$E,FALSE)*$C17</f>
        <v>0</v>
      </c>
      <c r="U17" s="23">
        <f>SUMIFS(Sales!$S:$S,Sales!$H:$H,"&lt;="&amp;'Cashflow Projection'!U$5,Sales!$E:$E,FALSE,Sales!$F:$F,'Cashflow Projection'!$C17,Sales!$A:$A,'Cashflow Projection'!$A17,Sales!$B:$B,'Cashflow Projection'!$B17,Sales!$H:$H,"&gt;"&amp;'Cashflow Projection'!S$5)*$C17</f>
        <v>0</v>
      </c>
      <c r="V17" s="18">
        <f>COUNTIFS(Sales!$H:$H,"&lt;="&amp;'Cashflow Projection'!U$5,Sales!$H:$H,"&gt;"&amp;'Cashflow Projection'!S$5,Sales!$A:$A,'Cashflow Projection'!$A17,Sales!$B:$B,'Cashflow Projection'!$B17,Sales!$F:$F,'Cashflow Projection'!$C17,Sales!$E:$E,FALSE)*$C17</f>
        <v>0</v>
      </c>
      <c r="W17" s="23">
        <f>SUMIFS(Sales!$S:$S,Sales!$H:$H,"&lt;="&amp;'Cashflow Projection'!W$5,Sales!$E:$E,FALSE,Sales!$F:$F,'Cashflow Projection'!$C17,Sales!$A:$A,'Cashflow Projection'!$A17,Sales!$B:$B,'Cashflow Projection'!$B17,Sales!$H:$H,"&gt;"&amp;'Cashflow Projection'!U$5)*$C17</f>
        <v>0</v>
      </c>
      <c r="X17" s="18">
        <f>COUNTIFS(Sales!$H:$H,"&lt;="&amp;'Cashflow Projection'!W$5,Sales!$H:$H,"&gt;"&amp;'Cashflow Projection'!U$5,Sales!$A:$A,'Cashflow Projection'!$A17,Sales!$B:$B,'Cashflow Projection'!$B17,Sales!$F:$F,'Cashflow Projection'!$C17,Sales!$E:$E,FALSE)*$C17</f>
        <v>0</v>
      </c>
      <c r="Y17" s="23">
        <f>SUMIFS(Sales!$S:$S,Sales!$H:$H,"&lt;="&amp;'Cashflow Projection'!Y$5,Sales!$E:$E,FALSE,Sales!$F:$F,'Cashflow Projection'!$C17,Sales!$A:$A,'Cashflow Projection'!$A17,Sales!$B:$B,'Cashflow Projection'!$B17,Sales!$H:$H,"&gt;"&amp;'Cashflow Projection'!W$5)*$C17</f>
        <v>0</v>
      </c>
      <c r="Z17" s="18">
        <f>COUNTIFS(Sales!$H:$H,"&lt;="&amp;'Cashflow Projection'!Y$5,Sales!$H:$H,"&gt;"&amp;'Cashflow Projection'!W$5,Sales!$A:$A,'Cashflow Projection'!$A17,Sales!$B:$B,'Cashflow Projection'!$B17,Sales!$F:$F,'Cashflow Projection'!$C17,Sales!$E:$E,FALSE)*$C17</f>
        <v>0</v>
      </c>
      <c r="AA17" s="23">
        <f>SUMIFS(Sales!$S:$S,Sales!$H:$H,"&lt;="&amp;'Cashflow Projection'!AA$5,Sales!$E:$E,FALSE,Sales!$F:$F,'Cashflow Projection'!$C17,Sales!$A:$A,'Cashflow Projection'!$A17,Sales!$B:$B,'Cashflow Projection'!$B17,Sales!$H:$H,"&gt;"&amp;'Cashflow Projection'!Y$5)*$C17</f>
        <v>0</v>
      </c>
      <c r="AB17" s="18">
        <f>COUNTIFS(Sales!$H:$H,"&lt;="&amp;'Cashflow Projection'!AA$5,Sales!$H:$H,"&gt;"&amp;'Cashflow Projection'!Y$5,Sales!$A:$A,'Cashflow Projection'!$A17,Sales!$B:$B,'Cashflow Projection'!$B17,Sales!$F:$F,'Cashflow Projection'!$C17,Sales!$E:$E,FALSE)*$C17</f>
        <v>0</v>
      </c>
      <c r="AC17" s="23">
        <f>SUMIFS(Sales!$S:$S,Sales!$H:$H,"&lt;="&amp;'Cashflow Projection'!AC$5,Sales!$E:$E,FALSE,Sales!$F:$F,'Cashflow Projection'!$C17,Sales!$A:$A,'Cashflow Projection'!$A17,Sales!$B:$B,'Cashflow Projection'!$B17,Sales!$H:$H,"&gt;"&amp;'Cashflow Projection'!AA$5)*$C17</f>
        <v>0</v>
      </c>
      <c r="AD17" s="18">
        <f>COUNTIFS(Sales!$H:$H,"&lt;="&amp;'Cashflow Projection'!AC$5,Sales!$H:$H,"&gt;"&amp;'Cashflow Projection'!AA$5,Sales!$A:$A,'Cashflow Projection'!$A17,Sales!$B:$B,'Cashflow Projection'!$B17,Sales!$F:$F,'Cashflow Projection'!$C17,Sales!$E:$E,FALSE)*$C17</f>
        <v>0</v>
      </c>
      <c r="AE17" s="23">
        <f>SUMIFS(Sales!$S:$S,Sales!$H:$H,"&lt;="&amp;'Cashflow Projection'!AE$5,Sales!$E:$E,FALSE,Sales!$F:$F,'Cashflow Projection'!$C17,Sales!$A:$A,'Cashflow Projection'!$A17,Sales!$B:$B,'Cashflow Projection'!$B17,Sales!$H:$H,"&gt;"&amp;'Cashflow Projection'!AC$5)*$C17</f>
        <v>0</v>
      </c>
      <c r="AF17" s="21">
        <f>COUNTIFS(Sales!$H:$H,"&lt;="&amp;'Cashflow Projection'!AE$5,Sales!$H:$H,"&gt;"&amp;'Cashflow Projection'!AC$5,Sales!$A:$A,'Cashflow Projection'!$A17,Sales!$B:$B,'Cashflow Projection'!$B17,Sales!$F:$F,'Cashflow Projection'!$C17,Sales!$E:$E,FALSE)*$C17</f>
        <v>0</v>
      </c>
    </row>
    <row r="18" spans="1:32" ht="29" x14ac:dyDescent="0.35">
      <c r="A18" s="15" t="s">
        <v>386</v>
      </c>
      <c r="B18" s="22" t="s">
        <v>750</v>
      </c>
      <c r="C18" s="22">
        <f t="shared" si="1"/>
        <v>0</v>
      </c>
      <c r="D18" s="23">
        <f t="shared" si="2"/>
        <v>0</v>
      </c>
      <c r="E18" s="18">
        <f t="shared" si="3"/>
        <v>0</v>
      </c>
      <c r="I18" s="23">
        <f>SUMIFS(Sales!$S:$S,Sales!$H:$H,"&lt;="&amp;'Cashflow Projection'!I$5,Sales!$E:$E,FALSE,Sales!$F:$F,'Cashflow Projection'!$C18,Sales!$A:$A,'Cashflow Projection'!$A18,Sales!$B:$B,'Cashflow Projection'!$B18,Sales!$H:$H,"&gt;"&amp;'Cashflow Projection'!B$2)*$C18</f>
        <v>0</v>
      </c>
      <c r="J18" s="18">
        <f>COUNTIFS(Sales!$H:$H,"&lt;="&amp;'Cashflow Projection'!I$5,Sales!$H:$H,"&gt;"&amp;'Cashflow Projection'!B$2,Sales!$A:$A,'Cashflow Projection'!$A18,Sales!$B:$B,'Cashflow Projection'!$B18,Sales!$F:$F,'Cashflow Projection'!$C18,Sales!$E:$E,FALSE)*$C18</f>
        <v>0</v>
      </c>
      <c r="K18" s="23">
        <f>SUMIFS(Sales!$S:$S,Sales!$H:$H,"&lt;="&amp;'Cashflow Projection'!K$5,Sales!$E:$E,FALSE,Sales!$F:$F,'Cashflow Projection'!$C18,Sales!$A:$A,'Cashflow Projection'!$A18,Sales!$B:$B,'Cashflow Projection'!$B18,Sales!$H:$H,"&gt;"&amp;'Cashflow Projection'!I$5)*$C18</f>
        <v>0</v>
      </c>
      <c r="L18" s="18">
        <f>COUNTIFS(Sales!$H:$H,"&lt;="&amp;'Cashflow Projection'!K$5,Sales!$H:$H,"&gt;"&amp;'Cashflow Projection'!I$5,Sales!$A:$A,'Cashflow Projection'!$A18,Sales!$B:$B,'Cashflow Projection'!$B18,Sales!$F:$F,'Cashflow Projection'!$C18,Sales!$E:$E,FALSE)*$C18</f>
        <v>0</v>
      </c>
      <c r="M18" s="23">
        <f>SUMIFS(Sales!$S:$S,Sales!$H:$H,"&lt;="&amp;'Cashflow Projection'!M$5,Sales!$E:$E,FALSE,Sales!$F:$F,'Cashflow Projection'!$C18,Sales!$A:$A,'Cashflow Projection'!$A18,Sales!$B:$B,'Cashflow Projection'!$B18,Sales!$H:$H,"&gt;"&amp;'Cashflow Projection'!K$5)*$C18</f>
        <v>0</v>
      </c>
      <c r="N18" s="18">
        <f>COUNTIFS(Sales!$H:$H,"&lt;="&amp;'Cashflow Projection'!M$5,Sales!$H:$H,"&gt;"&amp;'Cashflow Projection'!K$5,Sales!$A:$A,'Cashflow Projection'!$A18,Sales!$B:$B,'Cashflow Projection'!$B18,Sales!$F:$F,'Cashflow Projection'!$C18,Sales!$E:$E,FALSE)*$C18</f>
        <v>0</v>
      </c>
      <c r="O18" s="23">
        <f>SUMIFS(Sales!$S:$S,Sales!$H:$H,"&lt;="&amp;'Cashflow Projection'!O$5,Sales!$E:$E,FALSE,Sales!$F:$F,'Cashflow Projection'!$C18,Sales!$A:$A,'Cashflow Projection'!$A18,Sales!$B:$B,'Cashflow Projection'!$B18,Sales!$H:$H,"&gt;"&amp;'Cashflow Projection'!M$5)*$C18</f>
        <v>0</v>
      </c>
      <c r="P18" s="18">
        <f>COUNTIFS(Sales!$H:$H,"&lt;="&amp;'Cashflow Projection'!O$5,Sales!$H:$H,"&gt;"&amp;'Cashflow Projection'!M$5,Sales!$A:$A,'Cashflow Projection'!$A18,Sales!$B:$B,'Cashflow Projection'!$B18,Sales!$F:$F,'Cashflow Projection'!$C18,Sales!$E:$E,FALSE)*$C18</f>
        <v>0</v>
      </c>
      <c r="Q18" s="23">
        <f>SUMIFS(Sales!$S:$S,Sales!$H:$H,"&lt;="&amp;'Cashflow Projection'!Q$5,Sales!$E:$E,FALSE,Sales!$F:$F,'Cashflow Projection'!$C18,Sales!$A:$A,'Cashflow Projection'!$A18,Sales!$B:$B,'Cashflow Projection'!$B18,Sales!$H:$H,"&gt;"&amp;'Cashflow Projection'!O$5)*$C18</f>
        <v>0</v>
      </c>
      <c r="R18" s="18">
        <f>COUNTIFS(Sales!$H:$H,"&lt;="&amp;'Cashflow Projection'!Q$5,Sales!$H:$H,"&gt;"&amp;'Cashflow Projection'!O$5,Sales!$A:$A,'Cashflow Projection'!$A18,Sales!$B:$B,'Cashflow Projection'!$B18,Sales!$F:$F,'Cashflow Projection'!$C18,Sales!$E:$E,FALSE)*$C18</f>
        <v>0</v>
      </c>
      <c r="S18" s="23">
        <f>SUMIFS(Sales!$S:$S,Sales!$H:$H,"&lt;="&amp;'Cashflow Projection'!S$5,Sales!$E:$E,FALSE,Sales!$F:$F,'Cashflow Projection'!$C18,Sales!$A:$A,'Cashflow Projection'!$A18,Sales!$B:$B,'Cashflow Projection'!$B18,Sales!$H:$H,"&gt;"&amp;'Cashflow Projection'!Q$5)*$C18</f>
        <v>0</v>
      </c>
      <c r="T18" s="18">
        <f>COUNTIFS(Sales!$H:$H,"&lt;="&amp;'Cashflow Projection'!S$5,Sales!$H:$H,"&gt;"&amp;'Cashflow Projection'!Q$5,Sales!$A:$A,'Cashflow Projection'!$A18,Sales!$B:$B,'Cashflow Projection'!$B18,Sales!$F:$F,'Cashflow Projection'!$C18,Sales!$E:$E,FALSE)*$C18</f>
        <v>0</v>
      </c>
      <c r="U18" s="23">
        <f>SUMIFS(Sales!$S:$S,Sales!$H:$H,"&lt;="&amp;'Cashflow Projection'!U$5,Sales!$E:$E,FALSE,Sales!$F:$F,'Cashflow Projection'!$C18,Sales!$A:$A,'Cashflow Projection'!$A18,Sales!$B:$B,'Cashflow Projection'!$B18,Sales!$H:$H,"&gt;"&amp;'Cashflow Projection'!S$5)*$C18</f>
        <v>0</v>
      </c>
      <c r="V18" s="18">
        <f>COUNTIFS(Sales!$H:$H,"&lt;="&amp;'Cashflow Projection'!U$5,Sales!$H:$H,"&gt;"&amp;'Cashflow Projection'!S$5,Sales!$A:$A,'Cashflow Projection'!$A18,Sales!$B:$B,'Cashflow Projection'!$B18,Sales!$F:$F,'Cashflow Projection'!$C18,Sales!$E:$E,FALSE)*$C18</f>
        <v>0</v>
      </c>
      <c r="W18" s="23">
        <f>SUMIFS(Sales!$S:$S,Sales!$H:$H,"&lt;="&amp;'Cashflow Projection'!W$5,Sales!$E:$E,FALSE,Sales!$F:$F,'Cashflow Projection'!$C18,Sales!$A:$A,'Cashflow Projection'!$A18,Sales!$B:$B,'Cashflow Projection'!$B18,Sales!$H:$H,"&gt;"&amp;'Cashflow Projection'!U$5)*$C18</f>
        <v>0</v>
      </c>
      <c r="X18" s="18">
        <f>COUNTIFS(Sales!$H:$H,"&lt;="&amp;'Cashflow Projection'!W$5,Sales!$H:$H,"&gt;"&amp;'Cashflow Projection'!U$5,Sales!$A:$A,'Cashflow Projection'!$A18,Sales!$B:$B,'Cashflow Projection'!$B18,Sales!$F:$F,'Cashflow Projection'!$C18,Sales!$E:$E,FALSE)*$C18</f>
        <v>0</v>
      </c>
      <c r="Y18" s="23">
        <f>SUMIFS(Sales!$S:$S,Sales!$H:$H,"&lt;="&amp;'Cashflow Projection'!Y$5,Sales!$E:$E,FALSE,Sales!$F:$F,'Cashflow Projection'!$C18,Sales!$A:$A,'Cashflow Projection'!$A18,Sales!$B:$B,'Cashflow Projection'!$B18,Sales!$H:$H,"&gt;"&amp;'Cashflow Projection'!W$5)*$C18</f>
        <v>0</v>
      </c>
      <c r="Z18" s="18">
        <f>COUNTIFS(Sales!$H:$H,"&lt;="&amp;'Cashflow Projection'!Y$5,Sales!$H:$H,"&gt;"&amp;'Cashflow Projection'!W$5,Sales!$A:$A,'Cashflow Projection'!$A18,Sales!$B:$B,'Cashflow Projection'!$B18,Sales!$F:$F,'Cashflow Projection'!$C18,Sales!$E:$E,FALSE)*$C18</f>
        <v>0</v>
      </c>
      <c r="AA18" s="23">
        <f>SUMIFS(Sales!$S:$S,Sales!$H:$H,"&lt;="&amp;'Cashflow Projection'!AA$5,Sales!$E:$E,FALSE,Sales!$F:$F,'Cashflow Projection'!$C18,Sales!$A:$A,'Cashflow Projection'!$A18,Sales!$B:$B,'Cashflow Projection'!$B18,Sales!$H:$H,"&gt;"&amp;'Cashflow Projection'!Y$5)*$C18</f>
        <v>0</v>
      </c>
      <c r="AB18" s="18">
        <f>COUNTIFS(Sales!$H:$H,"&lt;="&amp;'Cashflow Projection'!AA$5,Sales!$H:$H,"&gt;"&amp;'Cashflow Projection'!Y$5,Sales!$A:$A,'Cashflow Projection'!$A18,Sales!$B:$B,'Cashflow Projection'!$B18,Sales!$F:$F,'Cashflow Projection'!$C18,Sales!$E:$E,FALSE)*$C18</f>
        <v>0</v>
      </c>
      <c r="AC18" s="23">
        <f>SUMIFS(Sales!$S:$S,Sales!$H:$H,"&lt;="&amp;'Cashflow Projection'!AC$5,Sales!$E:$E,FALSE,Sales!$F:$F,'Cashflow Projection'!$C18,Sales!$A:$A,'Cashflow Projection'!$A18,Sales!$B:$B,'Cashflow Projection'!$B18,Sales!$H:$H,"&gt;"&amp;'Cashflow Projection'!AA$5)*$C18</f>
        <v>0</v>
      </c>
      <c r="AD18" s="18">
        <f>COUNTIFS(Sales!$H:$H,"&lt;="&amp;'Cashflow Projection'!AC$5,Sales!$H:$H,"&gt;"&amp;'Cashflow Projection'!AA$5,Sales!$A:$A,'Cashflow Projection'!$A18,Sales!$B:$B,'Cashflow Projection'!$B18,Sales!$F:$F,'Cashflow Projection'!$C18,Sales!$E:$E,FALSE)*$C18</f>
        <v>0</v>
      </c>
      <c r="AE18" s="23">
        <f>SUMIFS(Sales!$S:$S,Sales!$H:$H,"&lt;="&amp;'Cashflow Projection'!AE$5,Sales!$E:$E,FALSE,Sales!$F:$F,'Cashflow Projection'!$C18,Sales!$A:$A,'Cashflow Projection'!$A18,Sales!$B:$B,'Cashflow Projection'!$B18,Sales!$H:$H,"&gt;"&amp;'Cashflow Projection'!AC$5)*$C18</f>
        <v>0</v>
      </c>
      <c r="AF18" s="21">
        <f>COUNTIFS(Sales!$H:$H,"&lt;="&amp;'Cashflow Projection'!AE$5,Sales!$H:$H,"&gt;"&amp;'Cashflow Projection'!AC$5,Sales!$A:$A,'Cashflow Projection'!$A18,Sales!$B:$B,'Cashflow Projection'!$B18,Sales!$F:$F,'Cashflow Projection'!$C18,Sales!$E:$E,FALSE)*$C18</f>
        <v>0</v>
      </c>
    </row>
    <row r="19" spans="1:32" ht="29" x14ac:dyDescent="0.35">
      <c r="A19" s="15" t="s">
        <v>386</v>
      </c>
      <c r="B19" s="22" t="s">
        <v>790</v>
      </c>
      <c r="C19" s="22">
        <f t="shared" si="1"/>
        <v>0</v>
      </c>
      <c r="D19" s="23">
        <f t="shared" si="2"/>
        <v>0</v>
      </c>
      <c r="E19" s="18">
        <f t="shared" si="3"/>
        <v>0</v>
      </c>
      <c r="I19" s="23">
        <f>SUMIFS(Sales!$S:$S,Sales!$H:$H,"&lt;="&amp;'Cashflow Projection'!I$5,Sales!$E:$E,FALSE,Sales!$F:$F,'Cashflow Projection'!$C19,Sales!$A:$A,'Cashflow Projection'!$A19,Sales!$B:$B,'Cashflow Projection'!$B19,Sales!$H:$H,"&gt;"&amp;'Cashflow Projection'!B$2)*$C19</f>
        <v>0</v>
      </c>
      <c r="J19" s="18">
        <f>COUNTIFS(Sales!$H:$H,"&lt;="&amp;'Cashflow Projection'!I$5,Sales!$H:$H,"&gt;"&amp;'Cashflow Projection'!B$2,Sales!$A:$A,'Cashflow Projection'!$A19,Sales!$B:$B,'Cashflow Projection'!$B19,Sales!$F:$F,'Cashflow Projection'!$C19,Sales!$E:$E,FALSE)*$C19</f>
        <v>0</v>
      </c>
      <c r="K19" s="23">
        <f>SUMIFS(Sales!$S:$S,Sales!$H:$H,"&lt;="&amp;'Cashflow Projection'!K$5,Sales!$E:$E,FALSE,Sales!$F:$F,'Cashflow Projection'!$C19,Sales!$A:$A,'Cashflow Projection'!$A19,Sales!$B:$B,'Cashflow Projection'!$B19,Sales!$H:$H,"&gt;"&amp;'Cashflow Projection'!I$5)*$C19</f>
        <v>0</v>
      </c>
      <c r="L19" s="18">
        <f>COUNTIFS(Sales!$H:$H,"&lt;="&amp;'Cashflow Projection'!K$5,Sales!$H:$H,"&gt;"&amp;'Cashflow Projection'!I$5,Sales!$A:$A,'Cashflow Projection'!$A19,Sales!$B:$B,'Cashflow Projection'!$B19,Sales!$F:$F,'Cashflow Projection'!$C19,Sales!$E:$E,FALSE)*$C19</f>
        <v>0</v>
      </c>
      <c r="M19" s="23">
        <f>SUMIFS(Sales!$S:$S,Sales!$H:$H,"&lt;="&amp;'Cashflow Projection'!M$5,Sales!$E:$E,FALSE,Sales!$F:$F,'Cashflow Projection'!$C19,Sales!$A:$A,'Cashflow Projection'!$A19,Sales!$B:$B,'Cashflow Projection'!$B19,Sales!$H:$H,"&gt;"&amp;'Cashflow Projection'!K$5)*$C19</f>
        <v>0</v>
      </c>
      <c r="N19" s="18">
        <f>COUNTIFS(Sales!$H:$H,"&lt;="&amp;'Cashflow Projection'!M$5,Sales!$H:$H,"&gt;"&amp;'Cashflow Projection'!K$5,Sales!$A:$A,'Cashflow Projection'!$A19,Sales!$B:$B,'Cashflow Projection'!$B19,Sales!$F:$F,'Cashflow Projection'!$C19,Sales!$E:$E,FALSE)*$C19</f>
        <v>0</v>
      </c>
      <c r="O19" s="23">
        <f>SUMIFS(Sales!$S:$S,Sales!$H:$H,"&lt;="&amp;'Cashflow Projection'!O$5,Sales!$E:$E,FALSE,Sales!$F:$F,'Cashflow Projection'!$C19,Sales!$A:$A,'Cashflow Projection'!$A19,Sales!$B:$B,'Cashflow Projection'!$B19,Sales!$H:$H,"&gt;"&amp;'Cashflow Projection'!M$5)*$C19</f>
        <v>0</v>
      </c>
      <c r="P19" s="18">
        <f>COUNTIFS(Sales!$H:$H,"&lt;="&amp;'Cashflow Projection'!O$5,Sales!$H:$H,"&gt;"&amp;'Cashflow Projection'!M$5,Sales!$A:$A,'Cashflow Projection'!$A19,Sales!$B:$B,'Cashflow Projection'!$B19,Sales!$F:$F,'Cashflow Projection'!$C19,Sales!$E:$E,FALSE)*$C19</f>
        <v>0</v>
      </c>
      <c r="Q19" s="23">
        <f>SUMIFS(Sales!$S:$S,Sales!$H:$H,"&lt;="&amp;'Cashflow Projection'!Q$5,Sales!$E:$E,FALSE,Sales!$F:$F,'Cashflow Projection'!$C19,Sales!$A:$A,'Cashflow Projection'!$A19,Sales!$B:$B,'Cashflow Projection'!$B19,Sales!$H:$H,"&gt;"&amp;'Cashflow Projection'!O$5)*$C19</f>
        <v>0</v>
      </c>
      <c r="R19" s="18">
        <f>COUNTIFS(Sales!$H:$H,"&lt;="&amp;'Cashflow Projection'!Q$5,Sales!$H:$H,"&gt;"&amp;'Cashflow Projection'!O$5,Sales!$A:$A,'Cashflow Projection'!$A19,Sales!$B:$B,'Cashflow Projection'!$B19,Sales!$F:$F,'Cashflow Projection'!$C19,Sales!$E:$E,FALSE)*$C19</f>
        <v>0</v>
      </c>
      <c r="S19" s="23">
        <f>SUMIFS(Sales!$S:$S,Sales!$H:$H,"&lt;="&amp;'Cashflow Projection'!S$5,Sales!$E:$E,FALSE,Sales!$F:$F,'Cashflow Projection'!$C19,Sales!$A:$A,'Cashflow Projection'!$A19,Sales!$B:$B,'Cashflow Projection'!$B19,Sales!$H:$H,"&gt;"&amp;'Cashflow Projection'!Q$5)*$C19</f>
        <v>0</v>
      </c>
      <c r="T19" s="18">
        <f>COUNTIFS(Sales!$H:$H,"&lt;="&amp;'Cashflow Projection'!S$5,Sales!$H:$H,"&gt;"&amp;'Cashflow Projection'!Q$5,Sales!$A:$A,'Cashflow Projection'!$A19,Sales!$B:$B,'Cashflow Projection'!$B19,Sales!$F:$F,'Cashflow Projection'!$C19,Sales!$E:$E,FALSE)*$C19</f>
        <v>0</v>
      </c>
      <c r="U19" s="23">
        <f>SUMIFS(Sales!$S:$S,Sales!$H:$H,"&lt;="&amp;'Cashflow Projection'!U$5,Sales!$E:$E,FALSE,Sales!$F:$F,'Cashflow Projection'!$C19,Sales!$A:$A,'Cashflow Projection'!$A19,Sales!$B:$B,'Cashflow Projection'!$B19,Sales!$H:$H,"&gt;"&amp;'Cashflow Projection'!S$5)*$C19</f>
        <v>0</v>
      </c>
      <c r="V19" s="18">
        <f>COUNTIFS(Sales!$H:$H,"&lt;="&amp;'Cashflow Projection'!U$5,Sales!$H:$H,"&gt;"&amp;'Cashflow Projection'!S$5,Sales!$A:$A,'Cashflow Projection'!$A19,Sales!$B:$B,'Cashflow Projection'!$B19,Sales!$F:$F,'Cashflow Projection'!$C19,Sales!$E:$E,FALSE)*$C19</f>
        <v>0</v>
      </c>
      <c r="W19" s="23">
        <f>SUMIFS(Sales!$S:$S,Sales!$H:$H,"&lt;="&amp;'Cashflow Projection'!W$5,Sales!$E:$E,FALSE,Sales!$F:$F,'Cashflow Projection'!$C19,Sales!$A:$A,'Cashflow Projection'!$A19,Sales!$B:$B,'Cashflow Projection'!$B19,Sales!$H:$H,"&gt;"&amp;'Cashflow Projection'!U$5)*$C19</f>
        <v>0</v>
      </c>
      <c r="X19" s="18">
        <f>COUNTIFS(Sales!$H:$H,"&lt;="&amp;'Cashflow Projection'!W$5,Sales!$H:$H,"&gt;"&amp;'Cashflow Projection'!U$5,Sales!$A:$A,'Cashflow Projection'!$A19,Sales!$B:$B,'Cashflow Projection'!$B19,Sales!$F:$F,'Cashflow Projection'!$C19,Sales!$E:$E,FALSE)*$C19</f>
        <v>0</v>
      </c>
      <c r="Y19" s="23">
        <f>SUMIFS(Sales!$S:$S,Sales!$H:$H,"&lt;="&amp;'Cashflow Projection'!Y$5,Sales!$E:$E,FALSE,Sales!$F:$F,'Cashflow Projection'!$C19,Sales!$A:$A,'Cashflow Projection'!$A19,Sales!$B:$B,'Cashflow Projection'!$B19,Sales!$H:$H,"&gt;"&amp;'Cashflow Projection'!W$5)*$C19</f>
        <v>0</v>
      </c>
      <c r="Z19" s="18">
        <f>COUNTIFS(Sales!$H:$H,"&lt;="&amp;'Cashflow Projection'!Y$5,Sales!$H:$H,"&gt;"&amp;'Cashflow Projection'!W$5,Sales!$A:$A,'Cashflow Projection'!$A19,Sales!$B:$B,'Cashflow Projection'!$B19,Sales!$F:$F,'Cashflow Projection'!$C19,Sales!$E:$E,FALSE)*$C19</f>
        <v>0</v>
      </c>
      <c r="AA19" s="23">
        <f>SUMIFS(Sales!$S:$S,Sales!$H:$H,"&lt;="&amp;'Cashflow Projection'!AA$5,Sales!$E:$E,FALSE,Sales!$F:$F,'Cashflow Projection'!$C19,Sales!$A:$A,'Cashflow Projection'!$A19,Sales!$B:$B,'Cashflow Projection'!$B19,Sales!$H:$H,"&gt;"&amp;'Cashflow Projection'!Y$5)*$C19</f>
        <v>0</v>
      </c>
      <c r="AB19" s="18">
        <f>COUNTIFS(Sales!$H:$H,"&lt;="&amp;'Cashflow Projection'!AA$5,Sales!$H:$H,"&gt;"&amp;'Cashflow Projection'!Y$5,Sales!$A:$A,'Cashflow Projection'!$A19,Sales!$B:$B,'Cashflow Projection'!$B19,Sales!$F:$F,'Cashflow Projection'!$C19,Sales!$E:$E,FALSE)*$C19</f>
        <v>0</v>
      </c>
      <c r="AC19" s="23">
        <f>SUMIFS(Sales!$S:$S,Sales!$H:$H,"&lt;="&amp;'Cashflow Projection'!AC$5,Sales!$E:$E,FALSE,Sales!$F:$F,'Cashflow Projection'!$C19,Sales!$A:$A,'Cashflow Projection'!$A19,Sales!$B:$B,'Cashflow Projection'!$B19,Sales!$H:$H,"&gt;"&amp;'Cashflow Projection'!AA$5)*$C19</f>
        <v>0</v>
      </c>
      <c r="AD19" s="18">
        <f>COUNTIFS(Sales!$H:$H,"&lt;="&amp;'Cashflow Projection'!AC$5,Sales!$H:$H,"&gt;"&amp;'Cashflow Projection'!AA$5,Sales!$A:$A,'Cashflow Projection'!$A19,Sales!$B:$B,'Cashflow Projection'!$B19,Sales!$F:$F,'Cashflow Projection'!$C19,Sales!$E:$E,FALSE)*$C19</f>
        <v>0</v>
      </c>
      <c r="AE19" s="23">
        <f>SUMIFS(Sales!$S:$S,Sales!$H:$H,"&lt;="&amp;'Cashflow Projection'!AE$5,Sales!$E:$E,FALSE,Sales!$F:$F,'Cashflow Projection'!$C19,Sales!$A:$A,'Cashflow Projection'!$A19,Sales!$B:$B,'Cashflow Projection'!$B19,Sales!$H:$H,"&gt;"&amp;'Cashflow Projection'!AC$5)*$C19</f>
        <v>0</v>
      </c>
      <c r="AF19" s="21">
        <f>COUNTIFS(Sales!$H:$H,"&lt;="&amp;'Cashflow Projection'!AE$5,Sales!$H:$H,"&gt;"&amp;'Cashflow Projection'!AC$5,Sales!$A:$A,'Cashflow Projection'!$A19,Sales!$B:$B,'Cashflow Projection'!$B19,Sales!$F:$F,'Cashflow Projection'!$C19,Sales!$E:$E,FALSE)*$C19</f>
        <v>0</v>
      </c>
    </row>
    <row r="20" spans="1:32" ht="29" x14ac:dyDescent="0.35">
      <c r="A20" s="15" t="s">
        <v>386</v>
      </c>
      <c r="B20" s="22" t="s">
        <v>811</v>
      </c>
      <c r="C20" s="22">
        <f t="shared" si="1"/>
        <v>0</v>
      </c>
      <c r="D20" s="23">
        <f t="shared" si="2"/>
        <v>0</v>
      </c>
      <c r="E20" s="18">
        <f t="shared" si="3"/>
        <v>0</v>
      </c>
      <c r="I20" s="23">
        <f>SUMIFS(Sales!$S:$S,Sales!$H:$H,"&lt;="&amp;'Cashflow Projection'!I$5,Sales!$E:$E,FALSE,Sales!$F:$F,'Cashflow Projection'!$C20,Sales!$A:$A,'Cashflow Projection'!$A20,Sales!$B:$B,'Cashflow Projection'!$B20,Sales!$H:$H,"&gt;"&amp;'Cashflow Projection'!B$2)*$C20</f>
        <v>0</v>
      </c>
      <c r="J20" s="18">
        <f>COUNTIFS(Sales!$H:$H,"&lt;="&amp;'Cashflow Projection'!I$5,Sales!$H:$H,"&gt;"&amp;'Cashflow Projection'!B$2,Sales!$A:$A,'Cashflow Projection'!$A20,Sales!$B:$B,'Cashflow Projection'!$B20,Sales!$F:$F,'Cashflow Projection'!$C20,Sales!$E:$E,FALSE)*$C20</f>
        <v>0</v>
      </c>
      <c r="K20" s="23">
        <f>SUMIFS(Sales!$S:$S,Sales!$H:$H,"&lt;="&amp;'Cashflow Projection'!K$5,Sales!$E:$E,FALSE,Sales!$F:$F,'Cashflow Projection'!$C20,Sales!$A:$A,'Cashflow Projection'!$A20,Sales!$B:$B,'Cashflow Projection'!$B20,Sales!$H:$H,"&gt;"&amp;'Cashflow Projection'!I$5)*$C20</f>
        <v>0</v>
      </c>
      <c r="L20" s="18">
        <f>COUNTIFS(Sales!$H:$H,"&lt;="&amp;'Cashflow Projection'!K$5,Sales!$H:$H,"&gt;"&amp;'Cashflow Projection'!I$5,Sales!$A:$A,'Cashflow Projection'!$A20,Sales!$B:$B,'Cashflow Projection'!$B20,Sales!$F:$F,'Cashflow Projection'!$C20,Sales!$E:$E,FALSE)*$C20</f>
        <v>0</v>
      </c>
      <c r="M20" s="23">
        <f>SUMIFS(Sales!$S:$S,Sales!$H:$H,"&lt;="&amp;'Cashflow Projection'!M$5,Sales!$E:$E,FALSE,Sales!$F:$F,'Cashflow Projection'!$C20,Sales!$A:$A,'Cashflow Projection'!$A20,Sales!$B:$B,'Cashflow Projection'!$B20,Sales!$H:$H,"&gt;"&amp;'Cashflow Projection'!K$5)*$C20</f>
        <v>0</v>
      </c>
      <c r="N20" s="18">
        <f>COUNTIFS(Sales!$H:$H,"&lt;="&amp;'Cashflow Projection'!M$5,Sales!$H:$H,"&gt;"&amp;'Cashflow Projection'!K$5,Sales!$A:$A,'Cashflow Projection'!$A20,Sales!$B:$B,'Cashflow Projection'!$B20,Sales!$F:$F,'Cashflow Projection'!$C20,Sales!$E:$E,FALSE)*$C20</f>
        <v>0</v>
      </c>
      <c r="O20" s="23">
        <f>SUMIFS(Sales!$S:$S,Sales!$H:$H,"&lt;="&amp;'Cashflow Projection'!O$5,Sales!$E:$E,FALSE,Sales!$F:$F,'Cashflow Projection'!$C20,Sales!$A:$A,'Cashflow Projection'!$A20,Sales!$B:$B,'Cashflow Projection'!$B20,Sales!$H:$H,"&gt;"&amp;'Cashflow Projection'!M$5)*$C20</f>
        <v>0</v>
      </c>
      <c r="P20" s="18">
        <f>COUNTIFS(Sales!$H:$H,"&lt;="&amp;'Cashflow Projection'!O$5,Sales!$H:$H,"&gt;"&amp;'Cashflow Projection'!M$5,Sales!$A:$A,'Cashflow Projection'!$A20,Sales!$B:$B,'Cashflow Projection'!$B20,Sales!$F:$F,'Cashflow Projection'!$C20,Sales!$E:$E,FALSE)*$C20</f>
        <v>0</v>
      </c>
      <c r="Q20" s="23">
        <f>SUMIFS(Sales!$S:$S,Sales!$H:$H,"&lt;="&amp;'Cashflow Projection'!Q$5,Sales!$E:$E,FALSE,Sales!$F:$F,'Cashflow Projection'!$C20,Sales!$A:$A,'Cashflow Projection'!$A20,Sales!$B:$B,'Cashflow Projection'!$B20,Sales!$H:$H,"&gt;"&amp;'Cashflow Projection'!O$5)*$C20</f>
        <v>0</v>
      </c>
      <c r="R20" s="18">
        <f>COUNTIFS(Sales!$H:$H,"&lt;="&amp;'Cashflow Projection'!Q$5,Sales!$H:$H,"&gt;"&amp;'Cashflow Projection'!O$5,Sales!$A:$A,'Cashflow Projection'!$A20,Sales!$B:$B,'Cashflow Projection'!$B20,Sales!$F:$F,'Cashflow Projection'!$C20,Sales!$E:$E,FALSE)*$C20</f>
        <v>0</v>
      </c>
      <c r="S20" s="23">
        <f>SUMIFS(Sales!$S:$S,Sales!$H:$H,"&lt;="&amp;'Cashflow Projection'!S$5,Sales!$E:$E,FALSE,Sales!$F:$F,'Cashflow Projection'!$C20,Sales!$A:$A,'Cashflow Projection'!$A20,Sales!$B:$B,'Cashflow Projection'!$B20,Sales!$H:$H,"&gt;"&amp;'Cashflow Projection'!Q$5)*$C20</f>
        <v>0</v>
      </c>
      <c r="T20" s="18">
        <f>COUNTIFS(Sales!$H:$H,"&lt;="&amp;'Cashflow Projection'!S$5,Sales!$H:$H,"&gt;"&amp;'Cashflow Projection'!Q$5,Sales!$A:$A,'Cashflow Projection'!$A20,Sales!$B:$B,'Cashflow Projection'!$B20,Sales!$F:$F,'Cashflow Projection'!$C20,Sales!$E:$E,FALSE)*$C20</f>
        <v>0</v>
      </c>
      <c r="U20" s="23">
        <f>SUMIFS(Sales!$S:$S,Sales!$H:$H,"&lt;="&amp;'Cashflow Projection'!U$5,Sales!$E:$E,FALSE,Sales!$F:$F,'Cashflow Projection'!$C20,Sales!$A:$A,'Cashflow Projection'!$A20,Sales!$B:$B,'Cashflow Projection'!$B20,Sales!$H:$H,"&gt;"&amp;'Cashflow Projection'!S$5)*$C20</f>
        <v>0</v>
      </c>
      <c r="V20" s="18">
        <f>COUNTIFS(Sales!$H:$H,"&lt;="&amp;'Cashflow Projection'!U$5,Sales!$H:$H,"&gt;"&amp;'Cashflow Projection'!S$5,Sales!$A:$A,'Cashflow Projection'!$A20,Sales!$B:$B,'Cashflow Projection'!$B20,Sales!$F:$F,'Cashflow Projection'!$C20,Sales!$E:$E,FALSE)*$C20</f>
        <v>0</v>
      </c>
      <c r="W20" s="23">
        <f>SUMIFS(Sales!$S:$S,Sales!$H:$H,"&lt;="&amp;'Cashflow Projection'!W$5,Sales!$E:$E,FALSE,Sales!$F:$F,'Cashflow Projection'!$C20,Sales!$A:$A,'Cashflow Projection'!$A20,Sales!$B:$B,'Cashflow Projection'!$B20,Sales!$H:$H,"&gt;"&amp;'Cashflow Projection'!U$5)*$C20</f>
        <v>0</v>
      </c>
      <c r="X20" s="18">
        <f>COUNTIFS(Sales!$H:$H,"&lt;="&amp;'Cashflow Projection'!W$5,Sales!$H:$H,"&gt;"&amp;'Cashflow Projection'!U$5,Sales!$A:$A,'Cashflow Projection'!$A20,Sales!$B:$B,'Cashflow Projection'!$B20,Sales!$F:$F,'Cashflow Projection'!$C20,Sales!$E:$E,FALSE)*$C20</f>
        <v>0</v>
      </c>
      <c r="Y20" s="23">
        <f>SUMIFS(Sales!$S:$S,Sales!$H:$H,"&lt;="&amp;'Cashflow Projection'!Y$5,Sales!$E:$E,FALSE,Sales!$F:$F,'Cashflow Projection'!$C20,Sales!$A:$A,'Cashflow Projection'!$A20,Sales!$B:$B,'Cashflow Projection'!$B20,Sales!$H:$H,"&gt;"&amp;'Cashflow Projection'!W$5)*$C20</f>
        <v>0</v>
      </c>
      <c r="Z20" s="18">
        <f>COUNTIFS(Sales!$H:$H,"&lt;="&amp;'Cashflow Projection'!Y$5,Sales!$H:$H,"&gt;"&amp;'Cashflow Projection'!W$5,Sales!$A:$A,'Cashflow Projection'!$A20,Sales!$B:$B,'Cashflow Projection'!$B20,Sales!$F:$F,'Cashflow Projection'!$C20,Sales!$E:$E,FALSE)*$C20</f>
        <v>0</v>
      </c>
      <c r="AA20" s="23">
        <f>SUMIFS(Sales!$S:$S,Sales!$H:$H,"&lt;="&amp;'Cashflow Projection'!AA$5,Sales!$E:$E,FALSE,Sales!$F:$F,'Cashflow Projection'!$C20,Sales!$A:$A,'Cashflow Projection'!$A20,Sales!$B:$B,'Cashflow Projection'!$B20,Sales!$H:$H,"&gt;"&amp;'Cashflow Projection'!Y$5)*$C20</f>
        <v>0</v>
      </c>
      <c r="AB20" s="18">
        <f>COUNTIFS(Sales!$H:$H,"&lt;="&amp;'Cashflow Projection'!AA$5,Sales!$H:$H,"&gt;"&amp;'Cashflow Projection'!Y$5,Sales!$A:$A,'Cashflow Projection'!$A20,Sales!$B:$B,'Cashflow Projection'!$B20,Sales!$F:$F,'Cashflow Projection'!$C20,Sales!$E:$E,FALSE)*$C20</f>
        <v>0</v>
      </c>
      <c r="AC20" s="23">
        <f>SUMIFS(Sales!$S:$S,Sales!$H:$H,"&lt;="&amp;'Cashflow Projection'!AC$5,Sales!$E:$E,FALSE,Sales!$F:$F,'Cashflow Projection'!$C20,Sales!$A:$A,'Cashflow Projection'!$A20,Sales!$B:$B,'Cashflow Projection'!$B20,Sales!$H:$H,"&gt;"&amp;'Cashflow Projection'!AA$5)*$C20</f>
        <v>0</v>
      </c>
      <c r="AD20" s="18">
        <f>COUNTIFS(Sales!$H:$H,"&lt;="&amp;'Cashflow Projection'!AC$5,Sales!$H:$H,"&gt;"&amp;'Cashflow Projection'!AA$5,Sales!$A:$A,'Cashflow Projection'!$A20,Sales!$B:$B,'Cashflow Projection'!$B20,Sales!$F:$F,'Cashflow Projection'!$C20,Sales!$E:$E,FALSE)*$C20</f>
        <v>0</v>
      </c>
      <c r="AE20" s="23">
        <f>SUMIFS(Sales!$S:$S,Sales!$H:$H,"&lt;="&amp;'Cashflow Projection'!AE$5,Sales!$E:$E,FALSE,Sales!$F:$F,'Cashflow Projection'!$C20,Sales!$A:$A,'Cashflow Projection'!$A20,Sales!$B:$B,'Cashflow Projection'!$B20,Sales!$H:$H,"&gt;"&amp;'Cashflow Projection'!AC$5)*$C20</f>
        <v>0</v>
      </c>
      <c r="AF20" s="21">
        <f>COUNTIFS(Sales!$H:$H,"&lt;="&amp;'Cashflow Projection'!AE$5,Sales!$H:$H,"&gt;"&amp;'Cashflow Projection'!AC$5,Sales!$A:$A,'Cashflow Projection'!$A20,Sales!$B:$B,'Cashflow Projection'!$B20,Sales!$F:$F,'Cashflow Projection'!$C20,Sales!$E:$E,FALSE)*$C20</f>
        <v>0</v>
      </c>
    </row>
    <row r="21" spans="1:32" ht="29" x14ac:dyDescent="0.35">
      <c r="A21" s="15" t="s">
        <v>386</v>
      </c>
      <c r="B21" s="22" t="s">
        <v>822</v>
      </c>
      <c r="C21" s="22">
        <f t="shared" si="1"/>
        <v>1</v>
      </c>
      <c r="D21" s="23">
        <f t="shared" si="2"/>
        <v>62264.341008219169</v>
      </c>
      <c r="E21" s="18">
        <f t="shared" si="3"/>
        <v>4</v>
      </c>
      <c r="I21" s="23">
        <f>SUMIFS(Sales!$S:$S,Sales!$H:$H,"&lt;="&amp;'Cashflow Projection'!I$5,Sales!$E:$E,FALSE,Sales!$F:$F,'Cashflow Projection'!$C21,Sales!$A:$A,'Cashflow Projection'!$A21,Sales!$B:$B,'Cashflow Projection'!$B21,Sales!$H:$H,"&gt;"&amp;'Cashflow Projection'!B$2)*$C21</f>
        <v>37261.606849314878</v>
      </c>
      <c r="J21" s="18">
        <f>COUNTIFS(Sales!$H:$H,"&lt;="&amp;'Cashflow Projection'!I$5,Sales!$H:$H,"&gt;"&amp;'Cashflow Projection'!B$2,Sales!$A:$A,'Cashflow Projection'!$A21,Sales!$B:$B,'Cashflow Projection'!$B21,Sales!$F:$F,'Cashflow Projection'!$C21,Sales!$E:$E,FALSE)*$C21</f>
        <v>2</v>
      </c>
      <c r="K21" s="23">
        <f>SUMIFS(Sales!$S:$S,Sales!$H:$H,"&lt;="&amp;'Cashflow Projection'!K$5,Sales!$E:$E,FALSE,Sales!$F:$F,'Cashflow Projection'!$C21,Sales!$A:$A,'Cashflow Projection'!$A21,Sales!$B:$B,'Cashflow Projection'!$B21,Sales!$H:$H,"&gt;"&amp;'Cashflow Projection'!I$5)*$C21</f>
        <v>25002.734158904292</v>
      </c>
      <c r="L21" s="18">
        <f>COUNTIFS(Sales!$H:$H,"&lt;="&amp;'Cashflow Projection'!K$5,Sales!$H:$H,"&gt;"&amp;'Cashflow Projection'!I$5,Sales!$A:$A,'Cashflow Projection'!$A21,Sales!$B:$B,'Cashflow Projection'!$B21,Sales!$F:$F,'Cashflow Projection'!$C21,Sales!$E:$E,FALSE)*$C21</f>
        <v>2</v>
      </c>
      <c r="M21" s="23">
        <f>SUMIFS(Sales!$S:$S,Sales!$H:$H,"&lt;="&amp;'Cashflow Projection'!M$5,Sales!$E:$E,FALSE,Sales!$F:$F,'Cashflow Projection'!$C21,Sales!$A:$A,'Cashflow Projection'!$A21,Sales!$B:$B,'Cashflow Projection'!$B21,Sales!$H:$H,"&gt;"&amp;'Cashflow Projection'!K$5)*$C21</f>
        <v>0</v>
      </c>
      <c r="N21" s="18">
        <f>COUNTIFS(Sales!$H:$H,"&lt;="&amp;'Cashflow Projection'!M$5,Sales!$H:$H,"&gt;"&amp;'Cashflow Projection'!K$5,Sales!$A:$A,'Cashflow Projection'!$A21,Sales!$B:$B,'Cashflow Projection'!$B21,Sales!$F:$F,'Cashflow Projection'!$C21,Sales!$E:$E,FALSE)*$C21</f>
        <v>0</v>
      </c>
      <c r="O21" s="23">
        <f>SUMIFS(Sales!$S:$S,Sales!$H:$H,"&lt;="&amp;'Cashflow Projection'!O$5,Sales!$E:$E,FALSE,Sales!$F:$F,'Cashflow Projection'!$C21,Sales!$A:$A,'Cashflow Projection'!$A21,Sales!$B:$B,'Cashflow Projection'!$B21,Sales!$H:$H,"&gt;"&amp;'Cashflow Projection'!M$5)*$C21</f>
        <v>0</v>
      </c>
      <c r="P21" s="18">
        <f>COUNTIFS(Sales!$H:$H,"&lt;="&amp;'Cashflow Projection'!O$5,Sales!$H:$H,"&gt;"&amp;'Cashflow Projection'!M$5,Sales!$A:$A,'Cashflow Projection'!$A21,Sales!$B:$B,'Cashflow Projection'!$B21,Sales!$F:$F,'Cashflow Projection'!$C21,Sales!$E:$E,FALSE)*$C21</f>
        <v>0</v>
      </c>
      <c r="Q21" s="23">
        <f>SUMIFS(Sales!$S:$S,Sales!$H:$H,"&lt;="&amp;'Cashflow Projection'!Q$5,Sales!$E:$E,FALSE,Sales!$F:$F,'Cashflow Projection'!$C21,Sales!$A:$A,'Cashflow Projection'!$A21,Sales!$B:$B,'Cashflow Projection'!$B21,Sales!$H:$H,"&gt;"&amp;'Cashflow Projection'!O$5)*$C21</f>
        <v>0</v>
      </c>
      <c r="R21" s="18">
        <f>COUNTIFS(Sales!$H:$H,"&lt;="&amp;'Cashflow Projection'!Q$5,Sales!$H:$H,"&gt;"&amp;'Cashflow Projection'!O$5,Sales!$A:$A,'Cashflow Projection'!$A21,Sales!$B:$B,'Cashflow Projection'!$B21,Sales!$F:$F,'Cashflow Projection'!$C21,Sales!$E:$E,FALSE)*$C21</f>
        <v>0</v>
      </c>
      <c r="S21" s="23">
        <f>SUMIFS(Sales!$S:$S,Sales!$H:$H,"&lt;="&amp;'Cashflow Projection'!S$5,Sales!$E:$E,FALSE,Sales!$F:$F,'Cashflow Projection'!$C21,Sales!$A:$A,'Cashflow Projection'!$A21,Sales!$B:$B,'Cashflow Projection'!$B21,Sales!$H:$H,"&gt;"&amp;'Cashflow Projection'!Q$5)*$C21</f>
        <v>0</v>
      </c>
      <c r="T21" s="18">
        <f>COUNTIFS(Sales!$H:$H,"&lt;="&amp;'Cashflow Projection'!S$5,Sales!$H:$H,"&gt;"&amp;'Cashflow Projection'!Q$5,Sales!$A:$A,'Cashflow Projection'!$A21,Sales!$B:$B,'Cashflow Projection'!$B21,Sales!$F:$F,'Cashflow Projection'!$C21,Sales!$E:$E,FALSE)*$C21</f>
        <v>0</v>
      </c>
      <c r="U21" s="23">
        <f>SUMIFS(Sales!$S:$S,Sales!$H:$H,"&lt;="&amp;'Cashflow Projection'!U$5,Sales!$E:$E,FALSE,Sales!$F:$F,'Cashflow Projection'!$C21,Sales!$A:$A,'Cashflow Projection'!$A21,Sales!$B:$B,'Cashflow Projection'!$B21,Sales!$H:$H,"&gt;"&amp;'Cashflow Projection'!S$5)*$C21</f>
        <v>0</v>
      </c>
      <c r="V21" s="18">
        <f>COUNTIFS(Sales!$H:$H,"&lt;="&amp;'Cashflow Projection'!U$5,Sales!$H:$H,"&gt;"&amp;'Cashflow Projection'!S$5,Sales!$A:$A,'Cashflow Projection'!$A21,Sales!$B:$B,'Cashflow Projection'!$B21,Sales!$F:$F,'Cashflow Projection'!$C21,Sales!$E:$E,FALSE)*$C21</f>
        <v>0</v>
      </c>
      <c r="W21" s="23">
        <f>SUMIFS(Sales!$S:$S,Sales!$H:$H,"&lt;="&amp;'Cashflow Projection'!W$5,Sales!$E:$E,FALSE,Sales!$F:$F,'Cashflow Projection'!$C21,Sales!$A:$A,'Cashflow Projection'!$A21,Sales!$B:$B,'Cashflow Projection'!$B21,Sales!$H:$H,"&gt;"&amp;'Cashflow Projection'!U$5)*$C21</f>
        <v>0</v>
      </c>
      <c r="X21" s="18">
        <f>COUNTIFS(Sales!$H:$H,"&lt;="&amp;'Cashflow Projection'!W$5,Sales!$H:$H,"&gt;"&amp;'Cashflow Projection'!U$5,Sales!$A:$A,'Cashflow Projection'!$A21,Sales!$B:$B,'Cashflow Projection'!$B21,Sales!$F:$F,'Cashflow Projection'!$C21,Sales!$E:$E,FALSE)*$C21</f>
        <v>0</v>
      </c>
      <c r="Y21" s="23">
        <f>SUMIFS(Sales!$S:$S,Sales!$H:$H,"&lt;="&amp;'Cashflow Projection'!Y$5,Sales!$E:$E,FALSE,Sales!$F:$F,'Cashflow Projection'!$C21,Sales!$A:$A,'Cashflow Projection'!$A21,Sales!$B:$B,'Cashflow Projection'!$B21,Sales!$H:$H,"&gt;"&amp;'Cashflow Projection'!W$5)*$C21</f>
        <v>0</v>
      </c>
      <c r="Z21" s="18">
        <f>COUNTIFS(Sales!$H:$H,"&lt;="&amp;'Cashflow Projection'!Y$5,Sales!$H:$H,"&gt;"&amp;'Cashflow Projection'!W$5,Sales!$A:$A,'Cashflow Projection'!$A21,Sales!$B:$B,'Cashflow Projection'!$B21,Sales!$F:$F,'Cashflow Projection'!$C21,Sales!$E:$E,FALSE)*$C21</f>
        <v>0</v>
      </c>
      <c r="AA21" s="23">
        <f>SUMIFS(Sales!$S:$S,Sales!$H:$H,"&lt;="&amp;'Cashflow Projection'!AA$5,Sales!$E:$E,FALSE,Sales!$F:$F,'Cashflow Projection'!$C21,Sales!$A:$A,'Cashflow Projection'!$A21,Sales!$B:$B,'Cashflow Projection'!$B21,Sales!$H:$H,"&gt;"&amp;'Cashflow Projection'!Y$5)*$C21</f>
        <v>0</v>
      </c>
      <c r="AB21" s="18">
        <f>COUNTIFS(Sales!$H:$H,"&lt;="&amp;'Cashflow Projection'!AA$5,Sales!$H:$H,"&gt;"&amp;'Cashflow Projection'!Y$5,Sales!$A:$A,'Cashflow Projection'!$A21,Sales!$B:$B,'Cashflow Projection'!$B21,Sales!$F:$F,'Cashflow Projection'!$C21,Sales!$E:$E,FALSE)*$C21</f>
        <v>0</v>
      </c>
      <c r="AC21" s="23">
        <f>SUMIFS(Sales!$S:$S,Sales!$H:$H,"&lt;="&amp;'Cashflow Projection'!AC$5,Sales!$E:$E,FALSE,Sales!$F:$F,'Cashflow Projection'!$C21,Sales!$A:$A,'Cashflow Projection'!$A21,Sales!$B:$B,'Cashflow Projection'!$B21,Sales!$H:$H,"&gt;"&amp;'Cashflow Projection'!AA$5)*$C21</f>
        <v>0</v>
      </c>
      <c r="AD21" s="18">
        <f>COUNTIFS(Sales!$H:$H,"&lt;="&amp;'Cashflow Projection'!AC$5,Sales!$H:$H,"&gt;"&amp;'Cashflow Projection'!AA$5,Sales!$A:$A,'Cashflow Projection'!$A21,Sales!$B:$B,'Cashflow Projection'!$B21,Sales!$F:$F,'Cashflow Projection'!$C21,Sales!$E:$E,FALSE)*$C21</f>
        <v>0</v>
      </c>
      <c r="AE21" s="23">
        <f>SUMIFS(Sales!$S:$S,Sales!$H:$H,"&lt;="&amp;'Cashflow Projection'!AE$5,Sales!$E:$E,FALSE,Sales!$F:$F,'Cashflow Projection'!$C21,Sales!$A:$A,'Cashflow Projection'!$A21,Sales!$B:$B,'Cashflow Projection'!$B21,Sales!$H:$H,"&gt;"&amp;'Cashflow Projection'!AC$5)*$C21</f>
        <v>0</v>
      </c>
      <c r="AF21" s="21">
        <f>COUNTIFS(Sales!$H:$H,"&lt;="&amp;'Cashflow Projection'!AE$5,Sales!$H:$H,"&gt;"&amp;'Cashflow Projection'!AC$5,Sales!$A:$A,'Cashflow Projection'!$A21,Sales!$B:$B,'Cashflow Projection'!$B21,Sales!$F:$F,'Cashflow Projection'!$C21,Sales!$E:$E,FALSE)*$C21</f>
        <v>0</v>
      </c>
    </row>
    <row r="22" spans="1:32" ht="29" x14ac:dyDescent="0.35">
      <c r="A22" s="15" t="s">
        <v>386</v>
      </c>
      <c r="B22" s="22" t="s">
        <v>854</v>
      </c>
      <c r="C22" s="22">
        <f t="shared" si="1"/>
        <v>0</v>
      </c>
      <c r="D22" s="23">
        <f t="shared" si="2"/>
        <v>0</v>
      </c>
      <c r="E22" s="18">
        <f t="shared" si="3"/>
        <v>0</v>
      </c>
      <c r="I22" s="23">
        <f>SUMIFS(Sales!$S:$S,Sales!$H:$H,"&lt;="&amp;'Cashflow Projection'!I$5,Sales!$E:$E,FALSE,Sales!$F:$F,'Cashflow Projection'!$C22,Sales!$A:$A,'Cashflow Projection'!$A22,Sales!$B:$B,'Cashflow Projection'!$B22,Sales!$H:$H,"&gt;"&amp;'Cashflow Projection'!B$2)*$C22</f>
        <v>0</v>
      </c>
      <c r="J22" s="18">
        <f>COUNTIFS(Sales!$H:$H,"&lt;="&amp;'Cashflow Projection'!I$5,Sales!$H:$H,"&gt;"&amp;'Cashflow Projection'!B$2,Sales!$A:$A,'Cashflow Projection'!$A22,Sales!$B:$B,'Cashflow Projection'!$B22,Sales!$F:$F,'Cashflow Projection'!$C22,Sales!$E:$E,FALSE)*$C22</f>
        <v>0</v>
      </c>
      <c r="K22" s="23">
        <f>SUMIFS(Sales!$S:$S,Sales!$H:$H,"&lt;="&amp;'Cashflow Projection'!K$5,Sales!$E:$E,FALSE,Sales!$F:$F,'Cashflow Projection'!$C22,Sales!$A:$A,'Cashflow Projection'!$A22,Sales!$B:$B,'Cashflow Projection'!$B22,Sales!$H:$H,"&gt;"&amp;'Cashflow Projection'!I$5)*$C22</f>
        <v>0</v>
      </c>
      <c r="L22" s="18">
        <f>COUNTIFS(Sales!$H:$H,"&lt;="&amp;'Cashflow Projection'!K$5,Sales!$H:$H,"&gt;"&amp;'Cashflow Projection'!I$5,Sales!$A:$A,'Cashflow Projection'!$A22,Sales!$B:$B,'Cashflow Projection'!$B22,Sales!$F:$F,'Cashflow Projection'!$C22,Sales!$E:$E,FALSE)*$C22</f>
        <v>0</v>
      </c>
      <c r="M22" s="23">
        <f>SUMIFS(Sales!$S:$S,Sales!$H:$H,"&lt;="&amp;'Cashflow Projection'!M$5,Sales!$E:$E,FALSE,Sales!$F:$F,'Cashflow Projection'!$C22,Sales!$A:$A,'Cashflow Projection'!$A22,Sales!$B:$B,'Cashflow Projection'!$B22,Sales!$H:$H,"&gt;"&amp;'Cashflow Projection'!K$5)*$C22</f>
        <v>0</v>
      </c>
      <c r="N22" s="18">
        <f>COUNTIFS(Sales!$H:$H,"&lt;="&amp;'Cashflow Projection'!M$5,Sales!$H:$H,"&gt;"&amp;'Cashflow Projection'!K$5,Sales!$A:$A,'Cashflow Projection'!$A22,Sales!$B:$B,'Cashflow Projection'!$B22,Sales!$F:$F,'Cashflow Projection'!$C22,Sales!$E:$E,FALSE)*$C22</f>
        <v>0</v>
      </c>
      <c r="O22" s="23">
        <f>SUMIFS(Sales!$S:$S,Sales!$H:$H,"&lt;="&amp;'Cashflow Projection'!O$5,Sales!$E:$E,FALSE,Sales!$F:$F,'Cashflow Projection'!$C22,Sales!$A:$A,'Cashflow Projection'!$A22,Sales!$B:$B,'Cashflow Projection'!$B22,Sales!$H:$H,"&gt;"&amp;'Cashflow Projection'!M$5)*$C22</f>
        <v>0</v>
      </c>
      <c r="P22" s="18">
        <f>COUNTIFS(Sales!$H:$H,"&lt;="&amp;'Cashflow Projection'!O$5,Sales!$H:$H,"&gt;"&amp;'Cashflow Projection'!M$5,Sales!$A:$A,'Cashflow Projection'!$A22,Sales!$B:$B,'Cashflow Projection'!$B22,Sales!$F:$F,'Cashflow Projection'!$C22,Sales!$E:$E,FALSE)*$C22</f>
        <v>0</v>
      </c>
      <c r="Q22" s="23">
        <f>SUMIFS(Sales!$S:$S,Sales!$H:$H,"&lt;="&amp;'Cashflow Projection'!Q$5,Sales!$E:$E,FALSE,Sales!$F:$F,'Cashflow Projection'!$C22,Sales!$A:$A,'Cashflow Projection'!$A22,Sales!$B:$B,'Cashflow Projection'!$B22,Sales!$H:$H,"&gt;"&amp;'Cashflow Projection'!O$5)*$C22</f>
        <v>0</v>
      </c>
      <c r="R22" s="18">
        <f>COUNTIFS(Sales!$H:$H,"&lt;="&amp;'Cashflow Projection'!Q$5,Sales!$H:$H,"&gt;"&amp;'Cashflow Projection'!O$5,Sales!$A:$A,'Cashflow Projection'!$A22,Sales!$B:$B,'Cashflow Projection'!$B22,Sales!$F:$F,'Cashflow Projection'!$C22,Sales!$E:$E,FALSE)*$C22</f>
        <v>0</v>
      </c>
      <c r="S22" s="23">
        <f>SUMIFS(Sales!$S:$S,Sales!$H:$H,"&lt;="&amp;'Cashflow Projection'!S$5,Sales!$E:$E,FALSE,Sales!$F:$F,'Cashflow Projection'!$C22,Sales!$A:$A,'Cashflow Projection'!$A22,Sales!$B:$B,'Cashflow Projection'!$B22,Sales!$H:$H,"&gt;"&amp;'Cashflow Projection'!Q$5)*$C22</f>
        <v>0</v>
      </c>
      <c r="T22" s="18">
        <f>COUNTIFS(Sales!$H:$H,"&lt;="&amp;'Cashflow Projection'!S$5,Sales!$H:$H,"&gt;"&amp;'Cashflow Projection'!Q$5,Sales!$A:$A,'Cashflow Projection'!$A22,Sales!$B:$B,'Cashflow Projection'!$B22,Sales!$F:$F,'Cashflow Projection'!$C22,Sales!$E:$E,FALSE)*$C22</f>
        <v>0</v>
      </c>
      <c r="U22" s="23">
        <f>SUMIFS(Sales!$S:$S,Sales!$H:$H,"&lt;="&amp;'Cashflow Projection'!U$5,Sales!$E:$E,FALSE,Sales!$F:$F,'Cashflow Projection'!$C22,Sales!$A:$A,'Cashflow Projection'!$A22,Sales!$B:$B,'Cashflow Projection'!$B22,Sales!$H:$H,"&gt;"&amp;'Cashflow Projection'!S$5)*$C22</f>
        <v>0</v>
      </c>
      <c r="V22" s="18">
        <f>COUNTIFS(Sales!$H:$H,"&lt;="&amp;'Cashflow Projection'!U$5,Sales!$H:$H,"&gt;"&amp;'Cashflow Projection'!S$5,Sales!$A:$A,'Cashflow Projection'!$A22,Sales!$B:$B,'Cashflow Projection'!$B22,Sales!$F:$F,'Cashflow Projection'!$C22,Sales!$E:$E,FALSE)*$C22</f>
        <v>0</v>
      </c>
      <c r="W22" s="23">
        <f>SUMIFS(Sales!$S:$S,Sales!$H:$H,"&lt;="&amp;'Cashflow Projection'!W$5,Sales!$E:$E,FALSE,Sales!$F:$F,'Cashflow Projection'!$C22,Sales!$A:$A,'Cashflow Projection'!$A22,Sales!$B:$B,'Cashflow Projection'!$B22,Sales!$H:$H,"&gt;"&amp;'Cashflow Projection'!U$5)*$C22</f>
        <v>0</v>
      </c>
      <c r="X22" s="18">
        <f>COUNTIFS(Sales!$H:$H,"&lt;="&amp;'Cashflow Projection'!W$5,Sales!$H:$H,"&gt;"&amp;'Cashflow Projection'!U$5,Sales!$A:$A,'Cashflow Projection'!$A22,Sales!$B:$B,'Cashflow Projection'!$B22,Sales!$F:$F,'Cashflow Projection'!$C22,Sales!$E:$E,FALSE)*$C22</f>
        <v>0</v>
      </c>
      <c r="Y22" s="23">
        <f>SUMIFS(Sales!$S:$S,Sales!$H:$H,"&lt;="&amp;'Cashflow Projection'!Y$5,Sales!$E:$E,FALSE,Sales!$F:$F,'Cashflow Projection'!$C22,Sales!$A:$A,'Cashflow Projection'!$A22,Sales!$B:$B,'Cashflow Projection'!$B22,Sales!$H:$H,"&gt;"&amp;'Cashflow Projection'!W$5)*$C22</f>
        <v>0</v>
      </c>
      <c r="Z22" s="18">
        <f>COUNTIFS(Sales!$H:$H,"&lt;="&amp;'Cashflow Projection'!Y$5,Sales!$H:$H,"&gt;"&amp;'Cashflow Projection'!W$5,Sales!$A:$A,'Cashflow Projection'!$A22,Sales!$B:$B,'Cashflow Projection'!$B22,Sales!$F:$F,'Cashflow Projection'!$C22,Sales!$E:$E,FALSE)*$C22</f>
        <v>0</v>
      </c>
      <c r="AA22" s="23">
        <f>SUMIFS(Sales!$S:$S,Sales!$H:$H,"&lt;="&amp;'Cashflow Projection'!AA$5,Sales!$E:$E,FALSE,Sales!$F:$F,'Cashflow Projection'!$C22,Sales!$A:$A,'Cashflow Projection'!$A22,Sales!$B:$B,'Cashflow Projection'!$B22,Sales!$H:$H,"&gt;"&amp;'Cashflow Projection'!Y$5)*$C22</f>
        <v>0</v>
      </c>
      <c r="AB22" s="18">
        <f>COUNTIFS(Sales!$H:$H,"&lt;="&amp;'Cashflow Projection'!AA$5,Sales!$H:$H,"&gt;"&amp;'Cashflow Projection'!Y$5,Sales!$A:$A,'Cashflow Projection'!$A22,Sales!$B:$B,'Cashflow Projection'!$B22,Sales!$F:$F,'Cashflow Projection'!$C22,Sales!$E:$E,FALSE)*$C22</f>
        <v>0</v>
      </c>
      <c r="AC22" s="23">
        <f>SUMIFS(Sales!$S:$S,Sales!$H:$H,"&lt;="&amp;'Cashflow Projection'!AC$5,Sales!$E:$E,FALSE,Sales!$F:$F,'Cashflow Projection'!$C22,Sales!$A:$A,'Cashflow Projection'!$A22,Sales!$B:$B,'Cashflow Projection'!$B22,Sales!$H:$H,"&gt;"&amp;'Cashflow Projection'!AA$5)*$C22</f>
        <v>0</v>
      </c>
      <c r="AD22" s="18">
        <f>COUNTIFS(Sales!$H:$H,"&lt;="&amp;'Cashflow Projection'!AC$5,Sales!$H:$H,"&gt;"&amp;'Cashflow Projection'!AA$5,Sales!$A:$A,'Cashflow Projection'!$A22,Sales!$B:$B,'Cashflow Projection'!$B22,Sales!$F:$F,'Cashflow Projection'!$C22,Sales!$E:$E,FALSE)*$C22</f>
        <v>0</v>
      </c>
      <c r="AE22" s="23">
        <f>SUMIFS(Sales!$S:$S,Sales!$H:$H,"&lt;="&amp;'Cashflow Projection'!AE$5,Sales!$E:$E,FALSE,Sales!$F:$F,'Cashflow Projection'!$C22,Sales!$A:$A,'Cashflow Projection'!$A22,Sales!$B:$B,'Cashflow Projection'!$B22,Sales!$H:$H,"&gt;"&amp;'Cashflow Projection'!AC$5)*$C22</f>
        <v>0</v>
      </c>
      <c r="AF22" s="21">
        <f>COUNTIFS(Sales!$H:$H,"&lt;="&amp;'Cashflow Projection'!AE$5,Sales!$H:$H,"&gt;"&amp;'Cashflow Projection'!AC$5,Sales!$A:$A,'Cashflow Projection'!$A22,Sales!$B:$B,'Cashflow Projection'!$B22,Sales!$F:$F,'Cashflow Projection'!$C22,Sales!$E:$E,FALSE)*$C22</f>
        <v>0</v>
      </c>
    </row>
    <row r="23" spans="1:32" ht="29" x14ac:dyDescent="0.35">
      <c r="A23" s="15" t="s">
        <v>386</v>
      </c>
      <c r="B23" s="22" t="s">
        <v>891</v>
      </c>
      <c r="C23" s="22">
        <f t="shared" si="1"/>
        <v>1</v>
      </c>
      <c r="D23" s="23">
        <f t="shared" si="2"/>
        <v>3352313.3006849317</v>
      </c>
      <c r="E23" s="18">
        <f t="shared" si="3"/>
        <v>3</v>
      </c>
      <c r="I23" s="23">
        <f>SUMIFS(Sales!$S:$S,Sales!$H:$H,"&lt;="&amp;'Cashflow Projection'!I$5,Sales!$E:$E,FALSE,Sales!$F:$F,'Cashflow Projection'!$C23,Sales!$A:$A,'Cashflow Projection'!$A23,Sales!$B:$B,'Cashflow Projection'!$B23,Sales!$H:$H,"&gt;"&amp;'Cashflow Projection'!B$2)*$C23</f>
        <v>0</v>
      </c>
      <c r="J23" s="18">
        <f>COUNTIFS(Sales!$H:$H,"&lt;="&amp;'Cashflow Projection'!I$5,Sales!$H:$H,"&gt;"&amp;'Cashflow Projection'!B$2,Sales!$A:$A,'Cashflow Projection'!$A23,Sales!$B:$B,'Cashflow Projection'!$B23,Sales!$F:$F,'Cashflow Projection'!$C23,Sales!$E:$E,FALSE)*$C23</f>
        <v>0</v>
      </c>
      <c r="K23" s="23">
        <f>SUMIFS(Sales!$S:$S,Sales!$H:$H,"&lt;="&amp;'Cashflow Projection'!K$5,Sales!$E:$E,FALSE,Sales!$F:$F,'Cashflow Projection'!$C23,Sales!$A:$A,'Cashflow Projection'!$A23,Sales!$B:$B,'Cashflow Projection'!$B23,Sales!$H:$H,"&gt;"&amp;'Cashflow Projection'!I$5)*$C23</f>
        <v>142933.20068493159</v>
      </c>
      <c r="L23" s="18">
        <f>COUNTIFS(Sales!$H:$H,"&lt;="&amp;'Cashflow Projection'!K$5,Sales!$H:$H,"&gt;"&amp;'Cashflow Projection'!I$5,Sales!$A:$A,'Cashflow Projection'!$A23,Sales!$B:$B,'Cashflow Projection'!$B23,Sales!$F:$F,'Cashflow Projection'!$C23,Sales!$E:$E,FALSE)*$C23</f>
        <v>1</v>
      </c>
      <c r="M23" s="23">
        <f>SUMIFS(Sales!$S:$S,Sales!$H:$H,"&lt;="&amp;'Cashflow Projection'!M$5,Sales!$E:$E,FALSE,Sales!$F:$F,'Cashflow Projection'!$C23,Sales!$A:$A,'Cashflow Projection'!$A23,Sales!$B:$B,'Cashflow Projection'!$B23,Sales!$H:$H,"&gt;"&amp;'Cashflow Projection'!K$5)*$C23</f>
        <v>0</v>
      </c>
      <c r="N23" s="18">
        <f>COUNTIFS(Sales!$H:$H,"&lt;="&amp;'Cashflow Projection'!M$5,Sales!$H:$H,"&gt;"&amp;'Cashflow Projection'!K$5,Sales!$A:$A,'Cashflow Projection'!$A23,Sales!$B:$B,'Cashflow Projection'!$B23,Sales!$F:$F,'Cashflow Projection'!$C23,Sales!$E:$E,FALSE)*$C23</f>
        <v>0</v>
      </c>
      <c r="O23" s="23">
        <f>SUMIFS(Sales!$S:$S,Sales!$H:$H,"&lt;="&amp;'Cashflow Projection'!O$5,Sales!$E:$E,FALSE,Sales!$F:$F,'Cashflow Projection'!$C23,Sales!$A:$A,'Cashflow Projection'!$A23,Sales!$B:$B,'Cashflow Projection'!$B23,Sales!$H:$H,"&gt;"&amp;'Cashflow Projection'!M$5)*$C23</f>
        <v>0</v>
      </c>
      <c r="P23" s="18">
        <f>COUNTIFS(Sales!$H:$H,"&lt;="&amp;'Cashflow Projection'!O$5,Sales!$H:$H,"&gt;"&amp;'Cashflow Projection'!M$5,Sales!$A:$A,'Cashflow Projection'!$A23,Sales!$B:$B,'Cashflow Projection'!$B23,Sales!$F:$F,'Cashflow Projection'!$C23,Sales!$E:$E,FALSE)*$C23</f>
        <v>0</v>
      </c>
      <c r="Q23" s="23">
        <f>SUMIFS(Sales!$S:$S,Sales!$H:$H,"&lt;="&amp;'Cashflow Projection'!Q$5,Sales!$E:$E,FALSE,Sales!$F:$F,'Cashflow Projection'!$C23,Sales!$A:$A,'Cashflow Projection'!$A23,Sales!$B:$B,'Cashflow Projection'!$B23,Sales!$H:$H,"&gt;"&amp;'Cashflow Projection'!O$5)*$C23</f>
        <v>0</v>
      </c>
      <c r="R23" s="18">
        <f>COUNTIFS(Sales!$H:$H,"&lt;="&amp;'Cashflow Projection'!Q$5,Sales!$H:$H,"&gt;"&amp;'Cashflow Projection'!O$5,Sales!$A:$A,'Cashflow Projection'!$A23,Sales!$B:$B,'Cashflow Projection'!$B23,Sales!$F:$F,'Cashflow Projection'!$C23,Sales!$E:$E,FALSE)*$C23</f>
        <v>0</v>
      </c>
      <c r="S23" s="23">
        <f>SUMIFS(Sales!$S:$S,Sales!$H:$H,"&lt;="&amp;'Cashflow Projection'!S$5,Sales!$E:$E,FALSE,Sales!$F:$F,'Cashflow Projection'!$C23,Sales!$A:$A,'Cashflow Projection'!$A23,Sales!$B:$B,'Cashflow Projection'!$B23,Sales!$H:$H,"&gt;"&amp;'Cashflow Projection'!Q$5)*$C23</f>
        <v>0</v>
      </c>
      <c r="T23" s="18">
        <f>COUNTIFS(Sales!$H:$H,"&lt;="&amp;'Cashflow Projection'!S$5,Sales!$H:$H,"&gt;"&amp;'Cashflow Projection'!Q$5,Sales!$A:$A,'Cashflow Projection'!$A23,Sales!$B:$B,'Cashflow Projection'!$B23,Sales!$F:$F,'Cashflow Projection'!$C23,Sales!$E:$E,FALSE)*$C23</f>
        <v>0</v>
      </c>
      <c r="U23" s="23">
        <f>SUMIFS(Sales!$S:$S,Sales!$H:$H,"&lt;="&amp;'Cashflow Projection'!U$5,Sales!$E:$E,FALSE,Sales!$F:$F,'Cashflow Projection'!$C23,Sales!$A:$A,'Cashflow Projection'!$A23,Sales!$B:$B,'Cashflow Projection'!$B23,Sales!$H:$H,"&gt;"&amp;'Cashflow Projection'!S$5)*$C23</f>
        <v>3209380.1</v>
      </c>
      <c r="V23" s="18">
        <f>COUNTIFS(Sales!$H:$H,"&lt;="&amp;'Cashflow Projection'!U$5,Sales!$H:$H,"&gt;"&amp;'Cashflow Projection'!S$5,Sales!$A:$A,'Cashflow Projection'!$A23,Sales!$B:$B,'Cashflow Projection'!$B23,Sales!$F:$F,'Cashflow Projection'!$C23,Sales!$E:$E,FALSE)*$C23</f>
        <v>2</v>
      </c>
      <c r="W23" s="23">
        <f>SUMIFS(Sales!$S:$S,Sales!$H:$H,"&lt;="&amp;'Cashflow Projection'!W$5,Sales!$E:$E,FALSE,Sales!$F:$F,'Cashflow Projection'!$C23,Sales!$A:$A,'Cashflow Projection'!$A23,Sales!$B:$B,'Cashflow Projection'!$B23,Sales!$H:$H,"&gt;"&amp;'Cashflow Projection'!U$5)*$C23</f>
        <v>0</v>
      </c>
      <c r="X23" s="18">
        <f>COUNTIFS(Sales!$H:$H,"&lt;="&amp;'Cashflow Projection'!W$5,Sales!$H:$H,"&gt;"&amp;'Cashflow Projection'!U$5,Sales!$A:$A,'Cashflow Projection'!$A23,Sales!$B:$B,'Cashflow Projection'!$B23,Sales!$F:$F,'Cashflow Projection'!$C23,Sales!$E:$E,FALSE)*$C23</f>
        <v>0</v>
      </c>
      <c r="Y23" s="23">
        <f>SUMIFS(Sales!$S:$S,Sales!$H:$H,"&lt;="&amp;'Cashflow Projection'!Y$5,Sales!$E:$E,FALSE,Sales!$F:$F,'Cashflow Projection'!$C23,Sales!$A:$A,'Cashflow Projection'!$A23,Sales!$B:$B,'Cashflow Projection'!$B23,Sales!$H:$H,"&gt;"&amp;'Cashflow Projection'!W$5)*$C23</f>
        <v>0</v>
      </c>
      <c r="Z23" s="18">
        <f>COUNTIFS(Sales!$H:$H,"&lt;="&amp;'Cashflow Projection'!Y$5,Sales!$H:$H,"&gt;"&amp;'Cashflow Projection'!W$5,Sales!$A:$A,'Cashflow Projection'!$A23,Sales!$B:$B,'Cashflow Projection'!$B23,Sales!$F:$F,'Cashflow Projection'!$C23,Sales!$E:$E,FALSE)*$C23</f>
        <v>0</v>
      </c>
      <c r="AA23" s="23">
        <f>SUMIFS(Sales!$S:$S,Sales!$H:$H,"&lt;="&amp;'Cashflow Projection'!AA$5,Sales!$E:$E,FALSE,Sales!$F:$F,'Cashflow Projection'!$C23,Sales!$A:$A,'Cashflow Projection'!$A23,Sales!$B:$B,'Cashflow Projection'!$B23,Sales!$H:$H,"&gt;"&amp;'Cashflow Projection'!Y$5)*$C23</f>
        <v>0</v>
      </c>
      <c r="AB23" s="18">
        <f>COUNTIFS(Sales!$H:$H,"&lt;="&amp;'Cashflow Projection'!AA$5,Sales!$H:$H,"&gt;"&amp;'Cashflow Projection'!Y$5,Sales!$A:$A,'Cashflow Projection'!$A23,Sales!$B:$B,'Cashflow Projection'!$B23,Sales!$F:$F,'Cashflow Projection'!$C23,Sales!$E:$E,FALSE)*$C23</f>
        <v>0</v>
      </c>
      <c r="AC23" s="23">
        <f>SUMIFS(Sales!$S:$S,Sales!$H:$H,"&lt;="&amp;'Cashflow Projection'!AC$5,Sales!$E:$E,FALSE,Sales!$F:$F,'Cashflow Projection'!$C23,Sales!$A:$A,'Cashflow Projection'!$A23,Sales!$B:$B,'Cashflow Projection'!$B23,Sales!$H:$H,"&gt;"&amp;'Cashflow Projection'!AA$5)*$C23</f>
        <v>0</v>
      </c>
      <c r="AD23" s="18">
        <f>COUNTIFS(Sales!$H:$H,"&lt;="&amp;'Cashflow Projection'!AC$5,Sales!$H:$H,"&gt;"&amp;'Cashflow Projection'!AA$5,Sales!$A:$A,'Cashflow Projection'!$A23,Sales!$B:$B,'Cashflow Projection'!$B23,Sales!$F:$F,'Cashflow Projection'!$C23,Sales!$E:$E,FALSE)*$C23</f>
        <v>0</v>
      </c>
      <c r="AE23" s="23">
        <f>SUMIFS(Sales!$S:$S,Sales!$H:$H,"&lt;="&amp;'Cashflow Projection'!AE$5,Sales!$E:$E,FALSE,Sales!$F:$F,'Cashflow Projection'!$C23,Sales!$A:$A,'Cashflow Projection'!$A23,Sales!$B:$B,'Cashflow Projection'!$B23,Sales!$H:$H,"&gt;"&amp;'Cashflow Projection'!AC$5)*$C23</f>
        <v>0</v>
      </c>
      <c r="AF23" s="21">
        <f>COUNTIFS(Sales!$H:$H,"&lt;="&amp;'Cashflow Projection'!AE$5,Sales!$H:$H,"&gt;"&amp;'Cashflow Projection'!AC$5,Sales!$A:$A,'Cashflow Projection'!$A23,Sales!$B:$B,'Cashflow Projection'!$B23,Sales!$F:$F,'Cashflow Projection'!$C23,Sales!$E:$E,FALSE)*$C23</f>
        <v>0</v>
      </c>
    </row>
    <row r="24" spans="1:32" ht="29" x14ac:dyDescent="0.35">
      <c r="A24" s="15"/>
      <c r="B24" s="24"/>
      <c r="C24" s="24"/>
      <c r="AF24" s="14"/>
    </row>
    <row r="25" spans="1:32" x14ac:dyDescent="0.2">
      <c r="A25" s="13"/>
      <c r="AF25" s="14"/>
    </row>
    <row r="26" spans="1:32" ht="29" x14ac:dyDescent="0.35">
      <c r="A26" s="15" t="s">
        <v>1839</v>
      </c>
      <c r="C26" s="12">
        <v>1</v>
      </c>
      <c r="D26" s="25">
        <f>+I26+K26+M26+O26+Q26+S26+U26+W26+Y26+AA26+AC26+AE26</f>
        <v>20753341.245582536</v>
      </c>
      <c r="I26" s="25">
        <f>SUMIFS(Sales!$S:$S,Sales!$E:$E,FALSE,Sales!$F:$F,1,Sales!$H:$H,"&lt;="&amp;'Cashflow Projection'!I$5,Sales!$H:$H,"&gt;"&amp;'Cashflow Projection'!$B$2)</f>
        <v>10079683.714441918</v>
      </c>
      <c r="K26" s="25">
        <f>SUMIFS(Sales!$S:$S,Sales!$E:$E,FALSE,Sales!$F:$F,1,Sales!$H:$H,"&lt;="&amp;'Cashflow Projection'!K$5,Sales!$H:$H,"&gt;"&amp;'Cashflow Projection'!I$5)</f>
        <v>2733448.6104602739</v>
      </c>
      <c r="M26" s="25">
        <f>SUMIFS(Sales!$S:$S,Sales!$E:$E,FALSE,Sales!$F:$F,1,Sales!$H:$H,"&lt;="&amp;'Cashflow Projection'!M$5,Sales!$H:$H,"&gt;"&amp;'Cashflow Projection'!K$5)</f>
        <v>0</v>
      </c>
      <c r="O26" s="25">
        <f>SUMIFS(Sales!$S:$S,Sales!$E:$E,FALSE,Sales!$F:$F,1,Sales!$H:$H,"&lt;="&amp;'Cashflow Projection'!O$5,Sales!$H:$H,"&gt;"&amp;'Cashflow Projection'!M$5)</f>
        <v>0</v>
      </c>
      <c r="Q26" s="25">
        <f>SUMIFS(Sales!$S:$S,Sales!$E:$E,FALSE,Sales!$F:$F,1,Sales!$H:$H,"&lt;="&amp;'Cashflow Projection'!Q$5,Sales!$H:$H,"&gt;"&amp;'Cashflow Projection'!O$5)</f>
        <v>0</v>
      </c>
      <c r="S26" s="25">
        <f>SUMIFS(Sales!$S:$S,Sales!$E:$E,FALSE,Sales!$F:$F,1,Sales!$H:$H,"&lt;="&amp;'Cashflow Projection'!S$5,Sales!$H:$H,"&gt;"&amp;'Cashflow Projection'!Q$5)</f>
        <v>0</v>
      </c>
      <c r="U26" s="25">
        <f>SUMIFS(Sales!$S:$S,Sales!$E:$E,FALSE,Sales!$F:$F,1,Sales!$H:$H,"&lt;="&amp;'Cashflow Projection'!U$5,Sales!$H:$H,"&gt;"&amp;'Cashflow Projection'!S$5)</f>
        <v>7940208.9206803422</v>
      </c>
      <c r="W26" s="25">
        <f>SUMIFS(Sales!$S:$S,Sales!$E:$E,FALSE,Sales!$F:$F,1,Sales!$H:$H,"&lt;="&amp;'Cashflow Projection'!W$5,Sales!$H:$H,"&gt;"&amp;'Cashflow Projection'!U$5)</f>
        <v>0</v>
      </c>
      <c r="Y26" s="25">
        <f>SUMIFS(Sales!$S:$S,Sales!$E:$E,FALSE,Sales!$F:$F,1,Sales!$H:$H,"&lt;="&amp;'Cashflow Projection'!Y$5,Sales!$H:$H,"&gt;"&amp;'Cashflow Projection'!W$5)</f>
        <v>0</v>
      </c>
      <c r="AA26" s="25">
        <f>SUMIFS(Sales!$S:$S,Sales!$E:$E,FALSE,Sales!$F:$F,1,Sales!$H:$H,"&lt;="&amp;'Cashflow Projection'!AA$5,Sales!$H:$H,"&gt;"&amp;'Cashflow Projection'!Y$5)</f>
        <v>0</v>
      </c>
      <c r="AC26" s="25">
        <f>SUMIFS(Sales!$S:$S,Sales!$E:$E,FALSE,Sales!$F:$F,1,Sales!$H:$H,"&lt;="&amp;'Cashflow Projection'!AC$5,Sales!$H:$H,"&gt;"&amp;'Cashflow Projection'!AA$5)</f>
        <v>0</v>
      </c>
      <c r="AE26" s="25">
        <f>SUMIFS(Sales!$S:$S,Sales!$E:$E,FALSE,Sales!$F:$F,1,Sales!$H:$H,"&lt;="&amp;'Cashflow Projection'!AE$5,Sales!$H:$H,"&gt;"&amp;'Cashflow Projection'!AC$5)</f>
        <v>0</v>
      </c>
      <c r="AF26" s="14"/>
    </row>
    <row r="27" spans="1:32" ht="29" x14ac:dyDescent="0.35">
      <c r="A27" s="15" t="s">
        <v>1840</v>
      </c>
      <c r="C27" s="12"/>
      <c r="D27" s="26"/>
      <c r="AF27" s="14"/>
    </row>
    <row r="28" spans="1:32" ht="29" x14ac:dyDescent="0.35">
      <c r="A28" s="15" t="s">
        <v>1841</v>
      </c>
      <c r="C28" s="12"/>
      <c r="D28" s="26"/>
      <c r="AF28" s="14"/>
    </row>
    <row r="29" spans="1:32" ht="29" x14ac:dyDescent="0.35">
      <c r="A29" s="15" t="s">
        <v>1842</v>
      </c>
      <c r="C29" s="12">
        <v>1</v>
      </c>
      <c r="D29" s="27">
        <f>+I29+K29+M29+O29+Q29+S29+U29+W29+Y29+AA29+AC29+AE29</f>
        <v>0</v>
      </c>
      <c r="AF29" s="14"/>
    </row>
    <row r="30" spans="1:32" x14ac:dyDescent="0.2">
      <c r="A30" s="13"/>
      <c r="AF30" s="14"/>
    </row>
    <row r="31" spans="1:32" ht="29" x14ac:dyDescent="0.35">
      <c r="A31" s="15" t="s">
        <v>1843</v>
      </c>
      <c r="C31" s="12">
        <f>C66</f>
        <v>1</v>
      </c>
      <c r="D31" s="27">
        <f>+I31+K31+M31+O31+Q31+S31+U31+W31+Y31+AA31+AC31+AE31</f>
        <v>-5386720.6956521738</v>
      </c>
      <c r="I31" s="27">
        <f>-SUMIFS(Sales!$J:$J,Sales!$E:$E,FALSE, Sales!$U:$U,"&lt;="&amp;'Cashflow Projection'!I$5,Sales!$F:$F,1)*$C31</f>
        <v>0</v>
      </c>
      <c r="K31" s="27">
        <f>-SUMIFS(Sales!$J:$J,Sales!$E:$E,FALSE, Sales!$U:$U,"&lt;="&amp;'Cashflow Projection'!K$5,Sales!$U:$U,"&gt;"&amp;'Cashflow Projection'!I$5,Sales!$F:$F,1)*$C31</f>
        <v>-979499.99999999988</v>
      </c>
      <c r="M31" s="27">
        <f>-SUMIFS(Sales!$J:$J,Sales!$E:$E,FALSE, Sales!$U:$U,"&lt;="&amp;'Cashflow Projection'!M$5,Sales!$U:$U,"&gt;"&amp;'Cashflow Projection'!K$5,Sales!$F:$F,1)*$C31</f>
        <v>0</v>
      </c>
      <c r="O31" s="27">
        <f>-SUMIFS(Sales!$J:$J,Sales!$E:$E,FALSE, Sales!$U:$U,"&lt;="&amp;'Cashflow Projection'!O$5,Sales!$U:$U,"&gt;"&amp;'Cashflow Projection'!M$5,Sales!$F:$F,1)*$C31</f>
        <v>-2375177.2173913042</v>
      </c>
      <c r="Q31" s="27">
        <f>-SUMIFS(Sales!$J:$J,Sales!$E:$E,FALSE, Sales!$U:$U,"&lt;="&amp;'Cashflow Projection'!Q$5,Sales!$U:$U,"&gt;"&amp;'Cashflow Projection'!O$5,Sales!$F:$F,1)*$C31</f>
        <v>0</v>
      </c>
      <c r="S31" s="27">
        <f>-SUMIFS(Sales!$J:$J,Sales!$E:$E,FALSE, Sales!$U:$U,"&lt;="&amp;'Cashflow Projection'!S$5,Sales!$U:$U,"&gt;"&amp;'Cashflow Projection'!Q$5,Sales!$F:$F,1)*$C31</f>
        <v>0</v>
      </c>
      <c r="U31" s="27">
        <f>-SUMIFS(Sales!$J:$J,Sales!$E:$E,FALSE, Sales!$U:$U,"&lt;="&amp;'Cashflow Projection'!U$5,Sales!$U:$U,"&gt;"&amp;'Cashflow Projection'!S$5,Sales!$F:$F,1)*$C31</f>
        <v>0</v>
      </c>
      <c r="W31" s="27">
        <f>-SUMIFS(Sales!$J:$J,Sales!$E:$E,FALSE, Sales!$U:$U,"&lt;="&amp;'Cashflow Projection'!W$5,Sales!$U:$U,"&gt;"&amp;'Cashflow Projection'!U$5,Sales!$F:$F,1)*$C31</f>
        <v>-2032043.4782608694</v>
      </c>
      <c r="Y31" s="27">
        <f>-SUMIFS(Sales!$J:$J,Sales!$E:$E,FALSE, Sales!$U:$U,"&lt;="&amp;'Cashflow Projection'!Y$5,Sales!$U:$U,"&gt;"&amp;'Cashflow Projection'!W$5,Sales!$F:$F,1)*$C31</f>
        <v>0</v>
      </c>
      <c r="AA31" s="27">
        <f>-SUMIFS(Sales!$J:$J,Sales!$E:$E,FALSE, Sales!$U:$U,"&lt;="&amp;'Cashflow Projection'!AA$5,Sales!$U:$U,"&gt;"&amp;'Cashflow Projection'!Y$5,Sales!$F:$F,1)*$C31</f>
        <v>0</v>
      </c>
      <c r="AC31" s="27">
        <f>-SUMIFS(Sales!$J:$J,Sales!$E:$E,FALSE, Sales!$U:$U,"&lt;="&amp;'Cashflow Projection'!AC$5,Sales!$U:$U,"&gt;"&amp;'Cashflow Projection'!AA$5,Sales!$F:$F,1)*$C31</f>
        <v>0</v>
      </c>
      <c r="AE31" s="27">
        <f>-SUMIFS(Sales!$J:$J,Sales!$E:$E,FALSE, Sales!$U:$U,"&lt;="&amp;'Cashflow Projection'!AE$5,Sales!$U:$U,"&gt;"&amp;'Cashflow Projection'!AC$5,Sales!$F:$F,1)*$C31</f>
        <v>0</v>
      </c>
      <c r="AF31" s="14"/>
    </row>
    <row r="32" spans="1:32" x14ac:dyDescent="0.2">
      <c r="A32" s="13"/>
      <c r="AF32" s="14"/>
    </row>
    <row r="33" spans="1:32" ht="29" x14ac:dyDescent="0.35">
      <c r="A33" s="15" t="s">
        <v>1844</v>
      </c>
      <c r="C33" s="12"/>
      <c r="D33" s="28">
        <f>+I33+K33+M33+O33+Q33+S33+U33+W33+Y33+AA33+AC33+AE33</f>
        <v>20753341.245582536</v>
      </c>
      <c r="I33" s="29">
        <f>SUMIFS(Sales!$S:$S,Sales!$E:$E,FALSE,Sales!$F:$F,1,Sales!$H:$H,"&lt;="&amp;'Cashflow Projection'!I$5,Sales!$H:$H,"&gt;"&amp;'Cashflow Projection'!$B$2)</f>
        <v>10079683.714441918</v>
      </c>
      <c r="K33" s="29">
        <f>SUMIFS(Sales!$S:$S,Sales!$E:$E,FALSE,Sales!$F:$F,1,Sales!$H:$H,"&lt;="&amp;'Cashflow Projection'!K$5,Sales!$H:$H,"&gt;"&amp;'Cashflow Projection'!I$5)</f>
        <v>2733448.6104602739</v>
      </c>
      <c r="M33" s="29">
        <f>SUMIFS(Sales!$S:$S,Sales!$E:$E,FALSE,Sales!$F:$F,1,Sales!$H:$H,"&lt;="&amp;'Cashflow Projection'!M$5,Sales!$H:$H,"&gt;"&amp;'Cashflow Projection'!K$5)</f>
        <v>0</v>
      </c>
      <c r="O33" s="29">
        <f>SUMIFS(Sales!$S:$S,Sales!$E:$E,FALSE,Sales!$F:$F,1,Sales!$H:$H,"&lt;="&amp;'Cashflow Projection'!O$5,Sales!$H:$H,"&gt;"&amp;'Cashflow Projection'!M$5)</f>
        <v>0</v>
      </c>
      <c r="Q33" s="29">
        <f>SUMIFS(Sales!$S:$S,Sales!$E:$E,FALSE,Sales!$F:$F,1,Sales!$H:$H,"&lt;="&amp;'Cashflow Projection'!Q$5,Sales!$H:$H,"&gt;"&amp;'Cashflow Projection'!O$5)</f>
        <v>0</v>
      </c>
      <c r="S33" s="29">
        <f>SUMIFS(Sales!$S:$S,Sales!$E:$E,FALSE,Sales!$F:$F,1,Sales!$H:$H,"&lt;="&amp;'Cashflow Projection'!S$5,Sales!$H:$H,"&gt;"&amp;'Cashflow Projection'!Q$5)</f>
        <v>0</v>
      </c>
      <c r="U33" s="29">
        <f>SUMIFS(Sales!$S:$S,Sales!$E:$E,FALSE,Sales!$F:$F,1,Sales!$H:$H,"&lt;="&amp;'Cashflow Projection'!U$5,Sales!$H:$H,"&gt;"&amp;'Cashflow Projection'!S$5)</f>
        <v>7940208.9206803422</v>
      </c>
      <c r="W33" s="29">
        <f>SUMIFS(Sales!$S:$S,Sales!$E:$E,FALSE,Sales!$F:$F,1,Sales!$H:$H,"&lt;="&amp;'Cashflow Projection'!W$5,Sales!$H:$H,"&gt;"&amp;'Cashflow Projection'!U$5)</f>
        <v>0</v>
      </c>
      <c r="Y33" s="29">
        <f>SUMIFS(Sales!$S:$S,Sales!$E:$E,FALSE,Sales!$F:$F,1,Sales!$H:$H,"&lt;="&amp;'Cashflow Projection'!Y$5,Sales!$H:$H,"&gt;"&amp;'Cashflow Projection'!W$5)</f>
        <v>0</v>
      </c>
      <c r="AA33" s="29">
        <f>SUMIFS(Sales!$S:$S,Sales!$E:$E,FALSE,Sales!$F:$F,1,Sales!$H:$H,"&lt;="&amp;'Cashflow Projection'!AA$5,Sales!$H:$H,"&gt;"&amp;'Cashflow Projection'!Y$5)</f>
        <v>0</v>
      </c>
      <c r="AC33" s="29">
        <f>SUMIFS(Sales!$S:$S,Sales!$E:$E,FALSE,Sales!$F:$F,1,Sales!$H:$H,"&lt;="&amp;'Cashflow Projection'!AC$5,Sales!$H:$H,"&gt;"&amp;'Cashflow Projection'!AA$5)</f>
        <v>0</v>
      </c>
      <c r="AE33" s="29">
        <f>SUMIFS(Sales!$S:$S,Sales!$E:$E,FALSE,Sales!$F:$F,1,Sales!$H:$H,"&lt;="&amp;'Cashflow Projection'!AE$5,Sales!$H:$H,"&gt;"&amp;'Cashflow Projection'!AC$5)</f>
        <v>0</v>
      </c>
      <c r="AF33" s="14"/>
    </row>
    <row r="34" spans="1:32" x14ac:dyDescent="0.2">
      <c r="A34" s="13"/>
      <c r="AF34" s="14"/>
    </row>
    <row r="35" spans="1:32" ht="29" x14ac:dyDescent="0.35">
      <c r="A35" s="15" t="s">
        <v>1845</v>
      </c>
      <c r="D35" s="30"/>
      <c r="I35" s="28">
        <f>SUM(I36:I45)</f>
        <v>16851824.25</v>
      </c>
      <c r="K35" s="28">
        <f>SUM(K36:K45)</f>
        <v>12092993.960499998</v>
      </c>
      <c r="M35" s="28">
        <f>SUM(M36:M45)</f>
        <v>2799311.9350000001</v>
      </c>
      <c r="O35" s="28">
        <f>SUM(O36:O45)</f>
        <v>1959518.3544999999</v>
      </c>
      <c r="Q35" s="28">
        <f>SUM(Q36:Q45)</f>
        <v>2703288.01369863</v>
      </c>
      <c r="S35" s="28">
        <f>SUM(S36:S45)</f>
        <v>730776.71232876717</v>
      </c>
      <c r="U35" s="28">
        <f>SUM(U36:U45)</f>
        <v>801437.53066356166</v>
      </c>
      <c r="W35" s="28">
        <f>SUM(W36:W45)</f>
        <v>3138076.2658702051</v>
      </c>
      <c r="Y35" s="28">
        <f>SUM(Y36:Y45)</f>
        <v>0</v>
      </c>
      <c r="AA35" s="28">
        <f>SUM(AA36:AA45)</f>
        <v>4074628.4036825006</v>
      </c>
      <c r="AC35" s="28">
        <f>SUM(AC36:AC45)</f>
        <v>5502175.1269364739</v>
      </c>
      <c r="AE35" s="28">
        <f>SUM(AE36:AE45)</f>
        <v>1572223.9108938356</v>
      </c>
      <c r="AF35" s="14"/>
    </row>
    <row r="36" spans="1:32" ht="29" x14ac:dyDescent="0.35">
      <c r="A36" s="15" t="s">
        <v>1846</v>
      </c>
      <c r="D36" s="23"/>
      <c r="I36" s="29">
        <f>Dashboard!B13</f>
        <v>159799.14000000001</v>
      </c>
      <c r="K36" s="29">
        <f>Dashboard!B13</f>
        <v>159799.14000000001</v>
      </c>
      <c r="M36" s="29"/>
      <c r="O36" s="29"/>
      <c r="Q36" s="29"/>
      <c r="S36" s="29"/>
      <c r="U36" s="29"/>
      <c r="W36" s="29"/>
      <c r="Y36" s="29"/>
      <c r="AA36" s="29"/>
      <c r="AC36" s="29"/>
      <c r="AE36" s="29"/>
      <c r="AF36" s="14"/>
    </row>
    <row r="37" spans="1:32" ht="29" x14ac:dyDescent="0.35">
      <c r="A37" s="15" t="s">
        <v>1847</v>
      </c>
      <c r="D37" s="23"/>
      <c r="I37" s="29">
        <f>Dashboard!B14</f>
        <v>7949619.2399999984</v>
      </c>
      <c r="K37" s="29">
        <f>Dashboard!B14</f>
        <v>7949619.2399999984</v>
      </c>
      <c r="M37" s="29"/>
      <c r="O37" s="29"/>
      <c r="Q37" s="29"/>
      <c r="S37" s="29"/>
      <c r="U37" s="29"/>
      <c r="W37" s="29"/>
      <c r="Y37" s="29"/>
      <c r="AA37" s="29"/>
      <c r="AC37" s="29"/>
      <c r="AE37" s="29"/>
      <c r="AF37" s="14"/>
    </row>
    <row r="38" spans="1:32" ht="29" x14ac:dyDescent="0.35">
      <c r="A38" s="15" t="s">
        <v>1848</v>
      </c>
      <c r="D38" s="23"/>
      <c r="I38" s="29">
        <f>Dashboard!B15*J38</f>
        <v>5598623.8700000001</v>
      </c>
      <c r="J38" s="31">
        <v>1</v>
      </c>
      <c r="K38" s="29">
        <f>Dashboard!B15*L38</f>
        <v>839793.58050000004</v>
      </c>
      <c r="L38" s="31">
        <v>0.15</v>
      </c>
      <c r="M38" s="29">
        <f>Dashboard!B15*N38</f>
        <v>2799311.9350000001</v>
      </c>
      <c r="N38" s="31">
        <v>0.5</v>
      </c>
      <c r="O38" s="29">
        <f>Dashboard!B15*P38</f>
        <v>1959518.3544999999</v>
      </c>
      <c r="P38" s="31">
        <v>0.35</v>
      </c>
      <c r="Q38" s="29">
        <f>-O74*R38</f>
        <v>2703288.01369863</v>
      </c>
      <c r="R38" s="32">
        <v>0.5</v>
      </c>
      <c r="S38" s="29">
        <f>-Q74*T38</f>
        <v>730776.71232876717</v>
      </c>
      <c r="T38" s="32">
        <v>0.5</v>
      </c>
      <c r="U38" s="29">
        <f>-S74*V38</f>
        <v>801437.53066356166</v>
      </c>
      <c r="V38" s="32">
        <v>0.5</v>
      </c>
      <c r="W38" s="29">
        <f>-U74*X38</f>
        <v>3138076.2658702051</v>
      </c>
      <c r="X38" s="32">
        <v>0.5</v>
      </c>
      <c r="Y38" s="29">
        <f>-W74*Z38</f>
        <v>0</v>
      </c>
      <c r="Z38" s="32">
        <v>0.5</v>
      </c>
      <c r="AA38" s="29">
        <f>-Y74*AB38</f>
        <v>4074628.4036825006</v>
      </c>
      <c r="AB38" s="32">
        <v>0.5</v>
      </c>
      <c r="AC38" s="29">
        <f>-AA74*AD38</f>
        <v>5502175.1269364739</v>
      </c>
      <c r="AD38" s="32">
        <v>0.5</v>
      </c>
      <c r="AE38" s="29">
        <f>-AC74*AF38</f>
        <v>1572223.9108938356</v>
      </c>
      <c r="AF38" s="33">
        <v>0.5</v>
      </c>
    </row>
    <row r="39" spans="1:32" ht="29" x14ac:dyDescent="0.35">
      <c r="A39" s="15" t="s">
        <v>1849</v>
      </c>
      <c r="D39" s="23"/>
      <c r="I39" s="29">
        <f>Dashboard!B16</f>
        <v>3143782</v>
      </c>
      <c r="K39" s="29">
        <f>Dashboard!B16</f>
        <v>3143782</v>
      </c>
      <c r="M39" s="29"/>
      <c r="O39" s="29"/>
      <c r="Q39" s="29"/>
      <c r="S39" s="29"/>
      <c r="U39" s="29"/>
      <c r="W39" s="29"/>
      <c r="Y39" s="29"/>
      <c r="AA39" s="29"/>
      <c r="AC39" s="29"/>
      <c r="AE39" s="29"/>
      <c r="AF39" s="14"/>
    </row>
    <row r="40" spans="1:32" ht="29" x14ac:dyDescent="0.35">
      <c r="A40" s="15" t="s">
        <v>1850</v>
      </c>
      <c r="D40" s="23"/>
      <c r="I40" s="29"/>
      <c r="K40" s="29"/>
      <c r="M40" s="29"/>
      <c r="O40" s="29"/>
      <c r="Q40" s="29"/>
      <c r="S40" s="29"/>
      <c r="U40" s="29"/>
      <c r="W40" s="29"/>
      <c r="Y40" s="29"/>
      <c r="AA40" s="29"/>
      <c r="AC40" s="29"/>
      <c r="AE40" s="29"/>
      <c r="AF40" s="14"/>
    </row>
    <row r="41" spans="1:32" ht="29" x14ac:dyDescent="0.35">
      <c r="A41" s="15" t="s">
        <v>1851</v>
      </c>
      <c r="D41" s="23"/>
      <c r="I41" s="29"/>
      <c r="K41" s="29"/>
      <c r="M41" s="29"/>
      <c r="O41" s="29"/>
      <c r="Q41" s="29"/>
      <c r="S41" s="29"/>
      <c r="U41" s="29"/>
      <c r="W41" s="29"/>
      <c r="Y41" s="29"/>
      <c r="AA41" s="29"/>
      <c r="AC41" s="29"/>
      <c r="AE41" s="29"/>
      <c r="AF41" s="14"/>
    </row>
    <row r="42" spans="1:32" ht="29" x14ac:dyDescent="0.35">
      <c r="A42" s="15" t="s">
        <v>1852</v>
      </c>
      <c r="D42" s="23"/>
      <c r="I42" s="29"/>
      <c r="K42" s="29"/>
      <c r="M42" s="29"/>
      <c r="O42" s="29"/>
      <c r="Q42" s="29"/>
      <c r="S42" s="29"/>
      <c r="U42" s="29"/>
      <c r="W42" s="29"/>
      <c r="Y42" s="29"/>
      <c r="AA42" s="29"/>
      <c r="AC42" s="29"/>
      <c r="AE42" s="29"/>
      <c r="AF42" s="14"/>
    </row>
    <row r="43" spans="1:32" ht="29" x14ac:dyDescent="0.35">
      <c r="A43" s="15" t="s">
        <v>1853</v>
      </c>
      <c r="D43" s="23"/>
      <c r="I43" s="29"/>
      <c r="K43" s="29"/>
      <c r="M43" s="29"/>
      <c r="O43" s="29"/>
      <c r="Q43" s="29"/>
      <c r="S43" s="29"/>
      <c r="U43" s="29"/>
      <c r="W43" s="29"/>
      <c r="Y43" s="29"/>
      <c r="AA43" s="29"/>
      <c r="AC43" s="29"/>
      <c r="AE43" s="29"/>
      <c r="AF43" s="14"/>
    </row>
    <row r="44" spans="1:32" ht="29" x14ac:dyDescent="0.35">
      <c r="A44" s="15" t="s">
        <v>1854</v>
      </c>
      <c r="D44" s="23"/>
      <c r="I44" s="29"/>
      <c r="K44" s="29"/>
      <c r="M44" s="29"/>
      <c r="O44" s="29"/>
      <c r="Q44" s="29"/>
      <c r="S44" s="29"/>
      <c r="U44" s="29"/>
      <c r="W44" s="29"/>
      <c r="Y44" s="29"/>
      <c r="AA44" s="29"/>
      <c r="AC44" s="29"/>
      <c r="AE44" s="29"/>
      <c r="AF44" s="14"/>
    </row>
    <row r="45" spans="1:32" ht="29" x14ac:dyDescent="0.35">
      <c r="A45" s="15" t="s">
        <v>1855</v>
      </c>
      <c r="D45" s="23"/>
      <c r="I45" s="29"/>
      <c r="K45" s="29"/>
      <c r="M45" s="29"/>
      <c r="O45" s="29"/>
      <c r="Q45" s="29"/>
      <c r="S45" s="29"/>
      <c r="U45" s="29"/>
      <c r="W45" s="29"/>
      <c r="Y45" s="29"/>
      <c r="AA45" s="29"/>
      <c r="AC45" s="29"/>
      <c r="AE45" s="29"/>
      <c r="AF45" s="14"/>
    </row>
    <row r="46" spans="1:32" ht="29" x14ac:dyDescent="0.35">
      <c r="A46" s="15" t="s">
        <v>1856</v>
      </c>
      <c r="D46" s="30"/>
      <c r="I46" s="25">
        <f>+I35+I33</f>
        <v>26931507.964441918</v>
      </c>
      <c r="K46" s="25">
        <f>+K35+K33</f>
        <v>14826442.570960272</v>
      </c>
      <c r="M46" s="25">
        <f>+M35+M33</f>
        <v>2799311.9350000001</v>
      </c>
      <c r="O46" s="25">
        <f>+O35+O33</f>
        <v>1959518.3544999999</v>
      </c>
      <c r="Q46" s="25">
        <f>+Q35+Q33</f>
        <v>2703288.01369863</v>
      </c>
      <c r="S46" s="25">
        <f>+S35+S33</f>
        <v>730776.71232876717</v>
      </c>
      <c r="U46" s="25">
        <f>+U35+U33</f>
        <v>8741646.4513439033</v>
      </c>
      <c r="W46" s="25">
        <f>+W35+W33</f>
        <v>3138076.2658702051</v>
      </c>
      <c r="Y46" s="25">
        <f>+Y35+Y33</f>
        <v>0</v>
      </c>
      <c r="AA46" s="25">
        <f>+AA35+AA33</f>
        <v>4074628.4036825006</v>
      </c>
      <c r="AC46" s="25">
        <f>+AC35+AC33</f>
        <v>5502175.1269364739</v>
      </c>
      <c r="AE46" s="25">
        <f>+AE35+AE33</f>
        <v>1572223.9108938356</v>
      </c>
      <c r="AF46" s="14"/>
    </row>
    <row r="47" spans="1:32" x14ac:dyDescent="0.2">
      <c r="A47" s="13"/>
      <c r="AF47" s="14"/>
    </row>
    <row r="48" spans="1:32" ht="29" x14ac:dyDescent="0.35">
      <c r="A48" s="15" t="s">
        <v>1857</v>
      </c>
      <c r="AF48" s="14"/>
    </row>
    <row r="49" spans="1:32" ht="29" x14ac:dyDescent="0.35">
      <c r="A49" s="34" t="s">
        <v>1858</v>
      </c>
      <c r="B49" s="35"/>
      <c r="C49" s="36">
        <f>SUM(C50:C62)</f>
        <v>0</v>
      </c>
      <c r="D49" s="37">
        <f>SUM(D50:D62)</f>
        <v>-6105314.557</v>
      </c>
      <c r="I49" s="38">
        <f>SUM(I50:I62)</f>
        <v>-3484915.8514999999</v>
      </c>
      <c r="K49" s="38">
        <f>SUM(K50:K62)</f>
        <v>-1055416.0649999999</v>
      </c>
      <c r="M49" s="38">
        <f>SUM(M50:M62)</f>
        <v>-383606.94899999991</v>
      </c>
      <c r="O49" s="38">
        <f>SUM(O50:O62)</f>
        <v>-609338.81599999999</v>
      </c>
      <c r="Q49" s="38">
        <f>SUM(Q50:Q62)</f>
        <v>-446173.10149999999</v>
      </c>
      <c r="S49" s="38">
        <f>SUM(S50:S62)</f>
        <v>0</v>
      </c>
      <c r="U49" s="38">
        <f>SUM(U50:U62)</f>
        <v>-125863.77399999999</v>
      </c>
      <c r="W49" s="38">
        <f>SUM(W50:W62)</f>
        <v>0</v>
      </c>
      <c r="Y49" s="38">
        <f>SUM(Y50:Y62)</f>
        <v>0</v>
      </c>
      <c r="AA49" s="38">
        <f>SUM(AA50:AA62)</f>
        <v>0</v>
      </c>
      <c r="AC49" s="38">
        <f>SUM(AC50:AC62)</f>
        <v>0</v>
      </c>
      <c r="AE49" s="38">
        <f>SUM(AE50:AE62)</f>
        <v>0</v>
      </c>
      <c r="AF49" s="14"/>
    </row>
    <row r="50" spans="1:32" ht="29" x14ac:dyDescent="0.35">
      <c r="A50" s="39" t="s">
        <v>964</v>
      </c>
      <c r="B50" s="40">
        <v>1</v>
      </c>
      <c r="C50" s="41"/>
      <c r="D50" s="23">
        <f t="shared" ref="D50:D62" si="4">+I50+K50+M50+O50+Q50+S50+U50+W50+Y50+AA50+AC50+AE50</f>
        <v>0</v>
      </c>
      <c r="I50" s="23">
        <f>-(SUMIFS('Updated Construction'!$F:$F,'Updated Construction'!$A:$A,FALSE,'Updated Construction'!$G:$G,'Cashflow Projection'!$A50,'Updated Construction'!$E:$E,"&lt;="&amp;'Cashflow Projection'!I$5,'Updated Construction'!$E:$E,"&gt;"&amp;'Cashflow Projection'!$B$2)+(SUMIFS('Updated Construction'!$F:$F,'Updated Construction'!$A:$A,TRUE,'Updated Construction'!$G:$G,'Cashflow Projection'!$A50,'Updated Construction'!$E:$E,"&lt;="&amp;'Cashflow Projection'!I$5,'Updated Construction'!$E:$E,"&gt;"&amp;'Cashflow Projection'!$B$2)*$B50))*1.15</f>
        <v>0</v>
      </c>
      <c r="J50" s="23"/>
      <c r="K50" s="23">
        <f>-(SUMIFS('Updated Construction'!$F:$F,'Updated Construction'!$A:$A,FALSE,'Updated Construction'!$G:$G,'Cashflow Projection'!$A50,'Updated Construction'!$E:$E,"&lt;="&amp;'Cashflow Projection'!K$5,'Updated Construction'!$E:$E,"&gt;"&amp;'Cashflow Projection'!I$5)+(SUMIFS('Updated Construction'!$F:$F,'Updated Construction'!$A:$A,TRUE,'Updated Construction'!$G:$G,'Cashflow Projection'!$A50,'Updated Construction'!$E:$E,"&lt;="&amp;'Cashflow Projection'!K$5,'Updated Construction'!$E:$E,"&gt;"&amp;'Cashflow Projection'!I$5)*$B50))*1.15</f>
        <v>0</v>
      </c>
      <c r="L50" s="23"/>
      <c r="M50" s="23">
        <f>-(SUMIFS('Updated Construction'!$F:$F,'Updated Construction'!$A:$A,FALSE,'Updated Construction'!$G:$G,'Cashflow Projection'!$A50,'Updated Construction'!$E:$E,"&lt;="&amp;'Cashflow Projection'!M$5,'Updated Construction'!$E:$E,"&gt;"&amp;'Cashflow Projection'!K$5)+(SUMIFS('Updated Construction'!$F:$F,'Updated Construction'!$A:$A,TRUE,'Updated Construction'!$G:$G,'Cashflow Projection'!$A50,'Updated Construction'!$E:$E,"&lt;="&amp;'Cashflow Projection'!M$5,'Updated Construction'!$E:$E,"&gt;"&amp;'Cashflow Projection'!K$5)*$B50))*1.15</f>
        <v>0</v>
      </c>
      <c r="N50" s="23"/>
      <c r="O50" s="23">
        <f>-(SUMIFS('Updated Construction'!$F:$F,'Updated Construction'!$A:$A,FALSE,'Updated Construction'!$G:$G,'Cashflow Projection'!$A50,'Updated Construction'!$E:$E,"&lt;="&amp;'Cashflow Projection'!O$5,'Updated Construction'!$E:$E,"&gt;"&amp;'Cashflow Projection'!M$5)+(SUMIFS('Updated Construction'!$F:$F,'Updated Construction'!$A:$A,TRUE,'Updated Construction'!$G:$G,'Cashflow Projection'!$A50,'Updated Construction'!$E:$E,"&lt;="&amp;'Cashflow Projection'!O$5,'Updated Construction'!$E:$E,"&gt;"&amp;'Cashflow Projection'!M$5)*$B50))*1.15</f>
        <v>0</v>
      </c>
      <c r="P50" s="23"/>
      <c r="Q50" s="23">
        <f>-(SUMIFS('Updated Construction'!$F:$F,'Updated Construction'!$A:$A,FALSE,'Updated Construction'!$G:$G,'Cashflow Projection'!$A50,'Updated Construction'!$E:$E,"&lt;="&amp;'Cashflow Projection'!Q$5,'Updated Construction'!$E:$E,"&gt;"&amp;'Cashflow Projection'!O$5)+(SUMIFS('Updated Construction'!$F:$F,'Updated Construction'!$A:$A,TRUE,'Updated Construction'!$G:$G,'Cashflow Projection'!$A50,'Updated Construction'!$E:$E,"&lt;="&amp;'Cashflow Projection'!Q$5,'Updated Construction'!$E:$E,"&gt;"&amp;'Cashflow Projection'!O$5)*$B50))*1.15</f>
        <v>0</v>
      </c>
      <c r="R50" s="23"/>
      <c r="S50" s="23">
        <f>-(SUMIFS('Updated Construction'!$F:$F,'Updated Construction'!$A:$A,FALSE,'Updated Construction'!$G:$G,'Cashflow Projection'!$A50,'Updated Construction'!$E:$E,"&lt;="&amp;'Cashflow Projection'!S$5,'Updated Construction'!$E:$E,"&gt;"&amp;'Cashflow Projection'!Q$5)+(SUMIFS('Updated Construction'!$F:$F,'Updated Construction'!$A:$A,TRUE,'Updated Construction'!$G:$G,'Cashflow Projection'!$A50,'Updated Construction'!$E:$E,"&lt;="&amp;'Cashflow Projection'!S$5,'Updated Construction'!$E:$E,"&gt;"&amp;'Cashflow Projection'!Q$5)*$B50))*1.15</f>
        <v>0</v>
      </c>
      <c r="T50" s="23"/>
      <c r="U50" s="23">
        <f>-(SUMIFS('Updated Construction'!$F:$F,'Updated Construction'!$A:$A,FALSE,'Updated Construction'!$G:$G,'Cashflow Projection'!$A50,'Updated Construction'!$E:$E,"&lt;="&amp;'Cashflow Projection'!U$5,'Updated Construction'!$E:$E,"&gt;"&amp;'Cashflow Projection'!S$5)+(SUMIFS('Updated Construction'!$F:$F,'Updated Construction'!$A:$A,TRUE,'Updated Construction'!$G:$G,'Cashflow Projection'!$A50,'Updated Construction'!$E:$E,"&lt;="&amp;'Cashflow Projection'!U$5,'Updated Construction'!$E:$E,"&gt;"&amp;'Cashflow Projection'!S$5)*$B50))*1.15</f>
        <v>0</v>
      </c>
      <c r="V50" s="23"/>
      <c r="W50" s="23">
        <f>-(SUMIFS('Updated Construction'!$F:$F,'Updated Construction'!$A:$A,FALSE,'Updated Construction'!$G:$G,'Cashflow Projection'!$A50,'Updated Construction'!$E:$E,"&lt;="&amp;'Cashflow Projection'!W$5,'Updated Construction'!$E:$E,"&gt;"&amp;'Cashflow Projection'!U$5)+(SUMIFS('Updated Construction'!$F:$F,'Updated Construction'!$A:$A,TRUE,'Updated Construction'!$G:$G,'Cashflow Projection'!$A50,'Updated Construction'!$E:$E,"&lt;="&amp;'Cashflow Projection'!W$5,'Updated Construction'!$E:$E,"&gt;"&amp;'Cashflow Projection'!U$5)*$B50))*1.15</f>
        <v>0</v>
      </c>
      <c r="X50" s="23"/>
      <c r="Y50" s="23">
        <f>-(SUMIFS('Updated Construction'!$F:$F,'Updated Construction'!$A:$A,FALSE,'Updated Construction'!$G:$G,'Cashflow Projection'!$A50,'Updated Construction'!$E:$E,"&lt;="&amp;'Cashflow Projection'!Y$5,'Updated Construction'!$E:$E,"&gt;"&amp;'Cashflow Projection'!W$5)+(SUMIFS('Updated Construction'!$F:$F,'Updated Construction'!$A:$A,TRUE,'Updated Construction'!$G:$G,'Cashflow Projection'!$A50,'Updated Construction'!$E:$E,"&lt;="&amp;'Cashflow Projection'!Y$5,'Updated Construction'!$E:$E,"&gt;"&amp;'Cashflow Projection'!W$5)*$B50))*1.15</f>
        <v>0</v>
      </c>
      <c r="Z50" s="23"/>
      <c r="AA50" s="23">
        <f>-(SUMIFS('Updated Construction'!$F:$F,'Updated Construction'!$A:$A,FALSE,'Updated Construction'!$G:$G,'Cashflow Projection'!$A50,'Updated Construction'!$E:$E,"&lt;="&amp;'Cashflow Projection'!AA$5,'Updated Construction'!$E:$E,"&gt;"&amp;'Cashflow Projection'!Y$5)+(SUMIFS('Updated Construction'!$F:$F,'Updated Construction'!$A:$A,TRUE,'Updated Construction'!$G:$G,'Cashflow Projection'!$A50,'Updated Construction'!$E:$E,"&lt;="&amp;'Cashflow Projection'!AA$5,'Updated Construction'!$E:$E,"&gt;"&amp;'Cashflow Projection'!Y$5)*$B50))*1.15</f>
        <v>0</v>
      </c>
      <c r="AB50" s="23"/>
      <c r="AC50" s="23">
        <f>-(SUMIFS('Updated Construction'!$F:$F,'Updated Construction'!$A:$A,FALSE,'Updated Construction'!$G:$G,'Cashflow Projection'!$A50,'Updated Construction'!$E:$E,"&lt;="&amp;'Cashflow Projection'!AC$5,'Updated Construction'!$E:$E,"&gt;"&amp;'Cashflow Projection'!AA$5)+(SUMIFS('Updated Construction'!$F:$F,'Updated Construction'!$A:$A,TRUE,'Updated Construction'!$G:$G,'Cashflow Projection'!$A50,'Updated Construction'!$E:$E,"&lt;="&amp;'Cashflow Projection'!AC$5,'Updated Construction'!$E:$E,"&gt;"&amp;'Cashflow Projection'!AA$5)*$B50))*1.15</f>
        <v>0</v>
      </c>
      <c r="AD50" s="23"/>
      <c r="AE50" s="23">
        <f>-(SUMIFS('Updated Construction'!$F:$F,'Updated Construction'!$A:$A,FALSE,'Updated Construction'!$G:$G,'Cashflow Projection'!$A50,'Updated Construction'!$E:$E,"&lt;="&amp;'Cashflow Projection'!AE$5,'Updated Construction'!$E:$E,"&gt;"&amp;'Cashflow Projection'!AC$5)+(SUMIFS('Updated Construction'!$F:$F,'Updated Construction'!$A:$A,TRUE,'Updated Construction'!$G:$G,'Cashflow Projection'!$A50,'Updated Construction'!$E:$E,"&lt;="&amp;'Cashflow Projection'!AE$5,'Updated Construction'!$E:$E,"&gt;"&amp;'Cashflow Projection'!AC$5)*$B50))*1.15</f>
        <v>0</v>
      </c>
      <c r="AF50" s="42"/>
    </row>
    <row r="51" spans="1:32" ht="29" x14ac:dyDescent="0.35">
      <c r="A51" s="39" t="s">
        <v>497</v>
      </c>
      <c r="B51" s="40">
        <v>1</v>
      </c>
      <c r="C51" s="41"/>
      <c r="D51" s="23">
        <f t="shared" si="4"/>
        <v>-99092.797499999986</v>
      </c>
      <c r="I51" s="23">
        <f>-(SUMIFS('Updated Construction'!$F:$F,'Updated Construction'!$A:$A,FALSE,'Updated Construction'!$G:$G,'Cashflow Projection'!$A51,'Updated Construction'!$E:$E,"&lt;="&amp;'Cashflow Projection'!I$5,'Updated Construction'!$E:$E,"&gt;"&amp;'Cashflow Projection'!$B$2)+(SUMIFS('Updated Construction'!$F:$F,'Updated Construction'!$A:$A,TRUE,'Updated Construction'!$G:$G,'Cashflow Projection'!$A51,'Updated Construction'!$E:$E,"&lt;="&amp;'Cashflow Projection'!I$5,'Updated Construction'!$E:$E,"&gt;"&amp;'Cashflow Projection'!$B$2)*$B51))*1.15</f>
        <v>-99092.797499999986</v>
      </c>
      <c r="J51" s="23"/>
      <c r="K51" s="23">
        <f>-(SUMIFS('Updated Construction'!$F:$F,'Updated Construction'!$A:$A,FALSE,'Updated Construction'!$G:$G,'Cashflow Projection'!$A51,'Updated Construction'!$E:$E,"&lt;="&amp;'Cashflow Projection'!K$5,'Updated Construction'!$E:$E,"&gt;"&amp;'Cashflow Projection'!I$5)+(SUMIFS('Updated Construction'!$F:$F,'Updated Construction'!$A:$A,TRUE,'Updated Construction'!$G:$G,'Cashflow Projection'!$A51,'Updated Construction'!$E:$E,"&lt;="&amp;'Cashflow Projection'!K$5,'Updated Construction'!$E:$E,"&gt;"&amp;'Cashflow Projection'!I$5)*$B51))*1.15</f>
        <v>0</v>
      </c>
      <c r="L51" s="23"/>
      <c r="M51" s="23">
        <f>-(SUMIFS('Updated Construction'!$F:$F,'Updated Construction'!$A:$A,FALSE,'Updated Construction'!$G:$G,'Cashflow Projection'!$A51,'Updated Construction'!$E:$E,"&lt;="&amp;'Cashflow Projection'!M$5,'Updated Construction'!$E:$E,"&gt;"&amp;'Cashflow Projection'!K$5)+(SUMIFS('Updated Construction'!$F:$F,'Updated Construction'!$A:$A,TRUE,'Updated Construction'!$G:$G,'Cashflow Projection'!$A51,'Updated Construction'!$E:$E,"&lt;="&amp;'Cashflow Projection'!M$5,'Updated Construction'!$E:$E,"&gt;"&amp;'Cashflow Projection'!K$5)*$B51))*1.15</f>
        <v>0</v>
      </c>
      <c r="N51" s="23"/>
      <c r="O51" s="23">
        <f>-(SUMIFS('Updated Construction'!$F:$F,'Updated Construction'!$A:$A,FALSE,'Updated Construction'!$G:$G,'Cashflow Projection'!$A51,'Updated Construction'!$E:$E,"&lt;="&amp;'Cashflow Projection'!O$5,'Updated Construction'!$E:$E,"&gt;"&amp;'Cashflow Projection'!M$5)+(SUMIFS('Updated Construction'!$F:$F,'Updated Construction'!$A:$A,TRUE,'Updated Construction'!$G:$G,'Cashflow Projection'!$A51,'Updated Construction'!$E:$E,"&lt;="&amp;'Cashflow Projection'!O$5,'Updated Construction'!$E:$E,"&gt;"&amp;'Cashflow Projection'!M$5)*$B51))*1.15</f>
        <v>0</v>
      </c>
      <c r="P51" s="23"/>
      <c r="Q51" s="23">
        <f>-(SUMIFS('Updated Construction'!$F:$F,'Updated Construction'!$A:$A,FALSE,'Updated Construction'!$G:$G,'Cashflow Projection'!$A51,'Updated Construction'!$E:$E,"&lt;="&amp;'Cashflow Projection'!Q$5,'Updated Construction'!$E:$E,"&gt;"&amp;'Cashflow Projection'!O$5)+(SUMIFS('Updated Construction'!$F:$F,'Updated Construction'!$A:$A,TRUE,'Updated Construction'!$G:$G,'Cashflow Projection'!$A51,'Updated Construction'!$E:$E,"&lt;="&amp;'Cashflow Projection'!Q$5,'Updated Construction'!$E:$E,"&gt;"&amp;'Cashflow Projection'!O$5)*$B51))*1.15</f>
        <v>0</v>
      </c>
      <c r="R51" s="23"/>
      <c r="S51" s="23">
        <f>-(SUMIFS('Updated Construction'!$F:$F,'Updated Construction'!$A:$A,FALSE,'Updated Construction'!$G:$G,'Cashflow Projection'!$A51,'Updated Construction'!$E:$E,"&lt;="&amp;'Cashflow Projection'!S$5,'Updated Construction'!$E:$E,"&gt;"&amp;'Cashflow Projection'!Q$5)+(SUMIFS('Updated Construction'!$F:$F,'Updated Construction'!$A:$A,TRUE,'Updated Construction'!$G:$G,'Cashflow Projection'!$A51,'Updated Construction'!$E:$E,"&lt;="&amp;'Cashflow Projection'!S$5,'Updated Construction'!$E:$E,"&gt;"&amp;'Cashflow Projection'!Q$5)*$B51))*1.15</f>
        <v>0</v>
      </c>
      <c r="T51" s="23"/>
      <c r="U51" s="23">
        <f>-(SUMIFS('Updated Construction'!$F:$F,'Updated Construction'!$A:$A,FALSE,'Updated Construction'!$G:$G,'Cashflow Projection'!$A51,'Updated Construction'!$E:$E,"&lt;="&amp;'Cashflow Projection'!U$5,'Updated Construction'!$E:$E,"&gt;"&amp;'Cashflow Projection'!S$5)+(SUMIFS('Updated Construction'!$F:$F,'Updated Construction'!$A:$A,TRUE,'Updated Construction'!$G:$G,'Cashflow Projection'!$A51,'Updated Construction'!$E:$E,"&lt;="&amp;'Cashflow Projection'!U$5,'Updated Construction'!$E:$E,"&gt;"&amp;'Cashflow Projection'!S$5)*$B51))*1.15</f>
        <v>0</v>
      </c>
      <c r="V51" s="23"/>
      <c r="W51" s="23">
        <f>-(SUMIFS('Updated Construction'!$F:$F,'Updated Construction'!$A:$A,FALSE,'Updated Construction'!$G:$G,'Cashflow Projection'!$A51,'Updated Construction'!$E:$E,"&lt;="&amp;'Cashflow Projection'!W$5,'Updated Construction'!$E:$E,"&gt;"&amp;'Cashflow Projection'!U$5)+(SUMIFS('Updated Construction'!$F:$F,'Updated Construction'!$A:$A,TRUE,'Updated Construction'!$G:$G,'Cashflow Projection'!$A51,'Updated Construction'!$E:$E,"&lt;="&amp;'Cashflow Projection'!W$5,'Updated Construction'!$E:$E,"&gt;"&amp;'Cashflow Projection'!U$5)*$B51))*1.15</f>
        <v>0</v>
      </c>
      <c r="X51" s="23"/>
      <c r="Y51" s="23">
        <f>-(SUMIFS('Updated Construction'!$F:$F,'Updated Construction'!$A:$A,FALSE,'Updated Construction'!$G:$G,'Cashflow Projection'!$A51,'Updated Construction'!$E:$E,"&lt;="&amp;'Cashflow Projection'!Y$5,'Updated Construction'!$E:$E,"&gt;"&amp;'Cashflow Projection'!W$5)+(SUMIFS('Updated Construction'!$F:$F,'Updated Construction'!$A:$A,TRUE,'Updated Construction'!$G:$G,'Cashflow Projection'!$A51,'Updated Construction'!$E:$E,"&lt;="&amp;'Cashflow Projection'!Y$5,'Updated Construction'!$E:$E,"&gt;"&amp;'Cashflow Projection'!W$5)*$B51))*1.15</f>
        <v>0</v>
      </c>
      <c r="Z51" s="23"/>
      <c r="AA51" s="23">
        <f>-(SUMIFS('Updated Construction'!$F:$F,'Updated Construction'!$A:$A,FALSE,'Updated Construction'!$G:$G,'Cashflow Projection'!$A51,'Updated Construction'!$E:$E,"&lt;="&amp;'Cashflow Projection'!AA$5,'Updated Construction'!$E:$E,"&gt;"&amp;'Cashflow Projection'!Y$5)+(SUMIFS('Updated Construction'!$F:$F,'Updated Construction'!$A:$A,TRUE,'Updated Construction'!$G:$G,'Cashflow Projection'!$A51,'Updated Construction'!$E:$E,"&lt;="&amp;'Cashflow Projection'!AA$5,'Updated Construction'!$E:$E,"&gt;"&amp;'Cashflow Projection'!Y$5)*$B51))*1.15</f>
        <v>0</v>
      </c>
      <c r="AB51" s="23"/>
      <c r="AC51" s="23">
        <f>-(SUMIFS('Updated Construction'!$F:$F,'Updated Construction'!$A:$A,FALSE,'Updated Construction'!$G:$G,'Cashflow Projection'!$A51,'Updated Construction'!$E:$E,"&lt;="&amp;'Cashflow Projection'!AC$5,'Updated Construction'!$E:$E,"&gt;"&amp;'Cashflow Projection'!AA$5)+(SUMIFS('Updated Construction'!$F:$F,'Updated Construction'!$A:$A,TRUE,'Updated Construction'!$G:$G,'Cashflow Projection'!$A51,'Updated Construction'!$E:$E,"&lt;="&amp;'Cashflow Projection'!AC$5,'Updated Construction'!$E:$E,"&gt;"&amp;'Cashflow Projection'!AA$5)*$B51))*1.15</f>
        <v>0</v>
      </c>
      <c r="AD51" s="23"/>
      <c r="AE51" s="23">
        <f>-(SUMIFS('Updated Construction'!$F:$F,'Updated Construction'!$A:$A,FALSE,'Updated Construction'!$G:$G,'Cashflow Projection'!$A51,'Updated Construction'!$E:$E,"&lt;="&amp;'Cashflow Projection'!AE$5,'Updated Construction'!$E:$E,"&gt;"&amp;'Cashflow Projection'!AC$5)+(SUMIFS('Updated Construction'!$F:$F,'Updated Construction'!$A:$A,TRUE,'Updated Construction'!$G:$G,'Cashflow Projection'!$A51,'Updated Construction'!$E:$E,"&lt;="&amp;'Cashflow Projection'!AE$5,'Updated Construction'!$E:$E,"&gt;"&amp;'Cashflow Projection'!AC$5)*$B51))*1.15</f>
        <v>0</v>
      </c>
      <c r="AF51" s="42"/>
    </row>
    <row r="52" spans="1:32" ht="29" x14ac:dyDescent="0.35">
      <c r="A52" s="43" t="s">
        <v>569</v>
      </c>
      <c r="B52" s="44">
        <v>0</v>
      </c>
      <c r="C52" s="41">
        <f>12*B52</f>
        <v>0</v>
      </c>
      <c r="D52" s="23">
        <f t="shared" si="4"/>
        <v>0</v>
      </c>
      <c r="I52" s="23">
        <f>-(SUMIFS('Updated Construction'!$F:$F,'Updated Construction'!$A:$A,FALSE,'Updated Construction'!$G:$G,'Cashflow Projection'!$A52,'Updated Construction'!$E:$E,"&lt;="&amp;'Cashflow Projection'!I$5,'Updated Construction'!$E:$E,"&gt;"&amp;'Cashflow Projection'!$B$2)+(SUMIFS('Updated Construction'!$F:$F,'Updated Construction'!$A:$A,TRUE,'Updated Construction'!$G:$G,'Cashflow Projection'!$A52,'Updated Construction'!$E:$E,"&lt;="&amp;'Cashflow Projection'!I$5,'Updated Construction'!$E:$E,"&gt;"&amp;'Cashflow Projection'!$B$2)*$B52))*1.15</f>
        <v>0</v>
      </c>
      <c r="J52" s="23"/>
      <c r="K52" s="23">
        <f>-(SUMIFS('Updated Construction'!$F:$F,'Updated Construction'!$A:$A,FALSE,'Updated Construction'!$G:$G,'Cashflow Projection'!$A52,'Updated Construction'!$E:$E,"&lt;="&amp;'Cashflow Projection'!K$5,'Updated Construction'!$E:$E,"&gt;"&amp;'Cashflow Projection'!I$5)+(SUMIFS('Updated Construction'!$F:$F,'Updated Construction'!$A:$A,TRUE,'Updated Construction'!$G:$G,'Cashflow Projection'!$A52,'Updated Construction'!$E:$E,"&lt;="&amp;'Cashflow Projection'!K$5,'Updated Construction'!$E:$E,"&gt;"&amp;'Cashflow Projection'!I$5)*$B52))*1.15</f>
        <v>0</v>
      </c>
      <c r="L52" s="23"/>
      <c r="M52" s="23">
        <f>-(SUMIFS('Updated Construction'!$F:$F,'Updated Construction'!$A:$A,FALSE,'Updated Construction'!$G:$G,'Cashflow Projection'!$A52,'Updated Construction'!$E:$E,"&lt;="&amp;'Cashflow Projection'!M$5,'Updated Construction'!$E:$E,"&gt;"&amp;'Cashflow Projection'!K$5)+(SUMIFS('Updated Construction'!$F:$F,'Updated Construction'!$A:$A,TRUE,'Updated Construction'!$G:$G,'Cashflow Projection'!$A52,'Updated Construction'!$E:$E,"&lt;="&amp;'Cashflow Projection'!M$5,'Updated Construction'!$E:$E,"&gt;"&amp;'Cashflow Projection'!K$5)*$B52))*1.15</f>
        <v>0</v>
      </c>
      <c r="N52" s="23"/>
      <c r="O52" s="23">
        <f>-(SUMIFS('Updated Construction'!$F:$F,'Updated Construction'!$A:$A,FALSE,'Updated Construction'!$G:$G,'Cashflow Projection'!$A52,'Updated Construction'!$E:$E,"&lt;="&amp;'Cashflow Projection'!O$5,'Updated Construction'!$E:$E,"&gt;"&amp;'Cashflow Projection'!M$5)+(SUMIFS('Updated Construction'!$F:$F,'Updated Construction'!$A:$A,TRUE,'Updated Construction'!$G:$G,'Cashflow Projection'!$A52,'Updated Construction'!$E:$E,"&lt;="&amp;'Cashflow Projection'!O$5,'Updated Construction'!$E:$E,"&gt;"&amp;'Cashflow Projection'!M$5)*$B52))*1.15</f>
        <v>0</v>
      </c>
      <c r="P52" s="23"/>
      <c r="Q52" s="23">
        <f>-(SUMIFS('Updated Construction'!$F:$F,'Updated Construction'!$A:$A,FALSE,'Updated Construction'!$G:$G,'Cashflow Projection'!$A52,'Updated Construction'!$E:$E,"&lt;="&amp;'Cashflow Projection'!Q$5,'Updated Construction'!$E:$E,"&gt;"&amp;'Cashflow Projection'!O$5)+(SUMIFS('Updated Construction'!$F:$F,'Updated Construction'!$A:$A,TRUE,'Updated Construction'!$G:$G,'Cashflow Projection'!$A52,'Updated Construction'!$E:$E,"&lt;="&amp;'Cashflow Projection'!Q$5,'Updated Construction'!$E:$E,"&gt;"&amp;'Cashflow Projection'!O$5)*$B52))*1.15</f>
        <v>0</v>
      </c>
      <c r="R52" s="23"/>
      <c r="S52" s="23">
        <f>-(SUMIFS('Updated Construction'!$F:$F,'Updated Construction'!$A:$A,FALSE,'Updated Construction'!$G:$G,'Cashflow Projection'!$A52,'Updated Construction'!$E:$E,"&lt;="&amp;'Cashflow Projection'!S$5,'Updated Construction'!$E:$E,"&gt;"&amp;'Cashflow Projection'!Q$5)+(SUMIFS('Updated Construction'!$F:$F,'Updated Construction'!$A:$A,TRUE,'Updated Construction'!$G:$G,'Cashflow Projection'!$A52,'Updated Construction'!$E:$E,"&lt;="&amp;'Cashflow Projection'!S$5,'Updated Construction'!$E:$E,"&gt;"&amp;'Cashflow Projection'!Q$5)*$B52))*1.15</f>
        <v>0</v>
      </c>
      <c r="T52" s="23"/>
      <c r="U52" s="23">
        <f>-(SUMIFS('Updated Construction'!$F:$F,'Updated Construction'!$A:$A,FALSE,'Updated Construction'!$G:$G,'Cashflow Projection'!$A52,'Updated Construction'!$E:$E,"&lt;="&amp;'Cashflow Projection'!U$5,'Updated Construction'!$E:$E,"&gt;"&amp;'Cashflow Projection'!S$5)+(SUMIFS('Updated Construction'!$F:$F,'Updated Construction'!$A:$A,TRUE,'Updated Construction'!$G:$G,'Cashflow Projection'!$A52,'Updated Construction'!$E:$E,"&lt;="&amp;'Cashflow Projection'!U$5,'Updated Construction'!$E:$E,"&gt;"&amp;'Cashflow Projection'!S$5)*$B52))*1.15</f>
        <v>0</v>
      </c>
      <c r="V52" s="23"/>
      <c r="W52" s="23">
        <f>-(SUMIFS('Updated Construction'!$F:$F,'Updated Construction'!$A:$A,FALSE,'Updated Construction'!$G:$G,'Cashflow Projection'!$A52,'Updated Construction'!$E:$E,"&lt;="&amp;'Cashflow Projection'!W$5,'Updated Construction'!$E:$E,"&gt;"&amp;'Cashflow Projection'!U$5)+(SUMIFS('Updated Construction'!$F:$F,'Updated Construction'!$A:$A,TRUE,'Updated Construction'!$G:$G,'Cashflow Projection'!$A52,'Updated Construction'!$E:$E,"&lt;="&amp;'Cashflow Projection'!W$5,'Updated Construction'!$E:$E,"&gt;"&amp;'Cashflow Projection'!U$5)*$B52))*1.15</f>
        <v>0</v>
      </c>
      <c r="X52" s="23"/>
      <c r="Y52" s="23">
        <f>-(SUMIFS('Updated Construction'!$F:$F,'Updated Construction'!$A:$A,FALSE,'Updated Construction'!$G:$G,'Cashflow Projection'!$A52,'Updated Construction'!$E:$E,"&lt;="&amp;'Cashflow Projection'!Y$5,'Updated Construction'!$E:$E,"&gt;"&amp;'Cashflow Projection'!W$5)+(SUMIFS('Updated Construction'!$F:$F,'Updated Construction'!$A:$A,TRUE,'Updated Construction'!$G:$G,'Cashflow Projection'!$A52,'Updated Construction'!$E:$E,"&lt;="&amp;'Cashflow Projection'!Y$5,'Updated Construction'!$E:$E,"&gt;"&amp;'Cashflow Projection'!W$5)*$B52))*1.15</f>
        <v>0</v>
      </c>
      <c r="Z52" s="23"/>
      <c r="AA52" s="23">
        <f>-(SUMIFS('Updated Construction'!$F:$F,'Updated Construction'!$A:$A,FALSE,'Updated Construction'!$G:$G,'Cashflow Projection'!$A52,'Updated Construction'!$E:$E,"&lt;="&amp;'Cashflow Projection'!AA$5,'Updated Construction'!$E:$E,"&gt;"&amp;'Cashflow Projection'!Y$5)+(SUMIFS('Updated Construction'!$F:$F,'Updated Construction'!$A:$A,TRUE,'Updated Construction'!$G:$G,'Cashflow Projection'!$A52,'Updated Construction'!$E:$E,"&lt;="&amp;'Cashflow Projection'!AA$5,'Updated Construction'!$E:$E,"&gt;"&amp;'Cashflow Projection'!Y$5)*$B52))*1.15</f>
        <v>0</v>
      </c>
      <c r="AB52" s="23"/>
      <c r="AC52" s="23">
        <f>-(SUMIFS('Updated Construction'!$F:$F,'Updated Construction'!$A:$A,FALSE,'Updated Construction'!$G:$G,'Cashflow Projection'!$A52,'Updated Construction'!$E:$E,"&lt;="&amp;'Cashflow Projection'!AC$5,'Updated Construction'!$E:$E,"&gt;"&amp;'Cashflow Projection'!AA$5)+(SUMIFS('Updated Construction'!$F:$F,'Updated Construction'!$A:$A,TRUE,'Updated Construction'!$G:$G,'Cashflow Projection'!$A52,'Updated Construction'!$E:$E,"&lt;="&amp;'Cashflow Projection'!AC$5,'Updated Construction'!$E:$E,"&gt;"&amp;'Cashflow Projection'!AA$5)*$B52))*1.15</f>
        <v>0</v>
      </c>
      <c r="AD52" s="23"/>
      <c r="AE52" s="23">
        <f>-(SUMIFS('Updated Construction'!$F:$F,'Updated Construction'!$A:$A,FALSE,'Updated Construction'!$G:$G,'Cashflow Projection'!$A52,'Updated Construction'!$E:$E,"&lt;="&amp;'Cashflow Projection'!AE$5,'Updated Construction'!$E:$E,"&gt;"&amp;'Cashflow Projection'!AC$5)+(SUMIFS('Updated Construction'!$F:$F,'Updated Construction'!$A:$A,TRUE,'Updated Construction'!$G:$G,'Cashflow Projection'!$A52,'Updated Construction'!$E:$E,"&lt;="&amp;'Cashflow Projection'!AE$5,'Updated Construction'!$E:$E,"&gt;"&amp;'Cashflow Projection'!AC$5)*$B52))*1.15</f>
        <v>0</v>
      </c>
      <c r="AF52" s="42"/>
    </row>
    <row r="53" spans="1:32" ht="29" x14ac:dyDescent="0.35">
      <c r="A53" s="43" t="s">
        <v>598</v>
      </c>
      <c r="B53" s="44">
        <v>0</v>
      </c>
      <c r="C53" s="41">
        <f>8*B53</f>
        <v>0</v>
      </c>
      <c r="D53" s="23">
        <f t="shared" si="4"/>
        <v>0</v>
      </c>
      <c r="I53" s="23">
        <f>-(SUMIFS('Updated Construction'!$F:$F,'Updated Construction'!$A:$A,FALSE,'Updated Construction'!$G:$G,'Cashflow Projection'!$A53,'Updated Construction'!$E:$E,"&lt;="&amp;'Cashflow Projection'!I$5,'Updated Construction'!$E:$E,"&gt;"&amp;'Cashflow Projection'!$B$2)+(SUMIFS('Updated Construction'!$F:$F,'Updated Construction'!$A:$A,TRUE,'Updated Construction'!$G:$G,'Cashflow Projection'!$A53,'Updated Construction'!$E:$E,"&lt;="&amp;'Cashflow Projection'!I$5,'Updated Construction'!$E:$E,"&gt;"&amp;'Cashflow Projection'!$B$2)*$B53))*1.15</f>
        <v>0</v>
      </c>
      <c r="J53" s="23"/>
      <c r="K53" s="23">
        <f>-(SUMIFS('Updated Construction'!$F:$F,'Updated Construction'!$A:$A,FALSE,'Updated Construction'!$G:$G,'Cashflow Projection'!$A53,'Updated Construction'!$E:$E,"&lt;="&amp;'Cashflow Projection'!K$5,'Updated Construction'!$E:$E,"&gt;"&amp;'Cashflow Projection'!I$5)+(SUMIFS('Updated Construction'!$F:$F,'Updated Construction'!$A:$A,TRUE,'Updated Construction'!$G:$G,'Cashflow Projection'!$A53,'Updated Construction'!$E:$E,"&lt;="&amp;'Cashflow Projection'!K$5,'Updated Construction'!$E:$E,"&gt;"&amp;'Cashflow Projection'!I$5)*$B53))*1.15</f>
        <v>0</v>
      </c>
      <c r="L53" s="23"/>
      <c r="M53" s="23">
        <f>-(SUMIFS('Updated Construction'!$F:$F,'Updated Construction'!$A:$A,FALSE,'Updated Construction'!$G:$G,'Cashflow Projection'!$A53,'Updated Construction'!$E:$E,"&lt;="&amp;'Cashflow Projection'!M$5,'Updated Construction'!$E:$E,"&gt;"&amp;'Cashflow Projection'!K$5)+(SUMIFS('Updated Construction'!$F:$F,'Updated Construction'!$A:$A,TRUE,'Updated Construction'!$G:$G,'Cashflow Projection'!$A53,'Updated Construction'!$E:$E,"&lt;="&amp;'Cashflow Projection'!M$5,'Updated Construction'!$E:$E,"&gt;"&amp;'Cashflow Projection'!K$5)*$B53))*1.15</f>
        <v>0</v>
      </c>
      <c r="N53" s="23"/>
      <c r="O53" s="23">
        <f>-(SUMIFS('Updated Construction'!$F:$F,'Updated Construction'!$A:$A,FALSE,'Updated Construction'!$G:$G,'Cashflow Projection'!$A53,'Updated Construction'!$E:$E,"&lt;="&amp;'Cashflow Projection'!O$5,'Updated Construction'!$E:$E,"&gt;"&amp;'Cashflow Projection'!M$5)+(SUMIFS('Updated Construction'!$F:$F,'Updated Construction'!$A:$A,TRUE,'Updated Construction'!$G:$G,'Cashflow Projection'!$A53,'Updated Construction'!$E:$E,"&lt;="&amp;'Cashflow Projection'!O$5,'Updated Construction'!$E:$E,"&gt;"&amp;'Cashflow Projection'!M$5)*$B53))*1.15</f>
        <v>0</v>
      </c>
      <c r="P53" s="23"/>
      <c r="Q53" s="23">
        <f>-(SUMIFS('Updated Construction'!$F:$F,'Updated Construction'!$A:$A,FALSE,'Updated Construction'!$G:$G,'Cashflow Projection'!$A53,'Updated Construction'!$E:$E,"&lt;="&amp;'Cashflow Projection'!Q$5,'Updated Construction'!$E:$E,"&gt;"&amp;'Cashflow Projection'!O$5)+(SUMIFS('Updated Construction'!$F:$F,'Updated Construction'!$A:$A,TRUE,'Updated Construction'!$G:$G,'Cashflow Projection'!$A53,'Updated Construction'!$E:$E,"&lt;="&amp;'Cashflow Projection'!Q$5,'Updated Construction'!$E:$E,"&gt;"&amp;'Cashflow Projection'!O$5)*$B53))*1.15</f>
        <v>0</v>
      </c>
      <c r="R53" s="23"/>
      <c r="S53" s="23">
        <f>-(SUMIFS('Updated Construction'!$F:$F,'Updated Construction'!$A:$A,FALSE,'Updated Construction'!$G:$G,'Cashflow Projection'!$A53,'Updated Construction'!$E:$E,"&lt;="&amp;'Cashflow Projection'!S$5,'Updated Construction'!$E:$E,"&gt;"&amp;'Cashflow Projection'!Q$5)+(SUMIFS('Updated Construction'!$F:$F,'Updated Construction'!$A:$A,TRUE,'Updated Construction'!$G:$G,'Cashflow Projection'!$A53,'Updated Construction'!$E:$E,"&lt;="&amp;'Cashflow Projection'!S$5,'Updated Construction'!$E:$E,"&gt;"&amp;'Cashflow Projection'!Q$5)*$B53))*1.15</f>
        <v>0</v>
      </c>
      <c r="T53" s="23"/>
      <c r="U53" s="23">
        <f>-(SUMIFS('Updated Construction'!$F:$F,'Updated Construction'!$A:$A,FALSE,'Updated Construction'!$G:$G,'Cashflow Projection'!$A53,'Updated Construction'!$E:$E,"&lt;="&amp;'Cashflow Projection'!U$5,'Updated Construction'!$E:$E,"&gt;"&amp;'Cashflow Projection'!S$5)+(SUMIFS('Updated Construction'!$F:$F,'Updated Construction'!$A:$A,TRUE,'Updated Construction'!$G:$G,'Cashflow Projection'!$A53,'Updated Construction'!$E:$E,"&lt;="&amp;'Cashflow Projection'!U$5,'Updated Construction'!$E:$E,"&gt;"&amp;'Cashflow Projection'!S$5)*$B53))*1.15</f>
        <v>0</v>
      </c>
      <c r="V53" s="23"/>
      <c r="W53" s="23">
        <f>-(SUMIFS('Updated Construction'!$F:$F,'Updated Construction'!$A:$A,FALSE,'Updated Construction'!$G:$G,'Cashflow Projection'!$A53,'Updated Construction'!$E:$E,"&lt;="&amp;'Cashflow Projection'!W$5,'Updated Construction'!$E:$E,"&gt;"&amp;'Cashflow Projection'!U$5)+(SUMIFS('Updated Construction'!$F:$F,'Updated Construction'!$A:$A,TRUE,'Updated Construction'!$G:$G,'Cashflow Projection'!$A53,'Updated Construction'!$E:$E,"&lt;="&amp;'Cashflow Projection'!W$5,'Updated Construction'!$E:$E,"&gt;"&amp;'Cashflow Projection'!U$5)*$B53))*1.15</f>
        <v>0</v>
      </c>
      <c r="X53" s="23"/>
      <c r="Y53" s="23">
        <f>-(SUMIFS('Updated Construction'!$F:$F,'Updated Construction'!$A:$A,FALSE,'Updated Construction'!$G:$G,'Cashflow Projection'!$A53,'Updated Construction'!$E:$E,"&lt;="&amp;'Cashflow Projection'!Y$5,'Updated Construction'!$E:$E,"&gt;"&amp;'Cashflow Projection'!W$5)+(SUMIFS('Updated Construction'!$F:$F,'Updated Construction'!$A:$A,TRUE,'Updated Construction'!$G:$G,'Cashflow Projection'!$A53,'Updated Construction'!$E:$E,"&lt;="&amp;'Cashflow Projection'!Y$5,'Updated Construction'!$E:$E,"&gt;"&amp;'Cashflow Projection'!W$5)*$B53))*1.15</f>
        <v>0</v>
      </c>
      <c r="Z53" s="23"/>
      <c r="AA53" s="23">
        <f>-(SUMIFS('Updated Construction'!$F:$F,'Updated Construction'!$A:$A,FALSE,'Updated Construction'!$G:$G,'Cashflow Projection'!$A53,'Updated Construction'!$E:$E,"&lt;="&amp;'Cashflow Projection'!AA$5,'Updated Construction'!$E:$E,"&gt;"&amp;'Cashflow Projection'!Y$5)+(SUMIFS('Updated Construction'!$F:$F,'Updated Construction'!$A:$A,TRUE,'Updated Construction'!$G:$G,'Cashflow Projection'!$A53,'Updated Construction'!$E:$E,"&lt;="&amp;'Cashflow Projection'!AA$5,'Updated Construction'!$E:$E,"&gt;"&amp;'Cashflow Projection'!Y$5)*$B53))*1.15</f>
        <v>0</v>
      </c>
      <c r="AB53" s="23"/>
      <c r="AC53" s="23">
        <f>-(SUMIFS('Updated Construction'!$F:$F,'Updated Construction'!$A:$A,FALSE,'Updated Construction'!$G:$G,'Cashflow Projection'!$A53,'Updated Construction'!$E:$E,"&lt;="&amp;'Cashflow Projection'!AC$5,'Updated Construction'!$E:$E,"&gt;"&amp;'Cashflow Projection'!AA$5)+(SUMIFS('Updated Construction'!$F:$F,'Updated Construction'!$A:$A,TRUE,'Updated Construction'!$G:$G,'Cashflow Projection'!$A53,'Updated Construction'!$E:$E,"&lt;="&amp;'Cashflow Projection'!AC$5,'Updated Construction'!$E:$E,"&gt;"&amp;'Cashflow Projection'!AA$5)*$B53))*1.15</f>
        <v>0</v>
      </c>
      <c r="AD53" s="23"/>
      <c r="AE53" s="23">
        <f>-(SUMIFS('Updated Construction'!$F:$F,'Updated Construction'!$A:$A,FALSE,'Updated Construction'!$G:$G,'Cashflow Projection'!$A53,'Updated Construction'!$E:$E,"&lt;="&amp;'Cashflow Projection'!AE$5,'Updated Construction'!$E:$E,"&gt;"&amp;'Cashflow Projection'!AC$5)+(SUMIFS('Updated Construction'!$F:$F,'Updated Construction'!$A:$A,TRUE,'Updated Construction'!$G:$G,'Cashflow Projection'!$A53,'Updated Construction'!$E:$E,"&lt;="&amp;'Cashflow Projection'!AE$5,'Updated Construction'!$E:$E,"&gt;"&amp;'Cashflow Projection'!AC$5)*$B53))*1.15</f>
        <v>0</v>
      </c>
      <c r="AF53" s="42"/>
    </row>
    <row r="54" spans="1:32" ht="29" x14ac:dyDescent="0.35">
      <c r="A54" s="43" t="s">
        <v>628</v>
      </c>
      <c r="B54" s="44">
        <v>0</v>
      </c>
      <c r="C54" s="41">
        <f>12*B54</f>
        <v>0</v>
      </c>
      <c r="D54" s="23">
        <f t="shared" si="4"/>
        <v>-1286370.7834999997</v>
      </c>
      <c r="I54" s="23">
        <f>-(SUMIFS('Updated Construction'!$F:$F,'Updated Construction'!$A:$A,FALSE,'Updated Construction'!$G:$G,'Cashflow Projection'!$A54,'Updated Construction'!$E:$E,"&lt;="&amp;'Cashflow Projection'!I$5,'Updated Construction'!$E:$E,"&gt;"&amp;'Cashflow Projection'!$B$2)+(SUMIFS('Updated Construction'!$F:$F,'Updated Construction'!$A:$A,TRUE,'Updated Construction'!$G:$G,'Cashflow Projection'!$A54,'Updated Construction'!$E:$E,"&lt;="&amp;'Cashflow Projection'!I$5,'Updated Construction'!$E:$E,"&gt;"&amp;'Cashflow Projection'!$B$2)*$B54))*1.15</f>
        <v>-746319.60549999983</v>
      </c>
      <c r="J54" s="23"/>
      <c r="K54" s="23">
        <f>-(SUMIFS('Updated Construction'!$F:$F,'Updated Construction'!$A:$A,FALSE,'Updated Construction'!$G:$G,'Cashflow Projection'!$A54,'Updated Construction'!$E:$E,"&lt;="&amp;'Cashflow Projection'!K$5,'Updated Construction'!$E:$E,"&gt;"&amp;'Cashflow Projection'!I$5)+(SUMIFS('Updated Construction'!$F:$F,'Updated Construction'!$A:$A,TRUE,'Updated Construction'!$G:$G,'Cashflow Projection'!$A54,'Updated Construction'!$E:$E,"&lt;="&amp;'Cashflow Projection'!K$5,'Updated Construction'!$E:$E,"&gt;"&amp;'Cashflow Projection'!I$5)*$B54))*1.15</f>
        <v>-212843.70199999999</v>
      </c>
      <c r="L54" s="23"/>
      <c r="M54" s="23">
        <f>-(SUMIFS('Updated Construction'!$F:$F,'Updated Construction'!$A:$A,FALSE,'Updated Construction'!$G:$G,'Cashflow Projection'!$A54,'Updated Construction'!$E:$E,"&lt;="&amp;'Cashflow Projection'!M$5,'Updated Construction'!$E:$E,"&gt;"&amp;'Cashflow Projection'!K$5)+(SUMIFS('Updated Construction'!$F:$F,'Updated Construction'!$A:$A,TRUE,'Updated Construction'!$G:$G,'Cashflow Projection'!$A54,'Updated Construction'!$E:$E,"&lt;="&amp;'Cashflow Projection'!M$5,'Updated Construction'!$E:$E,"&gt;"&amp;'Cashflow Projection'!K$5)*$B54))*1.15</f>
        <v>-166290.78199999998</v>
      </c>
      <c r="N54" s="23"/>
      <c r="O54" s="23">
        <f>-(SUMIFS('Updated Construction'!$F:$F,'Updated Construction'!$A:$A,FALSE,'Updated Construction'!$G:$G,'Cashflow Projection'!$A54,'Updated Construction'!$E:$E,"&lt;="&amp;'Cashflow Projection'!O$5,'Updated Construction'!$E:$E,"&gt;"&amp;'Cashflow Projection'!M$5)+(SUMIFS('Updated Construction'!$F:$F,'Updated Construction'!$A:$A,TRUE,'Updated Construction'!$G:$G,'Cashflow Projection'!$A54,'Updated Construction'!$E:$E,"&lt;="&amp;'Cashflow Projection'!O$5,'Updated Construction'!$E:$E,"&gt;"&amp;'Cashflow Projection'!M$5)*$B54))*1.15</f>
        <v>-35052.92</v>
      </c>
      <c r="P54" s="23"/>
      <c r="Q54" s="23">
        <f>-(SUMIFS('Updated Construction'!$F:$F,'Updated Construction'!$A:$A,FALSE,'Updated Construction'!$G:$G,'Cashflow Projection'!$A54,'Updated Construction'!$E:$E,"&lt;="&amp;'Cashflow Projection'!Q$5,'Updated Construction'!$E:$E,"&gt;"&amp;'Cashflow Projection'!O$5)+(SUMIFS('Updated Construction'!$F:$F,'Updated Construction'!$A:$A,TRUE,'Updated Construction'!$G:$G,'Cashflow Projection'!$A54,'Updated Construction'!$E:$E,"&lt;="&amp;'Cashflow Projection'!Q$5,'Updated Construction'!$E:$E,"&gt;"&amp;'Cashflow Projection'!O$5)*$B54))*1.15</f>
        <v>0</v>
      </c>
      <c r="R54" s="23"/>
      <c r="S54" s="23">
        <f>-(SUMIFS('Updated Construction'!$F:$F,'Updated Construction'!$A:$A,FALSE,'Updated Construction'!$G:$G,'Cashflow Projection'!$A54,'Updated Construction'!$E:$E,"&lt;="&amp;'Cashflow Projection'!S$5,'Updated Construction'!$E:$E,"&gt;"&amp;'Cashflow Projection'!Q$5)+(SUMIFS('Updated Construction'!$F:$F,'Updated Construction'!$A:$A,TRUE,'Updated Construction'!$G:$G,'Cashflow Projection'!$A54,'Updated Construction'!$E:$E,"&lt;="&amp;'Cashflow Projection'!S$5,'Updated Construction'!$E:$E,"&gt;"&amp;'Cashflow Projection'!Q$5)*$B54))*1.15</f>
        <v>0</v>
      </c>
      <c r="T54" s="23"/>
      <c r="U54" s="23">
        <f>-(SUMIFS('Updated Construction'!$F:$F,'Updated Construction'!$A:$A,FALSE,'Updated Construction'!$G:$G,'Cashflow Projection'!$A54,'Updated Construction'!$E:$E,"&lt;="&amp;'Cashflow Projection'!U$5,'Updated Construction'!$E:$E,"&gt;"&amp;'Cashflow Projection'!S$5)+(SUMIFS('Updated Construction'!$F:$F,'Updated Construction'!$A:$A,TRUE,'Updated Construction'!$G:$G,'Cashflow Projection'!$A54,'Updated Construction'!$E:$E,"&lt;="&amp;'Cashflow Projection'!U$5,'Updated Construction'!$E:$E,"&gt;"&amp;'Cashflow Projection'!S$5)*$B54))*1.15</f>
        <v>-125863.77399999999</v>
      </c>
      <c r="V54" s="23"/>
      <c r="W54" s="23">
        <f>-(SUMIFS('Updated Construction'!$F:$F,'Updated Construction'!$A:$A,FALSE,'Updated Construction'!$G:$G,'Cashflow Projection'!$A54,'Updated Construction'!$E:$E,"&lt;="&amp;'Cashflow Projection'!W$5,'Updated Construction'!$E:$E,"&gt;"&amp;'Cashflow Projection'!U$5)+(SUMIFS('Updated Construction'!$F:$F,'Updated Construction'!$A:$A,TRUE,'Updated Construction'!$G:$G,'Cashflow Projection'!$A54,'Updated Construction'!$E:$E,"&lt;="&amp;'Cashflow Projection'!W$5,'Updated Construction'!$E:$E,"&gt;"&amp;'Cashflow Projection'!U$5)*$B54))*1.15</f>
        <v>0</v>
      </c>
      <c r="X54" s="23"/>
      <c r="Y54" s="23">
        <f>-(SUMIFS('Updated Construction'!$F:$F,'Updated Construction'!$A:$A,FALSE,'Updated Construction'!$G:$G,'Cashflow Projection'!$A54,'Updated Construction'!$E:$E,"&lt;="&amp;'Cashflow Projection'!Y$5,'Updated Construction'!$E:$E,"&gt;"&amp;'Cashflow Projection'!W$5)+(SUMIFS('Updated Construction'!$F:$F,'Updated Construction'!$A:$A,TRUE,'Updated Construction'!$G:$G,'Cashflow Projection'!$A54,'Updated Construction'!$E:$E,"&lt;="&amp;'Cashflow Projection'!Y$5,'Updated Construction'!$E:$E,"&gt;"&amp;'Cashflow Projection'!W$5)*$B54))*1.15</f>
        <v>0</v>
      </c>
      <c r="Z54" s="23"/>
      <c r="AA54" s="23">
        <f>-(SUMIFS('Updated Construction'!$F:$F,'Updated Construction'!$A:$A,FALSE,'Updated Construction'!$G:$G,'Cashflow Projection'!$A54,'Updated Construction'!$E:$E,"&lt;="&amp;'Cashflow Projection'!AA$5,'Updated Construction'!$E:$E,"&gt;"&amp;'Cashflow Projection'!Y$5)+(SUMIFS('Updated Construction'!$F:$F,'Updated Construction'!$A:$A,TRUE,'Updated Construction'!$G:$G,'Cashflow Projection'!$A54,'Updated Construction'!$E:$E,"&lt;="&amp;'Cashflow Projection'!AA$5,'Updated Construction'!$E:$E,"&gt;"&amp;'Cashflow Projection'!Y$5)*$B54))*1.15</f>
        <v>0</v>
      </c>
      <c r="AB54" s="23"/>
      <c r="AC54" s="23">
        <f>-(SUMIFS('Updated Construction'!$F:$F,'Updated Construction'!$A:$A,FALSE,'Updated Construction'!$G:$G,'Cashflow Projection'!$A54,'Updated Construction'!$E:$E,"&lt;="&amp;'Cashflow Projection'!AC$5,'Updated Construction'!$E:$E,"&gt;"&amp;'Cashflow Projection'!AA$5)+(SUMIFS('Updated Construction'!$F:$F,'Updated Construction'!$A:$A,TRUE,'Updated Construction'!$G:$G,'Cashflow Projection'!$A54,'Updated Construction'!$E:$E,"&lt;="&amp;'Cashflow Projection'!AC$5,'Updated Construction'!$E:$E,"&gt;"&amp;'Cashflow Projection'!AA$5)*$B54))*1.15</f>
        <v>0</v>
      </c>
      <c r="AD54" s="23"/>
      <c r="AE54" s="23">
        <f>-(SUMIFS('Updated Construction'!$F:$F,'Updated Construction'!$A:$A,FALSE,'Updated Construction'!$G:$G,'Cashflow Projection'!$A54,'Updated Construction'!$E:$E,"&lt;="&amp;'Cashflow Projection'!AE$5,'Updated Construction'!$E:$E,"&gt;"&amp;'Cashflow Projection'!AC$5)+(SUMIFS('Updated Construction'!$F:$F,'Updated Construction'!$A:$A,TRUE,'Updated Construction'!$G:$G,'Cashflow Projection'!$A54,'Updated Construction'!$E:$E,"&lt;="&amp;'Cashflow Projection'!AE$5,'Updated Construction'!$E:$E,"&gt;"&amp;'Cashflow Projection'!AC$5)*$B54))*1.15</f>
        <v>0</v>
      </c>
      <c r="AF54" s="42"/>
    </row>
    <row r="55" spans="1:32" ht="29" x14ac:dyDescent="0.35">
      <c r="A55" s="39" t="s">
        <v>675</v>
      </c>
      <c r="B55" s="40">
        <v>1</v>
      </c>
      <c r="C55" s="41"/>
      <c r="D55" s="23">
        <f t="shared" si="4"/>
        <v>-1492138.6505</v>
      </c>
      <c r="I55" s="23">
        <f>-(SUMIFS('Updated Construction'!$F:$F,'Updated Construction'!$A:$A,FALSE,'Updated Construction'!$G:$G,'Cashflow Projection'!$A55,'Updated Construction'!$E:$E,"&lt;="&amp;'Cashflow Projection'!I$5,'Updated Construction'!$E:$E,"&gt;"&amp;'Cashflow Projection'!$B$2)+(SUMIFS('Updated Construction'!$F:$F,'Updated Construction'!$A:$A,TRUE,'Updated Construction'!$G:$G,'Cashflow Projection'!$A55,'Updated Construction'!$E:$E,"&lt;="&amp;'Cashflow Projection'!I$5,'Updated Construction'!$E:$E,"&gt;"&amp;'Cashflow Projection'!$B$2)*$B55))*1.15</f>
        <v>-704224.46499999997</v>
      </c>
      <c r="J55" s="23"/>
      <c r="K55" s="23">
        <f>-(SUMIFS('Updated Construction'!$F:$F,'Updated Construction'!$A:$A,FALSE,'Updated Construction'!$G:$G,'Cashflow Projection'!$A55,'Updated Construction'!$E:$E,"&lt;="&amp;'Cashflow Projection'!K$5,'Updated Construction'!$E:$E,"&gt;"&amp;'Cashflow Projection'!I$5)+(SUMIFS('Updated Construction'!$F:$F,'Updated Construction'!$A:$A,TRUE,'Updated Construction'!$G:$G,'Cashflow Projection'!$A55,'Updated Construction'!$E:$E,"&lt;="&amp;'Cashflow Projection'!K$5,'Updated Construction'!$E:$E,"&gt;"&amp;'Cashflow Projection'!I$5)*$B55))*1.15</f>
        <v>-296773.79550000001</v>
      </c>
      <c r="L55" s="23"/>
      <c r="M55" s="23">
        <f>-(SUMIFS('Updated Construction'!$F:$F,'Updated Construction'!$A:$A,FALSE,'Updated Construction'!$G:$G,'Cashflow Projection'!$A55,'Updated Construction'!$E:$E,"&lt;="&amp;'Cashflow Projection'!M$5,'Updated Construction'!$E:$E,"&gt;"&amp;'Cashflow Projection'!K$5)+(SUMIFS('Updated Construction'!$F:$F,'Updated Construction'!$A:$A,TRUE,'Updated Construction'!$G:$G,'Cashflow Projection'!$A55,'Updated Construction'!$E:$E,"&lt;="&amp;'Cashflow Projection'!M$5,'Updated Construction'!$E:$E,"&gt;"&amp;'Cashflow Projection'!K$5)*$B55))*1.15</f>
        <v>-176347.41699999996</v>
      </c>
      <c r="N55" s="23"/>
      <c r="O55" s="23">
        <f>-(SUMIFS('Updated Construction'!$F:$F,'Updated Construction'!$A:$A,FALSE,'Updated Construction'!$G:$G,'Cashflow Projection'!$A55,'Updated Construction'!$E:$E,"&lt;="&amp;'Cashflow Projection'!O$5,'Updated Construction'!$E:$E,"&gt;"&amp;'Cashflow Projection'!M$5)+(SUMIFS('Updated Construction'!$F:$F,'Updated Construction'!$A:$A,TRUE,'Updated Construction'!$G:$G,'Cashflow Projection'!$A55,'Updated Construction'!$E:$E,"&lt;="&amp;'Cashflow Projection'!O$5,'Updated Construction'!$E:$E,"&gt;"&amp;'Cashflow Projection'!M$5)*$B55))*1.15</f>
        <v>-298192.86099999998</v>
      </c>
      <c r="P55" s="23"/>
      <c r="Q55" s="23">
        <f>-(SUMIFS('Updated Construction'!$F:$F,'Updated Construction'!$A:$A,FALSE,'Updated Construction'!$G:$G,'Cashflow Projection'!$A55,'Updated Construction'!$E:$E,"&lt;="&amp;'Cashflow Projection'!Q$5,'Updated Construction'!$E:$E,"&gt;"&amp;'Cashflow Projection'!O$5)+(SUMIFS('Updated Construction'!$F:$F,'Updated Construction'!$A:$A,TRUE,'Updated Construction'!$G:$G,'Cashflow Projection'!$A55,'Updated Construction'!$E:$E,"&lt;="&amp;'Cashflow Projection'!Q$5,'Updated Construction'!$E:$E,"&gt;"&amp;'Cashflow Projection'!O$5)*$B55))*1.15</f>
        <v>-16600.111999999997</v>
      </c>
      <c r="R55" s="23"/>
      <c r="S55" s="23">
        <f>-(SUMIFS('Updated Construction'!$F:$F,'Updated Construction'!$A:$A,FALSE,'Updated Construction'!$G:$G,'Cashflow Projection'!$A55,'Updated Construction'!$E:$E,"&lt;="&amp;'Cashflow Projection'!S$5,'Updated Construction'!$E:$E,"&gt;"&amp;'Cashflow Projection'!Q$5)+(SUMIFS('Updated Construction'!$F:$F,'Updated Construction'!$A:$A,TRUE,'Updated Construction'!$G:$G,'Cashflow Projection'!$A55,'Updated Construction'!$E:$E,"&lt;="&amp;'Cashflow Projection'!S$5,'Updated Construction'!$E:$E,"&gt;"&amp;'Cashflow Projection'!Q$5)*$B55))*1.15</f>
        <v>0</v>
      </c>
      <c r="T55" s="23"/>
      <c r="U55" s="23">
        <f>-(SUMIFS('Updated Construction'!$F:$F,'Updated Construction'!$A:$A,FALSE,'Updated Construction'!$G:$G,'Cashflow Projection'!$A55,'Updated Construction'!$E:$E,"&lt;="&amp;'Cashflow Projection'!U$5,'Updated Construction'!$E:$E,"&gt;"&amp;'Cashflow Projection'!S$5)+(SUMIFS('Updated Construction'!$F:$F,'Updated Construction'!$A:$A,TRUE,'Updated Construction'!$G:$G,'Cashflow Projection'!$A55,'Updated Construction'!$E:$E,"&lt;="&amp;'Cashflow Projection'!U$5,'Updated Construction'!$E:$E,"&gt;"&amp;'Cashflow Projection'!S$5)*$B55))*1.15</f>
        <v>0</v>
      </c>
      <c r="V55" s="23"/>
      <c r="W55" s="23">
        <f>-(SUMIFS('Updated Construction'!$F:$F,'Updated Construction'!$A:$A,FALSE,'Updated Construction'!$G:$G,'Cashflow Projection'!$A55,'Updated Construction'!$E:$E,"&lt;="&amp;'Cashflow Projection'!W$5,'Updated Construction'!$E:$E,"&gt;"&amp;'Cashflow Projection'!U$5)+(SUMIFS('Updated Construction'!$F:$F,'Updated Construction'!$A:$A,TRUE,'Updated Construction'!$G:$G,'Cashflow Projection'!$A55,'Updated Construction'!$E:$E,"&lt;="&amp;'Cashflow Projection'!W$5,'Updated Construction'!$E:$E,"&gt;"&amp;'Cashflow Projection'!U$5)*$B55))*1.15</f>
        <v>0</v>
      </c>
      <c r="X55" s="23"/>
      <c r="Y55" s="23">
        <f>-(SUMIFS('Updated Construction'!$F:$F,'Updated Construction'!$A:$A,FALSE,'Updated Construction'!$G:$G,'Cashflow Projection'!$A55,'Updated Construction'!$E:$E,"&lt;="&amp;'Cashflow Projection'!Y$5,'Updated Construction'!$E:$E,"&gt;"&amp;'Cashflow Projection'!W$5)+(SUMIFS('Updated Construction'!$F:$F,'Updated Construction'!$A:$A,TRUE,'Updated Construction'!$G:$G,'Cashflow Projection'!$A55,'Updated Construction'!$E:$E,"&lt;="&amp;'Cashflow Projection'!Y$5,'Updated Construction'!$E:$E,"&gt;"&amp;'Cashflow Projection'!W$5)*$B55))*1.15</f>
        <v>0</v>
      </c>
      <c r="Z55" s="23"/>
      <c r="AA55" s="23">
        <f>-(SUMIFS('Updated Construction'!$F:$F,'Updated Construction'!$A:$A,FALSE,'Updated Construction'!$G:$G,'Cashflow Projection'!$A55,'Updated Construction'!$E:$E,"&lt;="&amp;'Cashflow Projection'!AA$5,'Updated Construction'!$E:$E,"&gt;"&amp;'Cashflow Projection'!Y$5)+(SUMIFS('Updated Construction'!$F:$F,'Updated Construction'!$A:$A,TRUE,'Updated Construction'!$G:$G,'Cashflow Projection'!$A55,'Updated Construction'!$E:$E,"&lt;="&amp;'Cashflow Projection'!AA$5,'Updated Construction'!$E:$E,"&gt;"&amp;'Cashflow Projection'!Y$5)*$B55))*1.15</f>
        <v>0</v>
      </c>
      <c r="AB55" s="23"/>
      <c r="AC55" s="23">
        <f>-(SUMIFS('Updated Construction'!$F:$F,'Updated Construction'!$A:$A,FALSE,'Updated Construction'!$G:$G,'Cashflow Projection'!$A55,'Updated Construction'!$E:$E,"&lt;="&amp;'Cashflow Projection'!AC$5,'Updated Construction'!$E:$E,"&gt;"&amp;'Cashflow Projection'!AA$5)+(SUMIFS('Updated Construction'!$F:$F,'Updated Construction'!$A:$A,TRUE,'Updated Construction'!$G:$G,'Cashflow Projection'!$A55,'Updated Construction'!$E:$E,"&lt;="&amp;'Cashflow Projection'!AC$5,'Updated Construction'!$E:$E,"&gt;"&amp;'Cashflow Projection'!AA$5)*$B55))*1.15</f>
        <v>0</v>
      </c>
      <c r="AD55" s="23"/>
      <c r="AE55" s="23">
        <f>-(SUMIFS('Updated Construction'!$F:$F,'Updated Construction'!$A:$A,FALSE,'Updated Construction'!$G:$G,'Cashflow Projection'!$A55,'Updated Construction'!$E:$E,"&lt;="&amp;'Cashflow Projection'!AE$5,'Updated Construction'!$E:$E,"&gt;"&amp;'Cashflow Projection'!AC$5)+(SUMIFS('Updated Construction'!$F:$F,'Updated Construction'!$A:$A,TRUE,'Updated Construction'!$G:$G,'Cashflow Projection'!$A55,'Updated Construction'!$E:$E,"&lt;="&amp;'Cashflow Projection'!AE$5,'Updated Construction'!$E:$E,"&gt;"&amp;'Cashflow Projection'!AC$5)*$B55))*1.15</f>
        <v>0</v>
      </c>
      <c r="AF55" s="42"/>
    </row>
    <row r="56" spans="1:32" ht="29" x14ac:dyDescent="0.35">
      <c r="A56" s="43" t="s">
        <v>684</v>
      </c>
      <c r="B56" s="44">
        <v>0</v>
      </c>
      <c r="C56" s="41">
        <f>8*B56</f>
        <v>0</v>
      </c>
      <c r="D56" s="23">
        <f t="shared" si="4"/>
        <v>-391640.91799999995</v>
      </c>
      <c r="I56" s="23">
        <f>-(SUMIFS('Updated Construction'!$F:$F,'Updated Construction'!$A:$A,FALSE,'Updated Construction'!$G:$G,'Cashflow Projection'!$A56,'Updated Construction'!$E:$E,"&lt;="&amp;'Cashflow Projection'!I$5,'Updated Construction'!$E:$E,"&gt;"&amp;'Cashflow Projection'!$B$2)+(SUMIFS('Updated Construction'!$F:$F,'Updated Construction'!$A:$A,TRUE,'Updated Construction'!$G:$G,'Cashflow Projection'!$A56,'Updated Construction'!$E:$E,"&lt;="&amp;'Cashflow Projection'!I$5,'Updated Construction'!$E:$E,"&gt;"&amp;'Cashflow Projection'!$B$2)*$B56))*1.15</f>
        <v>-172447.41049999997</v>
      </c>
      <c r="J56" s="23"/>
      <c r="K56" s="23">
        <f>-(SUMIFS('Updated Construction'!$F:$F,'Updated Construction'!$A:$A,FALSE,'Updated Construction'!$G:$G,'Cashflow Projection'!$A56,'Updated Construction'!$E:$E,"&lt;="&amp;'Cashflow Projection'!K$5,'Updated Construction'!$E:$E,"&gt;"&amp;'Cashflow Projection'!I$5)+(SUMIFS('Updated Construction'!$F:$F,'Updated Construction'!$A:$A,TRUE,'Updated Construction'!$G:$G,'Cashflow Projection'!$A56,'Updated Construction'!$E:$E,"&lt;="&amp;'Cashflow Projection'!K$5,'Updated Construction'!$E:$E,"&gt;"&amp;'Cashflow Projection'!I$5)*$B56))*1.15</f>
        <v>-130356.3985</v>
      </c>
      <c r="L56" s="23"/>
      <c r="M56" s="23">
        <f>-(SUMIFS('Updated Construction'!$F:$F,'Updated Construction'!$A:$A,FALSE,'Updated Construction'!$G:$G,'Cashflow Projection'!$A56,'Updated Construction'!$E:$E,"&lt;="&amp;'Cashflow Projection'!M$5,'Updated Construction'!$E:$E,"&gt;"&amp;'Cashflow Projection'!K$5)+(SUMIFS('Updated Construction'!$F:$F,'Updated Construction'!$A:$A,TRUE,'Updated Construction'!$G:$G,'Cashflow Projection'!$A56,'Updated Construction'!$E:$E,"&lt;="&amp;'Cashflow Projection'!M$5,'Updated Construction'!$E:$E,"&gt;"&amp;'Cashflow Projection'!K$5)*$B56))*1.15</f>
        <v>-40968.75</v>
      </c>
      <c r="N56" s="23"/>
      <c r="O56" s="23">
        <f>-(SUMIFS('Updated Construction'!$F:$F,'Updated Construction'!$A:$A,FALSE,'Updated Construction'!$G:$G,'Cashflow Projection'!$A56,'Updated Construction'!$E:$E,"&lt;="&amp;'Cashflow Projection'!O$5,'Updated Construction'!$E:$E,"&gt;"&amp;'Cashflow Projection'!M$5)+(SUMIFS('Updated Construction'!$F:$F,'Updated Construction'!$A:$A,TRUE,'Updated Construction'!$G:$G,'Cashflow Projection'!$A56,'Updated Construction'!$E:$E,"&lt;="&amp;'Cashflow Projection'!O$5,'Updated Construction'!$E:$E,"&gt;"&amp;'Cashflow Projection'!M$5)*$B56))*1.15</f>
        <v>0</v>
      </c>
      <c r="P56" s="23"/>
      <c r="Q56" s="23">
        <f>-(SUMIFS('Updated Construction'!$F:$F,'Updated Construction'!$A:$A,FALSE,'Updated Construction'!$G:$G,'Cashflow Projection'!$A56,'Updated Construction'!$E:$E,"&lt;="&amp;'Cashflow Projection'!Q$5,'Updated Construction'!$E:$E,"&gt;"&amp;'Cashflow Projection'!O$5)+(SUMIFS('Updated Construction'!$F:$F,'Updated Construction'!$A:$A,TRUE,'Updated Construction'!$G:$G,'Cashflow Projection'!$A56,'Updated Construction'!$E:$E,"&lt;="&amp;'Cashflow Projection'!Q$5,'Updated Construction'!$E:$E,"&gt;"&amp;'Cashflow Projection'!O$5)*$B56))*1.15</f>
        <v>-47868.358999999997</v>
      </c>
      <c r="R56" s="23"/>
      <c r="S56" s="23">
        <f>-(SUMIFS('Updated Construction'!$F:$F,'Updated Construction'!$A:$A,FALSE,'Updated Construction'!$G:$G,'Cashflow Projection'!$A56,'Updated Construction'!$E:$E,"&lt;="&amp;'Cashflow Projection'!S$5,'Updated Construction'!$E:$E,"&gt;"&amp;'Cashflow Projection'!Q$5)+(SUMIFS('Updated Construction'!$F:$F,'Updated Construction'!$A:$A,TRUE,'Updated Construction'!$G:$G,'Cashflow Projection'!$A56,'Updated Construction'!$E:$E,"&lt;="&amp;'Cashflow Projection'!S$5,'Updated Construction'!$E:$E,"&gt;"&amp;'Cashflow Projection'!Q$5)*$B56))*1.15</f>
        <v>0</v>
      </c>
      <c r="T56" s="23"/>
      <c r="U56" s="23">
        <f>-(SUMIFS('Updated Construction'!$F:$F,'Updated Construction'!$A:$A,FALSE,'Updated Construction'!$G:$G,'Cashflow Projection'!$A56,'Updated Construction'!$E:$E,"&lt;="&amp;'Cashflow Projection'!U$5,'Updated Construction'!$E:$E,"&gt;"&amp;'Cashflow Projection'!S$5)+(SUMIFS('Updated Construction'!$F:$F,'Updated Construction'!$A:$A,TRUE,'Updated Construction'!$G:$G,'Cashflow Projection'!$A56,'Updated Construction'!$E:$E,"&lt;="&amp;'Cashflow Projection'!U$5,'Updated Construction'!$E:$E,"&gt;"&amp;'Cashflow Projection'!S$5)*$B56))*1.15</f>
        <v>0</v>
      </c>
      <c r="V56" s="23"/>
      <c r="W56" s="23">
        <f>-(SUMIFS('Updated Construction'!$F:$F,'Updated Construction'!$A:$A,FALSE,'Updated Construction'!$G:$G,'Cashflow Projection'!$A56,'Updated Construction'!$E:$E,"&lt;="&amp;'Cashflow Projection'!W$5,'Updated Construction'!$E:$E,"&gt;"&amp;'Cashflow Projection'!U$5)+(SUMIFS('Updated Construction'!$F:$F,'Updated Construction'!$A:$A,TRUE,'Updated Construction'!$G:$G,'Cashflow Projection'!$A56,'Updated Construction'!$E:$E,"&lt;="&amp;'Cashflow Projection'!W$5,'Updated Construction'!$E:$E,"&gt;"&amp;'Cashflow Projection'!U$5)*$B56))*1.15</f>
        <v>0</v>
      </c>
      <c r="X56" s="23"/>
      <c r="Y56" s="23">
        <f>-(SUMIFS('Updated Construction'!$F:$F,'Updated Construction'!$A:$A,FALSE,'Updated Construction'!$G:$G,'Cashflow Projection'!$A56,'Updated Construction'!$E:$E,"&lt;="&amp;'Cashflow Projection'!Y$5,'Updated Construction'!$E:$E,"&gt;"&amp;'Cashflow Projection'!W$5)+(SUMIFS('Updated Construction'!$F:$F,'Updated Construction'!$A:$A,TRUE,'Updated Construction'!$G:$G,'Cashflow Projection'!$A56,'Updated Construction'!$E:$E,"&lt;="&amp;'Cashflow Projection'!Y$5,'Updated Construction'!$E:$E,"&gt;"&amp;'Cashflow Projection'!W$5)*$B56))*1.15</f>
        <v>0</v>
      </c>
      <c r="Z56" s="23"/>
      <c r="AA56" s="23">
        <f>-(SUMIFS('Updated Construction'!$F:$F,'Updated Construction'!$A:$A,FALSE,'Updated Construction'!$G:$G,'Cashflow Projection'!$A56,'Updated Construction'!$E:$E,"&lt;="&amp;'Cashflow Projection'!AA$5,'Updated Construction'!$E:$E,"&gt;"&amp;'Cashflow Projection'!Y$5)+(SUMIFS('Updated Construction'!$F:$F,'Updated Construction'!$A:$A,TRUE,'Updated Construction'!$G:$G,'Cashflow Projection'!$A56,'Updated Construction'!$E:$E,"&lt;="&amp;'Cashflow Projection'!AA$5,'Updated Construction'!$E:$E,"&gt;"&amp;'Cashflow Projection'!Y$5)*$B56))*1.15</f>
        <v>0</v>
      </c>
      <c r="AB56" s="23"/>
      <c r="AC56" s="23">
        <f>-(SUMIFS('Updated Construction'!$F:$F,'Updated Construction'!$A:$A,FALSE,'Updated Construction'!$G:$G,'Cashflow Projection'!$A56,'Updated Construction'!$E:$E,"&lt;="&amp;'Cashflow Projection'!AC$5,'Updated Construction'!$E:$E,"&gt;"&amp;'Cashflow Projection'!AA$5)+(SUMIFS('Updated Construction'!$F:$F,'Updated Construction'!$A:$A,TRUE,'Updated Construction'!$G:$G,'Cashflow Projection'!$A56,'Updated Construction'!$E:$E,"&lt;="&amp;'Cashflow Projection'!AC$5,'Updated Construction'!$E:$E,"&gt;"&amp;'Cashflow Projection'!AA$5)*$B56))*1.15</f>
        <v>0</v>
      </c>
      <c r="AD56" s="23"/>
      <c r="AE56" s="23">
        <f>-(SUMIFS('Updated Construction'!$F:$F,'Updated Construction'!$A:$A,FALSE,'Updated Construction'!$G:$G,'Cashflow Projection'!$A56,'Updated Construction'!$E:$E,"&lt;="&amp;'Cashflow Projection'!AE$5,'Updated Construction'!$E:$E,"&gt;"&amp;'Cashflow Projection'!AC$5)+(SUMIFS('Updated Construction'!$F:$F,'Updated Construction'!$A:$A,TRUE,'Updated Construction'!$G:$G,'Cashflow Projection'!$A56,'Updated Construction'!$E:$E,"&lt;="&amp;'Cashflow Projection'!AE$5,'Updated Construction'!$E:$E,"&gt;"&amp;'Cashflow Projection'!AC$5)*$B56))*1.15</f>
        <v>0</v>
      </c>
      <c r="AF56" s="42"/>
    </row>
    <row r="57" spans="1:32" ht="29" x14ac:dyDescent="0.35">
      <c r="A57" s="43" t="s">
        <v>711</v>
      </c>
      <c r="B57" s="44">
        <v>0</v>
      </c>
      <c r="C57" s="41">
        <f>12*B57</f>
        <v>0</v>
      </c>
      <c r="D57" s="23">
        <f t="shared" si="4"/>
        <v>-401469.39299999998</v>
      </c>
      <c r="I57" s="23">
        <f>-(SUMIFS('Updated Construction'!$F:$F,'Updated Construction'!$A:$A,FALSE,'Updated Construction'!$G:$G,'Cashflow Projection'!$A57,'Updated Construction'!$E:$E,"&lt;="&amp;'Cashflow Projection'!I$5,'Updated Construction'!$E:$E,"&gt;"&amp;'Cashflow Projection'!$B$2)+(SUMIFS('Updated Construction'!$F:$F,'Updated Construction'!$A:$A,TRUE,'Updated Construction'!$G:$G,'Cashflow Projection'!$A57,'Updated Construction'!$E:$E,"&lt;="&amp;'Cashflow Projection'!I$5,'Updated Construction'!$E:$E,"&gt;"&amp;'Cashflow Projection'!$B$2)*$B57))*1.15</f>
        <v>-232963.84899999999</v>
      </c>
      <c r="J57" s="23"/>
      <c r="K57" s="23">
        <f>-(SUMIFS('Updated Construction'!$F:$F,'Updated Construction'!$A:$A,FALSE,'Updated Construction'!$G:$G,'Cashflow Projection'!$A57,'Updated Construction'!$E:$E,"&lt;="&amp;'Cashflow Projection'!K$5,'Updated Construction'!$E:$E,"&gt;"&amp;'Cashflow Projection'!I$5)+(SUMIFS('Updated Construction'!$F:$F,'Updated Construction'!$A:$A,TRUE,'Updated Construction'!$G:$G,'Cashflow Projection'!$A57,'Updated Construction'!$E:$E,"&lt;="&amp;'Cashflow Projection'!K$5,'Updated Construction'!$E:$E,"&gt;"&amp;'Cashflow Projection'!I$5)*$B57))*1.15</f>
        <v>-62833.124999999993</v>
      </c>
      <c r="L57" s="23"/>
      <c r="M57" s="23">
        <f>-(SUMIFS('Updated Construction'!$F:$F,'Updated Construction'!$A:$A,FALSE,'Updated Construction'!$G:$G,'Cashflow Projection'!$A57,'Updated Construction'!$E:$E,"&lt;="&amp;'Cashflow Projection'!M$5,'Updated Construction'!$E:$E,"&gt;"&amp;'Cashflow Projection'!K$5)+(SUMIFS('Updated Construction'!$F:$F,'Updated Construction'!$A:$A,TRUE,'Updated Construction'!$G:$G,'Cashflow Projection'!$A57,'Updated Construction'!$E:$E,"&lt;="&amp;'Cashflow Projection'!M$5,'Updated Construction'!$E:$E,"&gt;"&amp;'Cashflow Projection'!K$5)*$B57))*1.15</f>
        <v>0</v>
      </c>
      <c r="N57" s="23"/>
      <c r="O57" s="23">
        <f>-(SUMIFS('Updated Construction'!$F:$F,'Updated Construction'!$A:$A,FALSE,'Updated Construction'!$G:$G,'Cashflow Projection'!$A57,'Updated Construction'!$E:$E,"&lt;="&amp;'Cashflow Projection'!O$5,'Updated Construction'!$E:$E,"&gt;"&amp;'Cashflow Projection'!M$5)+(SUMIFS('Updated Construction'!$F:$F,'Updated Construction'!$A:$A,TRUE,'Updated Construction'!$G:$G,'Cashflow Projection'!$A57,'Updated Construction'!$E:$E,"&lt;="&amp;'Cashflow Projection'!O$5,'Updated Construction'!$E:$E,"&gt;"&amp;'Cashflow Projection'!M$5)*$B57))*1.15</f>
        <v>-105672.41899999999</v>
      </c>
      <c r="P57" s="23"/>
      <c r="Q57" s="23">
        <f>-(SUMIFS('Updated Construction'!$F:$F,'Updated Construction'!$A:$A,FALSE,'Updated Construction'!$G:$G,'Cashflow Projection'!$A57,'Updated Construction'!$E:$E,"&lt;="&amp;'Cashflow Projection'!Q$5,'Updated Construction'!$E:$E,"&gt;"&amp;'Cashflow Projection'!O$5)+(SUMIFS('Updated Construction'!$F:$F,'Updated Construction'!$A:$A,TRUE,'Updated Construction'!$G:$G,'Cashflow Projection'!$A57,'Updated Construction'!$E:$E,"&lt;="&amp;'Cashflow Projection'!Q$5,'Updated Construction'!$E:$E,"&gt;"&amp;'Cashflow Projection'!O$5)*$B57))*1.15</f>
        <v>0</v>
      </c>
      <c r="R57" s="23"/>
      <c r="S57" s="23">
        <f>-(SUMIFS('Updated Construction'!$F:$F,'Updated Construction'!$A:$A,FALSE,'Updated Construction'!$G:$G,'Cashflow Projection'!$A57,'Updated Construction'!$E:$E,"&lt;="&amp;'Cashflow Projection'!S$5,'Updated Construction'!$E:$E,"&gt;"&amp;'Cashflow Projection'!Q$5)+(SUMIFS('Updated Construction'!$F:$F,'Updated Construction'!$A:$A,TRUE,'Updated Construction'!$G:$G,'Cashflow Projection'!$A57,'Updated Construction'!$E:$E,"&lt;="&amp;'Cashflow Projection'!S$5,'Updated Construction'!$E:$E,"&gt;"&amp;'Cashflow Projection'!Q$5)*$B57))*1.15</f>
        <v>0</v>
      </c>
      <c r="T57" s="23"/>
      <c r="U57" s="23">
        <f>-(SUMIFS('Updated Construction'!$F:$F,'Updated Construction'!$A:$A,FALSE,'Updated Construction'!$G:$G,'Cashflow Projection'!$A57,'Updated Construction'!$E:$E,"&lt;="&amp;'Cashflow Projection'!U$5,'Updated Construction'!$E:$E,"&gt;"&amp;'Cashflow Projection'!S$5)+(SUMIFS('Updated Construction'!$F:$F,'Updated Construction'!$A:$A,TRUE,'Updated Construction'!$G:$G,'Cashflow Projection'!$A57,'Updated Construction'!$E:$E,"&lt;="&amp;'Cashflow Projection'!U$5,'Updated Construction'!$E:$E,"&gt;"&amp;'Cashflow Projection'!S$5)*$B57))*1.15</f>
        <v>0</v>
      </c>
      <c r="V57" s="23"/>
      <c r="W57" s="23">
        <f>-(SUMIFS('Updated Construction'!$F:$F,'Updated Construction'!$A:$A,FALSE,'Updated Construction'!$G:$G,'Cashflow Projection'!$A57,'Updated Construction'!$E:$E,"&lt;="&amp;'Cashflow Projection'!W$5,'Updated Construction'!$E:$E,"&gt;"&amp;'Cashflow Projection'!U$5)+(SUMIFS('Updated Construction'!$F:$F,'Updated Construction'!$A:$A,TRUE,'Updated Construction'!$G:$G,'Cashflow Projection'!$A57,'Updated Construction'!$E:$E,"&lt;="&amp;'Cashflow Projection'!W$5,'Updated Construction'!$E:$E,"&gt;"&amp;'Cashflow Projection'!U$5)*$B57))*1.15</f>
        <v>0</v>
      </c>
      <c r="X57" s="23"/>
      <c r="Y57" s="23">
        <f>-(SUMIFS('Updated Construction'!$F:$F,'Updated Construction'!$A:$A,FALSE,'Updated Construction'!$G:$G,'Cashflow Projection'!$A57,'Updated Construction'!$E:$E,"&lt;="&amp;'Cashflow Projection'!Y$5,'Updated Construction'!$E:$E,"&gt;"&amp;'Cashflow Projection'!W$5)+(SUMIFS('Updated Construction'!$F:$F,'Updated Construction'!$A:$A,TRUE,'Updated Construction'!$G:$G,'Cashflow Projection'!$A57,'Updated Construction'!$E:$E,"&lt;="&amp;'Cashflow Projection'!Y$5,'Updated Construction'!$E:$E,"&gt;"&amp;'Cashflow Projection'!W$5)*$B57))*1.15</f>
        <v>0</v>
      </c>
      <c r="Z57" s="23"/>
      <c r="AA57" s="23">
        <f>-(SUMIFS('Updated Construction'!$F:$F,'Updated Construction'!$A:$A,FALSE,'Updated Construction'!$G:$G,'Cashflow Projection'!$A57,'Updated Construction'!$E:$E,"&lt;="&amp;'Cashflow Projection'!AA$5,'Updated Construction'!$E:$E,"&gt;"&amp;'Cashflow Projection'!Y$5)+(SUMIFS('Updated Construction'!$F:$F,'Updated Construction'!$A:$A,TRUE,'Updated Construction'!$G:$G,'Cashflow Projection'!$A57,'Updated Construction'!$E:$E,"&lt;="&amp;'Cashflow Projection'!AA$5,'Updated Construction'!$E:$E,"&gt;"&amp;'Cashflow Projection'!Y$5)*$B57))*1.15</f>
        <v>0</v>
      </c>
      <c r="AB57" s="23"/>
      <c r="AC57" s="23">
        <f>-(SUMIFS('Updated Construction'!$F:$F,'Updated Construction'!$A:$A,FALSE,'Updated Construction'!$G:$G,'Cashflow Projection'!$A57,'Updated Construction'!$E:$E,"&lt;="&amp;'Cashflow Projection'!AC$5,'Updated Construction'!$E:$E,"&gt;"&amp;'Cashflow Projection'!AA$5)+(SUMIFS('Updated Construction'!$F:$F,'Updated Construction'!$A:$A,TRUE,'Updated Construction'!$G:$G,'Cashflow Projection'!$A57,'Updated Construction'!$E:$E,"&lt;="&amp;'Cashflow Projection'!AC$5,'Updated Construction'!$E:$E,"&gt;"&amp;'Cashflow Projection'!AA$5)*$B57))*1.15</f>
        <v>0</v>
      </c>
      <c r="AD57" s="23"/>
      <c r="AE57" s="23">
        <f>-(SUMIFS('Updated Construction'!$F:$F,'Updated Construction'!$A:$A,FALSE,'Updated Construction'!$G:$G,'Cashflow Projection'!$A57,'Updated Construction'!$E:$E,"&lt;="&amp;'Cashflow Projection'!AE$5,'Updated Construction'!$E:$E,"&gt;"&amp;'Cashflow Projection'!AC$5)+(SUMIFS('Updated Construction'!$F:$F,'Updated Construction'!$A:$A,TRUE,'Updated Construction'!$G:$G,'Cashflow Projection'!$A57,'Updated Construction'!$E:$E,"&lt;="&amp;'Cashflow Projection'!AE$5,'Updated Construction'!$E:$E,"&gt;"&amp;'Cashflow Projection'!AC$5)*$B57))*1.15</f>
        <v>0</v>
      </c>
      <c r="AF57" s="42"/>
    </row>
    <row r="58" spans="1:32" ht="29" x14ac:dyDescent="0.35">
      <c r="A58" s="43" t="s">
        <v>750</v>
      </c>
      <c r="B58" s="44">
        <v>0</v>
      </c>
      <c r="C58" s="41">
        <f>24*B58</f>
        <v>0</v>
      </c>
      <c r="D58" s="23">
        <f t="shared" si="4"/>
        <v>-1284841.6284999999</v>
      </c>
      <c r="I58" s="23">
        <f>-(SUMIFS('Updated Construction'!$F:$F,'Updated Construction'!$A:$A,FALSE,'Updated Construction'!$G:$G,'Cashflow Projection'!$A58,'Updated Construction'!$E:$E,"&lt;="&amp;'Cashflow Projection'!I$5,'Updated Construction'!$E:$E,"&gt;"&amp;'Cashflow Projection'!$B$2)+(SUMIFS('Updated Construction'!$F:$F,'Updated Construction'!$A:$A,TRUE,'Updated Construction'!$G:$G,'Cashflow Projection'!$A58,'Updated Construction'!$E:$E,"&lt;="&amp;'Cashflow Projection'!I$5,'Updated Construction'!$E:$E,"&gt;"&amp;'Cashflow Projection'!$B$2)*$B58))*1.15</f>
        <v>-726121.8679999999</v>
      </c>
      <c r="J58" s="23"/>
      <c r="K58" s="23">
        <f>-(SUMIFS('Updated Construction'!$F:$F,'Updated Construction'!$A:$A,FALSE,'Updated Construction'!$G:$G,'Cashflow Projection'!$A58,'Updated Construction'!$E:$E,"&lt;="&amp;'Cashflow Projection'!K$5,'Updated Construction'!$E:$E,"&gt;"&amp;'Cashflow Projection'!I$5)+(SUMIFS('Updated Construction'!$F:$F,'Updated Construction'!$A:$A,TRUE,'Updated Construction'!$G:$G,'Cashflow Projection'!$A58,'Updated Construction'!$E:$E,"&lt;="&amp;'Cashflow Projection'!K$5,'Updated Construction'!$E:$E,"&gt;"&amp;'Cashflow Projection'!I$5)*$B58))*1.15</f>
        <v>-282967.8615</v>
      </c>
      <c r="L58" s="23"/>
      <c r="M58" s="23">
        <f>-(SUMIFS('Updated Construction'!$F:$F,'Updated Construction'!$A:$A,FALSE,'Updated Construction'!$G:$G,'Cashflow Projection'!$A58,'Updated Construction'!$E:$E,"&lt;="&amp;'Cashflow Projection'!M$5,'Updated Construction'!$E:$E,"&gt;"&amp;'Cashflow Projection'!K$5)+(SUMIFS('Updated Construction'!$F:$F,'Updated Construction'!$A:$A,TRUE,'Updated Construction'!$G:$G,'Cashflow Projection'!$A58,'Updated Construction'!$E:$E,"&lt;="&amp;'Cashflow Projection'!M$5,'Updated Construction'!$E:$E,"&gt;"&amp;'Cashflow Projection'!K$5)*$B58))*1.15</f>
        <v>0</v>
      </c>
      <c r="N58" s="23"/>
      <c r="O58" s="23">
        <f>-(SUMIFS('Updated Construction'!$F:$F,'Updated Construction'!$A:$A,FALSE,'Updated Construction'!$G:$G,'Cashflow Projection'!$A58,'Updated Construction'!$E:$E,"&lt;="&amp;'Cashflow Projection'!O$5,'Updated Construction'!$E:$E,"&gt;"&amp;'Cashflow Projection'!M$5)+(SUMIFS('Updated Construction'!$F:$F,'Updated Construction'!$A:$A,TRUE,'Updated Construction'!$G:$G,'Cashflow Projection'!$A58,'Updated Construction'!$E:$E,"&lt;="&amp;'Cashflow Projection'!O$5,'Updated Construction'!$E:$E,"&gt;"&amp;'Cashflow Projection'!M$5)*$B58))*1.15</f>
        <v>0</v>
      </c>
      <c r="P58" s="23"/>
      <c r="Q58" s="23">
        <f>-(SUMIFS('Updated Construction'!$F:$F,'Updated Construction'!$A:$A,FALSE,'Updated Construction'!$G:$G,'Cashflow Projection'!$A58,'Updated Construction'!$E:$E,"&lt;="&amp;'Cashflow Projection'!Q$5,'Updated Construction'!$E:$E,"&gt;"&amp;'Cashflow Projection'!O$5)+(SUMIFS('Updated Construction'!$F:$F,'Updated Construction'!$A:$A,TRUE,'Updated Construction'!$G:$G,'Cashflow Projection'!$A58,'Updated Construction'!$E:$E,"&lt;="&amp;'Cashflow Projection'!Q$5,'Updated Construction'!$E:$E,"&gt;"&amp;'Cashflow Projection'!O$5)*$B58))*1.15</f>
        <v>-275751.89899999998</v>
      </c>
      <c r="R58" s="23"/>
      <c r="S58" s="23">
        <f>-(SUMIFS('Updated Construction'!$F:$F,'Updated Construction'!$A:$A,FALSE,'Updated Construction'!$G:$G,'Cashflow Projection'!$A58,'Updated Construction'!$E:$E,"&lt;="&amp;'Cashflow Projection'!S$5,'Updated Construction'!$E:$E,"&gt;"&amp;'Cashflow Projection'!Q$5)+(SUMIFS('Updated Construction'!$F:$F,'Updated Construction'!$A:$A,TRUE,'Updated Construction'!$G:$G,'Cashflow Projection'!$A58,'Updated Construction'!$E:$E,"&lt;="&amp;'Cashflow Projection'!S$5,'Updated Construction'!$E:$E,"&gt;"&amp;'Cashflow Projection'!Q$5)*$B58))*1.15</f>
        <v>0</v>
      </c>
      <c r="T58" s="23"/>
      <c r="U58" s="23">
        <f>-(SUMIFS('Updated Construction'!$F:$F,'Updated Construction'!$A:$A,FALSE,'Updated Construction'!$G:$G,'Cashflow Projection'!$A58,'Updated Construction'!$E:$E,"&lt;="&amp;'Cashflow Projection'!U$5,'Updated Construction'!$E:$E,"&gt;"&amp;'Cashflow Projection'!S$5)+(SUMIFS('Updated Construction'!$F:$F,'Updated Construction'!$A:$A,TRUE,'Updated Construction'!$G:$G,'Cashflow Projection'!$A58,'Updated Construction'!$E:$E,"&lt;="&amp;'Cashflow Projection'!U$5,'Updated Construction'!$E:$E,"&gt;"&amp;'Cashflow Projection'!S$5)*$B58))*1.15</f>
        <v>0</v>
      </c>
      <c r="V58" s="23"/>
      <c r="W58" s="23">
        <f>-(SUMIFS('Updated Construction'!$F:$F,'Updated Construction'!$A:$A,FALSE,'Updated Construction'!$G:$G,'Cashflow Projection'!$A58,'Updated Construction'!$E:$E,"&lt;="&amp;'Cashflow Projection'!W$5,'Updated Construction'!$E:$E,"&gt;"&amp;'Cashflow Projection'!U$5)+(SUMIFS('Updated Construction'!$F:$F,'Updated Construction'!$A:$A,TRUE,'Updated Construction'!$G:$G,'Cashflow Projection'!$A58,'Updated Construction'!$E:$E,"&lt;="&amp;'Cashflow Projection'!W$5,'Updated Construction'!$E:$E,"&gt;"&amp;'Cashflow Projection'!U$5)*$B58))*1.15</f>
        <v>0</v>
      </c>
      <c r="X58" s="23"/>
      <c r="Y58" s="23">
        <f>-(SUMIFS('Updated Construction'!$F:$F,'Updated Construction'!$A:$A,FALSE,'Updated Construction'!$G:$G,'Cashflow Projection'!$A58,'Updated Construction'!$E:$E,"&lt;="&amp;'Cashflow Projection'!Y$5,'Updated Construction'!$E:$E,"&gt;"&amp;'Cashflow Projection'!W$5)+(SUMIFS('Updated Construction'!$F:$F,'Updated Construction'!$A:$A,TRUE,'Updated Construction'!$G:$G,'Cashflow Projection'!$A58,'Updated Construction'!$E:$E,"&lt;="&amp;'Cashflow Projection'!Y$5,'Updated Construction'!$E:$E,"&gt;"&amp;'Cashflow Projection'!W$5)*$B58))*1.15</f>
        <v>0</v>
      </c>
      <c r="Z58" s="23"/>
      <c r="AA58" s="23">
        <f>-(SUMIFS('Updated Construction'!$F:$F,'Updated Construction'!$A:$A,FALSE,'Updated Construction'!$G:$G,'Cashflow Projection'!$A58,'Updated Construction'!$E:$E,"&lt;="&amp;'Cashflow Projection'!AA$5,'Updated Construction'!$E:$E,"&gt;"&amp;'Cashflow Projection'!Y$5)+(SUMIFS('Updated Construction'!$F:$F,'Updated Construction'!$A:$A,TRUE,'Updated Construction'!$G:$G,'Cashflow Projection'!$A58,'Updated Construction'!$E:$E,"&lt;="&amp;'Cashflow Projection'!AA$5,'Updated Construction'!$E:$E,"&gt;"&amp;'Cashflow Projection'!Y$5)*$B58))*1.15</f>
        <v>0</v>
      </c>
      <c r="AB58" s="23"/>
      <c r="AC58" s="23">
        <f>-(SUMIFS('Updated Construction'!$F:$F,'Updated Construction'!$A:$A,FALSE,'Updated Construction'!$G:$G,'Cashflow Projection'!$A58,'Updated Construction'!$E:$E,"&lt;="&amp;'Cashflow Projection'!AC$5,'Updated Construction'!$E:$E,"&gt;"&amp;'Cashflow Projection'!AA$5)+(SUMIFS('Updated Construction'!$F:$F,'Updated Construction'!$A:$A,TRUE,'Updated Construction'!$G:$G,'Cashflow Projection'!$A58,'Updated Construction'!$E:$E,"&lt;="&amp;'Cashflow Projection'!AC$5,'Updated Construction'!$E:$E,"&gt;"&amp;'Cashflow Projection'!AA$5)*$B58))*1.15</f>
        <v>0</v>
      </c>
      <c r="AD58" s="23"/>
      <c r="AE58" s="23">
        <f>-(SUMIFS('Updated Construction'!$F:$F,'Updated Construction'!$A:$A,FALSE,'Updated Construction'!$G:$G,'Cashflow Projection'!$A58,'Updated Construction'!$E:$E,"&lt;="&amp;'Cashflow Projection'!AE$5,'Updated Construction'!$E:$E,"&gt;"&amp;'Cashflow Projection'!AC$5)+(SUMIFS('Updated Construction'!$F:$F,'Updated Construction'!$A:$A,TRUE,'Updated Construction'!$G:$G,'Cashflow Projection'!$A58,'Updated Construction'!$E:$E,"&lt;="&amp;'Cashflow Projection'!AE$5,'Updated Construction'!$E:$E,"&gt;"&amp;'Cashflow Projection'!AC$5)*$B58))*1.15</f>
        <v>0</v>
      </c>
      <c r="AF58" s="42"/>
    </row>
    <row r="59" spans="1:32" ht="29" x14ac:dyDescent="0.35">
      <c r="A59" s="43" t="s">
        <v>790</v>
      </c>
      <c r="B59" s="44">
        <v>0</v>
      </c>
      <c r="C59" s="41">
        <f>8*B59</f>
        <v>0</v>
      </c>
      <c r="D59" s="23">
        <f t="shared" si="4"/>
        <v>-166569.89850000001</v>
      </c>
      <c r="I59" s="23">
        <f>-(SUMIFS('Updated Construction'!$F:$F,'Updated Construction'!$A:$A,FALSE,'Updated Construction'!$G:$G,'Cashflow Projection'!$A59,'Updated Construction'!$E:$E,"&lt;="&amp;'Cashflow Projection'!I$5,'Updated Construction'!$E:$E,"&gt;"&amp;'Cashflow Projection'!$B$2)+(SUMIFS('Updated Construction'!$F:$F,'Updated Construction'!$A:$A,TRUE,'Updated Construction'!$G:$G,'Cashflow Projection'!$A59,'Updated Construction'!$E:$E,"&lt;="&amp;'Cashflow Projection'!I$5,'Updated Construction'!$E:$E,"&gt;"&amp;'Cashflow Projection'!$B$2)*$B59))*1.15</f>
        <v>-41808.583500000001</v>
      </c>
      <c r="J59" s="23"/>
      <c r="K59" s="23">
        <f>-(SUMIFS('Updated Construction'!$F:$F,'Updated Construction'!$A:$A,FALSE,'Updated Construction'!$G:$G,'Cashflow Projection'!$A59,'Updated Construction'!$E:$E,"&lt;="&amp;'Cashflow Projection'!K$5,'Updated Construction'!$E:$E,"&gt;"&amp;'Cashflow Projection'!I$5)+(SUMIFS('Updated Construction'!$F:$F,'Updated Construction'!$A:$A,TRUE,'Updated Construction'!$G:$G,'Cashflow Projection'!$A59,'Updated Construction'!$E:$E,"&lt;="&amp;'Cashflow Projection'!K$5,'Updated Construction'!$E:$E,"&gt;"&amp;'Cashflow Projection'!I$5)*$B59))*1.15</f>
        <v>-18808.583500000001</v>
      </c>
      <c r="L59" s="23"/>
      <c r="M59" s="23">
        <f>-(SUMIFS('Updated Construction'!$F:$F,'Updated Construction'!$A:$A,FALSE,'Updated Construction'!$G:$G,'Cashflow Projection'!$A59,'Updated Construction'!$E:$E,"&lt;="&amp;'Cashflow Projection'!M$5,'Updated Construction'!$E:$E,"&gt;"&amp;'Cashflow Projection'!K$5)+(SUMIFS('Updated Construction'!$F:$F,'Updated Construction'!$A:$A,TRUE,'Updated Construction'!$G:$G,'Cashflow Projection'!$A59,'Updated Construction'!$E:$E,"&lt;="&amp;'Cashflow Projection'!M$5,'Updated Construction'!$E:$E,"&gt;"&amp;'Cashflow Projection'!K$5)*$B59))*1.15</f>
        <v>0</v>
      </c>
      <c r="N59" s="23"/>
      <c r="O59" s="23">
        <f>-(SUMIFS('Updated Construction'!$F:$F,'Updated Construction'!$A:$A,FALSE,'Updated Construction'!$G:$G,'Cashflow Projection'!$A59,'Updated Construction'!$E:$E,"&lt;="&amp;'Cashflow Projection'!O$5,'Updated Construction'!$E:$E,"&gt;"&amp;'Cashflow Projection'!M$5)+(SUMIFS('Updated Construction'!$F:$F,'Updated Construction'!$A:$A,TRUE,'Updated Construction'!$G:$G,'Cashflow Projection'!$A59,'Updated Construction'!$E:$E,"&lt;="&amp;'Cashflow Projection'!O$5,'Updated Construction'!$E:$E,"&gt;"&amp;'Cashflow Projection'!M$5)*$B59))*1.15</f>
        <v>0</v>
      </c>
      <c r="P59" s="23"/>
      <c r="Q59" s="23">
        <f>-(SUMIFS('Updated Construction'!$F:$F,'Updated Construction'!$A:$A,FALSE,'Updated Construction'!$G:$G,'Cashflow Projection'!$A59,'Updated Construction'!$E:$E,"&lt;="&amp;'Cashflow Projection'!Q$5,'Updated Construction'!$E:$E,"&gt;"&amp;'Cashflow Projection'!O$5)+(SUMIFS('Updated Construction'!$F:$F,'Updated Construction'!$A:$A,TRUE,'Updated Construction'!$G:$G,'Cashflow Projection'!$A59,'Updated Construction'!$E:$E,"&lt;="&amp;'Cashflow Projection'!Q$5,'Updated Construction'!$E:$E,"&gt;"&amp;'Cashflow Projection'!O$5)*$B59))*1.15</f>
        <v>-105952.73149999999</v>
      </c>
      <c r="R59" s="23"/>
      <c r="S59" s="23">
        <f>-(SUMIFS('Updated Construction'!$F:$F,'Updated Construction'!$A:$A,FALSE,'Updated Construction'!$G:$G,'Cashflow Projection'!$A59,'Updated Construction'!$E:$E,"&lt;="&amp;'Cashflow Projection'!S$5,'Updated Construction'!$E:$E,"&gt;"&amp;'Cashflow Projection'!Q$5)+(SUMIFS('Updated Construction'!$F:$F,'Updated Construction'!$A:$A,TRUE,'Updated Construction'!$G:$G,'Cashflow Projection'!$A59,'Updated Construction'!$E:$E,"&lt;="&amp;'Cashflow Projection'!S$5,'Updated Construction'!$E:$E,"&gt;"&amp;'Cashflow Projection'!Q$5)*$B59))*1.15</f>
        <v>0</v>
      </c>
      <c r="T59" s="23"/>
      <c r="U59" s="23">
        <f>-(SUMIFS('Updated Construction'!$F:$F,'Updated Construction'!$A:$A,FALSE,'Updated Construction'!$G:$G,'Cashflow Projection'!$A59,'Updated Construction'!$E:$E,"&lt;="&amp;'Cashflow Projection'!U$5,'Updated Construction'!$E:$E,"&gt;"&amp;'Cashflow Projection'!S$5)+(SUMIFS('Updated Construction'!$F:$F,'Updated Construction'!$A:$A,TRUE,'Updated Construction'!$G:$G,'Cashflow Projection'!$A59,'Updated Construction'!$E:$E,"&lt;="&amp;'Cashflow Projection'!U$5,'Updated Construction'!$E:$E,"&gt;"&amp;'Cashflow Projection'!S$5)*$B59))*1.15</f>
        <v>0</v>
      </c>
      <c r="V59" s="23"/>
      <c r="W59" s="23">
        <f>-(SUMIFS('Updated Construction'!$F:$F,'Updated Construction'!$A:$A,FALSE,'Updated Construction'!$G:$G,'Cashflow Projection'!$A59,'Updated Construction'!$E:$E,"&lt;="&amp;'Cashflow Projection'!W$5,'Updated Construction'!$E:$E,"&gt;"&amp;'Cashflow Projection'!U$5)+(SUMIFS('Updated Construction'!$F:$F,'Updated Construction'!$A:$A,TRUE,'Updated Construction'!$G:$G,'Cashflow Projection'!$A59,'Updated Construction'!$E:$E,"&lt;="&amp;'Cashflow Projection'!W$5,'Updated Construction'!$E:$E,"&gt;"&amp;'Cashflow Projection'!U$5)*$B59))*1.15</f>
        <v>0</v>
      </c>
      <c r="X59" s="23"/>
      <c r="Y59" s="23">
        <f>-(SUMIFS('Updated Construction'!$F:$F,'Updated Construction'!$A:$A,FALSE,'Updated Construction'!$G:$G,'Cashflow Projection'!$A59,'Updated Construction'!$E:$E,"&lt;="&amp;'Cashflow Projection'!Y$5,'Updated Construction'!$E:$E,"&gt;"&amp;'Cashflow Projection'!W$5)+(SUMIFS('Updated Construction'!$F:$F,'Updated Construction'!$A:$A,TRUE,'Updated Construction'!$G:$G,'Cashflow Projection'!$A59,'Updated Construction'!$E:$E,"&lt;="&amp;'Cashflow Projection'!Y$5,'Updated Construction'!$E:$E,"&gt;"&amp;'Cashflow Projection'!W$5)*$B59))*1.15</f>
        <v>0</v>
      </c>
      <c r="Z59" s="23"/>
      <c r="AA59" s="23">
        <f>-(SUMIFS('Updated Construction'!$F:$F,'Updated Construction'!$A:$A,FALSE,'Updated Construction'!$G:$G,'Cashflow Projection'!$A59,'Updated Construction'!$E:$E,"&lt;="&amp;'Cashflow Projection'!AA$5,'Updated Construction'!$E:$E,"&gt;"&amp;'Cashflow Projection'!Y$5)+(SUMIFS('Updated Construction'!$F:$F,'Updated Construction'!$A:$A,TRUE,'Updated Construction'!$G:$G,'Cashflow Projection'!$A59,'Updated Construction'!$E:$E,"&lt;="&amp;'Cashflow Projection'!AA$5,'Updated Construction'!$E:$E,"&gt;"&amp;'Cashflow Projection'!Y$5)*$B59))*1.15</f>
        <v>0</v>
      </c>
      <c r="AB59" s="23"/>
      <c r="AC59" s="23">
        <f>-(SUMIFS('Updated Construction'!$F:$F,'Updated Construction'!$A:$A,FALSE,'Updated Construction'!$G:$G,'Cashflow Projection'!$A59,'Updated Construction'!$E:$E,"&lt;="&amp;'Cashflow Projection'!AC$5,'Updated Construction'!$E:$E,"&gt;"&amp;'Cashflow Projection'!AA$5)+(SUMIFS('Updated Construction'!$F:$F,'Updated Construction'!$A:$A,TRUE,'Updated Construction'!$G:$G,'Cashflow Projection'!$A59,'Updated Construction'!$E:$E,"&lt;="&amp;'Cashflow Projection'!AC$5,'Updated Construction'!$E:$E,"&gt;"&amp;'Cashflow Projection'!AA$5)*$B59))*1.15</f>
        <v>0</v>
      </c>
      <c r="AD59" s="23"/>
      <c r="AE59" s="23">
        <f>-(SUMIFS('Updated Construction'!$F:$F,'Updated Construction'!$A:$A,FALSE,'Updated Construction'!$G:$G,'Cashflow Projection'!$A59,'Updated Construction'!$E:$E,"&lt;="&amp;'Cashflow Projection'!AE$5,'Updated Construction'!$E:$E,"&gt;"&amp;'Cashflow Projection'!AC$5)+(SUMIFS('Updated Construction'!$F:$F,'Updated Construction'!$A:$A,TRUE,'Updated Construction'!$G:$G,'Cashflow Projection'!$A59,'Updated Construction'!$E:$E,"&lt;="&amp;'Cashflow Projection'!AE$5,'Updated Construction'!$E:$E,"&gt;"&amp;'Cashflow Projection'!AC$5)*$B59))*1.15</f>
        <v>0</v>
      </c>
      <c r="AF59" s="42"/>
    </row>
    <row r="60" spans="1:32" ht="29" x14ac:dyDescent="0.35">
      <c r="A60" s="43" t="s">
        <v>811</v>
      </c>
      <c r="B60" s="44">
        <v>0</v>
      </c>
      <c r="C60" s="41">
        <f>8*B60</f>
        <v>0</v>
      </c>
      <c r="D60" s="23">
        <f t="shared" si="4"/>
        <v>-435161.35699999996</v>
      </c>
      <c r="I60" s="23">
        <f>-(SUMIFS('Updated Construction'!$F:$F,'Updated Construction'!$A:$A,FALSE,'Updated Construction'!$G:$G,'Cashflow Projection'!$A60,'Updated Construction'!$E:$E,"&lt;="&amp;'Cashflow Projection'!I$5,'Updated Construction'!$E:$E,"&gt;"&amp;'Cashflow Projection'!$B$2)+(SUMIFS('Updated Construction'!$F:$F,'Updated Construction'!$A:$A,TRUE,'Updated Construction'!$G:$G,'Cashflow Projection'!$A60,'Updated Construction'!$E:$E,"&lt;="&amp;'Cashflow Projection'!I$5,'Updated Construction'!$E:$E,"&gt;"&amp;'Cashflow Projection'!$B$2)*$B60))*1.15</f>
        <v>-339606.77599999995</v>
      </c>
      <c r="J60" s="23"/>
      <c r="K60" s="23">
        <f>-(SUMIFS('Updated Construction'!$F:$F,'Updated Construction'!$A:$A,FALSE,'Updated Construction'!$G:$G,'Cashflow Projection'!$A60,'Updated Construction'!$E:$E,"&lt;="&amp;'Cashflow Projection'!K$5,'Updated Construction'!$E:$E,"&gt;"&amp;'Cashflow Projection'!I$5)+(SUMIFS('Updated Construction'!$F:$F,'Updated Construction'!$A:$A,TRUE,'Updated Construction'!$G:$G,'Cashflow Projection'!$A60,'Updated Construction'!$E:$E,"&lt;="&amp;'Cashflow Projection'!K$5,'Updated Construction'!$E:$E,"&gt;"&amp;'Cashflow Projection'!I$5)*$B60))*1.15</f>
        <v>-50832.599000000002</v>
      </c>
      <c r="L60" s="23"/>
      <c r="M60" s="23">
        <f>-(SUMIFS('Updated Construction'!$F:$F,'Updated Construction'!$A:$A,FALSE,'Updated Construction'!$G:$G,'Cashflow Projection'!$A60,'Updated Construction'!$E:$E,"&lt;="&amp;'Cashflow Projection'!M$5,'Updated Construction'!$E:$E,"&gt;"&amp;'Cashflow Projection'!K$5)+(SUMIFS('Updated Construction'!$F:$F,'Updated Construction'!$A:$A,TRUE,'Updated Construction'!$G:$G,'Cashflow Projection'!$A60,'Updated Construction'!$E:$E,"&lt;="&amp;'Cashflow Projection'!M$5,'Updated Construction'!$E:$E,"&gt;"&amp;'Cashflow Projection'!K$5)*$B60))*1.15</f>
        <v>0</v>
      </c>
      <c r="N60" s="23"/>
      <c r="O60" s="23">
        <f>-(SUMIFS('Updated Construction'!$F:$F,'Updated Construction'!$A:$A,FALSE,'Updated Construction'!$G:$G,'Cashflow Projection'!$A60,'Updated Construction'!$E:$E,"&lt;="&amp;'Cashflow Projection'!O$5,'Updated Construction'!$E:$E,"&gt;"&amp;'Cashflow Projection'!M$5)+(SUMIFS('Updated Construction'!$F:$F,'Updated Construction'!$A:$A,TRUE,'Updated Construction'!$G:$G,'Cashflow Projection'!$A60,'Updated Construction'!$E:$E,"&lt;="&amp;'Cashflow Projection'!O$5,'Updated Construction'!$E:$E,"&gt;"&amp;'Cashflow Projection'!M$5)*$B60))*1.15</f>
        <v>-44721.981999999996</v>
      </c>
      <c r="P60" s="23"/>
      <c r="Q60" s="23">
        <f>-(SUMIFS('Updated Construction'!$F:$F,'Updated Construction'!$A:$A,FALSE,'Updated Construction'!$G:$G,'Cashflow Projection'!$A60,'Updated Construction'!$E:$E,"&lt;="&amp;'Cashflow Projection'!Q$5,'Updated Construction'!$E:$E,"&gt;"&amp;'Cashflow Projection'!O$5)+(SUMIFS('Updated Construction'!$F:$F,'Updated Construction'!$A:$A,TRUE,'Updated Construction'!$G:$G,'Cashflow Projection'!$A60,'Updated Construction'!$E:$E,"&lt;="&amp;'Cashflow Projection'!Q$5,'Updated Construction'!$E:$E,"&gt;"&amp;'Cashflow Projection'!O$5)*$B60))*1.15</f>
        <v>0</v>
      </c>
      <c r="R60" s="23"/>
      <c r="S60" s="23">
        <f>-(SUMIFS('Updated Construction'!$F:$F,'Updated Construction'!$A:$A,FALSE,'Updated Construction'!$G:$G,'Cashflow Projection'!$A60,'Updated Construction'!$E:$E,"&lt;="&amp;'Cashflow Projection'!S$5,'Updated Construction'!$E:$E,"&gt;"&amp;'Cashflow Projection'!Q$5)+(SUMIFS('Updated Construction'!$F:$F,'Updated Construction'!$A:$A,TRUE,'Updated Construction'!$G:$G,'Cashflow Projection'!$A60,'Updated Construction'!$E:$E,"&lt;="&amp;'Cashflow Projection'!S$5,'Updated Construction'!$E:$E,"&gt;"&amp;'Cashflow Projection'!Q$5)*$B60))*1.15</f>
        <v>0</v>
      </c>
      <c r="T60" s="23"/>
      <c r="U60" s="23">
        <f>-(SUMIFS('Updated Construction'!$F:$F,'Updated Construction'!$A:$A,FALSE,'Updated Construction'!$G:$G,'Cashflow Projection'!$A60,'Updated Construction'!$E:$E,"&lt;="&amp;'Cashflow Projection'!U$5,'Updated Construction'!$E:$E,"&gt;"&amp;'Cashflow Projection'!S$5)+(SUMIFS('Updated Construction'!$F:$F,'Updated Construction'!$A:$A,TRUE,'Updated Construction'!$G:$G,'Cashflow Projection'!$A60,'Updated Construction'!$E:$E,"&lt;="&amp;'Cashflow Projection'!U$5,'Updated Construction'!$E:$E,"&gt;"&amp;'Cashflow Projection'!S$5)*$B60))*1.15</f>
        <v>0</v>
      </c>
      <c r="V60" s="23"/>
      <c r="W60" s="23">
        <f>-(SUMIFS('Updated Construction'!$F:$F,'Updated Construction'!$A:$A,FALSE,'Updated Construction'!$G:$G,'Cashflow Projection'!$A60,'Updated Construction'!$E:$E,"&lt;="&amp;'Cashflow Projection'!W$5,'Updated Construction'!$E:$E,"&gt;"&amp;'Cashflow Projection'!U$5)+(SUMIFS('Updated Construction'!$F:$F,'Updated Construction'!$A:$A,TRUE,'Updated Construction'!$G:$G,'Cashflow Projection'!$A60,'Updated Construction'!$E:$E,"&lt;="&amp;'Cashflow Projection'!W$5,'Updated Construction'!$E:$E,"&gt;"&amp;'Cashflow Projection'!U$5)*$B60))*1.15</f>
        <v>0</v>
      </c>
      <c r="X60" s="23"/>
      <c r="Y60" s="23">
        <f>-(SUMIFS('Updated Construction'!$F:$F,'Updated Construction'!$A:$A,FALSE,'Updated Construction'!$G:$G,'Cashflow Projection'!$A60,'Updated Construction'!$E:$E,"&lt;="&amp;'Cashflow Projection'!Y$5,'Updated Construction'!$E:$E,"&gt;"&amp;'Cashflow Projection'!W$5)+(SUMIFS('Updated Construction'!$F:$F,'Updated Construction'!$A:$A,TRUE,'Updated Construction'!$G:$G,'Cashflow Projection'!$A60,'Updated Construction'!$E:$E,"&lt;="&amp;'Cashflow Projection'!Y$5,'Updated Construction'!$E:$E,"&gt;"&amp;'Cashflow Projection'!W$5)*$B60))*1.15</f>
        <v>0</v>
      </c>
      <c r="Z60" s="23"/>
      <c r="AA60" s="23">
        <f>-(SUMIFS('Updated Construction'!$F:$F,'Updated Construction'!$A:$A,FALSE,'Updated Construction'!$G:$G,'Cashflow Projection'!$A60,'Updated Construction'!$E:$E,"&lt;="&amp;'Cashflow Projection'!AA$5,'Updated Construction'!$E:$E,"&gt;"&amp;'Cashflow Projection'!Y$5)+(SUMIFS('Updated Construction'!$F:$F,'Updated Construction'!$A:$A,TRUE,'Updated Construction'!$G:$G,'Cashflow Projection'!$A60,'Updated Construction'!$E:$E,"&lt;="&amp;'Cashflow Projection'!AA$5,'Updated Construction'!$E:$E,"&gt;"&amp;'Cashflow Projection'!Y$5)*$B60))*1.15</f>
        <v>0</v>
      </c>
      <c r="AB60" s="23"/>
      <c r="AC60" s="23">
        <f>-(SUMIFS('Updated Construction'!$F:$F,'Updated Construction'!$A:$A,FALSE,'Updated Construction'!$G:$G,'Cashflow Projection'!$A60,'Updated Construction'!$E:$E,"&lt;="&amp;'Cashflow Projection'!AC$5,'Updated Construction'!$E:$E,"&gt;"&amp;'Cashflow Projection'!AA$5)+(SUMIFS('Updated Construction'!$F:$F,'Updated Construction'!$A:$A,TRUE,'Updated Construction'!$G:$G,'Cashflow Projection'!$A60,'Updated Construction'!$E:$E,"&lt;="&amp;'Cashflow Projection'!AC$5,'Updated Construction'!$E:$E,"&gt;"&amp;'Cashflow Projection'!AA$5)*$B60))*1.15</f>
        <v>0</v>
      </c>
      <c r="AD60" s="23"/>
      <c r="AE60" s="23">
        <f>-(SUMIFS('Updated Construction'!$F:$F,'Updated Construction'!$A:$A,FALSE,'Updated Construction'!$G:$G,'Cashflow Projection'!$A60,'Updated Construction'!$E:$E,"&lt;="&amp;'Cashflow Projection'!AE$5,'Updated Construction'!$E:$E,"&gt;"&amp;'Cashflow Projection'!AC$5)+(SUMIFS('Updated Construction'!$F:$F,'Updated Construction'!$A:$A,TRUE,'Updated Construction'!$G:$G,'Cashflow Projection'!$A60,'Updated Construction'!$E:$E,"&lt;="&amp;'Cashflow Projection'!AE$5,'Updated Construction'!$E:$E,"&gt;"&amp;'Cashflow Projection'!AC$5)*$B60))*1.15</f>
        <v>0</v>
      </c>
      <c r="AF60" s="42"/>
    </row>
    <row r="61" spans="1:32" ht="29" x14ac:dyDescent="0.35">
      <c r="A61" s="39" t="s">
        <v>822</v>
      </c>
      <c r="B61" s="40">
        <v>1</v>
      </c>
      <c r="C61" s="41"/>
      <c r="D61" s="23">
        <f t="shared" si="4"/>
        <v>-10238.576499999999</v>
      </c>
      <c r="I61" s="23">
        <f>-(SUMIFS('Updated Construction'!$F:$F,'Updated Construction'!$A:$A,FALSE,'Updated Construction'!$G:$G,'Cashflow Projection'!$A61,'Updated Construction'!$E:$E,"&lt;="&amp;'Cashflow Projection'!I$5,'Updated Construction'!$E:$E,"&gt;"&amp;'Cashflow Projection'!$B$2)+(SUMIFS('Updated Construction'!$F:$F,'Updated Construction'!$A:$A,TRUE,'Updated Construction'!$G:$G,'Cashflow Projection'!$A61,'Updated Construction'!$E:$E,"&lt;="&amp;'Cashflow Projection'!I$5,'Updated Construction'!$E:$E,"&gt;"&amp;'Cashflow Projection'!$B$2)*$B61))*1.15</f>
        <v>-10238.576499999999</v>
      </c>
      <c r="J61" s="23"/>
      <c r="K61" s="23">
        <f>-(SUMIFS('Updated Construction'!$F:$F,'Updated Construction'!$A:$A,FALSE,'Updated Construction'!$G:$G,'Cashflow Projection'!$A61,'Updated Construction'!$E:$E,"&lt;="&amp;'Cashflow Projection'!K$5,'Updated Construction'!$E:$E,"&gt;"&amp;'Cashflow Projection'!I$5)+(SUMIFS('Updated Construction'!$F:$F,'Updated Construction'!$A:$A,TRUE,'Updated Construction'!$G:$G,'Cashflow Projection'!$A61,'Updated Construction'!$E:$E,"&lt;="&amp;'Cashflow Projection'!K$5,'Updated Construction'!$E:$E,"&gt;"&amp;'Cashflow Projection'!I$5)*$B61))*1.15</f>
        <v>0</v>
      </c>
      <c r="L61" s="23"/>
      <c r="M61" s="23">
        <f>-(SUMIFS('Updated Construction'!$F:$F,'Updated Construction'!$A:$A,FALSE,'Updated Construction'!$G:$G,'Cashflow Projection'!$A61,'Updated Construction'!$E:$E,"&lt;="&amp;'Cashflow Projection'!M$5,'Updated Construction'!$E:$E,"&gt;"&amp;'Cashflow Projection'!K$5)+(SUMIFS('Updated Construction'!$F:$F,'Updated Construction'!$A:$A,TRUE,'Updated Construction'!$G:$G,'Cashflow Projection'!$A61,'Updated Construction'!$E:$E,"&lt;="&amp;'Cashflow Projection'!M$5,'Updated Construction'!$E:$E,"&gt;"&amp;'Cashflow Projection'!K$5)*$B61))*1.15</f>
        <v>0</v>
      </c>
      <c r="N61" s="23"/>
      <c r="O61" s="23">
        <f>-(SUMIFS('Updated Construction'!$F:$F,'Updated Construction'!$A:$A,FALSE,'Updated Construction'!$G:$G,'Cashflow Projection'!$A61,'Updated Construction'!$E:$E,"&lt;="&amp;'Cashflow Projection'!O$5,'Updated Construction'!$E:$E,"&gt;"&amp;'Cashflow Projection'!M$5)+(SUMIFS('Updated Construction'!$F:$F,'Updated Construction'!$A:$A,TRUE,'Updated Construction'!$G:$G,'Cashflow Projection'!$A61,'Updated Construction'!$E:$E,"&lt;="&amp;'Cashflow Projection'!O$5,'Updated Construction'!$E:$E,"&gt;"&amp;'Cashflow Projection'!M$5)*$B61))*1.15</f>
        <v>0</v>
      </c>
      <c r="P61" s="23"/>
      <c r="Q61" s="23">
        <f>-(SUMIFS('Updated Construction'!$F:$F,'Updated Construction'!$A:$A,FALSE,'Updated Construction'!$G:$G,'Cashflow Projection'!$A61,'Updated Construction'!$E:$E,"&lt;="&amp;'Cashflow Projection'!Q$5,'Updated Construction'!$E:$E,"&gt;"&amp;'Cashflow Projection'!O$5)+(SUMIFS('Updated Construction'!$F:$F,'Updated Construction'!$A:$A,TRUE,'Updated Construction'!$G:$G,'Cashflow Projection'!$A61,'Updated Construction'!$E:$E,"&lt;="&amp;'Cashflow Projection'!Q$5,'Updated Construction'!$E:$E,"&gt;"&amp;'Cashflow Projection'!O$5)*$B61))*1.15</f>
        <v>0</v>
      </c>
      <c r="R61" s="23"/>
      <c r="S61" s="23">
        <f>-(SUMIFS('Updated Construction'!$F:$F,'Updated Construction'!$A:$A,FALSE,'Updated Construction'!$G:$G,'Cashflow Projection'!$A61,'Updated Construction'!$E:$E,"&lt;="&amp;'Cashflow Projection'!S$5,'Updated Construction'!$E:$E,"&gt;"&amp;'Cashflow Projection'!Q$5)+(SUMIFS('Updated Construction'!$F:$F,'Updated Construction'!$A:$A,TRUE,'Updated Construction'!$G:$G,'Cashflow Projection'!$A61,'Updated Construction'!$E:$E,"&lt;="&amp;'Cashflow Projection'!S$5,'Updated Construction'!$E:$E,"&gt;"&amp;'Cashflow Projection'!Q$5)*$B61))*1.15</f>
        <v>0</v>
      </c>
      <c r="T61" s="23"/>
      <c r="U61" s="23">
        <f>-(SUMIFS('Updated Construction'!$F:$F,'Updated Construction'!$A:$A,FALSE,'Updated Construction'!$G:$G,'Cashflow Projection'!$A61,'Updated Construction'!$E:$E,"&lt;="&amp;'Cashflow Projection'!U$5,'Updated Construction'!$E:$E,"&gt;"&amp;'Cashflow Projection'!S$5)+(SUMIFS('Updated Construction'!$F:$F,'Updated Construction'!$A:$A,TRUE,'Updated Construction'!$G:$G,'Cashflow Projection'!$A61,'Updated Construction'!$E:$E,"&lt;="&amp;'Cashflow Projection'!U$5,'Updated Construction'!$E:$E,"&gt;"&amp;'Cashflow Projection'!S$5)*$B61))*1.15</f>
        <v>0</v>
      </c>
      <c r="V61" s="23"/>
      <c r="W61" s="23">
        <f>-(SUMIFS('Updated Construction'!$F:$F,'Updated Construction'!$A:$A,FALSE,'Updated Construction'!$G:$G,'Cashflow Projection'!$A61,'Updated Construction'!$E:$E,"&lt;="&amp;'Cashflow Projection'!W$5,'Updated Construction'!$E:$E,"&gt;"&amp;'Cashflow Projection'!U$5)+(SUMIFS('Updated Construction'!$F:$F,'Updated Construction'!$A:$A,TRUE,'Updated Construction'!$G:$G,'Cashflow Projection'!$A61,'Updated Construction'!$E:$E,"&lt;="&amp;'Cashflow Projection'!W$5,'Updated Construction'!$E:$E,"&gt;"&amp;'Cashflow Projection'!U$5)*$B61))*1.15</f>
        <v>0</v>
      </c>
      <c r="X61" s="23"/>
      <c r="Y61" s="23">
        <f>-(SUMIFS('Updated Construction'!$F:$F,'Updated Construction'!$A:$A,FALSE,'Updated Construction'!$G:$G,'Cashflow Projection'!$A61,'Updated Construction'!$E:$E,"&lt;="&amp;'Cashflow Projection'!Y$5,'Updated Construction'!$E:$E,"&gt;"&amp;'Cashflow Projection'!W$5)+(SUMIFS('Updated Construction'!$F:$F,'Updated Construction'!$A:$A,TRUE,'Updated Construction'!$G:$G,'Cashflow Projection'!$A61,'Updated Construction'!$E:$E,"&lt;="&amp;'Cashflow Projection'!Y$5,'Updated Construction'!$E:$E,"&gt;"&amp;'Cashflow Projection'!W$5)*$B61))*1.15</f>
        <v>0</v>
      </c>
      <c r="Z61" s="23"/>
      <c r="AA61" s="23">
        <f>-(SUMIFS('Updated Construction'!$F:$F,'Updated Construction'!$A:$A,FALSE,'Updated Construction'!$G:$G,'Cashflow Projection'!$A61,'Updated Construction'!$E:$E,"&lt;="&amp;'Cashflow Projection'!AA$5,'Updated Construction'!$E:$E,"&gt;"&amp;'Cashflow Projection'!Y$5)+(SUMIFS('Updated Construction'!$F:$F,'Updated Construction'!$A:$A,TRUE,'Updated Construction'!$G:$G,'Cashflow Projection'!$A61,'Updated Construction'!$E:$E,"&lt;="&amp;'Cashflow Projection'!AA$5,'Updated Construction'!$E:$E,"&gt;"&amp;'Cashflow Projection'!Y$5)*$B61))*1.15</f>
        <v>0</v>
      </c>
      <c r="AB61" s="23"/>
      <c r="AC61" s="23">
        <f>-(SUMIFS('Updated Construction'!$F:$F,'Updated Construction'!$A:$A,FALSE,'Updated Construction'!$G:$G,'Cashflow Projection'!$A61,'Updated Construction'!$E:$E,"&lt;="&amp;'Cashflow Projection'!AC$5,'Updated Construction'!$E:$E,"&gt;"&amp;'Cashflow Projection'!AA$5)+(SUMIFS('Updated Construction'!$F:$F,'Updated Construction'!$A:$A,TRUE,'Updated Construction'!$G:$G,'Cashflow Projection'!$A61,'Updated Construction'!$E:$E,"&lt;="&amp;'Cashflow Projection'!AC$5,'Updated Construction'!$E:$E,"&gt;"&amp;'Cashflow Projection'!AA$5)*$B61))*1.15</f>
        <v>0</v>
      </c>
      <c r="AD61" s="23"/>
      <c r="AE61" s="23">
        <f>-(SUMIFS('Updated Construction'!$F:$F,'Updated Construction'!$A:$A,FALSE,'Updated Construction'!$G:$G,'Cashflow Projection'!$A61,'Updated Construction'!$E:$E,"&lt;="&amp;'Cashflow Projection'!AE$5,'Updated Construction'!$E:$E,"&gt;"&amp;'Cashflow Projection'!AC$5)+(SUMIFS('Updated Construction'!$F:$F,'Updated Construction'!$A:$A,TRUE,'Updated Construction'!$G:$G,'Cashflow Projection'!$A61,'Updated Construction'!$E:$E,"&lt;="&amp;'Cashflow Projection'!AE$5,'Updated Construction'!$E:$E,"&gt;"&amp;'Cashflow Projection'!AC$5)*$B61))*1.15</f>
        <v>0</v>
      </c>
      <c r="AF61" s="42"/>
    </row>
    <row r="62" spans="1:32" ht="29" x14ac:dyDescent="0.35">
      <c r="A62" s="43" t="s">
        <v>854</v>
      </c>
      <c r="B62" s="44">
        <v>0</v>
      </c>
      <c r="C62" s="41">
        <f>15*B62</f>
        <v>0</v>
      </c>
      <c r="D62" s="23">
        <f t="shared" si="4"/>
        <v>-537790.554</v>
      </c>
      <c r="I62" s="23">
        <f>-(SUMIFS('Updated Construction'!$F:$F,'Updated Construction'!$A:$A,FALSE,'Updated Construction'!$G:$G,'Cashflow Projection'!$A62,'Updated Construction'!$E:$E,"&lt;="&amp;'Cashflow Projection'!I$5,'Updated Construction'!$E:$E,"&gt;"&amp;'Cashflow Projection'!$B$2)+(SUMIFS('Updated Construction'!$F:$F,'Updated Construction'!$A:$A,TRUE,'Updated Construction'!$G:$G,'Cashflow Projection'!$A62,'Updated Construction'!$E:$E,"&lt;="&amp;'Cashflow Projection'!I$5,'Updated Construction'!$E:$E,"&gt;"&amp;'Cashflow Projection'!$B$2)*$B62))*1.15</f>
        <v>-412091.92</v>
      </c>
      <c r="J62" s="23"/>
      <c r="K62" s="23">
        <f>-(SUMIFS('Updated Construction'!$F:$F,'Updated Construction'!$A:$A,FALSE,'Updated Construction'!$G:$G,'Cashflow Projection'!$A62,'Updated Construction'!$E:$E,"&lt;="&amp;'Cashflow Projection'!K$5,'Updated Construction'!$E:$E,"&gt;"&amp;'Cashflow Projection'!I$5)+(SUMIFS('Updated Construction'!$F:$F,'Updated Construction'!$A:$A,TRUE,'Updated Construction'!$G:$G,'Cashflow Projection'!$A62,'Updated Construction'!$E:$E,"&lt;="&amp;'Cashflow Projection'!K$5,'Updated Construction'!$E:$E,"&gt;"&amp;'Cashflow Projection'!I$5)*$B62))*1.15</f>
        <v>0</v>
      </c>
      <c r="L62" s="23"/>
      <c r="M62" s="23">
        <f>-(SUMIFS('Updated Construction'!$F:$F,'Updated Construction'!$A:$A,FALSE,'Updated Construction'!$G:$G,'Cashflow Projection'!$A62,'Updated Construction'!$E:$E,"&lt;="&amp;'Cashflow Projection'!M$5,'Updated Construction'!$E:$E,"&gt;"&amp;'Cashflow Projection'!K$5)+(SUMIFS('Updated Construction'!$F:$F,'Updated Construction'!$A:$A,TRUE,'Updated Construction'!$G:$G,'Cashflow Projection'!$A62,'Updated Construction'!$E:$E,"&lt;="&amp;'Cashflow Projection'!M$5,'Updated Construction'!$E:$E,"&gt;"&amp;'Cashflow Projection'!K$5)*$B62))*1.15</f>
        <v>0</v>
      </c>
      <c r="N62" s="23"/>
      <c r="O62" s="23">
        <f>-(SUMIFS('Updated Construction'!$F:$F,'Updated Construction'!$A:$A,FALSE,'Updated Construction'!$G:$G,'Cashflow Projection'!$A62,'Updated Construction'!$E:$E,"&lt;="&amp;'Cashflow Projection'!O$5,'Updated Construction'!$E:$E,"&gt;"&amp;'Cashflow Projection'!M$5)+(SUMIFS('Updated Construction'!$F:$F,'Updated Construction'!$A:$A,TRUE,'Updated Construction'!$G:$G,'Cashflow Projection'!$A62,'Updated Construction'!$E:$E,"&lt;="&amp;'Cashflow Projection'!O$5,'Updated Construction'!$E:$E,"&gt;"&amp;'Cashflow Projection'!M$5)*$B62))*1.15</f>
        <v>-125698.63399999999</v>
      </c>
      <c r="P62" s="23"/>
      <c r="Q62" s="23">
        <f>-(SUMIFS('Updated Construction'!$F:$F,'Updated Construction'!$A:$A,FALSE,'Updated Construction'!$G:$G,'Cashflow Projection'!$A62,'Updated Construction'!$E:$E,"&lt;="&amp;'Cashflow Projection'!Q$5,'Updated Construction'!$E:$E,"&gt;"&amp;'Cashflow Projection'!O$5)+(SUMIFS('Updated Construction'!$F:$F,'Updated Construction'!$A:$A,TRUE,'Updated Construction'!$G:$G,'Cashflow Projection'!$A62,'Updated Construction'!$E:$E,"&lt;="&amp;'Cashflow Projection'!Q$5,'Updated Construction'!$E:$E,"&gt;"&amp;'Cashflow Projection'!O$5)*$B62))*1.15</f>
        <v>0</v>
      </c>
      <c r="R62" s="23"/>
      <c r="S62" s="23">
        <f>-(SUMIFS('Updated Construction'!$F:$F,'Updated Construction'!$A:$A,FALSE,'Updated Construction'!$G:$G,'Cashflow Projection'!$A62,'Updated Construction'!$E:$E,"&lt;="&amp;'Cashflow Projection'!S$5,'Updated Construction'!$E:$E,"&gt;"&amp;'Cashflow Projection'!Q$5)+(SUMIFS('Updated Construction'!$F:$F,'Updated Construction'!$A:$A,TRUE,'Updated Construction'!$G:$G,'Cashflow Projection'!$A62,'Updated Construction'!$E:$E,"&lt;="&amp;'Cashflow Projection'!S$5,'Updated Construction'!$E:$E,"&gt;"&amp;'Cashflow Projection'!Q$5)*$B62))*1.15</f>
        <v>0</v>
      </c>
      <c r="T62" s="23"/>
      <c r="U62" s="23">
        <f>-(SUMIFS('Updated Construction'!$F:$F,'Updated Construction'!$A:$A,FALSE,'Updated Construction'!$G:$G,'Cashflow Projection'!$A62,'Updated Construction'!$E:$E,"&lt;="&amp;'Cashflow Projection'!U$5,'Updated Construction'!$E:$E,"&gt;"&amp;'Cashflow Projection'!S$5)+(SUMIFS('Updated Construction'!$F:$F,'Updated Construction'!$A:$A,TRUE,'Updated Construction'!$G:$G,'Cashflow Projection'!$A62,'Updated Construction'!$E:$E,"&lt;="&amp;'Cashflow Projection'!U$5,'Updated Construction'!$E:$E,"&gt;"&amp;'Cashflow Projection'!S$5)*$B62))*1.15</f>
        <v>0</v>
      </c>
      <c r="V62" s="23"/>
      <c r="W62" s="23">
        <f>-(SUMIFS('Updated Construction'!$F:$F,'Updated Construction'!$A:$A,FALSE,'Updated Construction'!$G:$G,'Cashflow Projection'!$A62,'Updated Construction'!$E:$E,"&lt;="&amp;'Cashflow Projection'!W$5,'Updated Construction'!$E:$E,"&gt;"&amp;'Cashflow Projection'!U$5)+(SUMIFS('Updated Construction'!$F:$F,'Updated Construction'!$A:$A,TRUE,'Updated Construction'!$G:$G,'Cashflow Projection'!$A62,'Updated Construction'!$E:$E,"&lt;="&amp;'Cashflow Projection'!W$5,'Updated Construction'!$E:$E,"&gt;"&amp;'Cashflow Projection'!U$5)*$B62))*1.15</f>
        <v>0</v>
      </c>
      <c r="X62" s="23"/>
      <c r="Y62" s="23">
        <f>-(SUMIFS('Updated Construction'!$F:$F,'Updated Construction'!$A:$A,FALSE,'Updated Construction'!$G:$G,'Cashflow Projection'!$A62,'Updated Construction'!$E:$E,"&lt;="&amp;'Cashflow Projection'!Y$5,'Updated Construction'!$E:$E,"&gt;"&amp;'Cashflow Projection'!W$5)+(SUMIFS('Updated Construction'!$F:$F,'Updated Construction'!$A:$A,TRUE,'Updated Construction'!$G:$G,'Cashflow Projection'!$A62,'Updated Construction'!$E:$E,"&lt;="&amp;'Cashflow Projection'!Y$5,'Updated Construction'!$E:$E,"&gt;"&amp;'Cashflow Projection'!W$5)*$B62))*1.15</f>
        <v>0</v>
      </c>
      <c r="Z62" s="23"/>
      <c r="AA62" s="23">
        <f>-(SUMIFS('Updated Construction'!$F:$F,'Updated Construction'!$A:$A,FALSE,'Updated Construction'!$G:$G,'Cashflow Projection'!$A62,'Updated Construction'!$E:$E,"&lt;="&amp;'Cashflow Projection'!AA$5,'Updated Construction'!$E:$E,"&gt;"&amp;'Cashflow Projection'!Y$5)+(SUMIFS('Updated Construction'!$F:$F,'Updated Construction'!$A:$A,TRUE,'Updated Construction'!$G:$G,'Cashflow Projection'!$A62,'Updated Construction'!$E:$E,"&lt;="&amp;'Cashflow Projection'!AA$5,'Updated Construction'!$E:$E,"&gt;"&amp;'Cashflow Projection'!Y$5)*$B62))*1.15</f>
        <v>0</v>
      </c>
      <c r="AB62" s="23"/>
      <c r="AC62" s="23">
        <f>-(SUMIFS('Updated Construction'!$F:$F,'Updated Construction'!$A:$A,FALSE,'Updated Construction'!$G:$G,'Cashflow Projection'!$A62,'Updated Construction'!$E:$E,"&lt;="&amp;'Cashflow Projection'!AC$5,'Updated Construction'!$E:$E,"&gt;"&amp;'Cashflow Projection'!AA$5)+(SUMIFS('Updated Construction'!$F:$F,'Updated Construction'!$A:$A,TRUE,'Updated Construction'!$G:$G,'Cashflow Projection'!$A62,'Updated Construction'!$E:$E,"&lt;="&amp;'Cashflow Projection'!AC$5,'Updated Construction'!$E:$E,"&gt;"&amp;'Cashflow Projection'!AA$5)*$B62))*1.15</f>
        <v>0</v>
      </c>
      <c r="AD62" s="23"/>
      <c r="AE62" s="23">
        <f>-(SUMIFS('Updated Construction'!$F:$F,'Updated Construction'!$A:$A,FALSE,'Updated Construction'!$G:$G,'Cashflow Projection'!$A62,'Updated Construction'!$E:$E,"&lt;="&amp;'Cashflow Projection'!AE$5,'Updated Construction'!$E:$E,"&gt;"&amp;'Cashflow Projection'!AC$5)+(SUMIFS('Updated Construction'!$F:$F,'Updated Construction'!$A:$A,TRUE,'Updated Construction'!$G:$G,'Cashflow Projection'!$A62,'Updated Construction'!$E:$E,"&lt;="&amp;'Cashflow Projection'!AE$5,'Updated Construction'!$E:$E,"&gt;"&amp;'Cashflow Projection'!AC$5)*$B62))*1.15</f>
        <v>0</v>
      </c>
      <c r="AF62" s="42"/>
    </row>
    <row r="63" spans="1:32" ht="29" x14ac:dyDescent="0.2">
      <c r="A63" s="138" t="s">
        <v>1859</v>
      </c>
      <c r="B63" s="139"/>
      <c r="C63" s="41">
        <f>107-C49</f>
        <v>107</v>
      </c>
      <c r="AF63" s="14"/>
    </row>
    <row r="64" spans="1:32" x14ac:dyDescent="0.2">
      <c r="A64" s="13"/>
      <c r="AF64" s="14"/>
    </row>
    <row r="65" spans="1:32" x14ac:dyDescent="0.2">
      <c r="A65" s="13"/>
      <c r="AF65" s="14"/>
    </row>
    <row r="66" spans="1:32" ht="29" x14ac:dyDescent="0.35">
      <c r="A66" s="15" t="s">
        <v>1860</v>
      </c>
      <c r="C66" s="12">
        <v>1</v>
      </c>
      <c r="D66" s="23">
        <f>+I66+K66+M66+O66+Q66+S66+U66+W66+Y66+AA66+AC66+AE66</f>
        <v>1592729.4840000002</v>
      </c>
      <c r="I66" s="25">
        <f>SUMIFS('Updated Construction'!$F:$F,'Updated Construction'!$C:$C,1,'Updated Construction'!$H:$H,"&gt;"&amp;'Cashflow Projection'!$B$2,'Updated Construction'!$H:$H,"&lt;="&amp;'Cashflow Projection'!I$5)*0.15*$C66</f>
        <v>0</v>
      </c>
      <c r="K66" s="25">
        <f>SUMIFS('Updated Construction'!$F:$F,'Updated Construction'!$C:$C,1,'Updated Construction'!$H:$H,"&gt;"&amp;'Cashflow Projection'!I$5,'Updated Construction'!$H:$H,"&lt;="&amp;'Cashflow Projection'!K$5)*0.15*$C66</f>
        <v>1250938.3485000001</v>
      </c>
      <c r="M66" s="25">
        <f>SUMIFS('Updated Construction'!$F:$F,'Updated Construction'!$C:$C,1,'Updated Construction'!$H:$H,"&gt;"&amp;'Cashflow Projection'!K$5,'Updated Construction'!$H:$H,"&lt;="&amp;'Cashflow Projection'!M$5)*0.15*$C66</f>
        <v>0</v>
      </c>
      <c r="O66" s="25">
        <f>SUMIFS('Updated Construction'!$F:$F,'Updated Construction'!$C:$C,1,'Updated Construction'!$H:$H,"&gt;"&amp;'Cashflow Projection'!M$5,'Updated Construction'!$H:$H,"&lt;="&amp;'Cashflow Projection'!O$5)*0.15*$C66</f>
        <v>187698.65400000001</v>
      </c>
      <c r="Q66" s="25">
        <f>SUMIFS('Updated Construction'!$F:$F,'Updated Construction'!$C:$C,1,'Updated Construction'!$H:$H,"&gt;"&amp;'Cashflow Projection'!O$5,'Updated Construction'!$H:$H,"&lt;="&amp;'Cashflow Projection'!Q$5)*0.15*$C66</f>
        <v>0</v>
      </c>
      <c r="S66" s="25">
        <f>SUMIFS('Updated Construction'!$F:$F,'Updated Construction'!$C:$C,1,'Updated Construction'!$H:$H,"&gt;"&amp;'Cashflow Projection'!Q$5,'Updated Construction'!$H:$H,"&lt;="&amp;'Cashflow Projection'!S$5)*0.15*$C66</f>
        <v>137675.46750000003</v>
      </c>
      <c r="U66" s="25">
        <f>SUMIFS('Updated Construction'!$F:$F,'Updated Construction'!$C:$C,1,'Updated Construction'!$H:$H,"&gt;"&amp;'Cashflow Projection'!S$5,'Updated Construction'!$H:$H,"&lt;="&amp;'Cashflow Projection'!U$5)*0.15*$C66</f>
        <v>0</v>
      </c>
      <c r="W66" s="25">
        <f>SUMIFS('Updated Construction'!$F:$F,'Updated Construction'!$C:$C,1,'Updated Construction'!$H:$H,"&gt;"&amp;'Cashflow Projection'!U$5,'Updated Construction'!$H:$H,"&lt;="&amp;'Cashflow Projection'!W$5)*0.15*$C66</f>
        <v>16417.013999999999</v>
      </c>
      <c r="Y66" s="25">
        <f>SUMIFS('Updated Construction'!$F:$F,'Updated Construction'!$C:$C,1,'Updated Construction'!$H:$H,"&gt;"&amp;'Cashflow Projection'!W$5,'Updated Construction'!$H:$H,"&lt;="&amp;'Cashflow Projection'!Y$5)*0.15*$C66</f>
        <v>0</v>
      </c>
      <c r="AA66" s="25">
        <f>SUMIFS('Updated Construction'!$F:$F,'Updated Construction'!$C:$C,1,'Updated Construction'!$H:$H,"&gt;"&amp;'Cashflow Projection'!Y$5,'Updated Construction'!$H:$H,"&lt;="&amp;'Cashflow Projection'!AA$5)*0.15*$C66</f>
        <v>0</v>
      </c>
      <c r="AC66" s="25">
        <f>SUMIFS('Updated Construction'!$F:$F,'Updated Construction'!$C:$C,1,'Updated Construction'!$H:$H,"&gt;"&amp;'Cashflow Projection'!AA$5,'Updated Construction'!$H:$H,"&lt;="&amp;'Cashflow Projection'!AC$5)*0.15*$C66</f>
        <v>0</v>
      </c>
      <c r="AE66" s="25">
        <f>SUMIFS('Updated Construction'!$F:$F,'Updated Construction'!$C:$C,1,'Updated Construction'!$H:$H,"&gt;"&amp;'Cashflow Projection'!AC$5,'Updated Construction'!$H:$H,"&lt;="&amp;'Cashflow Projection'!AE$5)*0.15*$C66</f>
        <v>0</v>
      </c>
      <c r="AF66" s="14"/>
    </row>
    <row r="67" spans="1:32" x14ac:dyDescent="0.2">
      <c r="A67" s="13"/>
      <c r="AF67" s="14"/>
    </row>
    <row r="68" spans="1:32" ht="29" x14ac:dyDescent="0.35">
      <c r="A68" s="15" t="s">
        <v>1861</v>
      </c>
      <c r="C68" s="45">
        <v>1</v>
      </c>
      <c r="D68" s="23">
        <f>+I68+K68+M68+O68+Q68+S68+U68+W68+Y68+AA68+AC68+AE68</f>
        <v>-20784728.039999992</v>
      </c>
      <c r="I68" s="27">
        <f>-'Operational Costs'!$N$2*$C68</f>
        <v>-1732060.6699999995</v>
      </c>
      <c r="K68" s="27">
        <f>-'Operational Costs'!$N$2*$C68</f>
        <v>-1732060.6699999995</v>
      </c>
      <c r="M68" s="27">
        <f>-'Operational Costs'!$N$2*$C68</f>
        <v>-1732060.6699999995</v>
      </c>
      <c r="O68" s="27">
        <f>-'Operational Costs'!$N$2*$C68</f>
        <v>-1732060.6699999995</v>
      </c>
      <c r="Q68" s="27">
        <f>-'Operational Costs'!$N$2*$C68</f>
        <v>-1732060.6699999995</v>
      </c>
      <c r="S68" s="27">
        <f>-'Operational Costs'!$N$2*$C68</f>
        <v>-1732060.6699999995</v>
      </c>
      <c r="U68" s="27">
        <f>-'Operational Costs'!$N$2*$C68</f>
        <v>-1732060.6699999995</v>
      </c>
      <c r="W68" s="27">
        <f>-'Operational Costs'!$N$2*$C68</f>
        <v>-1732060.6699999995</v>
      </c>
      <c r="Y68" s="27">
        <f>-'Operational Costs'!$N$2*$C68</f>
        <v>-1732060.6699999995</v>
      </c>
      <c r="AA68" s="27">
        <f>-'Operational Costs'!$N$2*$C68</f>
        <v>-1732060.6699999995</v>
      </c>
      <c r="AC68" s="27">
        <f>-'Operational Costs'!$N$2*$C68</f>
        <v>-1732060.6699999995</v>
      </c>
      <c r="AE68" s="27">
        <f>-'Operational Costs'!$N$2*$C68</f>
        <v>-1732060.6699999995</v>
      </c>
      <c r="AF68" s="14"/>
    </row>
    <row r="69" spans="1:32" x14ac:dyDescent="0.2">
      <c r="A69" s="13"/>
      <c r="AF69" s="14"/>
    </row>
    <row r="70" spans="1:32" ht="29" x14ac:dyDescent="0.35">
      <c r="A70" s="15" t="s">
        <v>1862</v>
      </c>
      <c r="D70" s="23">
        <f>+I70+K70+M70+O70+Q70+S70+U70+W70+Y70+AA70+AC70+AE70</f>
        <v>-30684033.808652155</v>
      </c>
      <c r="I70" s="29">
        <f>I31+I49+I66+I68</f>
        <v>-5216976.5214999989</v>
      </c>
      <c r="K70" s="29">
        <f>K31+K49+K66+K68</f>
        <v>-2516038.3864999991</v>
      </c>
      <c r="M70" s="29">
        <f>M31+M49+M66+M68</f>
        <v>-2115667.6189999995</v>
      </c>
      <c r="O70" s="29">
        <f>O31+O49+O66+O68</f>
        <v>-4528878.0493913032</v>
      </c>
      <c r="Q70" s="29">
        <f>Q31+Q49+Q66+Q68</f>
        <v>-2178233.7714999993</v>
      </c>
      <c r="S70" s="29">
        <f>S31+S49+S66+S68</f>
        <v>-1594385.2024999994</v>
      </c>
      <c r="U70" s="29">
        <f>U31+U49+U66+U68</f>
        <v>-1857924.4439999994</v>
      </c>
      <c r="W70" s="29">
        <f>W31+W49+W66+W68</f>
        <v>-3747687.1342608687</v>
      </c>
      <c r="Y70" s="29">
        <f>Y31+Y49+Y66+Y68</f>
        <v>-1732060.6699999995</v>
      </c>
      <c r="AA70" s="29">
        <f>AA31+AA49+AA66+AA68</f>
        <v>-1732060.6699999995</v>
      </c>
      <c r="AC70" s="29">
        <f>AC31+AC49+AC66+AC68</f>
        <v>-1732060.6699999995</v>
      </c>
      <c r="AE70" s="29">
        <f>AE31+AE49+AE66+AE68</f>
        <v>-1732060.6699999995</v>
      </c>
      <c r="AF70" s="14"/>
    </row>
    <row r="71" spans="1:32" x14ac:dyDescent="0.2">
      <c r="A71" s="13"/>
      <c r="AF71" s="14"/>
    </row>
    <row r="72" spans="1:32" ht="29" x14ac:dyDescent="0.35">
      <c r="A72" s="15" t="s">
        <v>1863</v>
      </c>
      <c r="D72" s="23">
        <f>Dashboard!B20</f>
        <v>16851824.25</v>
      </c>
      <c r="I72" s="29">
        <f>+I70+I46</f>
        <v>21714531.442941919</v>
      </c>
      <c r="K72" s="29">
        <f>+K70+K46</f>
        <v>12310404.184460273</v>
      </c>
      <c r="M72" s="29">
        <f>+M70+M46</f>
        <v>683644.31600000057</v>
      </c>
      <c r="O72" s="29">
        <f>+O70+O46</f>
        <v>-2569359.6948913033</v>
      </c>
      <c r="Q72" s="29">
        <f>+Q70+Q46</f>
        <v>525054.2421986307</v>
      </c>
      <c r="S72" s="29">
        <f>+S70+S46</f>
        <v>-863608.49017123226</v>
      </c>
      <c r="U72" s="29">
        <f>+U70+U46</f>
        <v>6883722.0073439041</v>
      </c>
      <c r="W72" s="29">
        <f>+W70+W46</f>
        <v>-609610.86839066353</v>
      </c>
      <c r="Y72" s="29">
        <f>+Y70+Y46</f>
        <v>-1732060.6699999995</v>
      </c>
      <c r="AA72" s="29">
        <f>+AA70+AA46</f>
        <v>2342567.7336825011</v>
      </c>
      <c r="AC72" s="29">
        <f>+AC70+AC46</f>
        <v>3770114.4569364744</v>
      </c>
      <c r="AE72" s="29">
        <f>+AE70+AE46</f>
        <v>-159836.75910616387</v>
      </c>
      <c r="AF72" s="14"/>
    </row>
    <row r="73" spans="1:32" x14ac:dyDescent="0.2">
      <c r="A73" s="13"/>
      <c r="AF73" s="14"/>
    </row>
    <row r="74" spans="1:32" ht="29" x14ac:dyDescent="0.35">
      <c r="A74" s="15" t="s">
        <v>1864</v>
      </c>
      <c r="D74" s="23">
        <f>+I74</f>
        <v>-1935281.536529863</v>
      </c>
      <c r="I74" s="29">
        <f>-SUMIFS('Investor Exit List'!$Q:$Q,'Investor Exit List'!$Z:$Z,"Release",'Investor Exit List'!$L:$L,"&lt;="&amp;'Cashflow Projection'!I$5,'Investor Exit List'!$L:$L,"&gt;"&amp;'Cashflow Projection'!B$2)</f>
        <v>-1935281.536529863</v>
      </c>
      <c r="K74" s="29">
        <f>-SUMIFS('Investor Exit List'!$Q:$Q,'Investor Exit List'!$Z:$Z,"Release",'Investor Exit List'!$L:$L,"&lt;="&amp;'Cashflow Projection'!K$5,'Investor Exit List'!$L:$L,"&gt;"&amp;'Cashflow Projection'!I$5)</f>
        <v>-1265713.9691034248</v>
      </c>
      <c r="M74" s="29">
        <f>-SUMIFS('Investor Exit List'!$Q:$Q,'Investor Exit List'!$Z:$Z,"Release",'Investor Exit List'!$L:$L,"&lt;="&amp;'Cashflow Projection'!M$5,'Investor Exit List'!$L:$L,"&gt;"&amp;'Cashflow Projection'!K$5)</f>
        <v>-4122662.3287671236</v>
      </c>
      <c r="O74" s="29">
        <f>-SUMIFS('Investor Exit List'!$Q:$Q,'Investor Exit List'!$Z:$Z,"Release",'Investor Exit List'!$L:$L,"&lt;="&amp;'Cashflow Projection'!O$5,'Investor Exit List'!$L:$L,"&gt;"&amp;'Cashflow Projection'!M$5)</f>
        <v>-5406576.0273972601</v>
      </c>
      <c r="Q74" s="29">
        <f>-SUMIFS('Investor Exit List'!$Q:$Q,'Investor Exit List'!$Z:$Z,"Release",'Investor Exit List'!$L:$L,"&lt;="&amp;'Cashflow Projection'!Q$5,'Investor Exit List'!$L:$L,"&gt;"&amp;'Cashflow Projection'!O$5)</f>
        <v>-1461553.4246575343</v>
      </c>
      <c r="S74" s="29">
        <f>-SUMIFS('Investor Exit List'!$Q:$Q,'Investor Exit List'!$Z:$Z,"Release",'Investor Exit List'!$L:$L,"&lt;="&amp;'Cashflow Projection'!S$5,'Investor Exit List'!$L:$L,"&gt;"&amp;'Cashflow Projection'!Q$5)</f>
        <v>-1602875.0613271233</v>
      </c>
      <c r="U74" s="29">
        <f>-SUMIFS('Investor Exit List'!$Q:$Q,'Investor Exit List'!$Z:$Z,"Release",'Investor Exit List'!$L:$L,"&lt;="&amp;'Cashflow Projection'!U$5,'Investor Exit List'!$L:$L,"&gt;"&amp;'Cashflow Projection'!S$5)</f>
        <v>-6276152.5317404103</v>
      </c>
      <c r="W74" s="29">
        <f>-SUMIFS('Investor Exit List'!$Q:$Q,'Investor Exit List'!$Z:$Z,"Release",'Investor Exit List'!$L:$L,"&lt;="&amp;'Cashflow Projection'!W$5,'Investor Exit List'!$L:$L,"&gt;"&amp;'Cashflow Projection'!U$5)</f>
        <v>0</v>
      </c>
      <c r="Y74" s="29">
        <f>-SUMIFS('Investor Exit List'!$Q:$Q,'Investor Exit List'!$Z:$Z,"Release",'Investor Exit List'!$L:$L,"&lt;="&amp;'Cashflow Projection'!Y$5,'Investor Exit List'!$L:$L,"&gt;"&amp;'Cashflow Projection'!W$5)</f>
        <v>-8149256.8073650012</v>
      </c>
      <c r="AA74" s="29">
        <f>-SUMIFS('Investor Exit List'!$Q:$Q,'Investor Exit List'!$Z:$Z,"Release",'Investor Exit List'!$L:$L,"&lt;="&amp;'Cashflow Projection'!AA$5,'Investor Exit List'!$L:$L,"&gt;"&amp;'Cashflow Projection'!Y$5)</f>
        <v>-11004350.253872948</v>
      </c>
      <c r="AC74" s="29">
        <f>-SUMIFS('Investor Exit List'!$Q:$Q,'Investor Exit List'!$Z:$Z,"Release",'Investor Exit List'!$L:$L,"&lt;="&amp;'Cashflow Projection'!AC$5,'Investor Exit List'!$L:$L,"&gt;"&amp;'Cashflow Projection'!AA$5)</f>
        <v>-3144447.8217876712</v>
      </c>
      <c r="AE74" s="29">
        <f>-SUMIFS('Investor Exit List'!$Q:$Q,'Investor Exit List'!$Z:$Z,"Release",'Investor Exit List'!$L:$L,"&lt;="&amp;'Cashflow Projection'!AE$5,'Investor Exit List'!$L:$L,"&gt;"&amp;'Cashflow Projection'!AC$5)</f>
        <v>-4780919.6585841104</v>
      </c>
      <c r="AF74" s="14"/>
    </row>
    <row r="75" spans="1:32" x14ac:dyDescent="0.2">
      <c r="A75" s="13"/>
      <c r="AF75" s="14"/>
    </row>
    <row r="76" spans="1:32" ht="29" x14ac:dyDescent="0.35">
      <c r="A76" s="15" t="s">
        <v>1865</v>
      </c>
      <c r="D76" s="46">
        <f>+I76+K76+M76+O76+Q76+S76+U76+W76+Y76+AA76+AC76+AE76</f>
        <v>0</v>
      </c>
      <c r="I76" s="47">
        <f>0</f>
        <v>0</v>
      </c>
      <c r="K76" s="47">
        <f>0</f>
        <v>0</v>
      </c>
      <c r="M76" s="47">
        <f>0</f>
        <v>0</v>
      </c>
      <c r="O76" s="47">
        <f>0</f>
        <v>0</v>
      </c>
      <c r="Q76" s="47">
        <f>0</f>
        <v>0</v>
      </c>
      <c r="S76" s="47">
        <f>0</f>
        <v>0</v>
      </c>
      <c r="U76" s="47">
        <f>0</f>
        <v>0</v>
      </c>
      <c r="W76" s="47">
        <f>0</f>
        <v>0</v>
      </c>
      <c r="Y76" s="47">
        <f>0</f>
        <v>0</v>
      </c>
      <c r="AA76" s="47">
        <f>0</f>
        <v>0</v>
      </c>
      <c r="AC76" s="47">
        <f>0</f>
        <v>0</v>
      </c>
      <c r="AE76" s="47">
        <f>0</f>
        <v>0</v>
      </c>
      <c r="AF76" s="14"/>
    </row>
    <row r="77" spans="1:32" x14ac:dyDescent="0.2">
      <c r="A77" s="13"/>
      <c r="AF77" s="14"/>
    </row>
    <row r="78" spans="1:32" ht="29" x14ac:dyDescent="0.35">
      <c r="A78" s="15" t="s">
        <v>1866</v>
      </c>
      <c r="I78" s="48" t="s">
        <v>1838</v>
      </c>
      <c r="J78" s="48" t="s">
        <v>1867</v>
      </c>
      <c r="K78" s="48" t="s">
        <v>1838</v>
      </c>
      <c r="L78" s="48" t="s">
        <v>1867</v>
      </c>
      <c r="M78" s="48" t="s">
        <v>1838</v>
      </c>
      <c r="N78" s="48" t="s">
        <v>1867</v>
      </c>
      <c r="O78" s="48" t="s">
        <v>1838</v>
      </c>
      <c r="P78" s="48" t="s">
        <v>1867</v>
      </c>
      <c r="Q78" s="48" t="s">
        <v>1838</v>
      </c>
      <c r="R78" s="48" t="s">
        <v>1867</v>
      </c>
      <c r="S78" s="48" t="s">
        <v>1838</v>
      </c>
      <c r="T78" s="48" t="s">
        <v>1867</v>
      </c>
      <c r="U78" s="48" t="s">
        <v>1838</v>
      </c>
      <c r="V78" s="48" t="s">
        <v>1867</v>
      </c>
      <c r="W78" s="48" t="s">
        <v>1838</v>
      </c>
      <c r="X78" s="48" t="s">
        <v>1867</v>
      </c>
      <c r="Y78" s="48" t="s">
        <v>1838</v>
      </c>
      <c r="Z78" s="48" t="s">
        <v>1867</v>
      </c>
      <c r="AA78" s="48" t="s">
        <v>1838</v>
      </c>
      <c r="AB78" s="48" t="s">
        <v>1867</v>
      </c>
      <c r="AC78" s="48" t="s">
        <v>1838</v>
      </c>
      <c r="AD78" s="48" t="s">
        <v>1867</v>
      </c>
      <c r="AE78" s="48" t="s">
        <v>1838</v>
      </c>
      <c r="AF78" s="49" t="s">
        <v>1867</v>
      </c>
    </row>
    <row r="79" spans="1:32" x14ac:dyDescent="0.2">
      <c r="A79" s="13"/>
      <c r="AF79" s="14"/>
    </row>
    <row r="80" spans="1:32" ht="29" x14ac:dyDescent="0.35">
      <c r="A80" s="15" t="s">
        <v>1868</v>
      </c>
      <c r="D80" s="29">
        <f t="shared" ref="D80:D90" si="5">+I80+K80+M80+O80+Q80+S80+U80+W80+Y80+AA80+AC80+AE80</f>
        <v>0</v>
      </c>
      <c r="E80" s="50">
        <v>0.6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2">
        <v>0</v>
      </c>
    </row>
    <row r="81" spans="1:32" ht="29" x14ac:dyDescent="0.35">
      <c r="A81" s="15" t="s">
        <v>1869</v>
      </c>
      <c r="D81" s="29">
        <f t="shared" si="5"/>
        <v>0</v>
      </c>
      <c r="E81" s="53">
        <f>E80</f>
        <v>0.6</v>
      </c>
      <c r="I81" s="51">
        <v>0</v>
      </c>
      <c r="J81" s="51">
        <v>0</v>
      </c>
      <c r="K81" s="51">
        <v>0</v>
      </c>
      <c r="L81" s="51">
        <v>0</v>
      </c>
      <c r="M81" s="51">
        <v>0</v>
      </c>
      <c r="N81" s="51">
        <v>0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2">
        <v>0</v>
      </c>
    </row>
    <row r="82" spans="1:32" ht="29" x14ac:dyDescent="0.35">
      <c r="A82" s="15" t="s">
        <v>1870</v>
      </c>
      <c r="B82" s="54" t="s">
        <v>388</v>
      </c>
      <c r="C82" s="54" t="s">
        <v>386</v>
      </c>
      <c r="D82" s="23">
        <f t="shared" si="5"/>
        <v>0</v>
      </c>
      <c r="E82" s="55">
        <f>+E80</f>
        <v>0.6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2">
        <v>0</v>
      </c>
    </row>
    <row r="83" spans="1:32" ht="29" x14ac:dyDescent="0.35">
      <c r="A83" s="15" t="s">
        <v>1871</v>
      </c>
      <c r="B83" s="54" t="s">
        <v>497</v>
      </c>
      <c r="C83" s="54" t="s">
        <v>386</v>
      </c>
      <c r="D83" s="23">
        <f t="shared" si="5"/>
        <v>0</v>
      </c>
      <c r="E83" s="55">
        <f>+E80</f>
        <v>0.6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2">
        <v>0</v>
      </c>
    </row>
    <row r="84" spans="1:32" ht="29" x14ac:dyDescent="0.35">
      <c r="A84" s="15" t="s">
        <v>1872</v>
      </c>
      <c r="B84" s="54" t="s">
        <v>569</v>
      </c>
      <c r="C84" s="54" t="s">
        <v>386</v>
      </c>
      <c r="D84" s="23">
        <f t="shared" si="5"/>
        <v>0</v>
      </c>
      <c r="E84" s="55">
        <f>+E80</f>
        <v>0.6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2">
        <v>0</v>
      </c>
    </row>
    <row r="85" spans="1:32" ht="29" x14ac:dyDescent="0.35">
      <c r="A85" s="15" t="s">
        <v>1873</v>
      </c>
      <c r="B85" s="54" t="s">
        <v>675</v>
      </c>
      <c r="C85" s="54" t="s">
        <v>386</v>
      </c>
      <c r="D85" s="23">
        <f t="shared" si="5"/>
        <v>0</v>
      </c>
      <c r="E85" s="55">
        <f>+E80</f>
        <v>0.6</v>
      </c>
      <c r="I85" s="51">
        <v>0</v>
      </c>
      <c r="J85" s="51">
        <v>0</v>
      </c>
      <c r="K85" s="51">
        <v>0</v>
      </c>
      <c r="L85" s="51">
        <v>0</v>
      </c>
      <c r="M85" s="51">
        <v>0</v>
      </c>
      <c r="N85" s="51">
        <v>0</v>
      </c>
      <c r="O85" s="51">
        <v>0</v>
      </c>
      <c r="P85" s="51">
        <v>0</v>
      </c>
      <c r="Q85" s="51">
        <v>0</v>
      </c>
      <c r="R85" s="51">
        <v>0</v>
      </c>
      <c r="S85" s="51">
        <v>0</v>
      </c>
      <c r="T85" s="51">
        <v>0</v>
      </c>
      <c r="U85" s="51">
        <v>0</v>
      </c>
      <c r="V85" s="51">
        <v>0</v>
      </c>
      <c r="W85" s="51">
        <v>0</v>
      </c>
      <c r="X85" s="51">
        <v>0</v>
      </c>
      <c r="Y85" s="51">
        <v>0</v>
      </c>
      <c r="Z85" s="51">
        <v>0</v>
      </c>
      <c r="AA85" s="51">
        <v>0</v>
      </c>
      <c r="AB85" s="51">
        <v>0</v>
      </c>
      <c r="AC85" s="51">
        <v>0</v>
      </c>
      <c r="AD85" s="51">
        <v>0</v>
      </c>
      <c r="AE85" s="51">
        <v>0</v>
      </c>
      <c r="AF85" s="52">
        <v>0</v>
      </c>
    </row>
    <row r="86" spans="1:32" ht="29" x14ac:dyDescent="0.35">
      <c r="A86" s="15" t="s">
        <v>1874</v>
      </c>
      <c r="B86" s="54" t="s">
        <v>711</v>
      </c>
      <c r="C86" s="54" t="s">
        <v>386</v>
      </c>
      <c r="D86" s="23">
        <f t="shared" si="5"/>
        <v>0</v>
      </c>
      <c r="E86" s="55">
        <f>+E80</f>
        <v>0.6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2">
        <v>0</v>
      </c>
    </row>
    <row r="87" spans="1:32" ht="29" x14ac:dyDescent="0.35">
      <c r="A87" s="15" t="s">
        <v>1875</v>
      </c>
      <c r="B87" s="54" t="s">
        <v>811</v>
      </c>
      <c r="C87" s="54" t="s">
        <v>386</v>
      </c>
      <c r="D87" s="23">
        <f t="shared" si="5"/>
        <v>0</v>
      </c>
      <c r="E87" s="55">
        <f>+E80</f>
        <v>0.6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2">
        <v>0</v>
      </c>
    </row>
    <row r="88" spans="1:32" ht="29" x14ac:dyDescent="0.35">
      <c r="A88" s="15" t="s">
        <v>1876</v>
      </c>
      <c r="B88" s="54" t="s">
        <v>822</v>
      </c>
      <c r="C88" s="54" t="s">
        <v>386</v>
      </c>
      <c r="D88" s="23">
        <f t="shared" si="5"/>
        <v>0</v>
      </c>
      <c r="E88" s="55">
        <f>+E80</f>
        <v>0.6</v>
      </c>
      <c r="I88" s="51">
        <v>0</v>
      </c>
      <c r="J88" s="51">
        <v>0</v>
      </c>
      <c r="K88" s="51">
        <v>0</v>
      </c>
      <c r="L88" s="51">
        <v>0</v>
      </c>
      <c r="M88" s="51">
        <v>0</v>
      </c>
      <c r="N88" s="51">
        <v>0</v>
      </c>
      <c r="O88" s="51">
        <v>0</v>
      </c>
      <c r="P88" s="51">
        <v>0</v>
      </c>
      <c r="Q88" s="51">
        <v>0</v>
      </c>
      <c r="R88" s="51">
        <v>0</v>
      </c>
      <c r="S88" s="51">
        <v>0</v>
      </c>
      <c r="T88" s="51">
        <v>0</v>
      </c>
      <c r="U88" s="51">
        <v>0</v>
      </c>
      <c r="V88" s="51">
        <v>0</v>
      </c>
      <c r="W88" s="51">
        <v>0</v>
      </c>
      <c r="X88" s="51">
        <v>0</v>
      </c>
      <c r="Y88" s="51">
        <v>0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0</v>
      </c>
      <c r="AF88" s="52">
        <v>0</v>
      </c>
    </row>
    <row r="89" spans="1:32" ht="29" x14ac:dyDescent="0.35">
      <c r="A89" s="15" t="s">
        <v>1877</v>
      </c>
      <c r="B89" s="54" t="s">
        <v>854</v>
      </c>
      <c r="C89" s="54" t="s">
        <v>386</v>
      </c>
      <c r="D89" s="23">
        <f t="shared" si="5"/>
        <v>0</v>
      </c>
      <c r="E89" s="55">
        <f>+E80</f>
        <v>0.6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2">
        <v>0</v>
      </c>
    </row>
    <row r="90" spans="1:32" ht="29" x14ac:dyDescent="0.35">
      <c r="A90" s="15" t="s">
        <v>1878</v>
      </c>
      <c r="B90" s="54" t="s">
        <v>891</v>
      </c>
      <c r="C90" s="54" t="s">
        <v>386</v>
      </c>
      <c r="D90" s="23">
        <f t="shared" si="5"/>
        <v>0</v>
      </c>
      <c r="E90" s="55">
        <f>+E80</f>
        <v>0.6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2">
        <v>0</v>
      </c>
    </row>
    <row r="91" spans="1:32" x14ac:dyDescent="0.2">
      <c r="A91" s="13"/>
      <c r="AF91" s="14"/>
    </row>
    <row r="92" spans="1:32" ht="29" x14ac:dyDescent="0.35">
      <c r="A92" s="13"/>
      <c r="D92" s="54">
        <f>SUM(D82:D90)</f>
        <v>0</v>
      </c>
      <c r="AF92" s="14"/>
    </row>
    <row r="93" spans="1:32" x14ac:dyDescent="0.2">
      <c r="A93" s="13"/>
      <c r="AF93" s="14"/>
    </row>
    <row r="94" spans="1:32" ht="29" x14ac:dyDescent="0.35">
      <c r="A94" s="15" t="s">
        <v>1879</v>
      </c>
      <c r="AF94" s="14"/>
    </row>
    <row r="95" spans="1:32" ht="29" x14ac:dyDescent="0.35">
      <c r="A95" s="15" t="s">
        <v>1880</v>
      </c>
      <c r="B95" s="23">
        <v>4279223.84</v>
      </c>
      <c r="C95" s="56">
        <v>1</v>
      </c>
      <c r="D95" s="23">
        <f>+I95+K95+M95+O95+Q95+S95+U95+W95+Y95+AA95+AC95+AE95</f>
        <v>0</v>
      </c>
      <c r="I95" s="51">
        <f>$B$95*J95</f>
        <v>0</v>
      </c>
      <c r="J95" s="57">
        <v>0</v>
      </c>
      <c r="K95" s="51">
        <f>$B$95*L95</f>
        <v>0</v>
      </c>
      <c r="L95" s="57">
        <v>0</v>
      </c>
      <c r="M95" s="51">
        <f>$B$95*N95</f>
        <v>0</v>
      </c>
      <c r="N95" s="57">
        <v>0</v>
      </c>
      <c r="O95" s="51">
        <f>$B$95*P95</f>
        <v>0</v>
      </c>
      <c r="P95" s="57">
        <v>0</v>
      </c>
      <c r="Q95" s="51">
        <f>$B$95*R95</f>
        <v>0</v>
      </c>
      <c r="R95" s="57">
        <v>0</v>
      </c>
      <c r="S95" s="51">
        <f>$B$95*T95</f>
        <v>0</v>
      </c>
      <c r="T95" s="57">
        <v>0</v>
      </c>
      <c r="U95" s="51">
        <f>$B$95*V95</f>
        <v>0</v>
      </c>
      <c r="V95" s="57">
        <v>0</v>
      </c>
      <c r="W95" s="51">
        <f>$B$95*X95</f>
        <v>0</v>
      </c>
      <c r="X95" s="57">
        <v>0</v>
      </c>
      <c r="Y95" s="51">
        <f>$B$95*Z95</f>
        <v>0</v>
      </c>
      <c r="Z95" s="57">
        <v>0</v>
      </c>
      <c r="AA95" s="51">
        <f>$B$95*AB95</f>
        <v>0</v>
      </c>
      <c r="AB95" s="57">
        <v>0</v>
      </c>
      <c r="AC95" s="51">
        <f>$B$95*AD95</f>
        <v>0</v>
      </c>
      <c r="AD95" s="57">
        <v>0</v>
      </c>
      <c r="AE95" s="51">
        <f>$B$95*AF95</f>
        <v>0</v>
      </c>
      <c r="AF95" s="58">
        <v>0</v>
      </c>
    </row>
    <row r="96" spans="1:32" ht="29" x14ac:dyDescent="0.35">
      <c r="A96" s="15" t="s">
        <v>1879</v>
      </c>
      <c r="B96" s="23">
        <v>5000000</v>
      </c>
      <c r="C96" s="54">
        <v>0</v>
      </c>
      <c r="D96" s="23">
        <f>+I96+K96+M96+O96+Q96+S96+U96+W96+Y96+AA96+AC96+AE96</f>
        <v>0</v>
      </c>
      <c r="I96" s="51">
        <f>$B$96*J96</f>
        <v>0</v>
      </c>
      <c r="J96" s="57">
        <v>0</v>
      </c>
      <c r="K96" s="51">
        <f>$B$96*L96</f>
        <v>0</v>
      </c>
      <c r="L96" s="57">
        <v>0</v>
      </c>
      <c r="M96" s="51">
        <f>$B$96*N96</f>
        <v>0</v>
      </c>
      <c r="N96" s="57">
        <v>0</v>
      </c>
      <c r="O96" s="51">
        <f>$B$96*P96</f>
        <v>0</v>
      </c>
      <c r="P96" s="57">
        <v>0</v>
      </c>
      <c r="Q96" s="51">
        <f>$B$96*R96</f>
        <v>0</v>
      </c>
      <c r="R96" s="57">
        <v>0</v>
      </c>
      <c r="S96" s="51">
        <f>$B$96*T96</f>
        <v>0</v>
      </c>
      <c r="T96" s="57">
        <v>0</v>
      </c>
      <c r="U96" s="51">
        <f>$B$96*V96</f>
        <v>0</v>
      </c>
      <c r="V96" s="57">
        <v>0</v>
      </c>
      <c r="W96" s="51">
        <f>$B$96*X96</f>
        <v>0</v>
      </c>
      <c r="X96" s="57">
        <v>0</v>
      </c>
      <c r="Y96" s="51">
        <f>$B$96*Z96</f>
        <v>0</v>
      </c>
      <c r="Z96" s="57">
        <v>0</v>
      </c>
      <c r="AA96" s="51">
        <f>$B$96*AB96</f>
        <v>0</v>
      </c>
      <c r="AB96" s="57">
        <v>0</v>
      </c>
      <c r="AC96" s="51">
        <f>$B$96*AD96</f>
        <v>0</v>
      </c>
      <c r="AD96" s="57">
        <v>0</v>
      </c>
      <c r="AE96" s="51">
        <f>$B$96*AF96</f>
        <v>0</v>
      </c>
      <c r="AF96" s="58">
        <v>0</v>
      </c>
    </row>
    <row r="97" spans="1:32" ht="29" x14ac:dyDescent="0.35">
      <c r="A97" s="15" t="s">
        <v>1881</v>
      </c>
      <c r="B97" s="54"/>
      <c r="C97" s="54"/>
      <c r="D97" s="23">
        <f>+I97+K97+M97+O97+Q97+S97+U97+W97+Y97+AA97+AC97+AE97</f>
        <v>0</v>
      </c>
      <c r="I97" s="51">
        <f>$B$97*J97</f>
        <v>0</v>
      </c>
      <c r="J97" s="57">
        <v>0</v>
      </c>
      <c r="K97" s="51">
        <f>$B$97*L97</f>
        <v>0</v>
      </c>
      <c r="L97" s="57">
        <v>0</v>
      </c>
      <c r="M97" s="51">
        <f>$B$97*N97</f>
        <v>0</v>
      </c>
      <c r="N97" s="57">
        <v>0</v>
      </c>
      <c r="O97" s="51">
        <f>$B$97*P97</f>
        <v>0</v>
      </c>
      <c r="P97" s="57">
        <v>0</v>
      </c>
      <c r="Q97" s="51">
        <f>$B$97*R97</f>
        <v>0</v>
      </c>
      <c r="R97" s="57">
        <v>0</v>
      </c>
      <c r="S97" s="51">
        <f>$B$97*T97</f>
        <v>0</v>
      </c>
      <c r="T97" s="57">
        <v>0</v>
      </c>
      <c r="U97" s="51">
        <f>$B$97*V97</f>
        <v>0</v>
      </c>
      <c r="V97" s="57">
        <v>0</v>
      </c>
      <c r="W97" s="51">
        <f>$B$97*X97</f>
        <v>0</v>
      </c>
      <c r="X97" s="57">
        <v>0</v>
      </c>
      <c r="Y97" s="51">
        <f>$B$97*Z97</f>
        <v>0</v>
      </c>
      <c r="Z97" s="57">
        <v>0</v>
      </c>
      <c r="AA97" s="51">
        <f>$B$97*AB97</f>
        <v>0</v>
      </c>
      <c r="AB97" s="57">
        <v>0</v>
      </c>
      <c r="AC97" s="51">
        <f>$B$97*AD97</f>
        <v>0</v>
      </c>
      <c r="AD97" s="57">
        <v>0</v>
      </c>
      <c r="AE97" s="51">
        <f>$B$97*AF97</f>
        <v>0</v>
      </c>
      <c r="AF97" s="58">
        <v>0</v>
      </c>
    </row>
    <row r="98" spans="1:32" ht="29" x14ac:dyDescent="0.35">
      <c r="A98" s="15" t="s">
        <v>1882</v>
      </c>
      <c r="B98" s="54"/>
      <c r="C98" s="54"/>
      <c r="D98" s="23">
        <f>+I98+K98+M98+O98+Q98+S98+U98+W98+Y98+AA98+AC98+AE98</f>
        <v>0</v>
      </c>
      <c r="I98" s="59">
        <f>SUM(I95:I97)</f>
        <v>0</v>
      </c>
      <c r="K98" s="51">
        <f>SUBTOTAL(9,K95:K97)</f>
        <v>0</v>
      </c>
      <c r="M98" s="51">
        <f>SUBTOTAL(9,M95:M97)</f>
        <v>0</v>
      </c>
      <c r="O98" s="51">
        <f>SUBTOTAL(9,O95:O97)</f>
        <v>0</v>
      </c>
      <c r="Q98" s="51">
        <f>SUBTOTAL(9,Q95:Q97)</f>
        <v>0</v>
      </c>
      <c r="S98" s="51">
        <f>SUBTOTAL(9,S95:S97)</f>
        <v>0</v>
      </c>
      <c r="U98" s="51">
        <f>SUBTOTAL(9,U95:U97)</f>
        <v>0</v>
      </c>
      <c r="W98" s="51">
        <f>SUBTOTAL(9,W95:W97)</f>
        <v>0</v>
      </c>
      <c r="Y98" s="51">
        <f>SUBTOTAL(9,Y95:Y97)</f>
        <v>0</v>
      </c>
      <c r="AA98" s="51">
        <f>SUBTOTAL(9,AA95:AA97)</f>
        <v>0</v>
      </c>
      <c r="AC98" s="51">
        <f>SUBTOTAL(9,AC95:AC97)</f>
        <v>0</v>
      </c>
      <c r="AE98" s="51">
        <f>SUBTOTAL(9,AE95:AE97)</f>
        <v>0</v>
      </c>
      <c r="AF98" s="14"/>
    </row>
    <row r="99" spans="1:32" x14ac:dyDescent="0.2">
      <c r="A99" s="13"/>
      <c r="AF99" s="14"/>
    </row>
    <row r="100" spans="1:32" ht="29" x14ac:dyDescent="0.35">
      <c r="A100" s="60" t="s">
        <v>1883</v>
      </c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2"/>
    </row>
    <row r="101" spans="1:32" ht="29" x14ac:dyDescent="0.35">
      <c r="A101" s="63" t="s">
        <v>1884</v>
      </c>
      <c r="B101" s="61"/>
      <c r="C101" s="61"/>
      <c r="D101" s="64">
        <f t="shared" ref="D101:D113" si="6">+I101+K101+M101+O101+Q101+S101+U101+W101+Y101+AA101+AC101+AE101</f>
        <v>0</v>
      </c>
      <c r="E101" s="61"/>
      <c r="F101" s="61"/>
      <c r="G101" s="61"/>
      <c r="H101" s="61"/>
      <c r="I101" s="65">
        <v>0</v>
      </c>
      <c r="J101" s="61"/>
      <c r="K101" s="65">
        <v>0</v>
      </c>
      <c r="L101" s="61"/>
      <c r="M101" s="65">
        <v>0</v>
      </c>
      <c r="N101" s="61"/>
      <c r="O101" s="65">
        <v>0</v>
      </c>
      <c r="P101" s="61"/>
      <c r="Q101" s="65">
        <v>0</v>
      </c>
      <c r="R101" s="61"/>
      <c r="S101" s="65">
        <v>0</v>
      </c>
      <c r="T101" s="61"/>
      <c r="U101" s="65">
        <v>0</v>
      </c>
      <c r="V101" s="61"/>
      <c r="W101" s="65">
        <v>0</v>
      </c>
      <c r="X101" s="61"/>
      <c r="Y101" s="65">
        <v>0</v>
      </c>
      <c r="Z101" s="61"/>
      <c r="AA101" s="65">
        <v>0</v>
      </c>
      <c r="AB101" s="61"/>
      <c r="AC101" s="65">
        <v>0</v>
      </c>
      <c r="AD101" s="61"/>
      <c r="AE101" s="65">
        <v>0</v>
      </c>
      <c r="AF101" s="62"/>
    </row>
    <row r="102" spans="1:32" ht="29" x14ac:dyDescent="0.35">
      <c r="A102" s="63" t="s">
        <v>1885</v>
      </c>
      <c r="B102" s="61"/>
      <c r="C102" s="61"/>
      <c r="D102" s="64">
        <f t="shared" si="6"/>
        <v>0</v>
      </c>
      <c r="E102" s="61"/>
      <c r="F102" s="61"/>
      <c r="G102" s="61"/>
      <c r="H102" s="61"/>
      <c r="I102" s="65">
        <v>0</v>
      </c>
      <c r="J102" s="61"/>
      <c r="K102" s="65">
        <v>0</v>
      </c>
      <c r="L102" s="61"/>
      <c r="M102" s="65">
        <v>0</v>
      </c>
      <c r="N102" s="61"/>
      <c r="O102" s="65">
        <v>0</v>
      </c>
      <c r="P102" s="61"/>
      <c r="Q102" s="65">
        <v>0</v>
      </c>
      <c r="R102" s="61"/>
      <c r="S102" s="65">
        <v>0</v>
      </c>
      <c r="T102" s="61"/>
      <c r="U102" s="65">
        <v>0</v>
      </c>
      <c r="V102" s="61"/>
      <c r="W102" s="65">
        <v>0</v>
      </c>
      <c r="X102" s="61"/>
      <c r="Y102" s="65">
        <v>0</v>
      </c>
      <c r="Z102" s="61"/>
      <c r="AA102" s="65">
        <v>0</v>
      </c>
      <c r="AB102" s="61"/>
      <c r="AC102" s="65">
        <v>0</v>
      </c>
      <c r="AD102" s="61"/>
      <c r="AE102" s="65">
        <v>0</v>
      </c>
      <c r="AF102" s="62"/>
    </row>
    <row r="103" spans="1:32" ht="29" x14ac:dyDescent="0.35">
      <c r="A103" s="63" t="s">
        <v>1886</v>
      </c>
      <c r="B103" s="61"/>
      <c r="C103" s="61"/>
      <c r="D103" s="64">
        <f t="shared" si="6"/>
        <v>0</v>
      </c>
      <c r="E103" s="61"/>
      <c r="F103" s="61"/>
      <c r="G103" s="61"/>
      <c r="H103" s="61"/>
      <c r="I103" s="65">
        <v>0</v>
      </c>
      <c r="J103" s="61"/>
      <c r="K103" s="65">
        <v>0</v>
      </c>
      <c r="L103" s="61"/>
      <c r="M103" s="65">
        <v>0</v>
      </c>
      <c r="N103" s="61"/>
      <c r="O103" s="65">
        <v>0</v>
      </c>
      <c r="P103" s="61"/>
      <c r="Q103" s="65">
        <v>0</v>
      </c>
      <c r="R103" s="61"/>
      <c r="S103" s="65">
        <v>0</v>
      </c>
      <c r="T103" s="61"/>
      <c r="U103" s="65">
        <v>0</v>
      </c>
      <c r="V103" s="61"/>
      <c r="W103" s="65">
        <v>0</v>
      </c>
      <c r="X103" s="61"/>
      <c r="Y103" s="65">
        <v>0</v>
      </c>
      <c r="Z103" s="61"/>
      <c r="AA103" s="65">
        <v>0</v>
      </c>
      <c r="AB103" s="61"/>
      <c r="AC103" s="65">
        <v>0</v>
      </c>
      <c r="AD103" s="61"/>
      <c r="AE103" s="65">
        <v>0</v>
      </c>
      <c r="AF103" s="62"/>
    </row>
    <row r="104" spans="1:32" ht="29" x14ac:dyDescent="0.35">
      <c r="A104" s="63" t="s">
        <v>1887</v>
      </c>
      <c r="B104" s="61"/>
      <c r="C104" s="61"/>
      <c r="D104" s="64">
        <f t="shared" si="6"/>
        <v>0</v>
      </c>
      <c r="E104" s="61"/>
      <c r="F104" s="61"/>
      <c r="G104" s="61"/>
      <c r="H104" s="61"/>
      <c r="I104" s="65">
        <v>0</v>
      </c>
      <c r="J104" s="61"/>
      <c r="K104" s="65">
        <v>0</v>
      </c>
      <c r="L104" s="61"/>
      <c r="M104" s="65">
        <v>0</v>
      </c>
      <c r="N104" s="61"/>
      <c r="O104" s="65">
        <v>0</v>
      </c>
      <c r="P104" s="61"/>
      <c r="Q104" s="65">
        <v>0</v>
      </c>
      <c r="R104" s="61"/>
      <c r="S104" s="65">
        <v>0</v>
      </c>
      <c r="T104" s="61"/>
      <c r="U104" s="65">
        <v>0</v>
      </c>
      <c r="V104" s="61"/>
      <c r="W104" s="65">
        <v>0</v>
      </c>
      <c r="X104" s="61"/>
      <c r="Y104" s="65">
        <v>0</v>
      </c>
      <c r="Z104" s="61"/>
      <c r="AA104" s="65">
        <v>0</v>
      </c>
      <c r="AB104" s="61"/>
      <c r="AC104" s="65">
        <v>0</v>
      </c>
      <c r="AD104" s="61"/>
      <c r="AE104" s="65">
        <v>0</v>
      </c>
      <c r="AF104" s="62"/>
    </row>
    <row r="105" spans="1:32" ht="29" x14ac:dyDescent="0.35">
      <c r="A105" s="63" t="s">
        <v>1888</v>
      </c>
      <c r="B105" s="61"/>
      <c r="C105" s="61"/>
      <c r="D105" s="64">
        <f t="shared" si="6"/>
        <v>0</v>
      </c>
      <c r="E105" s="61"/>
      <c r="F105" s="61"/>
      <c r="G105" s="61"/>
      <c r="H105" s="61"/>
      <c r="I105" s="65">
        <v>0</v>
      </c>
      <c r="J105" s="61"/>
      <c r="K105" s="65">
        <v>0</v>
      </c>
      <c r="L105" s="61"/>
      <c r="M105" s="65">
        <v>0</v>
      </c>
      <c r="N105" s="61"/>
      <c r="O105" s="65">
        <v>0</v>
      </c>
      <c r="P105" s="61"/>
      <c r="Q105" s="65">
        <v>0</v>
      </c>
      <c r="R105" s="61"/>
      <c r="S105" s="65">
        <v>0</v>
      </c>
      <c r="T105" s="61"/>
      <c r="U105" s="65">
        <v>0</v>
      </c>
      <c r="V105" s="61"/>
      <c r="W105" s="65">
        <v>0</v>
      </c>
      <c r="X105" s="61"/>
      <c r="Y105" s="65">
        <v>0</v>
      </c>
      <c r="Z105" s="61"/>
      <c r="AA105" s="65">
        <v>0</v>
      </c>
      <c r="AB105" s="61"/>
      <c r="AC105" s="65">
        <v>0</v>
      </c>
      <c r="AD105" s="61"/>
      <c r="AE105" s="65">
        <v>0</v>
      </c>
      <c r="AF105" s="62"/>
    </row>
    <row r="106" spans="1:32" ht="29" x14ac:dyDescent="0.35">
      <c r="A106" s="63" t="s">
        <v>1889</v>
      </c>
      <c r="B106" s="61"/>
      <c r="C106" s="61"/>
      <c r="D106" s="64">
        <f t="shared" si="6"/>
        <v>0</v>
      </c>
      <c r="E106" s="61"/>
      <c r="F106" s="61"/>
      <c r="G106" s="61"/>
      <c r="H106" s="61"/>
      <c r="I106" s="65">
        <v>0</v>
      </c>
      <c r="J106" s="61"/>
      <c r="K106" s="65">
        <v>0</v>
      </c>
      <c r="L106" s="61"/>
      <c r="M106" s="65">
        <v>0</v>
      </c>
      <c r="N106" s="61"/>
      <c r="O106" s="65">
        <v>0</v>
      </c>
      <c r="P106" s="61"/>
      <c r="Q106" s="65">
        <v>0</v>
      </c>
      <c r="R106" s="61"/>
      <c r="S106" s="65">
        <v>0</v>
      </c>
      <c r="T106" s="61"/>
      <c r="U106" s="65">
        <v>0</v>
      </c>
      <c r="V106" s="61"/>
      <c r="W106" s="65">
        <v>0</v>
      </c>
      <c r="X106" s="61"/>
      <c r="Y106" s="65">
        <v>0</v>
      </c>
      <c r="Z106" s="61"/>
      <c r="AA106" s="65">
        <v>0</v>
      </c>
      <c r="AB106" s="61"/>
      <c r="AC106" s="65">
        <v>0</v>
      </c>
      <c r="AD106" s="61"/>
      <c r="AE106" s="65">
        <v>0</v>
      </c>
      <c r="AF106" s="62"/>
    </row>
    <row r="107" spans="1:32" ht="29" x14ac:dyDescent="0.35">
      <c r="A107" s="63" t="s">
        <v>1890</v>
      </c>
      <c r="B107" s="61"/>
      <c r="C107" s="61"/>
      <c r="D107" s="64">
        <f t="shared" si="6"/>
        <v>0</v>
      </c>
      <c r="E107" s="61"/>
      <c r="F107" s="61"/>
      <c r="G107" s="61"/>
      <c r="H107" s="61"/>
      <c r="I107" s="65">
        <v>0</v>
      </c>
      <c r="J107" s="61"/>
      <c r="K107" s="65">
        <v>0</v>
      </c>
      <c r="L107" s="61"/>
      <c r="M107" s="65">
        <v>0</v>
      </c>
      <c r="N107" s="61"/>
      <c r="O107" s="65">
        <v>0</v>
      </c>
      <c r="P107" s="61"/>
      <c r="Q107" s="65">
        <v>0</v>
      </c>
      <c r="R107" s="61"/>
      <c r="S107" s="65">
        <v>0</v>
      </c>
      <c r="T107" s="61"/>
      <c r="U107" s="65">
        <v>0</v>
      </c>
      <c r="V107" s="61"/>
      <c r="W107" s="65">
        <v>0</v>
      </c>
      <c r="X107" s="61"/>
      <c r="Y107" s="65">
        <v>0</v>
      </c>
      <c r="Z107" s="61"/>
      <c r="AA107" s="65">
        <v>0</v>
      </c>
      <c r="AB107" s="61"/>
      <c r="AC107" s="65">
        <v>0</v>
      </c>
      <c r="AD107" s="61"/>
      <c r="AE107" s="65">
        <v>0</v>
      </c>
      <c r="AF107" s="62"/>
    </row>
    <row r="108" spans="1:32" ht="29" x14ac:dyDescent="0.35">
      <c r="A108" s="63" t="s">
        <v>1846</v>
      </c>
      <c r="B108" s="61"/>
      <c r="C108" s="61"/>
      <c r="D108" s="64">
        <f t="shared" si="6"/>
        <v>0</v>
      </c>
      <c r="E108" s="61"/>
      <c r="F108" s="61"/>
      <c r="G108" s="61"/>
      <c r="H108" s="61"/>
      <c r="I108" s="65">
        <v>0</v>
      </c>
      <c r="J108" s="61"/>
      <c r="K108" s="65">
        <v>0</v>
      </c>
      <c r="L108" s="61"/>
      <c r="M108" s="65">
        <v>0</v>
      </c>
      <c r="N108" s="61"/>
      <c r="O108" s="65">
        <v>0</v>
      </c>
      <c r="P108" s="61"/>
      <c r="Q108" s="65">
        <v>0</v>
      </c>
      <c r="R108" s="61"/>
      <c r="S108" s="65">
        <v>0</v>
      </c>
      <c r="T108" s="61"/>
      <c r="U108" s="65">
        <v>0</v>
      </c>
      <c r="V108" s="61"/>
      <c r="W108" s="65">
        <v>0</v>
      </c>
      <c r="X108" s="61"/>
      <c r="Y108" s="65">
        <v>0</v>
      </c>
      <c r="Z108" s="61"/>
      <c r="AA108" s="65">
        <v>0</v>
      </c>
      <c r="AB108" s="61"/>
      <c r="AC108" s="65">
        <v>0</v>
      </c>
      <c r="AD108" s="61"/>
      <c r="AE108" s="65">
        <v>0</v>
      </c>
      <c r="AF108" s="62"/>
    </row>
    <row r="109" spans="1:32" ht="29" x14ac:dyDescent="0.35">
      <c r="A109" s="63" t="s">
        <v>1891</v>
      </c>
      <c r="B109" s="61"/>
      <c r="C109" s="61"/>
      <c r="D109" s="64">
        <f t="shared" si="6"/>
        <v>0</v>
      </c>
      <c r="E109" s="61"/>
      <c r="F109" s="61"/>
      <c r="G109" s="61"/>
      <c r="H109" s="61"/>
      <c r="I109" s="65">
        <v>0</v>
      </c>
      <c r="J109" s="61"/>
      <c r="K109" s="65">
        <v>0</v>
      </c>
      <c r="L109" s="61"/>
      <c r="M109" s="65">
        <v>0</v>
      </c>
      <c r="N109" s="61"/>
      <c r="O109" s="65">
        <v>0</v>
      </c>
      <c r="P109" s="61"/>
      <c r="Q109" s="65">
        <v>0</v>
      </c>
      <c r="R109" s="61"/>
      <c r="S109" s="65">
        <v>0</v>
      </c>
      <c r="T109" s="61"/>
      <c r="U109" s="65">
        <v>0</v>
      </c>
      <c r="V109" s="61"/>
      <c r="W109" s="65">
        <v>0</v>
      </c>
      <c r="X109" s="61"/>
      <c r="Y109" s="65">
        <v>0</v>
      </c>
      <c r="Z109" s="61"/>
      <c r="AA109" s="65">
        <v>0</v>
      </c>
      <c r="AB109" s="61"/>
      <c r="AC109" s="65">
        <v>0</v>
      </c>
      <c r="AD109" s="61"/>
      <c r="AE109" s="65">
        <v>0</v>
      </c>
      <c r="AF109" s="62"/>
    </row>
    <row r="110" spans="1:32" ht="29" x14ac:dyDescent="0.35">
      <c r="A110" s="63"/>
      <c r="B110" s="61"/>
      <c r="C110" s="61"/>
      <c r="D110" s="64">
        <f t="shared" si="6"/>
        <v>0</v>
      </c>
      <c r="E110" s="61"/>
      <c r="F110" s="61"/>
      <c r="G110" s="61"/>
      <c r="H110" s="61"/>
      <c r="I110" s="65">
        <v>0</v>
      </c>
      <c r="J110" s="61"/>
      <c r="K110" s="65">
        <v>0</v>
      </c>
      <c r="L110" s="61"/>
      <c r="M110" s="65">
        <v>0</v>
      </c>
      <c r="N110" s="61"/>
      <c r="O110" s="65">
        <v>0</v>
      </c>
      <c r="P110" s="61"/>
      <c r="Q110" s="65">
        <v>0</v>
      </c>
      <c r="R110" s="61"/>
      <c r="S110" s="65">
        <v>0</v>
      </c>
      <c r="T110" s="61"/>
      <c r="U110" s="65">
        <v>0</v>
      </c>
      <c r="V110" s="61"/>
      <c r="W110" s="65">
        <v>0</v>
      </c>
      <c r="X110" s="61"/>
      <c r="Y110" s="65">
        <v>0</v>
      </c>
      <c r="Z110" s="61"/>
      <c r="AA110" s="65">
        <v>0</v>
      </c>
      <c r="AB110" s="61"/>
      <c r="AC110" s="65">
        <v>0</v>
      </c>
      <c r="AD110" s="61"/>
      <c r="AE110" s="65">
        <v>0</v>
      </c>
      <c r="AF110" s="62"/>
    </row>
    <row r="111" spans="1:32" ht="29" x14ac:dyDescent="0.35">
      <c r="A111" s="63" t="s">
        <v>1892</v>
      </c>
      <c r="B111" s="61"/>
      <c r="C111" s="61"/>
      <c r="D111" s="64">
        <f t="shared" si="6"/>
        <v>0</v>
      </c>
      <c r="E111" s="61"/>
      <c r="F111" s="61"/>
      <c r="G111" s="61"/>
      <c r="H111" s="61"/>
      <c r="I111" s="65">
        <v>0</v>
      </c>
      <c r="J111" s="61"/>
      <c r="K111" s="65">
        <v>0</v>
      </c>
      <c r="L111" s="61"/>
      <c r="M111" s="65">
        <v>0</v>
      </c>
      <c r="N111" s="61"/>
      <c r="O111" s="65">
        <v>0</v>
      </c>
      <c r="P111" s="61"/>
      <c r="Q111" s="65">
        <v>0</v>
      </c>
      <c r="R111" s="61"/>
      <c r="S111" s="65">
        <v>0</v>
      </c>
      <c r="T111" s="61"/>
      <c r="U111" s="65">
        <v>0</v>
      </c>
      <c r="V111" s="61"/>
      <c r="W111" s="65">
        <v>0</v>
      </c>
      <c r="X111" s="61"/>
      <c r="Y111" s="65">
        <v>0</v>
      </c>
      <c r="Z111" s="61"/>
      <c r="AA111" s="65">
        <v>0</v>
      </c>
      <c r="AB111" s="61"/>
      <c r="AC111" s="65">
        <v>0</v>
      </c>
      <c r="AD111" s="61"/>
      <c r="AE111" s="65">
        <v>0</v>
      </c>
      <c r="AF111" s="62"/>
    </row>
    <row r="112" spans="1:32" ht="29" x14ac:dyDescent="0.35">
      <c r="A112" s="63"/>
      <c r="B112" s="61"/>
      <c r="C112" s="61"/>
      <c r="D112" s="64">
        <f t="shared" si="6"/>
        <v>0</v>
      </c>
      <c r="E112" s="61"/>
      <c r="F112" s="61"/>
      <c r="G112" s="61"/>
      <c r="H112" s="61"/>
      <c r="I112" s="65">
        <v>0</v>
      </c>
      <c r="J112" s="61"/>
      <c r="K112" s="65">
        <v>0</v>
      </c>
      <c r="L112" s="61"/>
      <c r="M112" s="65">
        <v>0</v>
      </c>
      <c r="N112" s="61"/>
      <c r="O112" s="65">
        <v>0</v>
      </c>
      <c r="P112" s="61"/>
      <c r="Q112" s="65">
        <v>0</v>
      </c>
      <c r="R112" s="61"/>
      <c r="S112" s="65">
        <v>0</v>
      </c>
      <c r="T112" s="61"/>
      <c r="U112" s="65">
        <v>0</v>
      </c>
      <c r="V112" s="61"/>
      <c r="W112" s="65">
        <v>0</v>
      </c>
      <c r="X112" s="61"/>
      <c r="Y112" s="65">
        <v>0</v>
      </c>
      <c r="Z112" s="61"/>
      <c r="AA112" s="65">
        <v>0</v>
      </c>
      <c r="AB112" s="61"/>
      <c r="AC112" s="65">
        <v>0</v>
      </c>
      <c r="AD112" s="61"/>
      <c r="AE112" s="65">
        <v>0</v>
      </c>
      <c r="AF112" s="62"/>
    </row>
    <row r="113" spans="1:32" ht="29" x14ac:dyDescent="0.35">
      <c r="A113" s="63"/>
      <c r="B113" s="61"/>
      <c r="C113" s="61"/>
      <c r="D113" s="64">
        <f t="shared" si="6"/>
        <v>0</v>
      </c>
      <c r="E113" s="61"/>
      <c r="F113" s="61"/>
      <c r="G113" s="61"/>
      <c r="H113" s="61"/>
      <c r="I113" s="65">
        <v>0</v>
      </c>
      <c r="J113" s="61"/>
      <c r="K113" s="65">
        <v>0</v>
      </c>
      <c r="L113" s="61"/>
      <c r="M113" s="65">
        <v>0</v>
      </c>
      <c r="N113" s="61"/>
      <c r="O113" s="65">
        <v>0</v>
      </c>
      <c r="P113" s="61"/>
      <c r="Q113" s="65">
        <v>0</v>
      </c>
      <c r="R113" s="61"/>
      <c r="S113" s="65">
        <v>0</v>
      </c>
      <c r="T113" s="61"/>
      <c r="U113" s="65">
        <v>0</v>
      </c>
      <c r="V113" s="61"/>
      <c r="W113" s="65">
        <v>0</v>
      </c>
      <c r="X113" s="61"/>
      <c r="Y113" s="65">
        <v>0</v>
      </c>
      <c r="Z113" s="61"/>
      <c r="AA113" s="65">
        <v>0</v>
      </c>
      <c r="AB113" s="61"/>
      <c r="AC113" s="65">
        <v>0</v>
      </c>
      <c r="AD113" s="61"/>
      <c r="AE113" s="65">
        <v>0</v>
      </c>
      <c r="AF113" s="62"/>
    </row>
    <row r="114" spans="1:32" x14ac:dyDescent="0.2">
      <c r="A114" s="13"/>
      <c r="AF114" s="14"/>
    </row>
    <row r="115" spans="1:32" ht="29" x14ac:dyDescent="0.35">
      <c r="A115" s="66" t="s">
        <v>1893</v>
      </c>
      <c r="E115" s="67">
        <f>+J115+L115+N115+P115+R115+T115+V115+X115+Z115+AB115+AD115+AF115</f>
        <v>0</v>
      </c>
      <c r="F115" s="64">
        <f>+I115+K115+M115+O115+Q115+S115+U115+W115+Y115+AA115+AC115+AE115</f>
        <v>0</v>
      </c>
      <c r="H115" s="59">
        <f>COUNTA(H116:H149)</f>
        <v>0</v>
      </c>
      <c r="I115" s="59">
        <f>-SUM(I116:I149)</f>
        <v>0</v>
      </c>
      <c r="J115" s="51">
        <f>COUNTA(J116:J149)</f>
        <v>0</v>
      </c>
      <c r="K115" s="51">
        <f>-SUM(K116:K149)</f>
        <v>0</v>
      </c>
      <c r="L115" s="51">
        <f>COUNTA(L116:L149)</f>
        <v>0</v>
      </c>
      <c r="M115" s="51">
        <f>-SUM(M116:M149)</f>
        <v>0</v>
      </c>
      <c r="N115" s="51">
        <f>COUNTA(N116:N149)</f>
        <v>0</v>
      </c>
      <c r="O115" s="51">
        <f>-SUM(O116:O149)</f>
        <v>0</v>
      </c>
      <c r="P115" s="51">
        <f>COUNTA(P116:P149)</f>
        <v>0</v>
      </c>
      <c r="Q115" s="51">
        <f>-SUM(Q116:Q149)</f>
        <v>0</v>
      </c>
      <c r="R115" s="51">
        <f>COUNTA(R116:R149)</f>
        <v>0</v>
      </c>
      <c r="S115" s="51">
        <f>-SUM(S116:S149)</f>
        <v>0</v>
      </c>
      <c r="T115" s="51">
        <f>COUNTA(T116:T149)</f>
        <v>0</v>
      </c>
      <c r="U115" s="51">
        <f>-SUM(U116:U149)</f>
        <v>0</v>
      </c>
      <c r="V115" s="51">
        <f>COUNTA(V116:V149)</f>
        <v>0</v>
      </c>
      <c r="W115" s="51">
        <f>-SUM(W116:W149)</f>
        <v>0</v>
      </c>
      <c r="X115" s="51">
        <f>COUNTA(X116:X149)</f>
        <v>0</v>
      </c>
      <c r="Y115" s="51">
        <f>-SUM(Y116:Y149)</f>
        <v>0</v>
      </c>
      <c r="Z115" s="51">
        <f>COUNTA(Z116:Z149)</f>
        <v>0</v>
      </c>
      <c r="AA115" s="51">
        <f>-SUM(AA116:AA149)</f>
        <v>0</v>
      </c>
      <c r="AB115" s="51">
        <f>COUNTA(AB116:AB149)</f>
        <v>0</v>
      </c>
      <c r="AC115" s="51">
        <f>-SUM(AC116:AC149)</f>
        <v>0</v>
      </c>
      <c r="AD115" s="51">
        <f>COUNTA(AD116:AD149)</f>
        <v>0</v>
      </c>
      <c r="AE115" s="51">
        <f>-SUM(AE116:AE149)</f>
        <v>0</v>
      </c>
      <c r="AF115" s="52">
        <f>COUNTA(AF116:AF149)</f>
        <v>0</v>
      </c>
    </row>
    <row r="116" spans="1:32" ht="29" x14ac:dyDescent="0.35">
      <c r="A116" s="13"/>
      <c r="E116" s="12">
        <f>SUM(E117:E149)-E115</f>
        <v>0</v>
      </c>
      <c r="H116" s="59"/>
      <c r="AF116" s="14"/>
    </row>
    <row r="117" spans="1:32" ht="29" x14ac:dyDescent="0.35">
      <c r="A117" s="13"/>
      <c r="C117" s="68" t="str">
        <f t="shared" ref="C117:C149" si="7">IF(H117&lt;&gt;"",I$5,IF(J117&lt;&gt;"",K$5,IF(L117&lt;&gt;"",M$5,IF(N117&lt;&gt;"",O$5,IF(P117&lt;&gt;"",Q$5,IF(R117&lt;&gt;"",S$5,IF(T117&lt;&gt;"",U$5,IF(V117&lt;&gt;"",W$5,IF(X117&lt;&gt;"",Y$5,IF(Z117&lt;&gt;"",AA$5,IF(AB117&lt;&gt;"",AC$5,IF(AD117&lt;&gt;"",AE$5,""))))))))))))</f>
        <v/>
      </c>
      <c r="D117" s="69" t="s">
        <v>557</v>
      </c>
      <c r="E117" s="54">
        <f t="shared" ref="E117:E149" si="8">IF(F117&lt;&gt;0,1,0)</f>
        <v>0</v>
      </c>
      <c r="F117" s="64">
        <f t="shared" ref="F117:F149" si="9">+I117+K117+M117+O117+Q117+S117+U117+W117+Y117+AA117+AC117+AE117</f>
        <v>0</v>
      </c>
      <c r="H117" s="59"/>
      <c r="I117" s="51">
        <f>SUMIFS('Investor Exit List'!$Q:$Q, 'Investor Exit List'!$C:$C, 'Cashflow Projection'!H117)</f>
        <v>0</v>
      </c>
      <c r="J117" s="70"/>
      <c r="K117" s="51">
        <f>SUMIFS('Investor Exit List'!$Q:$Q, 'Investor Exit List'!$C:$C, 'Cashflow Projection'!J117)</f>
        <v>0</v>
      </c>
      <c r="L117" s="70"/>
      <c r="M117" s="51">
        <f>SUMIFS('Investor Exit List'!$Q:$Q, 'Investor Exit List'!$C:$C, 'Cashflow Projection'!L117)</f>
        <v>0</v>
      </c>
      <c r="N117" s="70"/>
      <c r="O117" s="51">
        <f>SUMIFS('Investor Exit List'!$Q:$Q, 'Investor Exit List'!$C:$C, 'Cashflow Projection'!N117)</f>
        <v>0</v>
      </c>
      <c r="P117" s="70"/>
      <c r="Q117" s="51">
        <f>SUMIFS('Investor Exit List'!$Q:$Q, 'Investor Exit List'!$C:$C, 'Cashflow Projection'!P117)</f>
        <v>0</v>
      </c>
      <c r="R117" s="70"/>
      <c r="S117" s="51">
        <f>SUMIFS('Investor Exit List'!$Q:$Q, 'Investor Exit List'!$C:$C, 'Cashflow Projection'!R117)</f>
        <v>0</v>
      </c>
      <c r="T117" s="70"/>
      <c r="U117" s="51">
        <f>SUMIFS('Investor Exit List'!$Q:$Q, 'Investor Exit List'!$C:$C, 'Cashflow Projection'!T117)</f>
        <v>0</v>
      </c>
      <c r="V117" s="70"/>
      <c r="W117" s="51">
        <f>SUMIFS('Investor Exit List'!$Q:$Q, 'Investor Exit List'!$C:$C, 'Cashflow Projection'!V117)</f>
        <v>0</v>
      </c>
      <c r="X117" s="70"/>
      <c r="Y117" s="51">
        <f>SUMIFS('Investor Exit List'!$Q:$Q, 'Investor Exit List'!$C:$C, 'Cashflow Projection'!X117)</f>
        <v>0</v>
      </c>
      <c r="Z117" s="70"/>
      <c r="AA117" s="51">
        <f>SUMIFS('Investor Exit List'!$Q:$Q, 'Investor Exit List'!$C:$C, 'Cashflow Projection'!Z117)</f>
        <v>0</v>
      </c>
      <c r="AB117" s="70"/>
      <c r="AC117" s="51">
        <f>SUMIFS('Investor Exit List'!$Q:$Q, 'Investor Exit List'!$C:$C, 'Cashflow Projection'!AB117)</f>
        <v>0</v>
      </c>
      <c r="AD117" s="70"/>
      <c r="AE117" s="51">
        <f>SUMIFS('Investor Exit List'!$Q:$Q, 'Investor Exit List'!$C:$C, 'Cashflow Projection'!AD117)</f>
        <v>0</v>
      </c>
      <c r="AF117" s="71"/>
    </row>
    <row r="118" spans="1:32" ht="29" x14ac:dyDescent="0.35">
      <c r="A118" s="13"/>
      <c r="C118" s="68" t="str">
        <f t="shared" si="7"/>
        <v/>
      </c>
      <c r="D118" s="69" t="s">
        <v>558</v>
      </c>
      <c r="E118" s="54">
        <f t="shared" si="8"/>
        <v>0</v>
      </c>
      <c r="F118" s="64">
        <f t="shared" si="9"/>
        <v>0</v>
      </c>
      <c r="H118" s="59"/>
      <c r="I118" s="51">
        <f>SUMIFS('Investor Exit List'!$Q:$Q, 'Investor Exit List'!$C:$C, 'Cashflow Projection'!H118)</f>
        <v>0</v>
      </c>
      <c r="J118" s="70"/>
      <c r="K118" s="51">
        <f>SUMIFS('Investor Exit List'!$Q:$Q, 'Investor Exit List'!$C:$C, 'Cashflow Projection'!J118)</f>
        <v>0</v>
      </c>
      <c r="L118" s="70"/>
      <c r="M118" s="51">
        <f>SUMIFS('Investor Exit List'!$Q:$Q, 'Investor Exit List'!$C:$C, 'Cashflow Projection'!L118)</f>
        <v>0</v>
      </c>
      <c r="N118" s="70"/>
      <c r="O118" s="51">
        <f>SUMIFS('Investor Exit List'!$Q:$Q, 'Investor Exit List'!$C:$C, 'Cashflow Projection'!N118)</f>
        <v>0</v>
      </c>
      <c r="P118" s="70"/>
      <c r="Q118" s="51">
        <f>SUMIFS('Investor Exit List'!$Q:$Q, 'Investor Exit List'!$C:$C, 'Cashflow Projection'!P118)</f>
        <v>0</v>
      </c>
      <c r="R118" s="70"/>
      <c r="S118" s="51">
        <f>SUMIFS('Investor Exit List'!$Q:$Q, 'Investor Exit List'!$C:$C, 'Cashflow Projection'!R118)</f>
        <v>0</v>
      </c>
      <c r="T118" s="70"/>
      <c r="U118" s="51">
        <f>SUMIFS('Investor Exit List'!$Q:$Q, 'Investor Exit List'!$C:$C, 'Cashflow Projection'!T118)</f>
        <v>0</v>
      </c>
      <c r="V118" s="70"/>
      <c r="W118" s="51">
        <f>SUMIFS('Investor Exit List'!$Q:$Q, 'Investor Exit List'!$C:$C, 'Cashflow Projection'!V118)</f>
        <v>0</v>
      </c>
      <c r="X118" s="70"/>
      <c r="Y118" s="51">
        <f>SUMIFS('Investor Exit List'!$Q:$Q, 'Investor Exit List'!$C:$C, 'Cashflow Projection'!X118)</f>
        <v>0</v>
      </c>
      <c r="Z118" s="70"/>
      <c r="AA118" s="51">
        <f>SUMIFS('Investor Exit List'!$Q:$Q, 'Investor Exit List'!$C:$C, 'Cashflow Projection'!Z118)</f>
        <v>0</v>
      </c>
      <c r="AB118" s="70"/>
      <c r="AC118" s="51">
        <f>SUMIFS('Investor Exit List'!$Q:$Q, 'Investor Exit List'!$C:$C, 'Cashflow Projection'!AB118)</f>
        <v>0</v>
      </c>
      <c r="AD118" s="70"/>
      <c r="AE118" s="51">
        <f>SUMIFS('Investor Exit List'!$Q:$Q, 'Investor Exit List'!$C:$C, 'Cashflow Projection'!AD118)</f>
        <v>0</v>
      </c>
      <c r="AF118" s="71"/>
    </row>
    <row r="119" spans="1:32" ht="29" x14ac:dyDescent="0.35">
      <c r="A119" s="13"/>
      <c r="C119" s="68" t="str">
        <f t="shared" si="7"/>
        <v/>
      </c>
      <c r="D119" s="69" t="s">
        <v>565</v>
      </c>
      <c r="E119" s="54">
        <f t="shared" si="8"/>
        <v>0</v>
      </c>
      <c r="F119" s="64">
        <f t="shared" si="9"/>
        <v>0</v>
      </c>
      <c r="H119" s="59"/>
      <c r="I119" s="51">
        <f>SUMIFS('Investor Exit List'!$Q:$Q, 'Investor Exit List'!$C:$C, 'Cashflow Projection'!H119)</f>
        <v>0</v>
      </c>
      <c r="J119" s="70"/>
      <c r="K119" s="51">
        <f>SUMIFS('Investor Exit List'!$Q:$Q, 'Investor Exit List'!$C:$C, 'Cashflow Projection'!J119)</f>
        <v>0</v>
      </c>
      <c r="L119" s="70"/>
      <c r="M119" s="51">
        <f>SUMIFS('Investor Exit List'!$Q:$Q, 'Investor Exit List'!$C:$C, 'Cashflow Projection'!L119)</f>
        <v>0</v>
      </c>
      <c r="N119" s="70"/>
      <c r="O119" s="51">
        <f>SUMIFS('Investor Exit List'!$Q:$Q, 'Investor Exit List'!$C:$C, 'Cashflow Projection'!N119)</f>
        <v>0</v>
      </c>
      <c r="P119" s="70"/>
      <c r="Q119" s="51">
        <f>SUMIFS('Investor Exit List'!$Q:$Q, 'Investor Exit List'!$C:$C, 'Cashflow Projection'!P119)</f>
        <v>0</v>
      </c>
      <c r="R119" s="70"/>
      <c r="S119" s="51">
        <f>SUMIFS('Investor Exit List'!$Q:$Q, 'Investor Exit List'!$C:$C, 'Cashflow Projection'!R119)</f>
        <v>0</v>
      </c>
      <c r="T119" s="70"/>
      <c r="U119" s="51">
        <f>SUMIFS('Investor Exit List'!$Q:$Q, 'Investor Exit List'!$C:$C, 'Cashflow Projection'!T119)</f>
        <v>0</v>
      </c>
      <c r="V119" s="70"/>
      <c r="W119" s="51">
        <f>SUMIFS('Investor Exit List'!$Q:$Q, 'Investor Exit List'!$C:$C, 'Cashflow Projection'!V119)</f>
        <v>0</v>
      </c>
      <c r="X119" s="70"/>
      <c r="Y119" s="51">
        <f>SUMIFS('Investor Exit List'!$Q:$Q, 'Investor Exit List'!$C:$C, 'Cashflow Projection'!X119)</f>
        <v>0</v>
      </c>
      <c r="Z119" s="70"/>
      <c r="AA119" s="51">
        <f>SUMIFS('Investor Exit List'!$Q:$Q, 'Investor Exit List'!$C:$C, 'Cashflow Projection'!Z119)</f>
        <v>0</v>
      </c>
      <c r="AB119" s="70"/>
      <c r="AC119" s="51">
        <f>SUMIFS('Investor Exit List'!$Q:$Q, 'Investor Exit List'!$C:$C, 'Cashflow Projection'!AB119)</f>
        <v>0</v>
      </c>
      <c r="AD119" s="70"/>
      <c r="AE119" s="51">
        <f>SUMIFS('Investor Exit List'!$Q:$Q, 'Investor Exit List'!$C:$C, 'Cashflow Projection'!AD119)</f>
        <v>0</v>
      </c>
      <c r="AF119" s="71"/>
    </row>
    <row r="120" spans="1:32" ht="29" x14ac:dyDescent="0.35">
      <c r="A120" s="13"/>
      <c r="C120" s="68" t="str">
        <f t="shared" si="7"/>
        <v/>
      </c>
      <c r="D120" s="69" t="s">
        <v>848</v>
      </c>
      <c r="E120" s="54">
        <f t="shared" si="8"/>
        <v>0</v>
      </c>
      <c r="F120" s="64">
        <f t="shared" si="9"/>
        <v>0</v>
      </c>
      <c r="H120" s="59"/>
      <c r="I120" s="51">
        <f>SUMIFS('Investor Exit List'!$Q:$Q, 'Investor Exit List'!$C:$C, 'Cashflow Projection'!H120)</f>
        <v>0</v>
      </c>
      <c r="J120" s="70"/>
      <c r="K120" s="51">
        <f>SUMIFS('Investor Exit List'!$Q:$Q, 'Investor Exit List'!$C:$C, 'Cashflow Projection'!J120)</f>
        <v>0</v>
      </c>
      <c r="L120" s="70"/>
      <c r="M120" s="51">
        <f>SUMIFS('Investor Exit List'!$Q:$Q, 'Investor Exit List'!$C:$C, 'Cashflow Projection'!L120)</f>
        <v>0</v>
      </c>
      <c r="N120" s="70"/>
      <c r="O120" s="51">
        <f>SUMIFS('Investor Exit List'!$Q:$Q, 'Investor Exit List'!$C:$C, 'Cashflow Projection'!N120)</f>
        <v>0</v>
      </c>
      <c r="P120" s="70"/>
      <c r="Q120" s="51">
        <f>SUMIFS('Investor Exit List'!$Q:$Q, 'Investor Exit List'!$C:$C, 'Cashflow Projection'!P120)</f>
        <v>0</v>
      </c>
      <c r="R120" s="70"/>
      <c r="S120" s="51">
        <f>SUMIFS('Investor Exit List'!$Q:$Q, 'Investor Exit List'!$C:$C, 'Cashflow Projection'!R120)</f>
        <v>0</v>
      </c>
      <c r="T120" s="70"/>
      <c r="U120" s="51">
        <f>SUMIFS('Investor Exit List'!$Q:$Q, 'Investor Exit List'!$C:$C, 'Cashflow Projection'!T120)</f>
        <v>0</v>
      </c>
      <c r="V120" s="70"/>
      <c r="W120" s="51">
        <f>SUMIFS('Investor Exit List'!$Q:$Q, 'Investor Exit List'!$C:$C, 'Cashflow Projection'!V120)</f>
        <v>0</v>
      </c>
      <c r="X120" s="70"/>
      <c r="Y120" s="51">
        <f>SUMIFS('Investor Exit List'!$Q:$Q, 'Investor Exit List'!$C:$C, 'Cashflow Projection'!X120)</f>
        <v>0</v>
      </c>
      <c r="Z120" s="70"/>
      <c r="AA120" s="51">
        <f>SUMIFS('Investor Exit List'!$Q:$Q, 'Investor Exit List'!$C:$C, 'Cashflow Projection'!Z120)</f>
        <v>0</v>
      </c>
      <c r="AB120" s="70"/>
      <c r="AC120" s="51">
        <f>SUMIFS('Investor Exit List'!$Q:$Q, 'Investor Exit List'!$C:$C, 'Cashflow Projection'!AB120)</f>
        <v>0</v>
      </c>
      <c r="AD120" s="70"/>
      <c r="AE120" s="51">
        <f>SUMIFS('Investor Exit List'!$Q:$Q, 'Investor Exit List'!$C:$C, 'Cashflow Projection'!AD120)</f>
        <v>0</v>
      </c>
      <c r="AF120" s="71"/>
    </row>
    <row r="121" spans="1:32" ht="29" x14ac:dyDescent="0.35">
      <c r="A121" s="13"/>
      <c r="C121" s="68" t="str">
        <f t="shared" si="7"/>
        <v/>
      </c>
      <c r="D121" s="69" t="s">
        <v>849</v>
      </c>
      <c r="E121" s="54">
        <f t="shared" si="8"/>
        <v>0</v>
      </c>
      <c r="F121" s="64">
        <f t="shared" si="9"/>
        <v>0</v>
      </c>
      <c r="H121" s="59"/>
      <c r="I121" s="51">
        <f>SUMIFS('Investor Exit List'!$Q:$Q, 'Investor Exit List'!$C:$C, 'Cashflow Projection'!H121)</f>
        <v>0</v>
      </c>
      <c r="J121" s="70"/>
      <c r="K121" s="51">
        <f>SUMIFS('Investor Exit List'!$Q:$Q, 'Investor Exit List'!$C:$C, 'Cashflow Projection'!J121)</f>
        <v>0</v>
      </c>
      <c r="L121" s="70"/>
      <c r="M121" s="51">
        <f>SUMIFS('Investor Exit List'!$Q:$Q, 'Investor Exit List'!$C:$C, 'Cashflow Projection'!L121)</f>
        <v>0</v>
      </c>
      <c r="N121" s="70"/>
      <c r="O121" s="51">
        <f>SUMIFS('Investor Exit List'!$Q:$Q, 'Investor Exit List'!$C:$C, 'Cashflow Projection'!N121)</f>
        <v>0</v>
      </c>
      <c r="P121" s="70"/>
      <c r="Q121" s="51">
        <f>SUMIFS('Investor Exit List'!$Q:$Q, 'Investor Exit List'!$C:$C, 'Cashflow Projection'!P121)</f>
        <v>0</v>
      </c>
      <c r="R121" s="70"/>
      <c r="S121" s="51">
        <f>SUMIFS('Investor Exit List'!$Q:$Q, 'Investor Exit List'!$C:$C, 'Cashflow Projection'!R121)</f>
        <v>0</v>
      </c>
      <c r="T121" s="70"/>
      <c r="U121" s="51">
        <f>SUMIFS('Investor Exit List'!$Q:$Q, 'Investor Exit List'!$C:$C, 'Cashflow Projection'!T121)</f>
        <v>0</v>
      </c>
      <c r="V121" s="70"/>
      <c r="W121" s="51">
        <f>SUMIFS('Investor Exit List'!$Q:$Q, 'Investor Exit List'!$C:$C, 'Cashflow Projection'!V121)</f>
        <v>0</v>
      </c>
      <c r="X121" s="70"/>
      <c r="Y121" s="51">
        <f>SUMIFS('Investor Exit List'!$Q:$Q, 'Investor Exit List'!$C:$C, 'Cashflow Projection'!X121)</f>
        <v>0</v>
      </c>
      <c r="Z121" s="70"/>
      <c r="AA121" s="51">
        <f>SUMIFS('Investor Exit List'!$Q:$Q, 'Investor Exit List'!$C:$C, 'Cashflow Projection'!Z121)</f>
        <v>0</v>
      </c>
      <c r="AB121" s="70"/>
      <c r="AC121" s="51">
        <f>SUMIFS('Investor Exit List'!$Q:$Q, 'Investor Exit List'!$C:$C, 'Cashflow Projection'!AB121)</f>
        <v>0</v>
      </c>
      <c r="AD121" s="70"/>
      <c r="AE121" s="51">
        <f>SUMIFS('Investor Exit List'!$Q:$Q, 'Investor Exit List'!$C:$C, 'Cashflow Projection'!AD121)</f>
        <v>0</v>
      </c>
      <c r="AF121" s="71"/>
    </row>
    <row r="122" spans="1:32" ht="29" x14ac:dyDescent="0.35">
      <c r="A122" s="13"/>
      <c r="C122" s="68" t="str">
        <f t="shared" si="7"/>
        <v/>
      </c>
      <c r="D122" s="69" t="s">
        <v>913</v>
      </c>
      <c r="E122" s="54">
        <f t="shared" si="8"/>
        <v>0</v>
      </c>
      <c r="F122" s="64">
        <f t="shared" si="9"/>
        <v>0</v>
      </c>
      <c r="H122" s="59"/>
      <c r="I122" s="51">
        <f>SUMIFS('Investor Exit List'!$Q:$Q, 'Investor Exit List'!$C:$C, 'Cashflow Projection'!H122)</f>
        <v>0</v>
      </c>
      <c r="J122" s="70"/>
      <c r="K122" s="51">
        <f>SUMIFS('Investor Exit List'!$Q:$Q, 'Investor Exit List'!$C:$C, 'Cashflow Projection'!J122)</f>
        <v>0</v>
      </c>
      <c r="L122" s="70"/>
      <c r="M122" s="51">
        <f>SUMIFS('Investor Exit List'!$Q:$Q, 'Investor Exit List'!$C:$C, 'Cashflow Projection'!L122)</f>
        <v>0</v>
      </c>
      <c r="N122" s="70"/>
      <c r="O122" s="51">
        <f>SUMIFS('Investor Exit List'!$Q:$Q, 'Investor Exit List'!$C:$C, 'Cashflow Projection'!N122)</f>
        <v>0</v>
      </c>
      <c r="P122" s="70"/>
      <c r="Q122" s="51">
        <f>SUMIFS('Investor Exit List'!$Q:$Q, 'Investor Exit List'!$C:$C, 'Cashflow Projection'!P122)</f>
        <v>0</v>
      </c>
      <c r="R122" s="70"/>
      <c r="S122" s="51">
        <f>SUMIFS('Investor Exit List'!$Q:$Q, 'Investor Exit List'!$C:$C, 'Cashflow Projection'!R122)</f>
        <v>0</v>
      </c>
      <c r="T122" s="70"/>
      <c r="U122" s="51">
        <f>SUMIFS('Investor Exit List'!$Q:$Q, 'Investor Exit List'!$C:$C, 'Cashflow Projection'!T122)</f>
        <v>0</v>
      </c>
      <c r="V122" s="70"/>
      <c r="W122" s="51">
        <f>SUMIFS('Investor Exit List'!$Q:$Q, 'Investor Exit List'!$C:$C, 'Cashflow Projection'!V122)</f>
        <v>0</v>
      </c>
      <c r="X122" s="70"/>
      <c r="Y122" s="51">
        <f>SUMIFS('Investor Exit List'!$Q:$Q, 'Investor Exit List'!$C:$C, 'Cashflow Projection'!X122)</f>
        <v>0</v>
      </c>
      <c r="Z122" s="70"/>
      <c r="AA122" s="51">
        <f>SUMIFS('Investor Exit List'!$Q:$Q, 'Investor Exit List'!$C:$C, 'Cashflow Projection'!Z122)</f>
        <v>0</v>
      </c>
      <c r="AB122" s="70"/>
      <c r="AC122" s="51">
        <f>SUMIFS('Investor Exit List'!$Q:$Q, 'Investor Exit List'!$C:$C, 'Cashflow Projection'!AB122)</f>
        <v>0</v>
      </c>
      <c r="AD122" s="70"/>
      <c r="AE122" s="51">
        <f>SUMIFS('Investor Exit List'!$Q:$Q, 'Investor Exit List'!$C:$C, 'Cashflow Projection'!AD122)</f>
        <v>0</v>
      </c>
      <c r="AF122" s="71"/>
    </row>
    <row r="123" spans="1:32" ht="29" x14ac:dyDescent="0.35">
      <c r="A123" s="13"/>
      <c r="C123" s="68" t="str">
        <f t="shared" si="7"/>
        <v/>
      </c>
      <c r="D123" s="69" t="s">
        <v>921</v>
      </c>
      <c r="E123" s="54">
        <f t="shared" si="8"/>
        <v>0</v>
      </c>
      <c r="F123" s="64">
        <f t="shared" si="9"/>
        <v>0</v>
      </c>
      <c r="H123" s="59"/>
      <c r="I123" s="51">
        <f>SUMIFS('Investor Exit List'!$Q:$Q, 'Investor Exit List'!$C:$C, 'Cashflow Projection'!H123)</f>
        <v>0</v>
      </c>
      <c r="J123" s="70"/>
      <c r="K123" s="51">
        <f>SUMIFS('Investor Exit List'!$Q:$Q, 'Investor Exit List'!$C:$C, 'Cashflow Projection'!J123)</f>
        <v>0</v>
      </c>
      <c r="L123" s="70"/>
      <c r="M123" s="51">
        <f>SUMIFS('Investor Exit List'!$Q:$Q, 'Investor Exit List'!$C:$C, 'Cashflow Projection'!L123)</f>
        <v>0</v>
      </c>
      <c r="N123" s="70"/>
      <c r="O123" s="51">
        <f>SUMIFS('Investor Exit List'!$Q:$Q, 'Investor Exit List'!$C:$C, 'Cashflow Projection'!N123)</f>
        <v>0</v>
      </c>
      <c r="P123" s="70"/>
      <c r="Q123" s="51">
        <f>SUMIFS('Investor Exit List'!$Q:$Q, 'Investor Exit List'!$C:$C, 'Cashflow Projection'!P123)</f>
        <v>0</v>
      </c>
      <c r="R123" s="70"/>
      <c r="S123" s="51">
        <f>SUMIFS('Investor Exit List'!$Q:$Q, 'Investor Exit List'!$C:$C, 'Cashflow Projection'!R123)</f>
        <v>0</v>
      </c>
      <c r="T123" s="70"/>
      <c r="U123" s="51">
        <f>SUMIFS('Investor Exit List'!$Q:$Q, 'Investor Exit List'!$C:$C, 'Cashflow Projection'!T123)</f>
        <v>0</v>
      </c>
      <c r="V123" s="70"/>
      <c r="W123" s="51">
        <f>SUMIFS('Investor Exit List'!$Q:$Q, 'Investor Exit List'!$C:$C, 'Cashflow Projection'!V123)</f>
        <v>0</v>
      </c>
      <c r="X123" s="70"/>
      <c r="Y123" s="51">
        <f>SUMIFS('Investor Exit List'!$Q:$Q, 'Investor Exit List'!$C:$C, 'Cashflow Projection'!X123)</f>
        <v>0</v>
      </c>
      <c r="Z123" s="70"/>
      <c r="AA123" s="51">
        <f>SUMIFS('Investor Exit List'!$Q:$Q, 'Investor Exit List'!$C:$C, 'Cashflow Projection'!Z123)</f>
        <v>0</v>
      </c>
      <c r="AB123" s="70"/>
      <c r="AC123" s="51">
        <f>SUMIFS('Investor Exit List'!$Q:$Q, 'Investor Exit List'!$C:$C, 'Cashflow Projection'!AB123)</f>
        <v>0</v>
      </c>
      <c r="AD123" s="70"/>
      <c r="AE123" s="51">
        <f>SUMIFS('Investor Exit List'!$Q:$Q, 'Investor Exit List'!$C:$C, 'Cashflow Projection'!AD123)</f>
        <v>0</v>
      </c>
      <c r="AF123" s="71"/>
    </row>
    <row r="124" spans="1:32" ht="29" x14ac:dyDescent="0.35">
      <c r="A124" s="13"/>
      <c r="C124" s="68" t="str">
        <f t="shared" si="7"/>
        <v/>
      </c>
      <c r="D124" s="69" t="s">
        <v>427</v>
      </c>
      <c r="E124" s="54">
        <f t="shared" si="8"/>
        <v>0</v>
      </c>
      <c r="F124" s="64">
        <f t="shared" si="9"/>
        <v>0</v>
      </c>
      <c r="H124" s="59"/>
      <c r="I124" s="51">
        <f>SUMIFS('Investor Exit List'!$Q:$Q, 'Investor Exit List'!$C:$C, 'Cashflow Projection'!H124)</f>
        <v>0</v>
      </c>
      <c r="J124" s="70"/>
      <c r="K124" s="51">
        <f>SUMIFS('Investor Exit List'!$Q:$Q, 'Investor Exit List'!$C:$C, 'Cashflow Projection'!J124)</f>
        <v>0</v>
      </c>
      <c r="L124" s="70"/>
      <c r="M124" s="51">
        <f>SUMIFS('Investor Exit List'!$Q:$Q, 'Investor Exit List'!$C:$C, 'Cashflow Projection'!L124)</f>
        <v>0</v>
      </c>
      <c r="N124" s="70"/>
      <c r="O124" s="51">
        <f>SUMIFS('Investor Exit List'!$Q:$Q, 'Investor Exit List'!$C:$C, 'Cashflow Projection'!N124)</f>
        <v>0</v>
      </c>
      <c r="P124" s="70"/>
      <c r="Q124" s="51">
        <f>SUMIFS('Investor Exit List'!$Q:$Q, 'Investor Exit List'!$C:$C, 'Cashflow Projection'!P124)</f>
        <v>0</v>
      </c>
      <c r="R124" s="70"/>
      <c r="S124" s="51">
        <f>SUMIFS('Investor Exit List'!$Q:$Q, 'Investor Exit List'!$C:$C, 'Cashflow Projection'!R124)</f>
        <v>0</v>
      </c>
      <c r="T124" s="70"/>
      <c r="U124" s="51">
        <f>SUMIFS('Investor Exit List'!$Q:$Q, 'Investor Exit List'!$C:$C, 'Cashflow Projection'!T124)</f>
        <v>0</v>
      </c>
      <c r="V124" s="70"/>
      <c r="W124" s="51">
        <f>SUMIFS('Investor Exit List'!$Q:$Q, 'Investor Exit List'!$C:$C, 'Cashflow Projection'!V124)</f>
        <v>0</v>
      </c>
      <c r="X124" s="70"/>
      <c r="Y124" s="51">
        <f>SUMIFS('Investor Exit List'!$Q:$Q, 'Investor Exit List'!$C:$C, 'Cashflow Projection'!X124)</f>
        <v>0</v>
      </c>
      <c r="Z124" s="70"/>
      <c r="AA124" s="51">
        <f>SUMIFS('Investor Exit List'!$Q:$Q, 'Investor Exit List'!$C:$C, 'Cashflow Projection'!Z124)</f>
        <v>0</v>
      </c>
      <c r="AB124" s="70"/>
      <c r="AC124" s="51">
        <f>SUMIFS('Investor Exit List'!$Q:$Q, 'Investor Exit List'!$C:$C, 'Cashflow Projection'!AB124)</f>
        <v>0</v>
      </c>
      <c r="AD124" s="70"/>
      <c r="AE124" s="51">
        <f>SUMIFS('Investor Exit List'!$Q:$Q, 'Investor Exit List'!$C:$C, 'Cashflow Projection'!AD124)</f>
        <v>0</v>
      </c>
      <c r="AF124" s="71"/>
    </row>
    <row r="125" spans="1:32" ht="29" x14ac:dyDescent="0.35">
      <c r="A125" s="13"/>
      <c r="C125" s="68" t="str">
        <f t="shared" si="7"/>
        <v/>
      </c>
      <c r="D125" s="69" t="s">
        <v>446</v>
      </c>
      <c r="E125" s="54">
        <f t="shared" si="8"/>
        <v>0</v>
      </c>
      <c r="F125" s="64">
        <f t="shared" si="9"/>
        <v>0</v>
      </c>
      <c r="H125" s="59"/>
      <c r="I125" s="51">
        <f>SUMIFS('Investor Exit List'!$Q:$Q, 'Investor Exit List'!$C:$C, 'Cashflow Projection'!H125)</f>
        <v>0</v>
      </c>
      <c r="J125" s="70"/>
      <c r="K125" s="51">
        <f>SUMIFS('Investor Exit List'!$Q:$Q, 'Investor Exit List'!$C:$C, 'Cashflow Projection'!J125)</f>
        <v>0</v>
      </c>
      <c r="L125" s="70"/>
      <c r="M125" s="51">
        <f>SUMIFS('Investor Exit List'!$Q:$Q, 'Investor Exit List'!$C:$C, 'Cashflow Projection'!L125)</f>
        <v>0</v>
      </c>
      <c r="N125" s="70"/>
      <c r="O125" s="51">
        <f>SUMIFS('Investor Exit List'!$Q:$Q, 'Investor Exit List'!$C:$C, 'Cashflow Projection'!N125)</f>
        <v>0</v>
      </c>
      <c r="P125" s="70"/>
      <c r="Q125" s="51">
        <f>SUMIFS('Investor Exit List'!$Q:$Q, 'Investor Exit List'!$C:$C, 'Cashflow Projection'!P125)</f>
        <v>0</v>
      </c>
      <c r="R125" s="70"/>
      <c r="S125" s="51">
        <f>SUMIFS('Investor Exit List'!$Q:$Q, 'Investor Exit List'!$C:$C, 'Cashflow Projection'!R125)</f>
        <v>0</v>
      </c>
      <c r="T125" s="70"/>
      <c r="U125" s="51">
        <f>SUMIFS('Investor Exit List'!$Q:$Q, 'Investor Exit List'!$C:$C, 'Cashflow Projection'!T125)</f>
        <v>0</v>
      </c>
      <c r="V125" s="70"/>
      <c r="W125" s="51">
        <f>SUMIFS('Investor Exit List'!$Q:$Q, 'Investor Exit List'!$C:$C, 'Cashflow Projection'!V125)</f>
        <v>0</v>
      </c>
      <c r="X125" s="70"/>
      <c r="Y125" s="51">
        <f>SUMIFS('Investor Exit List'!$Q:$Q, 'Investor Exit List'!$C:$C, 'Cashflow Projection'!X125)</f>
        <v>0</v>
      </c>
      <c r="Z125" s="70"/>
      <c r="AA125" s="51">
        <f>SUMIFS('Investor Exit List'!$Q:$Q, 'Investor Exit List'!$C:$C, 'Cashflow Projection'!Z125)</f>
        <v>0</v>
      </c>
      <c r="AB125" s="70"/>
      <c r="AC125" s="51">
        <f>SUMIFS('Investor Exit List'!$Q:$Q, 'Investor Exit List'!$C:$C, 'Cashflow Projection'!AB125)</f>
        <v>0</v>
      </c>
      <c r="AD125" s="70"/>
      <c r="AE125" s="51">
        <f>SUMIFS('Investor Exit List'!$Q:$Q, 'Investor Exit List'!$C:$C, 'Cashflow Projection'!AD125)</f>
        <v>0</v>
      </c>
      <c r="AF125" s="71"/>
    </row>
    <row r="126" spans="1:32" ht="29" x14ac:dyDescent="0.35">
      <c r="A126" s="13"/>
      <c r="C126" s="68" t="str">
        <f t="shared" si="7"/>
        <v/>
      </c>
      <c r="D126" s="69" t="s">
        <v>471</v>
      </c>
      <c r="E126" s="54">
        <f t="shared" si="8"/>
        <v>0</v>
      </c>
      <c r="F126" s="64">
        <f t="shared" si="9"/>
        <v>0</v>
      </c>
      <c r="H126" s="59"/>
      <c r="I126" s="51">
        <f>SUMIFS('Investor Exit List'!$Q:$Q, 'Investor Exit List'!$C:$C, 'Cashflow Projection'!H126)</f>
        <v>0</v>
      </c>
      <c r="J126" s="70"/>
      <c r="K126" s="51">
        <f>SUMIFS('Investor Exit List'!$Q:$Q, 'Investor Exit List'!$C:$C, 'Cashflow Projection'!J126)</f>
        <v>0</v>
      </c>
      <c r="L126" s="70"/>
      <c r="M126" s="51">
        <f>SUMIFS('Investor Exit List'!$Q:$Q, 'Investor Exit List'!$C:$C, 'Cashflow Projection'!L126)</f>
        <v>0</v>
      </c>
      <c r="N126" s="70"/>
      <c r="O126" s="51">
        <f>SUMIFS('Investor Exit List'!$Q:$Q, 'Investor Exit List'!$C:$C, 'Cashflow Projection'!N126)</f>
        <v>0</v>
      </c>
      <c r="P126" s="70"/>
      <c r="Q126" s="51">
        <f>SUMIFS('Investor Exit List'!$Q:$Q, 'Investor Exit List'!$C:$C, 'Cashflow Projection'!P126)</f>
        <v>0</v>
      </c>
      <c r="R126" s="70"/>
      <c r="S126" s="51">
        <f>SUMIFS('Investor Exit List'!$Q:$Q, 'Investor Exit List'!$C:$C, 'Cashflow Projection'!R126)</f>
        <v>0</v>
      </c>
      <c r="T126" s="70"/>
      <c r="U126" s="51">
        <f>SUMIFS('Investor Exit List'!$Q:$Q, 'Investor Exit List'!$C:$C, 'Cashflow Projection'!T126)</f>
        <v>0</v>
      </c>
      <c r="V126" s="70"/>
      <c r="W126" s="51">
        <f>SUMIFS('Investor Exit List'!$Q:$Q, 'Investor Exit List'!$C:$C, 'Cashflow Projection'!V126)</f>
        <v>0</v>
      </c>
      <c r="X126" s="70"/>
      <c r="Y126" s="51">
        <f>SUMIFS('Investor Exit List'!$Q:$Q, 'Investor Exit List'!$C:$C, 'Cashflow Projection'!X126)</f>
        <v>0</v>
      </c>
      <c r="Z126" s="70"/>
      <c r="AA126" s="51">
        <f>SUMIFS('Investor Exit List'!$Q:$Q, 'Investor Exit List'!$C:$C, 'Cashflow Projection'!Z126)</f>
        <v>0</v>
      </c>
      <c r="AB126" s="70"/>
      <c r="AC126" s="51">
        <f>SUMIFS('Investor Exit List'!$Q:$Q, 'Investor Exit List'!$C:$C, 'Cashflow Projection'!AB126)</f>
        <v>0</v>
      </c>
      <c r="AD126" s="70"/>
      <c r="AE126" s="51">
        <f>SUMIFS('Investor Exit List'!$Q:$Q, 'Investor Exit List'!$C:$C, 'Cashflow Projection'!AD126)</f>
        <v>0</v>
      </c>
      <c r="AF126" s="71"/>
    </row>
    <row r="127" spans="1:32" ht="29" x14ac:dyDescent="0.35">
      <c r="A127" s="13"/>
      <c r="C127" s="68" t="str">
        <f t="shared" si="7"/>
        <v/>
      </c>
      <c r="D127" s="69" t="s">
        <v>488</v>
      </c>
      <c r="E127" s="54">
        <f t="shared" si="8"/>
        <v>0</v>
      </c>
      <c r="F127" s="64">
        <f t="shared" si="9"/>
        <v>0</v>
      </c>
      <c r="H127" s="59"/>
      <c r="I127" s="51">
        <f>SUMIFS('Investor Exit List'!$Q:$Q, 'Investor Exit List'!$C:$C, 'Cashflow Projection'!H127)</f>
        <v>0</v>
      </c>
      <c r="J127" s="70"/>
      <c r="K127" s="51">
        <f>SUMIFS('Investor Exit List'!$Q:$Q, 'Investor Exit List'!$C:$C, 'Cashflow Projection'!J127)</f>
        <v>0</v>
      </c>
      <c r="L127" s="70"/>
      <c r="M127" s="51">
        <f>SUMIFS('Investor Exit List'!$Q:$Q, 'Investor Exit List'!$C:$C, 'Cashflow Projection'!L127)</f>
        <v>0</v>
      </c>
      <c r="N127" s="70"/>
      <c r="O127" s="51">
        <f>SUMIFS('Investor Exit List'!$Q:$Q, 'Investor Exit List'!$C:$C, 'Cashflow Projection'!N127)</f>
        <v>0</v>
      </c>
      <c r="P127" s="70"/>
      <c r="Q127" s="51">
        <f>SUMIFS('Investor Exit List'!$Q:$Q, 'Investor Exit List'!$C:$C, 'Cashflow Projection'!P127)</f>
        <v>0</v>
      </c>
      <c r="R127" s="70"/>
      <c r="S127" s="51">
        <f>SUMIFS('Investor Exit List'!$Q:$Q, 'Investor Exit List'!$C:$C, 'Cashflow Projection'!R127)</f>
        <v>0</v>
      </c>
      <c r="T127" s="70"/>
      <c r="U127" s="51">
        <f>SUMIFS('Investor Exit List'!$Q:$Q, 'Investor Exit List'!$C:$C, 'Cashflow Projection'!T127)</f>
        <v>0</v>
      </c>
      <c r="V127" s="70"/>
      <c r="W127" s="51">
        <f>SUMIFS('Investor Exit List'!$Q:$Q, 'Investor Exit List'!$C:$C, 'Cashflow Projection'!V127)</f>
        <v>0</v>
      </c>
      <c r="X127" s="70"/>
      <c r="Y127" s="51">
        <f>SUMIFS('Investor Exit List'!$Q:$Q, 'Investor Exit List'!$C:$C, 'Cashflow Projection'!X127)</f>
        <v>0</v>
      </c>
      <c r="Z127" s="70"/>
      <c r="AA127" s="51">
        <f>SUMIFS('Investor Exit List'!$Q:$Q, 'Investor Exit List'!$C:$C, 'Cashflow Projection'!Z127)</f>
        <v>0</v>
      </c>
      <c r="AB127" s="70"/>
      <c r="AC127" s="51">
        <f>SUMIFS('Investor Exit List'!$Q:$Q, 'Investor Exit List'!$C:$C, 'Cashflow Projection'!AB127)</f>
        <v>0</v>
      </c>
      <c r="AD127" s="70"/>
      <c r="AE127" s="51">
        <f>SUMIFS('Investor Exit List'!$Q:$Q, 'Investor Exit List'!$C:$C, 'Cashflow Projection'!AD127)</f>
        <v>0</v>
      </c>
      <c r="AF127" s="71"/>
    </row>
    <row r="128" spans="1:32" ht="29" x14ac:dyDescent="0.35">
      <c r="A128" s="13"/>
      <c r="C128" s="68" t="str">
        <f t="shared" si="7"/>
        <v/>
      </c>
      <c r="D128" s="69" t="s">
        <v>492</v>
      </c>
      <c r="E128" s="54">
        <f t="shared" si="8"/>
        <v>0</v>
      </c>
      <c r="F128" s="64">
        <f t="shared" si="9"/>
        <v>0</v>
      </c>
      <c r="H128" s="59"/>
      <c r="I128" s="51">
        <f>SUMIFS('Investor Exit List'!$Q:$Q, 'Investor Exit List'!$C:$C, 'Cashflow Projection'!H128)</f>
        <v>0</v>
      </c>
      <c r="J128" s="70"/>
      <c r="K128" s="51">
        <f>SUMIFS('Investor Exit List'!$Q:$Q, 'Investor Exit List'!$C:$C, 'Cashflow Projection'!J128)</f>
        <v>0</v>
      </c>
      <c r="L128" s="70"/>
      <c r="M128" s="51">
        <f>SUMIFS('Investor Exit List'!$Q:$Q, 'Investor Exit List'!$C:$C, 'Cashflow Projection'!L128)</f>
        <v>0</v>
      </c>
      <c r="N128" s="70"/>
      <c r="O128" s="51">
        <f>SUMIFS('Investor Exit List'!$Q:$Q, 'Investor Exit List'!$C:$C, 'Cashflow Projection'!N128)</f>
        <v>0</v>
      </c>
      <c r="P128" s="70"/>
      <c r="Q128" s="51">
        <f>SUMIFS('Investor Exit List'!$Q:$Q, 'Investor Exit List'!$C:$C, 'Cashflow Projection'!P128)</f>
        <v>0</v>
      </c>
      <c r="R128" s="70"/>
      <c r="S128" s="51">
        <f>SUMIFS('Investor Exit List'!$Q:$Q, 'Investor Exit List'!$C:$C, 'Cashflow Projection'!R128)</f>
        <v>0</v>
      </c>
      <c r="T128" s="70"/>
      <c r="U128" s="51">
        <f>SUMIFS('Investor Exit List'!$Q:$Q, 'Investor Exit List'!$C:$C, 'Cashflow Projection'!T128)</f>
        <v>0</v>
      </c>
      <c r="V128" s="70"/>
      <c r="W128" s="51">
        <f>SUMIFS('Investor Exit List'!$Q:$Q, 'Investor Exit List'!$C:$C, 'Cashflow Projection'!V128)</f>
        <v>0</v>
      </c>
      <c r="X128" s="70"/>
      <c r="Y128" s="51">
        <f>SUMIFS('Investor Exit List'!$Q:$Q, 'Investor Exit List'!$C:$C, 'Cashflow Projection'!X128)</f>
        <v>0</v>
      </c>
      <c r="Z128" s="70"/>
      <c r="AA128" s="51">
        <f>SUMIFS('Investor Exit List'!$Q:$Q, 'Investor Exit List'!$C:$C, 'Cashflow Projection'!Z128)</f>
        <v>0</v>
      </c>
      <c r="AB128" s="70"/>
      <c r="AC128" s="51">
        <f>SUMIFS('Investor Exit List'!$Q:$Q, 'Investor Exit List'!$C:$C, 'Cashflow Projection'!AB128)</f>
        <v>0</v>
      </c>
      <c r="AD128" s="70"/>
      <c r="AE128" s="51">
        <f>SUMIFS('Investor Exit List'!$Q:$Q, 'Investor Exit List'!$C:$C, 'Cashflow Projection'!AD128)</f>
        <v>0</v>
      </c>
      <c r="AF128" s="71"/>
    </row>
    <row r="129" spans="1:32" ht="29" x14ac:dyDescent="0.35">
      <c r="A129" s="13"/>
      <c r="C129" s="68" t="str">
        <f t="shared" si="7"/>
        <v/>
      </c>
      <c r="D129" s="69" t="s">
        <v>866</v>
      </c>
      <c r="E129" s="54">
        <f t="shared" si="8"/>
        <v>0</v>
      </c>
      <c r="F129" s="64">
        <f t="shared" si="9"/>
        <v>0</v>
      </c>
      <c r="H129" s="59"/>
      <c r="I129" s="51">
        <f>SUMIFS('Investor Exit List'!$Q:$Q, 'Investor Exit List'!$C:$C, 'Cashflow Projection'!H129)</f>
        <v>0</v>
      </c>
      <c r="J129" s="70"/>
      <c r="K129" s="51">
        <f>SUMIFS('Investor Exit List'!$Q:$Q, 'Investor Exit List'!$C:$C, 'Cashflow Projection'!J129)</f>
        <v>0</v>
      </c>
      <c r="L129" s="70"/>
      <c r="M129" s="51">
        <f>SUMIFS('Investor Exit List'!$Q:$Q, 'Investor Exit List'!$C:$C, 'Cashflow Projection'!L129)</f>
        <v>0</v>
      </c>
      <c r="N129" s="70"/>
      <c r="O129" s="51">
        <f>SUMIFS('Investor Exit List'!$Q:$Q, 'Investor Exit List'!$C:$C, 'Cashflow Projection'!N129)</f>
        <v>0</v>
      </c>
      <c r="P129" s="70"/>
      <c r="Q129" s="51">
        <f>SUMIFS('Investor Exit List'!$Q:$Q, 'Investor Exit List'!$C:$C, 'Cashflow Projection'!P129)</f>
        <v>0</v>
      </c>
      <c r="R129" s="70"/>
      <c r="S129" s="51">
        <f>SUMIFS('Investor Exit List'!$Q:$Q, 'Investor Exit List'!$C:$C, 'Cashflow Projection'!R129)</f>
        <v>0</v>
      </c>
      <c r="T129" s="70"/>
      <c r="U129" s="51">
        <f>SUMIFS('Investor Exit List'!$Q:$Q, 'Investor Exit List'!$C:$C, 'Cashflow Projection'!T129)</f>
        <v>0</v>
      </c>
      <c r="V129" s="70"/>
      <c r="W129" s="51">
        <f>SUMIFS('Investor Exit List'!$Q:$Q, 'Investor Exit List'!$C:$C, 'Cashflow Projection'!V129)</f>
        <v>0</v>
      </c>
      <c r="X129" s="70"/>
      <c r="Y129" s="51">
        <f>SUMIFS('Investor Exit List'!$Q:$Q, 'Investor Exit List'!$C:$C, 'Cashflow Projection'!X129)</f>
        <v>0</v>
      </c>
      <c r="Z129" s="70"/>
      <c r="AA129" s="51">
        <f>SUMIFS('Investor Exit List'!$Q:$Q, 'Investor Exit List'!$C:$C, 'Cashflow Projection'!Z129)</f>
        <v>0</v>
      </c>
      <c r="AB129" s="70"/>
      <c r="AC129" s="51">
        <f>SUMIFS('Investor Exit List'!$Q:$Q, 'Investor Exit List'!$C:$C, 'Cashflow Projection'!AB129)</f>
        <v>0</v>
      </c>
      <c r="AD129" s="70"/>
      <c r="AE129" s="51">
        <f>SUMIFS('Investor Exit List'!$Q:$Q, 'Investor Exit List'!$C:$C, 'Cashflow Projection'!AD129)</f>
        <v>0</v>
      </c>
      <c r="AF129" s="71"/>
    </row>
    <row r="130" spans="1:32" ht="29" x14ac:dyDescent="0.35">
      <c r="A130" s="13"/>
      <c r="C130" s="68" t="str">
        <f t="shared" si="7"/>
        <v/>
      </c>
      <c r="D130" s="69" t="s">
        <v>886</v>
      </c>
      <c r="E130" s="54">
        <f t="shared" si="8"/>
        <v>0</v>
      </c>
      <c r="F130" s="64">
        <f t="shared" si="9"/>
        <v>0</v>
      </c>
      <c r="H130" s="59"/>
      <c r="I130" s="51">
        <f>SUMIFS('Investor Exit List'!$Q:$Q, 'Investor Exit List'!$C:$C, 'Cashflow Projection'!H130)</f>
        <v>0</v>
      </c>
      <c r="J130" s="70"/>
      <c r="K130" s="51">
        <f>SUMIFS('Investor Exit List'!$Q:$Q, 'Investor Exit List'!$C:$C, 'Cashflow Projection'!J130)</f>
        <v>0</v>
      </c>
      <c r="L130" s="70"/>
      <c r="M130" s="51">
        <f>SUMIFS('Investor Exit List'!$Q:$Q, 'Investor Exit List'!$C:$C, 'Cashflow Projection'!L130)</f>
        <v>0</v>
      </c>
      <c r="N130" s="70"/>
      <c r="O130" s="51">
        <f>SUMIFS('Investor Exit List'!$Q:$Q, 'Investor Exit List'!$C:$C, 'Cashflow Projection'!N130)</f>
        <v>0</v>
      </c>
      <c r="P130" s="70"/>
      <c r="Q130" s="51">
        <f>SUMIFS('Investor Exit List'!$Q:$Q, 'Investor Exit List'!$C:$C, 'Cashflow Projection'!P130)</f>
        <v>0</v>
      </c>
      <c r="R130" s="70"/>
      <c r="S130" s="51">
        <f>SUMIFS('Investor Exit List'!$Q:$Q, 'Investor Exit List'!$C:$C, 'Cashflow Projection'!R130)</f>
        <v>0</v>
      </c>
      <c r="T130" s="70"/>
      <c r="U130" s="51">
        <f>SUMIFS('Investor Exit List'!$Q:$Q, 'Investor Exit List'!$C:$C, 'Cashflow Projection'!T130)</f>
        <v>0</v>
      </c>
      <c r="V130" s="70"/>
      <c r="W130" s="51">
        <f>SUMIFS('Investor Exit List'!$Q:$Q, 'Investor Exit List'!$C:$C, 'Cashflow Projection'!V130)</f>
        <v>0</v>
      </c>
      <c r="X130" s="70"/>
      <c r="Y130" s="51">
        <f>SUMIFS('Investor Exit List'!$Q:$Q, 'Investor Exit List'!$C:$C, 'Cashflow Projection'!X130)</f>
        <v>0</v>
      </c>
      <c r="Z130" s="70"/>
      <c r="AA130" s="51">
        <f>SUMIFS('Investor Exit List'!$Q:$Q, 'Investor Exit List'!$C:$C, 'Cashflow Projection'!Z130)</f>
        <v>0</v>
      </c>
      <c r="AB130" s="70"/>
      <c r="AC130" s="51">
        <f>SUMIFS('Investor Exit List'!$Q:$Q, 'Investor Exit List'!$C:$C, 'Cashflow Projection'!AB130)</f>
        <v>0</v>
      </c>
      <c r="AD130" s="70"/>
      <c r="AE130" s="51">
        <f>SUMIFS('Investor Exit List'!$Q:$Q, 'Investor Exit List'!$C:$C, 'Cashflow Projection'!AD130)</f>
        <v>0</v>
      </c>
      <c r="AF130" s="71"/>
    </row>
    <row r="131" spans="1:32" ht="29" x14ac:dyDescent="0.35">
      <c r="A131" s="13"/>
      <c r="C131" s="68" t="str">
        <f t="shared" si="7"/>
        <v/>
      </c>
      <c r="D131" s="69" t="s">
        <v>712</v>
      </c>
      <c r="E131" s="54">
        <f t="shared" si="8"/>
        <v>0</v>
      </c>
      <c r="F131" s="64">
        <f t="shared" si="9"/>
        <v>0</v>
      </c>
      <c r="H131" s="59"/>
      <c r="I131" s="51">
        <f>SUMIFS('Investor Exit List'!$Q:$Q, 'Investor Exit List'!$C:$C, 'Cashflow Projection'!H131)</f>
        <v>0</v>
      </c>
      <c r="J131" s="70"/>
      <c r="K131" s="51">
        <f>SUMIFS('Investor Exit List'!$Q:$Q, 'Investor Exit List'!$C:$C, 'Cashflow Projection'!J131)</f>
        <v>0</v>
      </c>
      <c r="L131" s="70"/>
      <c r="M131" s="51">
        <f>SUMIFS('Investor Exit List'!$Q:$Q, 'Investor Exit List'!$C:$C, 'Cashflow Projection'!L131)</f>
        <v>0</v>
      </c>
      <c r="N131" s="70"/>
      <c r="O131" s="51">
        <f>SUMIFS('Investor Exit List'!$Q:$Q, 'Investor Exit List'!$C:$C, 'Cashflow Projection'!N131)</f>
        <v>0</v>
      </c>
      <c r="P131" s="70"/>
      <c r="Q131" s="51">
        <f>SUMIFS('Investor Exit List'!$Q:$Q, 'Investor Exit List'!$C:$C, 'Cashflow Projection'!P131)</f>
        <v>0</v>
      </c>
      <c r="R131" s="70"/>
      <c r="S131" s="51">
        <f>SUMIFS('Investor Exit List'!$Q:$Q, 'Investor Exit List'!$C:$C, 'Cashflow Projection'!R131)</f>
        <v>0</v>
      </c>
      <c r="T131" s="70"/>
      <c r="U131" s="51">
        <f>SUMIFS('Investor Exit List'!$Q:$Q, 'Investor Exit List'!$C:$C, 'Cashflow Projection'!T131)</f>
        <v>0</v>
      </c>
      <c r="V131" s="70"/>
      <c r="W131" s="51">
        <f>SUMIFS('Investor Exit List'!$Q:$Q, 'Investor Exit List'!$C:$C, 'Cashflow Projection'!V131)</f>
        <v>0</v>
      </c>
      <c r="X131" s="70"/>
      <c r="Y131" s="51">
        <f>SUMIFS('Investor Exit List'!$Q:$Q, 'Investor Exit List'!$C:$C, 'Cashflow Projection'!X131)</f>
        <v>0</v>
      </c>
      <c r="Z131" s="70"/>
      <c r="AA131" s="51">
        <f>SUMIFS('Investor Exit List'!$Q:$Q, 'Investor Exit List'!$C:$C, 'Cashflow Projection'!Z131)</f>
        <v>0</v>
      </c>
      <c r="AB131" s="70"/>
      <c r="AC131" s="51">
        <f>SUMIFS('Investor Exit List'!$Q:$Q, 'Investor Exit List'!$C:$C, 'Cashflow Projection'!AB131)</f>
        <v>0</v>
      </c>
      <c r="AD131" s="70"/>
      <c r="AE131" s="51">
        <f>SUMIFS('Investor Exit List'!$Q:$Q, 'Investor Exit List'!$C:$C, 'Cashflow Projection'!AD131)</f>
        <v>0</v>
      </c>
      <c r="AF131" s="71"/>
    </row>
    <row r="132" spans="1:32" ht="29" x14ac:dyDescent="0.35">
      <c r="A132" s="13"/>
      <c r="C132" s="68" t="str">
        <f t="shared" si="7"/>
        <v/>
      </c>
      <c r="D132" s="69" t="s">
        <v>727</v>
      </c>
      <c r="E132" s="54">
        <f t="shared" si="8"/>
        <v>0</v>
      </c>
      <c r="F132" s="64">
        <f t="shared" si="9"/>
        <v>0</v>
      </c>
      <c r="H132" s="59"/>
      <c r="I132" s="51">
        <f>SUMIFS('Investor Exit List'!$Q:$Q, 'Investor Exit List'!$C:$C, 'Cashflow Projection'!H132)</f>
        <v>0</v>
      </c>
      <c r="J132" s="70"/>
      <c r="K132" s="51">
        <f>SUMIFS('Investor Exit List'!$Q:$Q, 'Investor Exit List'!$C:$C, 'Cashflow Projection'!J132)</f>
        <v>0</v>
      </c>
      <c r="L132" s="70"/>
      <c r="M132" s="51">
        <f>SUMIFS('Investor Exit List'!$Q:$Q, 'Investor Exit List'!$C:$C, 'Cashflow Projection'!L132)</f>
        <v>0</v>
      </c>
      <c r="N132" s="70"/>
      <c r="O132" s="51">
        <f>SUMIFS('Investor Exit List'!$Q:$Q, 'Investor Exit List'!$C:$C, 'Cashflow Projection'!N132)</f>
        <v>0</v>
      </c>
      <c r="P132" s="70"/>
      <c r="Q132" s="51">
        <f>SUMIFS('Investor Exit List'!$Q:$Q, 'Investor Exit List'!$C:$C, 'Cashflow Projection'!P132)</f>
        <v>0</v>
      </c>
      <c r="R132" s="70"/>
      <c r="S132" s="51">
        <f>SUMIFS('Investor Exit List'!$Q:$Q, 'Investor Exit List'!$C:$C, 'Cashflow Projection'!R132)</f>
        <v>0</v>
      </c>
      <c r="T132" s="70"/>
      <c r="U132" s="51">
        <f>SUMIFS('Investor Exit List'!$Q:$Q, 'Investor Exit List'!$C:$C, 'Cashflow Projection'!T132)</f>
        <v>0</v>
      </c>
      <c r="V132" s="70"/>
      <c r="W132" s="51">
        <f>SUMIFS('Investor Exit List'!$Q:$Q, 'Investor Exit List'!$C:$C, 'Cashflow Projection'!V132)</f>
        <v>0</v>
      </c>
      <c r="X132" s="70"/>
      <c r="Y132" s="51">
        <f>SUMIFS('Investor Exit List'!$Q:$Q, 'Investor Exit List'!$C:$C, 'Cashflow Projection'!X132)</f>
        <v>0</v>
      </c>
      <c r="Z132" s="70"/>
      <c r="AA132" s="51">
        <f>SUMIFS('Investor Exit List'!$Q:$Q, 'Investor Exit List'!$C:$C, 'Cashflow Projection'!Z132)</f>
        <v>0</v>
      </c>
      <c r="AB132" s="70"/>
      <c r="AC132" s="51">
        <f>SUMIFS('Investor Exit List'!$Q:$Q, 'Investor Exit List'!$C:$C, 'Cashflow Projection'!AB132)</f>
        <v>0</v>
      </c>
      <c r="AD132" s="70"/>
      <c r="AE132" s="51">
        <f>SUMIFS('Investor Exit List'!$Q:$Q, 'Investor Exit List'!$C:$C, 'Cashflow Projection'!AD132)</f>
        <v>0</v>
      </c>
      <c r="AF132" s="71"/>
    </row>
    <row r="133" spans="1:32" ht="29" x14ac:dyDescent="0.35">
      <c r="A133" s="13"/>
      <c r="C133" s="68" t="str">
        <f t="shared" si="7"/>
        <v/>
      </c>
      <c r="D133" s="69" t="s">
        <v>735</v>
      </c>
      <c r="E133" s="54">
        <f t="shared" si="8"/>
        <v>0</v>
      </c>
      <c r="F133" s="64">
        <f t="shared" si="9"/>
        <v>0</v>
      </c>
      <c r="H133" s="59"/>
      <c r="I133" s="51">
        <f>SUMIFS('Investor Exit List'!$Q:$Q, 'Investor Exit List'!$C:$C, 'Cashflow Projection'!H133)</f>
        <v>0</v>
      </c>
      <c r="J133" s="70"/>
      <c r="K133" s="51">
        <f>SUMIFS('Investor Exit List'!$Q:$Q, 'Investor Exit List'!$C:$C, 'Cashflow Projection'!J133)</f>
        <v>0</v>
      </c>
      <c r="L133" s="70"/>
      <c r="M133" s="51">
        <f>SUMIFS('Investor Exit List'!$Q:$Q, 'Investor Exit List'!$C:$C, 'Cashflow Projection'!L133)</f>
        <v>0</v>
      </c>
      <c r="N133" s="70"/>
      <c r="O133" s="51">
        <f>SUMIFS('Investor Exit List'!$Q:$Q, 'Investor Exit List'!$C:$C, 'Cashflow Projection'!N133)</f>
        <v>0</v>
      </c>
      <c r="P133" s="70"/>
      <c r="Q133" s="51">
        <f>SUMIFS('Investor Exit List'!$Q:$Q, 'Investor Exit List'!$C:$C, 'Cashflow Projection'!P133)</f>
        <v>0</v>
      </c>
      <c r="R133" s="70"/>
      <c r="S133" s="51">
        <f>SUMIFS('Investor Exit List'!$Q:$Q, 'Investor Exit List'!$C:$C, 'Cashflow Projection'!R133)</f>
        <v>0</v>
      </c>
      <c r="T133" s="70"/>
      <c r="U133" s="51">
        <f>SUMIFS('Investor Exit List'!$Q:$Q, 'Investor Exit List'!$C:$C, 'Cashflow Projection'!T133)</f>
        <v>0</v>
      </c>
      <c r="V133" s="70"/>
      <c r="W133" s="51">
        <f>SUMIFS('Investor Exit List'!$Q:$Q, 'Investor Exit List'!$C:$C, 'Cashflow Projection'!V133)</f>
        <v>0</v>
      </c>
      <c r="X133" s="70"/>
      <c r="Y133" s="51">
        <f>SUMIFS('Investor Exit List'!$Q:$Q, 'Investor Exit List'!$C:$C, 'Cashflow Projection'!X133)</f>
        <v>0</v>
      </c>
      <c r="Z133" s="70"/>
      <c r="AA133" s="51">
        <f>SUMIFS('Investor Exit List'!$Q:$Q, 'Investor Exit List'!$C:$C, 'Cashflow Projection'!Z133)</f>
        <v>0</v>
      </c>
      <c r="AB133" s="70"/>
      <c r="AC133" s="51">
        <f>SUMIFS('Investor Exit List'!$Q:$Q, 'Investor Exit List'!$C:$C, 'Cashflow Projection'!AB133)</f>
        <v>0</v>
      </c>
      <c r="AD133" s="70"/>
      <c r="AE133" s="51">
        <f>SUMIFS('Investor Exit List'!$Q:$Q, 'Investor Exit List'!$C:$C, 'Cashflow Projection'!AD133)</f>
        <v>0</v>
      </c>
      <c r="AF133" s="71"/>
    </row>
    <row r="134" spans="1:32" ht="29" x14ac:dyDescent="0.35">
      <c r="A134" s="13"/>
      <c r="C134" s="68" t="str">
        <f t="shared" si="7"/>
        <v/>
      </c>
      <c r="D134" s="69" t="s">
        <v>715</v>
      </c>
      <c r="E134" s="54">
        <f t="shared" si="8"/>
        <v>0</v>
      </c>
      <c r="F134" s="64">
        <f t="shared" si="9"/>
        <v>0</v>
      </c>
      <c r="H134" s="59"/>
      <c r="I134" s="51">
        <f>SUMIFS('Investor Exit List'!$Q:$Q, 'Investor Exit List'!$C:$C, 'Cashflow Projection'!H134)</f>
        <v>0</v>
      </c>
      <c r="J134" s="70"/>
      <c r="K134" s="51">
        <f>SUMIFS('Investor Exit List'!$Q:$Q, 'Investor Exit List'!$C:$C, 'Cashflow Projection'!J134)</f>
        <v>0</v>
      </c>
      <c r="L134" s="70"/>
      <c r="M134" s="51">
        <f>SUMIFS('Investor Exit List'!$Q:$Q, 'Investor Exit List'!$C:$C, 'Cashflow Projection'!L134)</f>
        <v>0</v>
      </c>
      <c r="N134" s="70"/>
      <c r="O134" s="51">
        <f>SUMIFS('Investor Exit List'!$Q:$Q, 'Investor Exit List'!$C:$C, 'Cashflow Projection'!N134)</f>
        <v>0</v>
      </c>
      <c r="P134" s="70"/>
      <c r="Q134" s="51">
        <f>SUMIFS('Investor Exit List'!$Q:$Q, 'Investor Exit List'!$C:$C, 'Cashflow Projection'!P134)</f>
        <v>0</v>
      </c>
      <c r="R134" s="70"/>
      <c r="S134" s="51">
        <f>SUMIFS('Investor Exit List'!$Q:$Q, 'Investor Exit List'!$C:$C, 'Cashflow Projection'!R134)</f>
        <v>0</v>
      </c>
      <c r="T134" s="70"/>
      <c r="U134" s="51">
        <f>SUMIFS('Investor Exit List'!$Q:$Q, 'Investor Exit List'!$C:$C, 'Cashflow Projection'!T134)</f>
        <v>0</v>
      </c>
      <c r="V134" s="70"/>
      <c r="W134" s="51">
        <f>SUMIFS('Investor Exit List'!$Q:$Q, 'Investor Exit List'!$C:$C, 'Cashflow Projection'!V134)</f>
        <v>0</v>
      </c>
      <c r="X134" s="70"/>
      <c r="Y134" s="51">
        <f>SUMIFS('Investor Exit List'!$Q:$Q, 'Investor Exit List'!$C:$C, 'Cashflow Projection'!X134)</f>
        <v>0</v>
      </c>
      <c r="Z134" s="70"/>
      <c r="AA134" s="51">
        <f>SUMIFS('Investor Exit List'!$Q:$Q, 'Investor Exit List'!$C:$C, 'Cashflow Projection'!Z134)</f>
        <v>0</v>
      </c>
      <c r="AB134" s="70"/>
      <c r="AC134" s="51">
        <f>SUMIFS('Investor Exit List'!$Q:$Q, 'Investor Exit List'!$C:$C, 'Cashflow Projection'!AB134)</f>
        <v>0</v>
      </c>
      <c r="AD134" s="70"/>
      <c r="AE134" s="51">
        <f>SUMIFS('Investor Exit List'!$Q:$Q, 'Investor Exit List'!$C:$C, 'Cashflow Projection'!AD134)</f>
        <v>0</v>
      </c>
      <c r="AF134" s="71"/>
    </row>
    <row r="135" spans="1:32" ht="29" x14ac:dyDescent="0.35">
      <c r="A135" s="13"/>
      <c r="C135" s="68" t="str">
        <f t="shared" si="7"/>
        <v/>
      </c>
      <c r="D135" s="69" t="s">
        <v>739</v>
      </c>
      <c r="E135" s="54">
        <f t="shared" si="8"/>
        <v>0</v>
      </c>
      <c r="F135" s="64">
        <f t="shared" si="9"/>
        <v>0</v>
      </c>
      <c r="H135" s="59"/>
      <c r="I135" s="51">
        <f>SUMIFS('Investor Exit List'!$Q:$Q, 'Investor Exit List'!$C:$C, 'Cashflow Projection'!H135)</f>
        <v>0</v>
      </c>
      <c r="J135" s="70"/>
      <c r="K135" s="51">
        <f>SUMIFS('Investor Exit List'!$Q:$Q, 'Investor Exit List'!$C:$C, 'Cashflow Projection'!J135)</f>
        <v>0</v>
      </c>
      <c r="L135" s="70"/>
      <c r="M135" s="51">
        <f>SUMIFS('Investor Exit List'!$Q:$Q, 'Investor Exit List'!$C:$C, 'Cashflow Projection'!L135)</f>
        <v>0</v>
      </c>
      <c r="N135" s="70"/>
      <c r="O135" s="51">
        <f>SUMIFS('Investor Exit List'!$Q:$Q, 'Investor Exit List'!$C:$C, 'Cashflow Projection'!N135)</f>
        <v>0</v>
      </c>
      <c r="P135" s="70"/>
      <c r="Q135" s="51">
        <f>SUMIFS('Investor Exit List'!$Q:$Q, 'Investor Exit List'!$C:$C, 'Cashflow Projection'!P135)</f>
        <v>0</v>
      </c>
      <c r="R135" s="70"/>
      <c r="S135" s="51">
        <f>SUMIFS('Investor Exit List'!$Q:$Q, 'Investor Exit List'!$C:$C, 'Cashflow Projection'!R135)</f>
        <v>0</v>
      </c>
      <c r="T135" s="70"/>
      <c r="U135" s="51">
        <f>SUMIFS('Investor Exit List'!$Q:$Q, 'Investor Exit List'!$C:$C, 'Cashflow Projection'!T135)</f>
        <v>0</v>
      </c>
      <c r="V135" s="70"/>
      <c r="W135" s="51">
        <f>SUMIFS('Investor Exit List'!$Q:$Q, 'Investor Exit List'!$C:$C, 'Cashflow Projection'!V135)</f>
        <v>0</v>
      </c>
      <c r="X135" s="70"/>
      <c r="Y135" s="51">
        <f>SUMIFS('Investor Exit List'!$Q:$Q, 'Investor Exit List'!$C:$C, 'Cashflow Projection'!X135)</f>
        <v>0</v>
      </c>
      <c r="Z135" s="70"/>
      <c r="AA135" s="51">
        <f>SUMIFS('Investor Exit List'!$Q:$Q, 'Investor Exit List'!$C:$C, 'Cashflow Projection'!Z135)</f>
        <v>0</v>
      </c>
      <c r="AB135" s="70"/>
      <c r="AC135" s="51">
        <f>SUMIFS('Investor Exit List'!$Q:$Q, 'Investor Exit List'!$C:$C, 'Cashflow Projection'!AB135)</f>
        <v>0</v>
      </c>
      <c r="AD135" s="70"/>
      <c r="AE135" s="51">
        <f>SUMIFS('Investor Exit List'!$Q:$Q, 'Investor Exit List'!$C:$C, 'Cashflow Projection'!AD135)</f>
        <v>0</v>
      </c>
      <c r="AF135" s="71"/>
    </row>
    <row r="136" spans="1:32" ht="29" x14ac:dyDescent="0.35">
      <c r="A136" s="13"/>
      <c r="C136" s="68" t="str">
        <f t="shared" si="7"/>
        <v/>
      </c>
      <c r="D136" s="69" t="s">
        <v>748</v>
      </c>
      <c r="E136" s="54">
        <f t="shared" si="8"/>
        <v>0</v>
      </c>
      <c r="F136" s="64">
        <f t="shared" si="9"/>
        <v>0</v>
      </c>
      <c r="H136" s="59"/>
      <c r="I136" s="51">
        <f>SUMIFS('Investor Exit List'!$Q:$Q, 'Investor Exit List'!$C:$C, 'Cashflow Projection'!H136)</f>
        <v>0</v>
      </c>
      <c r="J136" s="70"/>
      <c r="K136" s="51">
        <f>SUMIFS('Investor Exit List'!$Q:$Q, 'Investor Exit List'!$C:$C, 'Cashflow Projection'!J136)</f>
        <v>0</v>
      </c>
      <c r="L136" s="70"/>
      <c r="M136" s="51">
        <f>SUMIFS('Investor Exit List'!$Q:$Q, 'Investor Exit List'!$C:$C, 'Cashflow Projection'!L136)</f>
        <v>0</v>
      </c>
      <c r="N136" s="70"/>
      <c r="O136" s="51">
        <f>SUMIFS('Investor Exit List'!$Q:$Q, 'Investor Exit List'!$C:$C, 'Cashflow Projection'!N136)</f>
        <v>0</v>
      </c>
      <c r="P136" s="70"/>
      <c r="Q136" s="51">
        <f>SUMIFS('Investor Exit List'!$Q:$Q, 'Investor Exit List'!$C:$C, 'Cashflow Projection'!P136)</f>
        <v>0</v>
      </c>
      <c r="R136" s="70"/>
      <c r="S136" s="51">
        <f>SUMIFS('Investor Exit List'!$Q:$Q, 'Investor Exit List'!$C:$C, 'Cashflow Projection'!R136)</f>
        <v>0</v>
      </c>
      <c r="T136" s="70"/>
      <c r="U136" s="51">
        <f>SUMIFS('Investor Exit List'!$Q:$Q, 'Investor Exit List'!$C:$C, 'Cashflow Projection'!T136)</f>
        <v>0</v>
      </c>
      <c r="V136" s="70"/>
      <c r="W136" s="51">
        <f>SUMIFS('Investor Exit List'!$Q:$Q, 'Investor Exit List'!$C:$C, 'Cashflow Projection'!V136)</f>
        <v>0</v>
      </c>
      <c r="X136" s="70"/>
      <c r="Y136" s="51">
        <f>SUMIFS('Investor Exit List'!$Q:$Q, 'Investor Exit List'!$C:$C, 'Cashflow Projection'!X136)</f>
        <v>0</v>
      </c>
      <c r="Z136" s="70"/>
      <c r="AA136" s="51">
        <f>SUMIFS('Investor Exit List'!$Q:$Q, 'Investor Exit List'!$C:$C, 'Cashflow Projection'!Z136)</f>
        <v>0</v>
      </c>
      <c r="AB136" s="70"/>
      <c r="AC136" s="51">
        <f>SUMIFS('Investor Exit List'!$Q:$Q, 'Investor Exit List'!$C:$C, 'Cashflow Projection'!AB136)</f>
        <v>0</v>
      </c>
      <c r="AD136" s="70"/>
      <c r="AE136" s="51">
        <f>SUMIFS('Investor Exit List'!$Q:$Q, 'Investor Exit List'!$C:$C, 'Cashflow Projection'!AD136)</f>
        <v>0</v>
      </c>
      <c r="AF136" s="71"/>
    </row>
    <row r="137" spans="1:32" ht="29" x14ac:dyDescent="0.35">
      <c r="A137" s="13"/>
      <c r="C137" s="68" t="str">
        <f t="shared" si="7"/>
        <v/>
      </c>
      <c r="D137" s="69" t="s">
        <v>724</v>
      </c>
      <c r="E137" s="54">
        <f t="shared" si="8"/>
        <v>0</v>
      </c>
      <c r="F137" s="64">
        <f t="shared" si="9"/>
        <v>0</v>
      </c>
      <c r="H137" s="59"/>
      <c r="I137" s="51">
        <f>SUMIFS('Investor Exit List'!$Q:$Q, 'Investor Exit List'!$C:$C, 'Cashflow Projection'!H137)</f>
        <v>0</v>
      </c>
      <c r="J137" s="70"/>
      <c r="K137" s="51">
        <f>SUMIFS('Investor Exit List'!$Q:$Q, 'Investor Exit List'!$C:$C, 'Cashflow Projection'!J137)</f>
        <v>0</v>
      </c>
      <c r="L137" s="70"/>
      <c r="M137" s="51">
        <f>SUMIFS('Investor Exit List'!$Q:$Q, 'Investor Exit List'!$C:$C, 'Cashflow Projection'!L137)</f>
        <v>0</v>
      </c>
      <c r="N137" s="70"/>
      <c r="O137" s="51">
        <f>SUMIFS('Investor Exit List'!$Q:$Q, 'Investor Exit List'!$C:$C, 'Cashflow Projection'!N137)</f>
        <v>0</v>
      </c>
      <c r="P137" s="70"/>
      <c r="Q137" s="51">
        <f>SUMIFS('Investor Exit List'!$Q:$Q, 'Investor Exit List'!$C:$C, 'Cashflow Projection'!P137)</f>
        <v>0</v>
      </c>
      <c r="R137" s="70"/>
      <c r="S137" s="51">
        <f>SUMIFS('Investor Exit List'!$Q:$Q, 'Investor Exit List'!$C:$C, 'Cashflow Projection'!R137)</f>
        <v>0</v>
      </c>
      <c r="T137" s="70"/>
      <c r="U137" s="51">
        <f>SUMIFS('Investor Exit List'!$Q:$Q, 'Investor Exit List'!$C:$C, 'Cashflow Projection'!T137)</f>
        <v>0</v>
      </c>
      <c r="V137" s="70"/>
      <c r="W137" s="51">
        <f>SUMIFS('Investor Exit List'!$Q:$Q, 'Investor Exit List'!$C:$C, 'Cashflow Projection'!V137)</f>
        <v>0</v>
      </c>
      <c r="X137" s="70"/>
      <c r="Y137" s="51">
        <f>SUMIFS('Investor Exit List'!$Q:$Q, 'Investor Exit List'!$C:$C, 'Cashflow Projection'!X137)</f>
        <v>0</v>
      </c>
      <c r="Z137" s="70"/>
      <c r="AA137" s="51">
        <f>SUMIFS('Investor Exit List'!$Q:$Q, 'Investor Exit List'!$C:$C, 'Cashflow Projection'!Z137)</f>
        <v>0</v>
      </c>
      <c r="AB137" s="70"/>
      <c r="AC137" s="51">
        <f>SUMIFS('Investor Exit List'!$Q:$Q, 'Investor Exit List'!$C:$C, 'Cashflow Projection'!AB137)</f>
        <v>0</v>
      </c>
      <c r="AD137" s="70"/>
      <c r="AE137" s="51">
        <f>SUMIFS('Investor Exit List'!$Q:$Q, 'Investor Exit List'!$C:$C, 'Cashflow Projection'!AD137)</f>
        <v>0</v>
      </c>
      <c r="AF137" s="71"/>
    </row>
    <row r="138" spans="1:32" ht="29" x14ac:dyDescent="0.35">
      <c r="A138" s="13"/>
      <c r="C138" s="68" t="str">
        <f t="shared" si="7"/>
        <v/>
      </c>
      <c r="D138" s="69" t="s">
        <v>726</v>
      </c>
      <c r="E138" s="54">
        <f t="shared" si="8"/>
        <v>0</v>
      </c>
      <c r="F138" s="64">
        <f t="shared" si="9"/>
        <v>0</v>
      </c>
      <c r="H138" s="59"/>
      <c r="I138" s="51">
        <f>SUMIFS('Investor Exit List'!$Q:$Q, 'Investor Exit List'!$C:$C, 'Cashflow Projection'!H138)</f>
        <v>0</v>
      </c>
      <c r="J138" s="70"/>
      <c r="K138" s="51">
        <f>SUMIFS('Investor Exit List'!$Q:$Q, 'Investor Exit List'!$C:$C, 'Cashflow Projection'!J138)</f>
        <v>0</v>
      </c>
      <c r="L138" s="70"/>
      <c r="M138" s="51">
        <f>SUMIFS('Investor Exit List'!$Q:$Q, 'Investor Exit List'!$C:$C, 'Cashflow Projection'!L138)</f>
        <v>0</v>
      </c>
      <c r="N138" s="70"/>
      <c r="O138" s="51">
        <f>SUMIFS('Investor Exit List'!$Q:$Q, 'Investor Exit List'!$C:$C, 'Cashflow Projection'!N138)</f>
        <v>0</v>
      </c>
      <c r="P138" s="70"/>
      <c r="Q138" s="51">
        <f>SUMIFS('Investor Exit List'!$Q:$Q, 'Investor Exit List'!$C:$C, 'Cashflow Projection'!P138)</f>
        <v>0</v>
      </c>
      <c r="R138" s="70"/>
      <c r="S138" s="51">
        <f>SUMIFS('Investor Exit List'!$Q:$Q, 'Investor Exit List'!$C:$C, 'Cashflow Projection'!R138)</f>
        <v>0</v>
      </c>
      <c r="T138" s="70"/>
      <c r="U138" s="51">
        <f>SUMIFS('Investor Exit List'!$Q:$Q, 'Investor Exit List'!$C:$C, 'Cashflow Projection'!T138)</f>
        <v>0</v>
      </c>
      <c r="V138" s="70"/>
      <c r="W138" s="51">
        <f>SUMIFS('Investor Exit List'!$Q:$Q, 'Investor Exit List'!$C:$C, 'Cashflow Projection'!V138)</f>
        <v>0</v>
      </c>
      <c r="X138" s="70"/>
      <c r="Y138" s="51">
        <f>SUMIFS('Investor Exit List'!$Q:$Q, 'Investor Exit List'!$C:$C, 'Cashflow Projection'!X138)</f>
        <v>0</v>
      </c>
      <c r="Z138" s="70"/>
      <c r="AA138" s="51">
        <f>SUMIFS('Investor Exit List'!$Q:$Q, 'Investor Exit List'!$C:$C, 'Cashflow Projection'!Z138)</f>
        <v>0</v>
      </c>
      <c r="AB138" s="70"/>
      <c r="AC138" s="51">
        <f>SUMIFS('Investor Exit List'!$Q:$Q, 'Investor Exit List'!$C:$C, 'Cashflow Projection'!AB138)</f>
        <v>0</v>
      </c>
      <c r="AD138" s="70"/>
      <c r="AE138" s="51">
        <f>SUMIFS('Investor Exit List'!$Q:$Q, 'Investor Exit List'!$C:$C, 'Cashflow Projection'!AD138)</f>
        <v>0</v>
      </c>
      <c r="AF138" s="71"/>
    </row>
    <row r="139" spans="1:32" ht="29" x14ac:dyDescent="0.35">
      <c r="A139" s="13"/>
      <c r="C139" s="68" t="str">
        <f t="shared" si="7"/>
        <v/>
      </c>
      <c r="D139" s="69" t="s">
        <v>731</v>
      </c>
      <c r="E139" s="54">
        <f t="shared" si="8"/>
        <v>0</v>
      </c>
      <c r="F139" s="64">
        <f t="shared" si="9"/>
        <v>0</v>
      </c>
      <c r="H139" s="59"/>
      <c r="I139" s="51">
        <f>SUMIFS('Investor Exit List'!$Q:$Q, 'Investor Exit List'!$C:$C, 'Cashflow Projection'!H139)</f>
        <v>0</v>
      </c>
      <c r="J139" s="70"/>
      <c r="K139" s="51">
        <f>SUMIFS('Investor Exit List'!$Q:$Q, 'Investor Exit List'!$C:$C, 'Cashflow Projection'!J139)</f>
        <v>0</v>
      </c>
      <c r="L139" s="70"/>
      <c r="M139" s="51">
        <f>SUMIFS('Investor Exit List'!$Q:$Q, 'Investor Exit List'!$C:$C, 'Cashflow Projection'!L139)</f>
        <v>0</v>
      </c>
      <c r="N139" s="70"/>
      <c r="O139" s="51">
        <f>SUMIFS('Investor Exit List'!$Q:$Q, 'Investor Exit List'!$C:$C, 'Cashflow Projection'!N139)</f>
        <v>0</v>
      </c>
      <c r="P139" s="70"/>
      <c r="Q139" s="51">
        <f>SUMIFS('Investor Exit List'!$Q:$Q, 'Investor Exit List'!$C:$C, 'Cashflow Projection'!P139)</f>
        <v>0</v>
      </c>
      <c r="R139" s="70"/>
      <c r="S139" s="51">
        <f>SUMIFS('Investor Exit List'!$Q:$Q, 'Investor Exit List'!$C:$C, 'Cashflow Projection'!R139)</f>
        <v>0</v>
      </c>
      <c r="T139" s="70"/>
      <c r="U139" s="51">
        <f>SUMIFS('Investor Exit List'!$Q:$Q, 'Investor Exit List'!$C:$C, 'Cashflow Projection'!T139)</f>
        <v>0</v>
      </c>
      <c r="V139" s="70"/>
      <c r="W139" s="51">
        <f>SUMIFS('Investor Exit List'!$Q:$Q, 'Investor Exit List'!$C:$C, 'Cashflow Projection'!V139)</f>
        <v>0</v>
      </c>
      <c r="X139" s="70"/>
      <c r="Y139" s="51">
        <f>SUMIFS('Investor Exit List'!$Q:$Q, 'Investor Exit List'!$C:$C, 'Cashflow Projection'!X139)</f>
        <v>0</v>
      </c>
      <c r="Z139" s="70"/>
      <c r="AA139" s="51">
        <f>SUMIFS('Investor Exit List'!$Q:$Q, 'Investor Exit List'!$C:$C, 'Cashflow Projection'!Z139)</f>
        <v>0</v>
      </c>
      <c r="AB139" s="70"/>
      <c r="AC139" s="51">
        <f>SUMIFS('Investor Exit List'!$Q:$Q, 'Investor Exit List'!$C:$C, 'Cashflow Projection'!AB139)</f>
        <v>0</v>
      </c>
      <c r="AD139" s="70"/>
      <c r="AE139" s="51">
        <f>SUMIFS('Investor Exit List'!$Q:$Q, 'Investor Exit List'!$C:$C, 'Cashflow Projection'!AD139)</f>
        <v>0</v>
      </c>
      <c r="AF139" s="71"/>
    </row>
    <row r="140" spans="1:32" ht="29" x14ac:dyDescent="0.35">
      <c r="A140" s="13"/>
      <c r="C140" s="68" t="str">
        <f t="shared" si="7"/>
        <v/>
      </c>
      <c r="D140" s="69" t="s">
        <v>743</v>
      </c>
      <c r="E140" s="54">
        <f t="shared" si="8"/>
        <v>0</v>
      </c>
      <c r="F140" s="64">
        <f t="shared" si="9"/>
        <v>0</v>
      </c>
      <c r="H140" s="59"/>
      <c r="I140" s="51">
        <f>SUMIFS('Investor Exit List'!$Q:$Q, 'Investor Exit List'!$C:$C, 'Cashflow Projection'!H140)</f>
        <v>0</v>
      </c>
      <c r="J140" s="70"/>
      <c r="K140" s="51">
        <f>SUMIFS('Investor Exit List'!$Q:$Q, 'Investor Exit List'!$C:$C, 'Cashflow Projection'!J140)</f>
        <v>0</v>
      </c>
      <c r="L140" s="70"/>
      <c r="M140" s="51">
        <f>SUMIFS('Investor Exit List'!$Q:$Q, 'Investor Exit List'!$C:$C, 'Cashflow Projection'!L140)</f>
        <v>0</v>
      </c>
      <c r="N140" s="70"/>
      <c r="O140" s="51">
        <f>SUMIFS('Investor Exit List'!$Q:$Q, 'Investor Exit List'!$C:$C, 'Cashflow Projection'!N140)</f>
        <v>0</v>
      </c>
      <c r="P140" s="70"/>
      <c r="Q140" s="51">
        <f>SUMIFS('Investor Exit List'!$Q:$Q, 'Investor Exit List'!$C:$C, 'Cashflow Projection'!P140)</f>
        <v>0</v>
      </c>
      <c r="R140" s="70"/>
      <c r="S140" s="51">
        <f>SUMIFS('Investor Exit List'!$Q:$Q, 'Investor Exit List'!$C:$C, 'Cashflow Projection'!R140)</f>
        <v>0</v>
      </c>
      <c r="T140" s="70"/>
      <c r="U140" s="51">
        <f>SUMIFS('Investor Exit List'!$Q:$Q, 'Investor Exit List'!$C:$C, 'Cashflow Projection'!T140)</f>
        <v>0</v>
      </c>
      <c r="V140" s="70"/>
      <c r="W140" s="51">
        <f>SUMIFS('Investor Exit List'!$Q:$Q, 'Investor Exit List'!$C:$C, 'Cashflow Projection'!V140)</f>
        <v>0</v>
      </c>
      <c r="X140" s="70"/>
      <c r="Y140" s="51">
        <f>SUMIFS('Investor Exit List'!$Q:$Q, 'Investor Exit List'!$C:$C, 'Cashflow Projection'!X140)</f>
        <v>0</v>
      </c>
      <c r="Z140" s="70"/>
      <c r="AA140" s="51">
        <f>SUMIFS('Investor Exit List'!$Q:$Q, 'Investor Exit List'!$C:$C, 'Cashflow Projection'!Z140)</f>
        <v>0</v>
      </c>
      <c r="AB140" s="70"/>
      <c r="AC140" s="51">
        <f>SUMIFS('Investor Exit List'!$Q:$Q, 'Investor Exit List'!$C:$C, 'Cashflow Projection'!AB140)</f>
        <v>0</v>
      </c>
      <c r="AD140" s="70"/>
      <c r="AE140" s="51">
        <f>SUMIFS('Investor Exit List'!$Q:$Q, 'Investor Exit List'!$C:$C, 'Cashflow Projection'!AD140)</f>
        <v>0</v>
      </c>
      <c r="AF140" s="71"/>
    </row>
    <row r="141" spans="1:32" ht="29" x14ac:dyDescent="0.35">
      <c r="A141" s="13"/>
      <c r="C141" s="68" t="str">
        <f t="shared" si="7"/>
        <v/>
      </c>
      <c r="D141" s="69" t="s">
        <v>744</v>
      </c>
      <c r="E141" s="54">
        <f t="shared" si="8"/>
        <v>0</v>
      </c>
      <c r="F141" s="64">
        <f t="shared" si="9"/>
        <v>0</v>
      </c>
      <c r="H141" s="59"/>
      <c r="I141" s="51">
        <f>SUMIFS('Investor Exit List'!$Q:$Q, 'Investor Exit List'!$C:$C, 'Cashflow Projection'!H141)</f>
        <v>0</v>
      </c>
      <c r="J141" s="70"/>
      <c r="K141" s="51">
        <f>SUMIFS('Investor Exit List'!$Q:$Q, 'Investor Exit List'!$C:$C, 'Cashflow Projection'!J141)</f>
        <v>0</v>
      </c>
      <c r="L141" s="70"/>
      <c r="M141" s="51">
        <f>SUMIFS('Investor Exit List'!$Q:$Q, 'Investor Exit List'!$C:$C, 'Cashflow Projection'!L141)</f>
        <v>0</v>
      </c>
      <c r="N141" s="70"/>
      <c r="O141" s="51">
        <f>SUMIFS('Investor Exit List'!$Q:$Q, 'Investor Exit List'!$C:$C, 'Cashflow Projection'!N141)</f>
        <v>0</v>
      </c>
      <c r="P141" s="70"/>
      <c r="Q141" s="51">
        <f>SUMIFS('Investor Exit List'!$Q:$Q, 'Investor Exit List'!$C:$C, 'Cashflow Projection'!P141)</f>
        <v>0</v>
      </c>
      <c r="R141" s="70"/>
      <c r="S141" s="51">
        <f>SUMIFS('Investor Exit List'!$Q:$Q, 'Investor Exit List'!$C:$C, 'Cashflow Projection'!R141)</f>
        <v>0</v>
      </c>
      <c r="T141" s="70"/>
      <c r="U141" s="51">
        <f>SUMIFS('Investor Exit List'!$Q:$Q, 'Investor Exit List'!$C:$C, 'Cashflow Projection'!T141)</f>
        <v>0</v>
      </c>
      <c r="V141" s="70"/>
      <c r="W141" s="51">
        <f>SUMIFS('Investor Exit List'!$Q:$Q, 'Investor Exit List'!$C:$C, 'Cashflow Projection'!V141)</f>
        <v>0</v>
      </c>
      <c r="X141" s="70"/>
      <c r="Y141" s="51">
        <f>SUMIFS('Investor Exit List'!$Q:$Q, 'Investor Exit List'!$C:$C, 'Cashflow Projection'!X141)</f>
        <v>0</v>
      </c>
      <c r="Z141" s="70"/>
      <c r="AA141" s="51">
        <f>SUMIFS('Investor Exit List'!$Q:$Q, 'Investor Exit List'!$C:$C, 'Cashflow Projection'!Z141)</f>
        <v>0</v>
      </c>
      <c r="AB141" s="70"/>
      <c r="AC141" s="51">
        <f>SUMIFS('Investor Exit List'!$Q:$Q, 'Investor Exit List'!$C:$C, 'Cashflow Projection'!AB141)</f>
        <v>0</v>
      </c>
      <c r="AD141" s="70"/>
      <c r="AE141" s="51">
        <f>SUMIFS('Investor Exit List'!$Q:$Q, 'Investor Exit List'!$C:$C, 'Cashflow Projection'!AD141)</f>
        <v>0</v>
      </c>
      <c r="AF141" s="71"/>
    </row>
    <row r="142" spans="1:32" ht="29" x14ac:dyDescent="0.35">
      <c r="A142" s="13"/>
      <c r="C142" s="68" t="str">
        <f t="shared" si="7"/>
        <v/>
      </c>
      <c r="D142" s="69" t="s">
        <v>810</v>
      </c>
      <c r="E142" s="54">
        <f t="shared" si="8"/>
        <v>0</v>
      </c>
      <c r="F142" s="64">
        <f t="shared" si="9"/>
        <v>0</v>
      </c>
      <c r="H142" s="59"/>
      <c r="I142" s="51">
        <f>SUMIFS('Investor Exit List'!$Q:$Q, 'Investor Exit List'!$C:$C, 'Cashflow Projection'!H142)</f>
        <v>0</v>
      </c>
      <c r="J142" s="70"/>
      <c r="K142" s="51">
        <f>SUMIFS('Investor Exit List'!$Q:$Q, 'Investor Exit List'!$C:$C, 'Cashflow Projection'!J142)</f>
        <v>0</v>
      </c>
      <c r="L142" s="70"/>
      <c r="M142" s="51">
        <f>SUMIFS('Investor Exit List'!$Q:$Q, 'Investor Exit List'!$C:$C, 'Cashflow Projection'!L142)</f>
        <v>0</v>
      </c>
      <c r="N142" s="70"/>
      <c r="O142" s="51">
        <f>SUMIFS('Investor Exit List'!$Q:$Q, 'Investor Exit List'!$C:$C, 'Cashflow Projection'!N142)</f>
        <v>0</v>
      </c>
      <c r="P142" s="70"/>
      <c r="Q142" s="51">
        <f>SUMIFS('Investor Exit List'!$Q:$Q, 'Investor Exit List'!$C:$C, 'Cashflow Projection'!P142)</f>
        <v>0</v>
      </c>
      <c r="R142" s="70"/>
      <c r="S142" s="51">
        <f>SUMIFS('Investor Exit List'!$Q:$Q, 'Investor Exit List'!$C:$C, 'Cashflow Projection'!R142)</f>
        <v>0</v>
      </c>
      <c r="T142" s="70"/>
      <c r="U142" s="51">
        <f>SUMIFS('Investor Exit List'!$Q:$Q, 'Investor Exit List'!$C:$C, 'Cashflow Projection'!T142)</f>
        <v>0</v>
      </c>
      <c r="V142" s="70"/>
      <c r="W142" s="51">
        <f>SUMIFS('Investor Exit List'!$Q:$Q, 'Investor Exit List'!$C:$C, 'Cashflow Projection'!V142)</f>
        <v>0</v>
      </c>
      <c r="X142" s="70"/>
      <c r="Y142" s="51">
        <f>SUMIFS('Investor Exit List'!$Q:$Q, 'Investor Exit List'!$C:$C, 'Cashflow Projection'!X142)</f>
        <v>0</v>
      </c>
      <c r="Z142" s="70"/>
      <c r="AA142" s="51">
        <f>SUMIFS('Investor Exit List'!$Q:$Q, 'Investor Exit List'!$C:$C, 'Cashflow Projection'!Z142)</f>
        <v>0</v>
      </c>
      <c r="AB142" s="70"/>
      <c r="AC142" s="51">
        <f>SUMIFS('Investor Exit List'!$Q:$Q, 'Investor Exit List'!$C:$C, 'Cashflow Projection'!AB142)</f>
        <v>0</v>
      </c>
      <c r="AD142" s="70"/>
      <c r="AE142" s="51">
        <f>SUMIFS('Investor Exit List'!$Q:$Q, 'Investor Exit List'!$C:$C, 'Cashflow Projection'!AD142)</f>
        <v>0</v>
      </c>
      <c r="AF142" s="71"/>
    </row>
    <row r="143" spans="1:32" ht="29" x14ac:dyDescent="0.35">
      <c r="A143" s="13"/>
      <c r="C143" s="68" t="str">
        <f t="shared" si="7"/>
        <v/>
      </c>
      <c r="D143" s="69" t="s">
        <v>812</v>
      </c>
      <c r="E143" s="54">
        <f t="shared" si="8"/>
        <v>0</v>
      </c>
      <c r="F143" s="64">
        <f t="shared" si="9"/>
        <v>0</v>
      </c>
      <c r="H143" s="59"/>
      <c r="I143" s="51">
        <f>SUMIFS('Investor Exit List'!$Q:$Q, 'Investor Exit List'!$C:$C, 'Cashflow Projection'!H143)</f>
        <v>0</v>
      </c>
      <c r="J143" s="70"/>
      <c r="K143" s="51">
        <f>SUMIFS('Investor Exit List'!$Q:$Q, 'Investor Exit List'!$C:$C, 'Cashflow Projection'!J143)</f>
        <v>0</v>
      </c>
      <c r="L143" s="70"/>
      <c r="M143" s="51">
        <f>SUMIFS('Investor Exit List'!$Q:$Q, 'Investor Exit List'!$C:$C, 'Cashflow Projection'!L143)</f>
        <v>0</v>
      </c>
      <c r="N143" s="70"/>
      <c r="O143" s="51">
        <f>SUMIFS('Investor Exit List'!$Q:$Q, 'Investor Exit List'!$C:$C, 'Cashflow Projection'!N143)</f>
        <v>0</v>
      </c>
      <c r="P143" s="70"/>
      <c r="Q143" s="51">
        <f>SUMIFS('Investor Exit List'!$Q:$Q, 'Investor Exit List'!$C:$C, 'Cashflow Projection'!P143)</f>
        <v>0</v>
      </c>
      <c r="R143" s="70"/>
      <c r="S143" s="51">
        <f>SUMIFS('Investor Exit List'!$Q:$Q, 'Investor Exit List'!$C:$C, 'Cashflow Projection'!R143)</f>
        <v>0</v>
      </c>
      <c r="T143" s="70"/>
      <c r="U143" s="51">
        <f>SUMIFS('Investor Exit List'!$Q:$Q, 'Investor Exit List'!$C:$C, 'Cashflow Projection'!T143)</f>
        <v>0</v>
      </c>
      <c r="V143" s="70"/>
      <c r="W143" s="51">
        <f>SUMIFS('Investor Exit List'!$Q:$Q, 'Investor Exit List'!$C:$C, 'Cashflow Projection'!V143)</f>
        <v>0</v>
      </c>
      <c r="X143" s="70"/>
      <c r="Y143" s="51">
        <f>SUMIFS('Investor Exit List'!$Q:$Q, 'Investor Exit List'!$C:$C, 'Cashflow Projection'!X143)</f>
        <v>0</v>
      </c>
      <c r="Z143" s="70"/>
      <c r="AA143" s="51">
        <f>SUMIFS('Investor Exit List'!$Q:$Q, 'Investor Exit List'!$C:$C, 'Cashflow Projection'!Z143)</f>
        <v>0</v>
      </c>
      <c r="AB143" s="70"/>
      <c r="AC143" s="51">
        <f>SUMIFS('Investor Exit List'!$Q:$Q, 'Investor Exit List'!$C:$C, 'Cashflow Projection'!AB143)</f>
        <v>0</v>
      </c>
      <c r="AD143" s="70"/>
      <c r="AE143" s="51">
        <f>SUMIFS('Investor Exit List'!$Q:$Q, 'Investor Exit List'!$C:$C, 'Cashflow Projection'!AD143)</f>
        <v>0</v>
      </c>
      <c r="AF143" s="71"/>
    </row>
    <row r="144" spans="1:32" ht="29" x14ac:dyDescent="0.35">
      <c r="A144" s="13"/>
      <c r="C144" s="68" t="str">
        <f t="shared" si="7"/>
        <v/>
      </c>
      <c r="D144" s="69" t="s">
        <v>813</v>
      </c>
      <c r="E144" s="54">
        <f t="shared" si="8"/>
        <v>0</v>
      </c>
      <c r="F144" s="64">
        <f t="shared" si="9"/>
        <v>0</v>
      </c>
      <c r="H144" s="59"/>
      <c r="I144" s="51">
        <f>SUMIFS('Investor Exit List'!$Q:$Q, 'Investor Exit List'!$C:$C, 'Cashflow Projection'!H144)</f>
        <v>0</v>
      </c>
      <c r="J144" s="70"/>
      <c r="K144" s="51">
        <f>SUMIFS('Investor Exit List'!$Q:$Q, 'Investor Exit List'!$C:$C, 'Cashflow Projection'!J144)</f>
        <v>0</v>
      </c>
      <c r="L144" s="70"/>
      <c r="M144" s="51">
        <f>SUMIFS('Investor Exit List'!$Q:$Q, 'Investor Exit List'!$C:$C, 'Cashflow Projection'!L144)</f>
        <v>0</v>
      </c>
      <c r="N144" s="70"/>
      <c r="O144" s="51">
        <f>SUMIFS('Investor Exit List'!$Q:$Q, 'Investor Exit List'!$C:$C, 'Cashflow Projection'!N144)</f>
        <v>0</v>
      </c>
      <c r="P144" s="70"/>
      <c r="Q144" s="51">
        <f>SUMIFS('Investor Exit List'!$Q:$Q, 'Investor Exit List'!$C:$C, 'Cashflow Projection'!P144)</f>
        <v>0</v>
      </c>
      <c r="R144" s="70"/>
      <c r="S144" s="51">
        <f>SUMIFS('Investor Exit List'!$Q:$Q, 'Investor Exit List'!$C:$C, 'Cashflow Projection'!R144)</f>
        <v>0</v>
      </c>
      <c r="T144" s="70"/>
      <c r="U144" s="51">
        <f>SUMIFS('Investor Exit List'!$Q:$Q, 'Investor Exit List'!$C:$C, 'Cashflow Projection'!T144)</f>
        <v>0</v>
      </c>
      <c r="V144" s="70"/>
      <c r="W144" s="51">
        <f>SUMIFS('Investor Exit List'!$Q:$Q, 'Investor Exit List'!$C:$C, 'Cashflow Projection'!V144)</f>
        <v>0</v>
      </c>
      <c r="X144" s="70"/>
      <c r="Y144" s="51">
        <f>SUMIFS('Investor Exit List'!$Q:$Q, 'Investor Exit List'!$C:$C, 'Cashflow Projection'!X144)</f>
        <v>0</v>
      </c>
      <c r="Z144" s="70"/>
      <c r="AA144" s="51">
        <f>SUMIFS('Investor Exit List'!$Q:$Q, 'Investor Exit List'!$C:$C, 'Cashflow Projection'!Z144)</f>
        <v>0</v>
      </c>
      <c r="AB144" s="70"/>
      <c r="AC144" s="51">
        <f>SUMIFS('Investor Exit List'!$Q:$Q, 'Investor Exit List'!$C:$C, 'Cashflow Projection'!AB144)</f>
        <v>0</v>
      </c>
      <c r="AD144" s="70"/>
      <c r="AE144" s="51">
        <f>SUMIFS('Investor Exit List'!$Q:$Q, 'Investor Exit List'!$C:$C, 'Cashflow Projection'!AD144)</f>
        <v>0</v>
      </c>
      <c r="AF144" s="71"/>
    </row>
    <row r="145" spans="1:32" ht="29" x14ac:dyDescent="0.35">
      <c r="A145" s="13"/>
      <c r="C145" s="68" t="str">
        <f t="shared" si="7"/>
        <v/>
      </c>
      <c r="D145" s="69" t="s">
        <v>814</v>
      </c>
      <c r="E145" s="54">
        <f t="shared" si="8"/>
        <v>0</v>
      </c>
      <c r="F145" s="64">
        <f t="shared" si="9"/>
        <v>0</v>
      </c>
      <c r="H145" s="59"/>
      <c r="I145" s="51">
        <f>SUMIFS('Investor Exit List'!$Q:$Q, 'Investor Exit List'!$C:$C, 'Cashflow Projection'!H145)</f>
        <v>0</v>
      </c>
      <c r="J145" s="70"/>
      <c r="K145" s="51">
        <f>SUMIFS('Investor Exit List'!$Q:$Q, 'Investor Exit List'!$C:$C, 'Cashflow Projection'!J145)</f>
        <v>0</v>
      </c>
      <c r="L145" s="70"/>
      <c r="M145" s="51">
        <f>SUMIFS('Investor Exit List'!$Q:$Q, 'Investor Exit List'!$C:$C, 'Cashflow Projection'!L145)</f>
        <v>0</v>
      </c>
      <c r="N145" s="70"/>
      <c r="O145" s="51">
        <f>SUMIFS('Investor Exit List'!$Q:$Q, 'Investor Exit List'!$C:$C, 'Cashflow Projection'!N145)</f>
        <v>0</v>
      </c>
      <c r="P145" s="70"/>
      <c r="Q145" s="51">
        <f>SUMIFS('Investor Exit List'!$Q:$Q, 'Investor Exit List'!$C:$C, 'Cashflow Projection'!P145)</f>
        <v>0</v>
      </c>
      <c r="R145" s="70"/>
      <c r="S145" s="51">
        <f>SUMIFS('Investor Exit List'!$Q:$Q, 'Investor Exit List'!$C:$C, 'Cashflow Projection'!R145)</f>
        <v>0</v>
      </c>
      <c r="T145" s="70"/>
      <c r="U145" s="51">
        <f>SUMIFS('Investor Exit List'!$Q:$Q, 'Investor Exit List'!$C:$C, 'Cashflow Projection'!T145)</f>
        <v>0</v>
      </c>
      <c r="V145" s="70"/>
      <c r="W145" s="51">
        <f>SUMIFS('Investor Exit List'!$Q:$Q, 'Investor Exit List'!$C:$C, 'Cashflow Projection'!V145)</f>
        <v>0</v>
      </c>
      <c r="X145" s="70"/>
      <c r="Y145" s="51">
        <f>SUMIFS('Investor Exit List'!$Q:$Q, 'Investor Exit List'!$C:$C, 'Cashflow Projection'!X145)</f>
        <v>0</v>
      </c>
      <c r="Z145" s="70"/>
      <c r="AA145" s="51">
        <f>SUMIFS('Investor Exit List'!$Q:$Q, 'Investor Exit List'!$C:$C, 'Cashflow Projection'!Z145)</f>
        <v>0</v>
      </c>
      <c r="AB145" s="70"/>
      <c r="AC145" s="51">
        <f>SUMIFS('Investor Exit List'!$Q:$Q, 'Investor Exit List'!$C:$C, 'Cashflow Projection'!AB145)</f>
        <v>0</v>
      </c>
      <c r="AD145" s="70"/>
      <c r="AE145" s="51">
        <f>SUMIFS('Investor Exit List'!$Q:$Q, 'Investor Exit List'!$C:$C, 'Cashflow Projection'!AD145)</f>
        <v>0</v>
      </c>
      <c r="AF145" s="71"/>
    </row>
    <row r="146" spans="1:32" ht="29" x14ac:dyDescent="0.35">
      <c r="A146" s="13"/>
      <c r="C146" s="68" t="str">
        <f t="shared" si="7"/>
        <v/>
      </c>
      <c r="D146" s="69" t="s">
        <v>815</v>
      </c>
      <c r="E146" s="54">
        <f t="shared" si="8"/>
        <v>0</v>
      </c>
      <c r="F146" s="64">
        <f t="shared" si="9"/>
        <v>0</v>
      </c>
      <c r="H146" s="59"/>
      <c r="I146" s="51">
        <f>SUMIFS('Investor Exit List'!$Q:$Q, 'Investor Exit List'!$C:$C, 'Cashflow Projection'!H146)</f>
        <v>0</v>
      </c>
      <c r="J146" s="70"/>
      <c r="K146" s="51">
        <f>SUMIFS('Investor Exit List'!$Q:$Q, 'Investor Exit List'!$C:$C, 'Cashflow Projection'!J146)</f>
        <v>0</v>
      </c>
      <c r="L146" s="70"/>
      <c r="M146" s="51">
        <f>SUMIFS('Investor Exit List'!$Q:$Q, 'Investor Exit List'!$C:$C, 'Cashflow Projection'!L146)</f>
        <v>0</v>
      </c>
      <c r="N146" s="70"/>
      <c r="O146" s="51">
        <f>SUMIFS('Investor Exit List'!$Q:$Q, 'Investor Exit List'!$C:$C, 'Cashflow Projection'!N146)</f>
        <v>0</v>
      </c>
      <c r="P146" s="70"/>
      <c r="Q146" s="51">
        <f>SUMIFS('Investor Exit List'!$Q:$Q, 'Investor Exit List'!$C:$C, 'Cashflow Projection'!P146)</f>
        <v>0</v>
      </c>
      <c r="R146" s="70"/>
      <c r="S146" s="51">
        <f>SUMIFS('Investor Exit List'!$Q:$Q, 'Investor Exit List'!$C:$C, 'Cashflow Projection'!R146)</f>
        <v>0</v>
      </c>
      <c r="T146" s="70"/>
      <c r="U146" s="51">
        <f>SUMIFS('Investor Exit List'!$Q:$Q, 'Investor Exit List'!$C:$C, 'Cashflow Projection'!T146)</f>
        <v>0</v>
      </c>
      <c r="V146" s="70"/>
      <c r="W146" s="51">
        <f>SUMIFS('Investor Exit List'!$Q:$Q, 'Investor Exit List'!$C:$C, 'Cashflow Projection'!V146)</f>
        <v>0</v>
      </c>
      <c r="X146" s="70"/>
      <c r="Y146" s="51">
        <f>SUMIFS('Investor Exit List'!$Q:$Q, 'Investor Exit List'!$C:$C, 'Cashflow Projection'!X146)</f>
        <v>0</v>
      </c>
      <c r="Z146" s="70"/>
      <c r="AA146" s="51">
        <f>SUMIFS('Investor Exit List'!$Q:$Q, 'Investor Exit List'!$C:$C, 'Cashflow Projection'!Z146)</f>
        <v>0</v>
      </c>
      <c r="AB146" s="70"/>
      <c r="AC146" s="51">
        <f>SUMIFS('Investor Exit List'!$Q:$Q, 'Investor Exit List'!$C:$C, 'Cashflow Projection'!AB146)</f>
        <v>0</v>
      </c>
      <c r="AD146" s="70"/>
      <c r="AE146" s="51">
        <f>SUMIFS('Investor Exit List'!$Q:$Q, 'Investor Exit List'!$C:$C, 'Cashflow Projection'!AD146)</f>
        <v>0</v>
      </c>
      <c r="AF146" s="71"/>
    </row>
    <row r="147" spans="1:32" ht="29" x14ac:dyDescent="0.35">
      <c r="A147" s="13"/>
      <c r="C147" s="68" t="str">
        <f t="shared" si="7"/>
        <v/>
      </c>
      <c r="D147" s="69" t="s">
        <v>816</v>
      </c>
      <c r="E147" s="54">
        <f t="shared" si="8"/>
        <v>0</v>
      </c>
      <c r="F147" s="64">
        <f t="shared" si="9"/>
        <v>0</v>
      </c>
      <c r="H147" s="59"/>
      <c r="I147" s="51">
        <f>SUMIFS('Investor Exit List'!$Q:$Q, 'Investor Exit List'!$C:$C, 'Cashflow Projection'!H147)</f>
        <v>0</v>
      </c>
      <c r="J147" s="70"/>
      <c r="K147" s="51">
        <f>SUMIFS('Investor Exit List'!$Q:$Q, 'Investor Exit List'!$C:$C, 'Cashflow Projection'!J147)</f>
        <v>0</v>
      </c>
      <c r="L147" s="70"/>
      <c r="M147" s="51">
        <f>SUMIFS('Investor Exit List'!$Q:$Q, 'Investor Exit List'!$C:$C, 'Cashflow Projection'!L147)</f>
        <v>0</v>
      </c>
      <c r="N147" s="70"/>
      <c r="O147" s="51">
        <f>SUMIFS('Investor Exit List'!$Q:$Q, 'Investor Exit List'!$C:$C, 'Cashflow Projection'!N147)</f>
        <v>0</v>
      </c>
      <c r="P147" s="70"/>
      <c r="Q147" s="51">
        <f>SUMIFS('Investor Exit List'!$Q:$Q, 'Investor Exit List'!$C:$C, 'Cashflow Projection'!P147)</f>
        <v>0</v>
      </c>
      <c r="R147" s="70"/>
      <c r="S147" s="51">
        <f>SUMIFS('Investor Exit List'!$Q:$Q, 'Investor Exit List'!$C:$C, 'Cashflow Projection'!R147)</f>
        <v>0</v>
      </c>
      <c r="T147" s="70"/>
      <c r="U147" s="51">
        <f>SUMIFS('Investor Exit List'!$Q:$Q, 'Investor Exit List'!$C:$C, 'Cashflow Projection'!T147)</f>
        <v>0</v>
      </c>
      <c r="V147" s="70"/>
      <c r="W147" s="51">
        <f>SUMIFS('Investor Exit List'!$Q:$Q, 'Investor Exit List'!$C:$C, 'Cashflow Projection'!V147)</f>
        <v>0</v>
      </c>
      <c r="X147" s="70"/>
      <c r="Y147" s="51">
        <f>SUMIFS('Investor Exit List'!$Q:$Q, 'Investor Exit List'!$C:$C, 'Cashflow Projection'!X147)</f>
        <v>0</v>
      </c>
      <c r="Z147" s="70"/>
      <c r="AA147" s="51">
        <f>SUMIFS('Investor Exit List'!$Q:$Q, 'Investor Exit List'!$C:$C, 'Cashflow Projection'!Z147)</f>
        <v>0</v>
      </c>
      <c r="AB147" s="70"/>
      <c r="AC147" s="51">
        <f>SUMIFS('Investor Exit List'!$Q:$Q, 'Investor Exit List'!$C:$C, 'Cashflow Projection'!AB147)</f>
        <v>0</v>
      </c>
      <c r="AD147" s="70"/>
      <c r="AE147" s="51">
        <f>SUMIFS('Investor Exit List'!$Q:$Q, 'Investor Exit List'!$C:$C, 'Cashflow Projection'!AD147)</f>
        <v>0</v>
      </c>
      <c r="AF147" s="71"/>
    </row>
    <row r="148" spans="1:32" ht="29" x14ac:dyDescent="0.35">
      <c r="A148" s="13"/>
      <c r="C148" s="68" t="str">
        <f t="shared" si="7"/>
        <v/>
      </c>
      <c r="D148" s="69" t="s">
        <v>817</v>
      </c>
      <c r="E148" s="54">
        <f t="shared" si="8"/>
        <v>0</v>
      </c>
      <c r="F148" s="64">
        <f t="shared" si="9"/>
        <v>0</v>
      </c>
      <c r="H148" s="59"/>
      <c r="I148" s="51">
        <f>SUMIFS('Investor Exit List'!$Q:$Q, 'Investor Exit List'!$C:$C, 'Cashflow Projection'!H148)</f>
        <v>0</v>
      </c>
      <c r="J148" s="70"/>
      <c r="K148" s="51">
        <f>SUMIFS('Investor Exit List'!$Q:$Q, 'Investor Exit List'!$C:$C, 'Cashflow Projection'!J148)</f>
        <v>0</v>
      </c>
      <c r="L148" s="70"/>
      <c r="M148" s="51">
        <f>SUMIFS('Investor Exit List'!$Q:$Q, 'Investor Exit List'!$C:$C, 'Cashflow Projection'!L148)</f>
        <v>0</v>
      </c>
      <c r="N148" s="70"/>
      <c r="O148" s="51">
        <f>SUMIFS('Investor Exit List'!$Q:$Q, 'Investor Exit List'!$C:$C, 'Cashflow Projection'!N148)</f>
        <v>0</v>
      </c>
      <c r="P148" s="70"/>
      <c r="Q148" s="51">
        <f>SUMIFS('Investor Exit List'!$Q:$Q, 'Investor Exit List'!$C:$C, 'Cashflow Projection'!P148)</f>
        <v>0</v>
      </c>
      <c r="R148" s="70"/>
      <c r="S148" s="51">
        <f>SUMIFS('Investor Exit List'!$Q:$Q, 'Investor Exit List'!$C:$C, 'Cashflow Projection'!R148)</f>
        <v>0</v>
      </c>
      <c r="T148" s="70"/>
      <c r="U148" s="51">
        <f>SUMIFS('Investor Exit List'!$Q:$Q, 'Investor Exit List'!$C:$C, 'Cashflow Projection'!T148)</f>
        <v>0</v>
      </c>
      <c r="V148" s="70"/>
      <c r="W148" s="51">
        <f>SUMIFS('Investor Exit List'!$Q:$Q, 'Investor Exit List'!$C:$C, 'Cashflow Projection'!V148)</f>
        <v>0</v>
      </c>
      <c r="X148" s="70"/>
      <c r="Y148" s="51">
        <f>SUMIFS('Investor Exit List'!$Q:$Q, 'Investor Exit List'!$C:$C, 'Cashflow Projection'!X148)</f>
        <v>0</v>
      </c>
      <c r="Z148" s="70"/>
      <c r="AA148" s="51">
        <f>SUMIFS('Investor Exit List'!$Q:$Q, 'Investor Exit List'!$C:$C, 'Cashflow Projection'!Z148)</f>
        <v>0</v>
      </c>
      <c r="AB148" s="70"/>
      <c r="AC148" s="51">
        <f>SUMIFS('Investor Exit List'!$Q:$Q, 'Investor Exit List'!$C:$C, 'Cashflow Projection'!AB148)</f>
        <v>0</v>
      </c>
      <c r="AD148" s="70"/>
      <c r="AE148" s="51">
        <f>SUMIFS('Investor Exit List'!$Q:$Q, 'Investor Exit List'!$C:$C, 'Cashflow Projection'!AD148)</f>
        <v>0</v>
      </c>
      <c r="AF148" s="71"/>
    </row>
    <row r="149" spans="1:32" ht="29" x14ac:dyDescent="0.35">
      <c r="A149" s="13"/>
      <c r="C149" s="68" t="str">
        <f t="shared" si="7"/>
        <v/>
      </c>
      <c r="D149" s="69" t="s">
        <v>818</v>
      </c>
      <c r="E149" s="54">
        <f t="shared" si="8"/>
        <v>0</v>
      </c>
      <c r="F149" s="64">
        <f t="shared" si="9"/>
        <v>0</v>
      </c>
      <c r="H149" s="59"/>
      <c r="I149" s="51">
        <f>SUMIFS('Investor Exit List'!$Q:$Q, 'Investor Exit List'!$C:$C, 'Cashflow Projection'!H149)</f>
        <v>0</v>
      </c>
      <c r="J149" s="70"/>
      <c r="K149" s="51">
        <f>SUMIFS('Investor Exit List'!$Q:$Q, 'Investor Exit List'!$C:$C, 'Cashflow Projection'!J149)</f>
        <v>0</v>
      </c>
      <c r="L149" s="70"/>
      <c r="M149" s="51">
        <f>SUMIFS('Investor Exit List'!$Q:$Q, 'Investor Exit List'!$C:$C, 'Cashflow Projection'!L149)</f>
        <v>0</v>
      </c>
      <c r="N149" s="70"/>
      <c r="O149" s="51">
        <f>SUMIFS('Investor Exit List'!$Q:$Q, 'Investor Exit List'!$C:$C, 'Cashflow Projection'!N149)</f>
        <v>0</v>
      </c>
      <c r="P149" s="70"/>
      <c r="Q149" s="51">
        <f>SUMIFS('Investor Exit List'!$Q:$Q, 'Investor Exit List'!$C:$C, 'Cashflow Projection'!P149)</f>
        <v>0</v>
      </c>
      <c r="R149" s="70"/>
      <c r="S149" s="51">
        <f>SUMIFS('Investor Exit List'!$Q:$Q, 'Investor Exit List'!$C:$C, 'Cashflow Projection'!R149)</f>
        <v>0</v>
      </c>
      <c r="T149" s="70"/>
      <c r="U149" s="51">
        <f>SUMIFS('Investor Exit List'!$Q:$Q, 'Investor Exit List'!$C:$C, 'Cashflow Projection'!T149)</f>
        <v>0</v>
      </c>
      <c r="V149" s="70"/>
      <c r="W149" s="51">
        <f>SUMIFS('Investor Exit List'!$Q:$Q, 'Investor Exit List'!$C:$C, 'Cashflow Projection'!V149)</f>
        <v>0</v>
      </c>
      <c r="X149" s="70"/>
      <c r="Y149" s="51">
        <f>SUMIFS('Investor Exit List'!$Q:$Q, 'Investor Exit List'!$C:$C, 'Cashflow Projection'!X149)</f>
        <v>0</v>
      </c>
      <c r="Z149" s="70"/>
      <c r="AA149" s="51">
        <f>SUMIFS('Investor Exit List'!$Q:$Q, 'Investor Exit List'!$C:$C, 'Cashflow Projection'!Z149)</f>
        <v>0</v>
      </c>
      <c r="AB149" s="70"/>
      <c r="AC149" s="51">
        <f>SUMIFS('Investor Exit List'!$Q:$Q, 'Investor Exit List'!$C:$C, 'Cashflow Projection'!AB149)</f>
        <v>0</v>
      </c>
      <c r="AD149" s="70"/>
      <c r="AE149" s="51">
        <f>SUMIFS('Investor Exit List'!$Q:$Q, 'Investor Exit List'!$C:$C, 'Cashflow Projection'!AD149)</f>
        <v>0</v>
      </c>
      <c r="AF149" s="71"/>
    </row>
    <row r="150" spans="1:32" x14ac:dyDescent="0.2">
      <c r="A150" s="13"/>
      <c r="AF150" s="14"/>
    </row>
    <row r="151" spans="1:32" ht="29" x14ac:dyDescent="0.35">
      <c r="A151" s="66" t="s">
        <v>1894</v>
      </c>
      <c r="B151" s="72">
        <v>900000</v>
      </c>
      <c r="C151" s="73">
        <v>8</v>
      </c>
      <c r="D151" s="74">
        <f>+I151+K151+M151+O151+Q151+S151+U151+W151+Y151+AA151+AC151+AE151</f>
        <v>0</v>
      </c>
      <c r="I151" s="75">
        <f>$B151*J151</f>
        <v>0</v>
      </c>
      <c r="J151" s="75">
        <f>$H115</f>
        <v>0</v>
      </c>
      <c r="K151" s="75">
        <f>$B151*L151</f>
        <v>0</v>
      </c>
      <c r="L151" s="75">
        <f>$J115</f>
        <v>0</v>
      </c>
      <c r="M151" s="75">
        <f>$B151*N151</f>
        <v>0</v>
      </c>
      <c r="N151" s="75">
        <f>$L115</f>
        <v>0</v>
      </c>
      <c r="O151" s="75">
        <f>$B151*P151</f>
        <v>0</v>
      </c>
      <c r="P151" s="75">
        <f>$N115</f>
        <v>0</v>
      </c>
      <c r="Q151" s="75">
        <f>$B151*R151</f>
        <v>0</v>
      </c>
      <c r="R151" s="75">
        <f>$P115</f>
        <v>0</v>
      </c>
      <c r="S151" s="75">
        <f>$B151*T151</f>
        <v>0</v>
      </c>
      <c r="T151" s="75">
        <f>$R115</f>
        <v>0</v>
      </c>
      <c r="U151" s="75">
        <f>$B151*V151</f>
        <v>0</v>
      </c>
      <c r="V151" s="75">
        <f>$T115</f>
        <v>0</v>
      </c>
      <c r="W151" s="75">
        <f>$B151*X151</f>
        <v>0</v>
      </c>
      <c r="X151" s="75">
        <f>$V115</f>
        <v>0</v>
      </c>
      <c r="Y151" s="75">
        <f>$B151*Z151</f>
        <v>0</v>
      </c>
      <c r="Z151" s="75">
        <f>$X115</f>
        <v>0</v>
      </c>
      <c r="AA151" s="75">
        <f>$B151*AB151</f>
        <v>0</v>
      </c>
      <c r="AB151" s="75">
        <f>$Z115</f>
        <v>0</v>
      </c>
      <c r="AC151" s="75">
        <f>$B151*AD151</f>
        <v>0</v>
      </c>
      <c r="AD151" s="75">
        <f>$AB115</f>
        <v>0</v>
      </c>
      <c r="AE151" s="75">
        <f>$B151*AF151</f>
        <v>0</v>
      </c>
      <c r="AF151" s="76">
        <f>$AD115</f>
        <v>0</v>
      </c>
    </row>
    <row r="152" spans="1:32" x14ac:dyDescent="0.2">
      <c r="A152" s="13"/>
      <c r="AF152" s="14"/>
    </row>
    <row r="153" spans="1:32" x14ac:dyDescent="0.2">
      <c r="A153" s="13"/>
      <c r="AF153" s="14"/>
    </row>
    <row r="154" spans="1:32" ht="29" x14ac:dyDescent="0.35">
      <c r="A154" s="66" t="s">
        <v>1895</v>
      </c>
      <c r="D154" s="77">
        <f>+I154+K154+M154+O154+Q154+S154+U154+W154+Y154+AA154+AC154+AE154</f>
        <v>0</v>
      </c>
      <c r="I154" s="78">
        <f>SUM(I157:I239)</f>
        <v>0</v>
      </c>
      <c r="K154" s="78">
        <f>SUM(K157:K239)</f>
        <v>0</v>
      </c>
      <c r="M154" s="78">
        <f>SUM(M157:M239)</f>
        <v>0</v>
      </c>
      <c r="O154" s="78">
        <f>SUM(O157:O239)</f>
        <v>0</v>
      </c>
      <c r="Q154" s="78">
        <f>SUM(Q157:Q239)</f>
        <v>0</v>
      </c>
      <c r="S154" s="78">
        <f>SUM(S157:S239)</f>
        <v>0</v>
      </c>
      <c r="U154" s="78">
        <f>SUM(U157:U239)</f>
        <v>0</v>
      </c>
      <c r="W154" s="78">
        <f>SUM(W157:W239)</f>
        <v>0</v>
      </c>
      <c r="Y154" s="78">
        <f>SUM(Y157:Y239)</f>
        <v>0</v>
      </c>
      <c r="AA154" s="78">
        <f>SUM(AA157:AA239)</f>
        <v>0</v>
      </c>
      <c r="AC154" s="78">
        <f>SUM(AC157:AC239)</f>
        <v>0</v>
      </c>
      <c r="AE154" s="78">
        <f>SUM(AE157:AE239)</f>
        <v>0</v>
      </c>
      <c r="AF154" s="14"/>
    </row>
    <row r="155" spans="1:32" ht="29" x14ac:dyDescent="0.35">
      <c r="A155" s="13">
        <v>0</v>
      </c>
      <c r="B155" s="79" t="s">
        <v>1889</v>
      </c>
      <c r="C155" t="s">
        <v>1896</v>
      </c>
      <c r="D155" s="77">
        <f>+I155+K155+M155+O155+Q155+S155+U155+W155+Y155+AA155+AC155+AE155</f>
        <v>0</v>
      </c>
      <c r="AF155" s="14"/>
    </row>
    <row r="156" spans="1:32" ht="29" x14ac:dyDescent="0.35">
      <c r="A156" s="13">
        <v>1</v>
      </c>
      <c r="B156" s="79" t="s">
        <v>1897</v>
      </c>
      <c r="D156" s="77">
        <f>+I156+K156+M156+O156+Q156+S156+U156+W156+Y156+AA156+AC156+AE156</f>
        <v>0</v>
      </c>
      <c r="I156" s="78">
        <f>I154-I155</f>
        <v>0</v>
      </c>
      <c r="K156" s="78">
        <f>K154-K155</f>
        <v>0</v>
      </c>
      <c r="M156" s="78">
        <f>M154-M155</f>
        <v>0</v>
      </c>
      <c r="O156" s="78">
        <f>O154-O155</f>
        <v>0</v>
      </c>
      <c r="Q156" s="78">
        <f>Q154-Q155</f>
        <v>0</v>
      </c>
      <c r="S156" s="78">
        <f>S154-S155</f>
        <v>0</v>
      </c>
      <c r="U156" s="78">
        <f>U154-U155</f>
        <v>0</v>
      </c>
      <c r="W156" s="78">
        <f>W154-W155</f>
        <v>0</v>
      </c>
      <c r="Y156" s="78">
        <f>Y154-Y155</f>
        <v>0</v>
      </c>
      <c r="AA156" s="78">
        <f>AA154-AA155</f>
        <v>0</v>
      </c>
      <c r="AC156" s="78">
        <f>AC154-AC155</f>
        <v>0</v>
      </c>
      <c r="AE156" s="78">
        <f>AE154-AE155</f>
        <v>0</v>
      </c>
      <c r="AF156" s="14"/>
    </row>
    <row r="157" spans="1:32" ht="21" x14ac:dyDescent="0.25">
      <c r="A157" s="13">
        <v>2</v>
      </c>
      <c r="H157" s="156" t="str" cm="1">
        <f t="array" ref="H157:H159">IFERROR(_xlfn.UNIQUE(_xlfn._xlws.FILTER($B$243:$B$593,($C$243:$C$593&lt;=I$5)*($C$243:$C$593&gt;G$5)*($F$243:$F$593=0))),"")</f>
        <v>HVD303-ZDIC01</v>
      </c>
      <c r="J157" s="156" t="str" cm="1">
        <f t="array" ref="J157:J158">IFERROR(_xlfn.UNIQUE(_xlfn._xlws.FILTER($B$243:$B$593,($C$243:$C$593&lt;=K$5)*($C$243:$C$593&gt;I$5)*($F$243:$F$593=0))),"")</f>
        <v>HVC302-ZCON01</v>
      </c>
      <c r="K157" s="156"/>
      <c r="L157" s="156" t="str" cm="1">
        <f t="array" ref="L157:L163">IFERROR(_xlfn.UNIQUE(_xlfn._xlws.FILTER($B$243:$B$593,($C$243:$C$593&lt;=M$5)*($C$243:$C$593&gt;K$5)*($F$243:$F$593=0))),"")</f>
        <v>HVJ103-ZDIC01</v>
      </c>
      <c r="M157" s="156"/>
      <c r="N157" s="156" t="str" cm="1">
        <f t="array" ref="N157:N162">IFERROR(_xlfn.UNIQUE(_xlfn._xlws.FILTER($B$243:$B$593,($C$243:$C$593&lt;=O$5)*($C$243:$C$593&gt;M$5)*($F$243:$F$593=0))),"")</f>
        <v>HVJ301-ZMAN02</v>
      </c>
      <c r="O157" s="156"/>
      <c r="P157" s="156" t="str" cm="1">
        <f t="array" ref="P157">IFERROR(_xlfn.UNIQUE(_xlfn._xlws.FILTER($B$243:$B$593,($C$243:$C$593&lt;=Q$5)*($C$243:$C$593&gt;O$5)*($F$243:$F$593=0))),"")</f>
        <v>HVP303-ZKRI02</v>
      </c>
      <c r="Q157" s="156"/>
      <c r="R157" s="156" t="str" cm="1">
        <f t="array" ref="R157:R162">IFERROR(_xlfn.UNIQUE(_xlfn._xlws.FILTER($B$243:$B$593,($C$243:$C$593&lt;=S$5)*($C$243:$C$593&gt;Q$5))),"")</f>
        <v>HVC202-ZALM01</v>
      </c>
      <c r="S157" s="156"/>
      <c r="T157" s="156" t="str" cm="1">
        <f t="array" ref="T157:T181">IFERROR(_xlfn.UNIQUE(_xlfn._xlws.FILTER($B$243:$B$593,($C$243:$C$593&lt;=U$5)*($C$243:$C$593&gt;S$5))),"")</f>
        <v>HVC202-ZPER01</v>
      </c>
      <c r="U157" s="156"/>
      <c r="V157" s="156" t="str" cm="1">
        <f t="array" ref="V157">IFERROR(_xlfn.UNIQUE(_xlfn._xlws.FILTER($B$243:$B$593,($C$243:$C$593&lt;=W$5)*($C$243:$C$593&gt;U$5))),"")</f>
        <v/>
      </c>
      <c r="W157" s="156"/>
      <c r="X157" s="156" t="str" cm="1">
        <f t="array" ref="X157:X173">IFERROR(_xlfn.UNIQUE(_xlfn._xlws.FILTER($B$243:$B$593,($C$243:$C$593&lt;=Y$5)*($C$243:$C$593&gt;W$5))),"")</f>
        <v>HVK103-ZCRO01</v>
      </c>
      <c r="Y157" s="156"/>
      <c r="Z157" s="156" t="str" cm="1">
        <f t="array" ref="Z157:Z183">IFERROR(_xlfn.UNIQUE(_xlfn._xlws.FILTER($B$243:$B$593,($C$243:$C$593&lt;=AA$5)*($C$243:$C$593&gt;Y$5))),"")</f>
        <v>HVC202-ZMON01</v>
      </c>
      <c r="AA157" s="156"/>
      <c r="AB157" s="156" t="str" cm="1">
        <f t="array" ref="AB157:AB160">IFERROR(_xlfn.UNIQUE(_xlfn._xlws.FILTER($B$243:$B$593,($C$243:$C$593&lt;=AC$5)*($C$243:$C$593&gt;AA$5))),"")</f>
        <v>HVK104-ZNIE01</v>
      </c>
      <c r="AC157" s="156"/>
      <c r="AD157" s="156" t="str" cm="1">
        <f t="array" ref="AD157:AD165">IFERROR(_xlfn.UNIQUE(_xlfn._xlws.FILTER($B$243:$B$593,($C$243:$C$593&lt;=AE$5)*($C$243:$C$593&gt;AC$5))),"")</f>
        <v>HVC202-ZINT01</v>
      </c>
      <c r="AE157" s="156"/>
      <c r="AF157" s="14"/>
    </row>
    <row r="158" spans="1:32" ht="21" x14ac:dyDescent="0.25">
      <c r="A158" s="13">
        <v>3</v>
      </c>
      <c r="H158" s="156" t="str">
        <v>HVD304-ZOOS01</v>
      </c>
      <c r="J158" s="156" t="str">
        <v>HVN302-ZAMP01</v>
      </c>
      <c r="K158" s="156"/>
      <c r="L158" s="156" t="str">
        <v>HVJ103-ZJER01</v>
      </c>
      <c r="M158" s="156"/>
      <c r="N158" s="156" t="str">
        <v>HVJ301-ZSMI03</v>
      </c>
      <c r="O158" s="156"/>
      <c r="P158" s="156"/>
      <c r="Q158" s="156"/>
      <c r="R158" s="156" t="str">
        <v>HVC202-ZRIT01</v>
      </c>
      <c r="S158" s="156"/>
      <c r="T158" s="156" t="str">
        <v>HVC202-ZRAB02</v>
      </c>
      <c r="U158" s="156"/>
      <c r="V158" s="156"/>
      <c r="W158" s="156"/>
      <c r="X158" s="156" t="str">
        <v>HVK103-ZJOH01</v>
      </c>
      <c r="Y158" s="156"/>
      <c r="Z158" s="156" t="str">
        <v>HVK101-ZMIN01</v>
      </c>
      <c r="AA158" s="156"/>
      <c r="AB158" s="156" t="str">
        <v>HVK203-ZLOU01</v>
      </c>
      <c r="AC158" s="156"/>
      <c r="AD158" s="156" t="str">
        <v>HVK306-ZRIT01</v>
      </c>
      <c r="AE158" s="156"/>
      <c r="AF158" s="14"/>
    </row>
    <row r="159" spans="1:32" ht="21" x14ac:dyDescent="0.25">
      <c r="A159" s="13">
        <v>4</v>
      </c>
      <c r="H159" s="156" t="str">
        <v>HVD304-ZRAN01</v>
      </c>
      <c r="J159" s="156"/>
      <c r="K159" s="156"/>
      <c r="L159" s="156" t="str">
        <v>HVJ103-ZZYL05</v>
      </c>
      <c r="M159" s="156"/>
      <c r="N159" s="156" t="str">
        <v>HVJ302-ZMAN02</v>
      </c>
      <c r="O159" s="156"/>
      <c r="P159" s="156"/>
      <c r="Q159" s="156"/>
      <c r="R159" s="156" t="str">
        <v>HVC204-ZKUS02</v>
      </c>
      <c r="S159" s="156"/>
      <c r="T159" s="156" t="str">
        <v>HVC202-ZVAN11</v>
      </c>
      <c r="U159" s="156"/>
      <c r="V159" s="156"/>
      <c r="W159" s="156"/>
      <c r="X159" s="156" t="str">
        <v>HVK104-ZINT01</v>
      </c>
      <c r="Y159" s="156"/>
      <c r="Z159" s="156" t="str">
        <v>HVK202-ZZYL03</v>
      </c>
      <c r="AA159" s="156"/>
      <c r="AB159" s="156" t="str">
        <v>HVK206-ZDIC01</v>
      </c>
      <c r="AC159" s="156"/>
      <c r="AD159" s="156" t="str">
        <v>HVK403-ZKRO01</v>
      </c>
      <c r="AE159" s="156"/>
      <c r="AF159" s="14"/>
    </row>
    <row r="160" spans="1:32" ht="21" x14ac:dyDescent="0.25">
      <c r="A160" s="13">
        <v>5</v>
      </c>
      <c r="J160" s="156"/>
      <c r="K160" s="156"/>
      <c r="L160" s="156" t="str">
        <v>HVJ203-ZBUM01</v>
      </c>
      <c r="M160" s="156"/>
      <c r="N160" s="156" t="str">
        <v>HVJ401-ZFOU02</v>
      </c>
      <c r="O160" s="156"/>
      <c r="P160" s="156"/>
      <c r="Q160" s="156"/>
      <c r="R160" s="156" t="str">
        <v>HVC204-ZSTO01</v>
      </c>
      <c r="S160" s="156"/>
      <c r="T160" s="156" t="str">
        <v>HVC204-ZFEM01</v>
      </c>
      <c r="U160" s="156"/>
      <c r="V160" s="156"/>
      <c r="W160" s="156"/>
      <c r="X160" s="156" t="str">
        <v>HVK105-ZBOH01</v>
      </c>
      <c r="Y160" s="156"/>
      <c r="Z160" s="156" t="str">
        <v>HVK203-ZSPE01</v>
      </c>
      <c r="AA160" s="156"/>
      <c r="AB160" s="156" t="str">
        <v>HVK305-ZRAN01</v>
      </c>
      <c r="AC160" s="156"/>
      <c r="AD160" s="156" t="str">
        <v>HVK403-ZMCK01</v>
      </c>
      <c r="AE160" s="156"/>
      <c r="AF160" s="14"/>
    </row>
    <row r="161" spans="1:32" ht="21" x14ac:dyDescent="0.25">
      <c r="A161" s="13">
        <v>6</v>
      </c>
      <c r="J161" s="156"/>
      <c r="K161" s="156"/>
      <c r="L161" s="156" t="str">
        <v>HVJ302-ZVER04</v>
      </c>
      <c r="M161" s="156"/>
      <c r="N161" s="156" t="str">
        <v>HVJ403-ZFOU02</v>
      </c>
      <c r="O161" s="156"/>
      <c r="P161" s="156"/>
      <c r="Q161" s="156"/>
      <c r="R161" s="156" t="str">
        <v>HVC204-ZVAN10</v>
      </c>
      <c r="S161" s="156"/>
      <c r="T161" s="156" t="str">
        <v>HVC204-ZWIL01</v>
      </c>
      <c r="U161" s="156"/>
      <c r="V161" s="156"/>
      <c r="W161" s="156"/>
      <c r="X161" s="156" t="str">
        <v>HVK202-ZRAN01</v>
      </c>
      <c r="Y161" s="156"/>
      <c r="Z161" s="156" t="str">
        <v>HVK204-ZCAM01</v>
      </c>
      <c r="AA161" s="156"/>
      <c r="AB161" s="156"/>
      <c r="AC161" s="156"/>
      <c r="AD161" s="156" t="str">
        <v>HVK404-ZMCK01</v>
      </c>
      <c r="AE161" s="156"/>
      <c r="AF161" s="14"/>
    </row>
    <row r="162" spans="1:32" ht="21" x14ac:dyDescent="0.25">
      <c r="A162" s="13">
        <v>7</v>
      </c>
      <c r="J162" s="156"/>
      <c r="K162" s="156"/>
      <c r="L162" s="156" t="str">
        <v>HVJ403-ZVER04</v>
      </c>
      <c r="M162" s="156"/>
      <c r="N162" s="156" t="str">
        <v>HVP203-ZSON01</v>
      </c>
      <c r="O162" s="156"/>
      <c r="P162" s="156"/>
      <c r="Q162" s="156"/>
      <c r="R162" s="156" t="str">
        <v>HVJ301-ZBRO01</v>
      </c>
      <c r="S162" s="156"/>
      <c r="T162" s="156" t="str">
        <v>HVC302-ZKEW01</v>
      </c>
      <c r="U162" s="156"/>
      <c r="V162" s="156"/>
      <c r="W162" s="156"/>
      <c r="X162" s="156" t="str">
        <v>HVK202-ZVDM01</v>
      </c>
      <c r="Y162" s="156"/>
      <c r="Z162" s="156" t="str">
        <v>HVK205-ZVDW01</v>
      </c>
      <c r="AA162" s="156"/>
      <c r="AB162" s="156"/>
      <c r="AC162" s="156"/>
      <c r="AD162" s="156" t="str">
        <v>HVK405-ZVAN15</v>
      </c>
      <c r="AE162" s="156"/>
      <c r="AF162" s="14"/>
    </row>
    <row r="163" spans="1:32" ht="21" x14ac:dyDescent="0.25">
      <c r="A163" s="13">
        <v>8</v>
      </c>
      <c r="J163" s="156"/>
      <c r="K163" s="156"/>
      <c r="L163" s="156" t="str">
        <v>HVN303-ZERF01</v>
      </c>
      <c r="M163" s="156"/>
      <c r="N163" s="156"/>
      <c r="O163" s="156"/>
      <c r="P163" s="156"/>
      <c r="Q163" s="156"/>
      <c r="R163" s="156"/>
      <c r="S163" s="156"/>
      <c r="T163" s="156" t="str">
        <v>HVC304-ZVAN05</v>
      </c>
      <c r="U163" s="156"/>
      <c r="V163" s="156"/>
      <c r="W163" s="156"/>
      <c r="X163" s="156" t="str">
        <v>HVK204-ZKRO03</v>
      </c>
      <c r="Y163" s="156"/>
      <c r="Z163" s="156" t="str">
        <v>HVK206-ZCOL01</v>
      </c>
      <c r="AA163" s="156"/>
      <c r="AB163" s="156"/>
      <c r="AC163" s="156"/>
      <c r="AD163" s="156" t="str">
        <v>HVK405-ZVER02</v>
      </c>
      <c r="AE163" s="156"/>
      <c r="AF163" s="14"/>
    </row>
    <row r="164" spans="1:32" ht="21" x14ac:dyDescent="0.25">
      <c r="A164" s="13">
        <v>9</v>
      </c>
      <c r="J164" s="156"/>
      <c r="K164" s="156"/>
      <c r="L164" s="156"/>
      <c r="M164" s="156"/>
      <c r="N164" s="156"/>
      <c r="O164" s="156"/>
      <c r="P164" s="156"/>
      <c r="Q164" s="156"/>
      <c r="R164" s="156"/>
      <c r="S164" s="156"/>
      <c r="T164" s="156" t="str">
        <v>HVC305-ZBER01</v>
      </c>
      <c r="U164" s="156"/>
      <c r="V164" s="156"/>
      <c r="W164" s="156"/>
      <c r="X164" s="156" t="str">
        <v>HVK206-ZGOV01</v>
      </c>
      <c r="Y164" s="156"/>
      <c r="Z164" s="156" t="str">
        <v>HVK206-ZFOU01</v>
      </c>
      <c r="AA164" s="156"/>
      <c r="AB164" s="156"/>
      <c r="AC164" s="156"/>
      <c r="AD164" s="156" t="str">
        <v>HVO205-ZKUS04</v>
      </c>
      <c r="AE164" s="156"/>
      <c r="AF164" s="14"/>
    </row>
    <row r="165" spans="1:32" ht="21" x14ac:dyDescent="0.25">
      <c r="A165" s="13">
        <v>10</v>
      </c>
      <c r="J165" s="156"/>
      <c r="K165" s="156"/>
      <c r="L165" s="156"/>
      <c r="M165" s="156"/>
      <c r="N165" s="156"/>
      <c r="O165" s="156"/>
      <c r="P165" s="156"/>
      <c r="Q165" s="156"/>
      <c r="R165" s="156"/>
      <c r="S165" s="156"/>
      <c r="T165" s="156" t="str">
        <v>HVC305-ZDUT01</v>
      </c>
      <c r="U165" s="156"/>
      <c r="V165" s="156"/>
      <c r="W165" s="156"/>
      <c r="X165" s="156" t="str">
        <v>HVK301-ZBAR01</v>
      </c>
      <c r="Y165" s="156"/>
      <c r="Z165" s="156" t="str">
        <v>HVK302-ZCRO01</v>
      </c>
      <c r="AA165" s="156"/>
      <c r="AB165" s="156"/>
      <c r="AC165" s="156"/>
      <c r="AD165" s="156" t="str">
        <v>HVO205-ZVAN10</v>
      </c>
      <c r="AE165" s="156"/>
      <c r="AF165" s="14"/>
    </row>
    <row r="166" spans="1:32" ht="21" x14ac:dyDescent="0.25">
      <c r="A166" s="13">
        <v>11</v>
      </c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 t="str">
        <v>HVC305-ZKRO01</v>
      </c>
      <c r="U166" s="156"/>
      <c r="V166" s="156"/>
      <c r="W166" s="156"/>
      <c r="X166" s="156" t="str">
        <v>HVK301-ZDAV01</v>
      </c>
      <c r="Y166" s="156"/>
      <c r="Z166" s="156" t="str">
        <v>HVK302-ZJOH01</v>
      </c>
      <c r="AA166" s="156"/>
      <c r="AB166" s="156"/>
      <c r="AC166" s="156"/>
      <c r="AD166" s="156"/>
      <c r="AE166" s="156"/>
      <c r="AF166" s="14"/>
    </row>
    <row r="167" spans="1:32" ht="21" x14ac:dyDescent="0.25">
      <c r="A167" s="13">
        <v>12</v>
      </c>
      <c r="J167" s="156"/>
      <c r="K167" s="156"/>
      <c r="L167" s="156"/>
      <c r="M167" s="156"/>
      <c r="N167" s="156"/>
      <c r="O167" s="156"/>
      <c r="P167" s="156"/>
      <c r="Q167" s="156"/>
      <c r="R167" s="156"/>
      <c r="S167" s="156"/>
      <c r="T167" s="156" t="str">
        <v>HVC305-ZVOL01</v>
      </c>
      <c r="U167" s="156"/>
      <c r="V167" s="156"/>
      <c r="W167" s="156"/>
      <c r="X167" s="156" t="str">
        <v>HVK302-ZBEL01</v>
      </c>
      <c r="Y167" s="156"/>
      <c r="Z167" s="156" t="str">
        <v>HVK303-ZCRO01</v>
      </c>
      <c r="AA167" s="156"/>
      <c r="AB167" s="156"/>
      <c r="AC167" s="156"/>
      <c r="AD167" s="156"/>
      <c r="AE167" s="156"/>
      <c r="AF167" s="14"/>
    </row>
    <row r="168" spans="1:32" ht="21" x14ac:dyDescent="0.25">
      <c r="A168" s="13">
        <v>13</v>
      </c>
      <c r="J168" s="156"/>
      <c r="K168" s="156"/>
      <c r="L168" s="156"/>
      <c r="M168" s="156"/>
      <c r="N168" s="156"/>
      <c r="O168" s="156"/>
      <c r="P168" s="156"/>
      <c r="Q168" s="156"/>
      <c r="R168" s="156"/>
      <c r="S168" s="156"/>
      <c r="T168" s="156" t="str">
        <v>HVK101-ZRIT01</v>
      </c>
      <c r="U168" s="156"/>
      <c r="V168" s="156"/>
      <c r="W168" s="156"/>
      <c r="X168" s="156" t="str">
        <v>HVK302-ZLEW01</v>
      </c>
      <c r="Y168" s="156"/>
      <c r="Z168" s="156" t="str">
        <v>HVK303-ZDAD01</v>
      </c>
      <c r="AA168" s="156"/>
      <c r="AB168" s="156"/>
      <c r="AC168" s="156"/>
      <c r="AD168" s="156"/>
      <c r="AE168" s="156"/>
      <c r="AF168" s="14"/>
    </row>
    <row r="169" spans="1:32" ht="21" x14ac:dyDescent="0.25">
      <c r="A169" s="13">
        <v>14</v>
      </c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 t="str">
        <v>HVK102-ZVAN05</v>
      </c>
      <c r="U169" s="156"/>
      <c r="V169" s="156"/>
      <c r="W169" s="156"/>
      <c r="X169" s="156" t="str">
        <v>HVK302-ZMAR01</v>
      </c>
      <c r="Y169" s="156"/>
      <c r="Z169" s="156" t="str">
        <v>HVK303-ZINT01</v>
      </c>
      <c r="AA169" s="156"/>
      <c r="AB169" s="156"/>
      <c r="AC169" s="156"/>
      <c r="AD169" s="156"/>
      <c r="AE169" s="156"/>
      <c r="AF169" s="14"/>
    </row>
    <row r="170" spans="1:32" ht="21" x14ac:dyDescent="0.25">
      <c r="A170" s="13">
        <v>15</v>
      </c>
      <c r="J170" s="156"/>
      <c r="K170" s="156"/>
      <c r="L170" s="156"/>
      <c r="M170" s="156"/>
      <c r="N170" s="156"/>
      <c r="O170" s="156"/>
      <c r="P170" s="156"/>
      <c r="Q170" s="156"/>
      <c r="R170" s="156"/>
      <c r="S170" s="156"/>
      <c r="T170" s="156" t="str">
        <v>HVK103-ZDAM01</v>
      </c>
      <c r="U170" s="156"/>
      <c r="V170" s="156"/>
      <c r="W170" s="156"/>
      <c r="X170" s="156" t="str">
        <v>HVK303-ZHUN01</v>
      </c>
      <c r="Y170" s="156"/>
      <c r="Z170" s="156" t="str">
        <v>HVK303-ZMEH01</v>
      </c>
      <c r="AA170" s="156"/>
      <c r="AB170" s="156"/>
      <c r="AC170" s="156"/>
      <c r="AD170" s="156"/>
      <c r="AE170" s="156"/>
      <c r="AF170" s="14"/>
    </row>
    <row r="171" spans="1:32" ht="21" x14ac:dyDescent="0.25">
      <c r="A171" s="13">
        <v>16</v>
      </c>
      <c r="J171" s="156"/>
      <c r="K171" s="156"/>
      <c r="L171" s="156"/>
      <c r="M171" s="156"/>
      <c r="N171" s="156"/>
      <c r="O171" s="156"/>
      <c r="P171" s="156"/>
      <c r="Q171" s="156"/>
      <c r="R171" s="156"/>
      <c r="S171" s="156"/>
      <c r="T171" s="156" t="str">
        <v>HVK103-ZELE01</v>
      </c>
      <c r="U171" s="156"/>
      <c r="V171" s="156"/>
      <c r="W171" s="156"/>
      <c r="X171" s="156" t="str">
        <v>HVK304-ZMCD01</v>
      </c>
      <c r="Y171" s="156"/>
      <c r="Z171" s="156" t="str">
        <v>HVK304-ZSCH02</v>
      </c>
      <c r="AA171" s="156"/>
      <c r="AB171" s="156"/>
      <c r="AC171" s="156"/>
      <c r="AD171" s="156"/>
      <c r="AE171" s="156"/>
      <c r="AF171" s="14"/>
    </row>
    <row r="172" spans="1:32" ht="21" x14ac:dyDescent="0.25">
      <c r="A172" s="13">
        <v>17</v>
      </c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 t="str">
        <v>HVK105-ZCRO01</v>
      </c>
      <c r="U172" s="156"/>
      <c r="V172" s="156"/>
      <c r="W172" s="156"/>
      <c r="X172" s="156" t="str">
        <v>HVK306-ZBUF01</v>
      </c>
      <c r="Y172" s="156"/>
      <c r="Z172" s="156" t="str">
        <v>HVK305-ZSCH01</v>
      </c>
      <c r="AA172" s="156"/>
      <c r="AB172" s="156"/>
      <c r="AC172" s="156"/>
      <c r="AD172" s="156"/>
      <c r="AE172" s="156"/>
      <c r="AF172" s="14"/>
    </row>
    <row r="173" spans="1:32" ht="21" x14ac:dyDescent="0.25">
      <c r="A173" s="13">
        <v>18</v>
      </c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 t="str">
        <v>HVK201-ZVAN05</v>
      </c>
      <c r="U173" s="156"/>
      <c r="V173" s="156"/>
      <c r="W173" s="156"/>
      <c r="X173" s="156" t="str">
        <v>HVK401-ZVAN13</v>
      </c>
      <c r="Y173" s="156"/>
      <c r="Z173" s="156" t="str">
        <v>HVK305-ZTSH01</v>
      </c>
      <c r="AA173" s="156"/>
      <c r="AB173" s="156"/>
      <c r="AC173" s="156"/>
      <c r="AD173" s="156"/>
      <c r="AE173" s="156"/>
      <c r="AF173" s="14"/>
    </row>
    <row r="174" spans="1:32" ht="21" x14ac:dyDescent="0.25">
      <c r="A174" s="13">
        <v>19</v>
      </c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 t="str">
        <v>HVK202-ZBLO01</v>
      </c>
      <c r="U174" s="156"/>
      <c r="V174" s="156"/>
      <c r="W174" s="156"/>
      <c r="X174" s="156"/>
      <c r="Y174" s="156"/>
      <c r="Z174" s="156" t="str">
        <v>HVK401-ZRAN01</v>
      </c>
      <c r="AA174" s="156"/>
      <c r="AB174" s="156"/>
      <c r="AC174" s="156"/>
      <c r="AD174" s="156"/>
      <c r="AE174" s="156"/>
      <c r="AF174" s="14"/>
    </row>
    <row r="175" spans="1:32" ht="21" x14ac:dyDescent="0.25">
      <c r="A175" s="13">
        <v>20</v>
      </c>
      <c r="J175" s="156"/>
      <c r="K175" s="156"/>
      <c r="L175" s="156"/>
      <c r="M175" s="156"/>
      <c r="N175" s="156"/>
      <c r="O175" s="156"/>
      <c r="P175" s="156"/>
      <c r="Q175" s="156"/>
      <c r="R175" s="156"/>
      <c r="S175" s="156"/>
      <c r="T175" s="156" t="str">
        <v>HVK202-ZLAB02</v>
      </c>
      <c r="U175" s="156"/>
      <c r="V175" s="156"/>
      <c r="W175" s="156"/>
      <c r="X175" s="156"/>
      <c r="Y175" s="156"/>
      <c r="Z175" s="156" t="str">
        <v>HVK402-ZVAN02</v>
      </c>
      <c r="AA175" s="156"/>
      <c r="AB175" s="156"/>
      <c r="AC175" s="156"/>
      <c r="AD175" s="156"/>
      <c r="AE175" s="156"/>
      <c r="AF175" s="14"/>
    </row>
    <row r="176" spans="1:32" ht="21" x14ac:dyDescent="0.25">
      <c r="A176" s="13">
        <v>21</v>
      </c>
      <c r="J176" s="156"/>
      <c r="K176" s="156"/>
      <c r="L176" s="156"/>
      <c r="M176" s="156"/>
      <c r="N176" s="156"/>
      <c r="O176" s="156"/>
      <c r="P176" s="156"/>
      <c r="Q176" s="156"/>
      <c r="R176" s="156"/>
      <c r="S176" s="156"/>
      <c r="T176" s="156" t="str">
        <v>HVK203-ZASD01</v>
      </c>
      <c r="U176" s="156"/>
      <c r="V176" s="156"/>
      <c r="W176" s="156"/>
      <c r="X176" s="156"/>
      <c r="Y176" s="156"/>
      <c r="Z176" s="156" t="str">
        <v>HVK402-ZVAN14</v>
      </c>
      <c r="AA176" s="156"/>
      <c r="AB176" s="156"/>
      <c r="AC176" s="156"/>
      <c r="AD176" s="156"/>
      <c r="AE176" s="156"/>
      <c r="AF176" s="14"/>
    </row>
    <row r="177" spans="1:32" ht="21" x14ac:dyDescent="0.25">
      <c r="A177" s="13">
        <v>22</v>
      </c>
      <c r="J177" s="156"/>
      <c r="K177" s="156"/>
      <c r="L177" s="156"/>
      <c r="M177" s="156"/>
      <c r="N177" s="156"/>
      <c r="O177" s="156"/>
      <c r="P177" s="156"/>
      <c r="Q177" s="156"/>
      <c r="R177" s="156"/>
      <c r="S177" s="156"/>
      <c r="T177" s="156" t="str">
        <v>HVK204-ZFEM01</v>
      </c>
      <c r="U177" s="156"/>
      <c r="V177" s="156"/>
      <c r="W177" s="156"/>
      <c r="X177" s="156"/>
      <c r="Y177" s="156"/>
      <c r="Z177" s="156" t="str">
        <v>HVK403-ZGRA01</v>
      </c>
      <c r="AA177" s="156"/>
      <c r="AB177" s="156"/>
      <c r="AC177" s="156"/>
      <c r="AD177" s="156"/>
      <c r="AE177" s="156"/>
      <c r="AF177" s="14"/>
    </row>
    <row r="178" spans="1:32" ht="21" x14ac:dyDescent="0.25">
      <c r="A178" s="13">
        <v>23</v>
      </c>
      <c r="J178" s="156"/>
      <c r="K178" s="156"/>
      <c r="L178" s="156"/>
      <c r="M178" s="156"/>
      <c r="N178" s="156"/>
      <c r="O178" s="156"/>
      <c r="P178" s="156"/>
      <c r="Q178" s="156"/>
      <c r="R178" s="156"/>
      <c r="S178" s="156"/>
      <c r="T178" s="156" t="str">
        <v>HVK205-ZZYL02</v>
      </c>
      <c r="U178" s="156"/>
      <c r="V178" s="156"/>
      <c r="W178" s="156"/>
      <c r="X178" s="156"/>
      <c r="Y178" s="156"/>
      <c r="Z178" s="156" t="str">
        <v>HVK403-ZHAN06</v>
      </c>
      <c r="AA178" s="156"/>
      <c r="AB178" s="156"/>
      <c r="AC178" s="156"/>
      <c r="AD178" s="156"/>
      <c r="AE178" s="156"/>
      <c r="AF178" s="14"/>
    </row>
    <row r="179" spans="1:32" ht="21" x14ac:dyDescent="0.25">
      <c r="A179" s="13">
        <v>24</v>
      </c>
      <c r="J179" s="156"/>
      <c r="K179" s="156"/>
      <c r="L179" s="156"/>
      <c r="M179" s="156"/>
      <c r="N179" s="156"/>
      <c r="O179" s="156"/>
      <c r="P179" s="156"/>
      <c r="Q179" s="156"/>
      <c r="R179" s="156"/>
      <c r="S179" s="156"/>
      <c r="T179" s="156" t="str">
        <v>HVK301-ZHIL01</v>
      </c>
      <c r="U179" s="156"/>
      <c r="V179" s="156"/>
      <c r="W179" s="156"/>
      <c r="X179" s="156"/>
      <c r="Y179" s="156"/>
      <c r="Z179" s="156" t="str">
        <v>HVK403-ZINT01</v>
      </c>
      <c r="AA179" s="156"/>
      <c r="AB179" s="156"/>
      <c r="AC179" s="156"/>
      <c r="AD179" s="156"/>
      <c r="AE179" s="156"/>
      <c r="AF179" s="14"/>
    </row>
    <row r="180" spans="1:32" ht="21" x14ac:dyDescent="0.25">
      <c r="A180" s="13">
        <v>25</v>
      </c>
      <c r="J180" s="156"/>
      <c r="K180" s="156"/>
      <c r="L180" s="156"/>
      <c r="M180" s="156"/>
      <c r="N180" s="156"/>
      <c r="O180" s="156"/>
      <c r="P180" s="156"/>
      <c r="Q180" s="156"/>
      <c r="R180" s="156"/>
      <c r="S180" s="156"/>
      <c r="T180" s="156" t="str">
        <v>HVK301-ZJBM01</v>
      </c>
      <c r="U180" s="156"/>
      <c r="V180" s="156"/>
      <c r="W180" s="156"/>
      <c r="X180" s="156"/>
      <c r="Y180" s="156"/>
      <c r="Z180" s="156" t="str">
        <v>HVK403-ZTHA01</v>
      </c>
      <c r="AA180" s="156"/>
      <c r="AB180" s="156"/>
      <c r="AC180" s="156"/>
      <c r="AD180" s="156"/>
      <c r="AE180" s="156"/>
      <c r="AF180" s="14"/>
    </row>
    <row r="181" spans="1:32" ht="21" x14ac:dyDescent="0.25">
      <c r="A181" s="13">
        <v>26</v>
      </c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 t="str">
        <v>HVK301-ZVAN05</v>
      </c>
      <c r="U181" s="156"/>
      <c r="V181" s="156"/>
      <c r="W181" s="156"/>
      <c r="X181" s="156"/>
      <c r="Y181" s="156"/>
      <c r="Z181" s="156" t="str">
        <v>HVK406-ZVAN13</v>
      </c>
      <c r="AA181" s="156"/>
      <c r="AB181" s="156"/>
      <c r="AC181" s="156"/>
      <c r="AD181" s="156"/>
      <c r="AE181" s="156"/>
      <c r="AF181" s="14"/>
    </row>
    <row r="182" spans="1:32" ht="21" x14ac:dyDescent="0.25">
      <c r="A182" s="13">
        <v>27</v>
      </c>
      <c r="J182" s="156"/>
      <c r="K182" s="156"/>
      <c r="L182" s="156"/>
      <c r="M182" s="156"/>
      <c r="N182" s="156"/>
      <c r="O182" s="156"/>
      <c r="P182" s="156"/>
      <c r="Q182" s="156"/>
      <c r="R182" s="156"/>
      <c r="S182" s="156"/>
      <c r="T182" s="156"/>
      <c r="U182" s="156"/>
      <c r="V182" s="156"/>
      <c r="W182" s="156"/>
      <c r="X182" s="156"/>
      <c r="Y182" s="156"/>
      <c r="Z182" s="156" t="str">
        <v>HVK406-ZVAN14</v>
      </c>
      <c r="AA182" s="156"/>
      <c r="AB182" s="156"/>
      <c r="AC182" s="156"/>
      <c r="AD182" s="156"/>
      <c r="AE182" s="156"/>
      <c r="AF182" s="14"/>
    </row>
    <row r="183" spans="1:32" ht="21" x14ac:dyDescent="0.25">
      <c r="A183" s="13">
        <v>28</v>
      </c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 t="str">
        <v>HVK406-ZVOL01</v>
      </c>
      <c r="AA183" s="156"/>
      <c r="AB183" s="156"/>
      <c r="AC183" s="156"/>
      <c r="AD183" s="156"/>
      <c r="AE183" s="156"/>
      <c r="AF183" s="14"/>
    </row>
    <row r="184" spans="1:32" ht="21" x14ac:dyDescent="0.25">
      <c r="A184" s="13">
        <v>29</v>
      </c>
      <c r="J184" s="156"/>
      <c r="K184" s="156"/>
      <c r="L184" s="156"/>
      <c r="M184" s="156"/>
      <c r="N184" s="156"/>
      <c r="O184" s="156"/>
      <c r="P184" s="156"/>
      <c r="Q184" s="156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56"/>
      <c r="AC184" s="156"/>
      <c r="AD184" s="156"/>
      <c r="AE184" s="156"/>
      <c r="AF184" s="14"/>
    </row>
    <row r="185" spans="1:32" ht="21" x14ac:dyDescent="0.25">
      <c r="A185" s="13">
        <v>30</v>
      </c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  <c r="AC185" s="156"/>
      <c r="AD185" s="156"/>
      <c r="AE185" s="156"/>
      <c r="AF185" s="14"/>
    </row>
    <row r="186" spans="1:32" x14ac:dyDescent="0.2">
      <c r="A186" s="13">
        <v>31</v>
      </c>
      <c r="AF186" s="14"/>
    </row>
    <row r="187" spans="1:32" x14ac:dyDescent="0.2">
      <c r="A187" s="13">
        <v>32</v>
      </c>
      <c r="AF187" s="14"/>
    </row>
    <row r="188" spans="1:32" x14ac:dyDescent="0.2">
      <c r="A188" s="13">
        <v>33</v>
      </c>
      <c r="AF188" s="14"/>
    </row>
    <row r="189" spans="1:32" x14ac:dyDescent="0.2">
      <c r="A189" s="13">
        <v>34</v>
      </c>
      <c r="AF189" s="14"/>
    </row>
    <row r="190" spans="1:32" x14ac:dyDescent="0.2">
      <c r="A190" s="13">
        <v>35</v>
      </c>
      <c r="AF190" s="14"/>
    </row>
    <row r="191" spans="1:32" x14ac:dyDescent="0.2">
      <c r="A191" s="13">
        <v>36</v>
      </c>
      <c r="AF191" s="14"/>
    </row>
    <row r="192" spans="1:32" x14ac:dyDescent="0.2">
      <c r="A192" s="13">
        <v>37</v>
      </c>
      <c r="AF192" s="14"/>
    </row>
    <row r="193" spans="1:32" x14ac:dyDescent="0.2">
      <c r="A193" s="13">
        <v>38</v>
      </c>
      <c r="AF193" s="14"/>
    </row>
    <row r="194" spans="1:32" x14ac:dyDescent="0.2">
      <c r="A194" s="13">
        <v>39</v>
      </c>
      <c r="AF194" s="14"/>
    </row>
    <row r="195" spans="1:32" x14ac:dyDescent="0.2">
      <c r="A195" s="13">
        <v>40</v>
      </c>
      <c r="AF195" s="14"/>
    </row>
    <row r="196" spans="1:32" x14ac:dyDescent="0.2">
      <c r="A196" s="13">
        <v>41</v>
      </c>
      <c r="AF196" s="14"/>
    </row>
    <row r="197" spans="1:32" x14ac:dyDescent="0.2">
      <c r="A197" s="13">
        <v>42</v>
      </c>
      <c r="AF197" s="14"/>
    </row>
    <row r="198" spans="1:32" x14ac:dyDescent="0.2">
      <c r="A198" s="13">
        <v>43</v>
      </c>
      <c r="AF198" s="14"/>
    </row>
    <row r="199" spans="1:32" x14ac:dyDescent="0.2">
      <c r="A199" s="13">
        <v>44</v>
      </c>
      <c r="AF199" s="14"/>
    </row>
    <row r="200" spans="1:32" x14ac:dyDescent="0.2">
      <c r="A200" s="13">
        <v>45</v>
      </c>
      <c r="AF200" s="14"/>
    </row>
    <row r="201" spans="1:32" x14ac:dyDescent="0.2">
      <c r="A201" s="13">
        <v>46</v>
      </c>
      <c r="AF201" s="14"/>
    </row>
    <row r="202" spans="1:32" x14ac:dyDescent="0.2">
      <c r="A202" s="13">
        <v>47</v>
      </c>
      <c r="AF202" s="14"/>
    </row>
    <row r="203" spans="1:32" x14ac:dyDescent="0.2">
      <c r="A203" s="13">
        <v>48</v>
      </c>
      <c r="AF203" s="14"/>
    </row>
    <row r="204" spans="1:32" x14ac:dyDescent="0.2">
      <c r="A204" s="13">
        <v>49</v>
      </c>
      <c r="AF204" s="14"/>
    </row>
    <row r="205" spans="1:32" x14ac:dyDescent="0.2">
      <c r="A205" s="13">
        <v>50</v>
      </c>
      <c r="AF205" s="14"/>
    </row>
    <row r="206" spans="1:32" x14ac:dyDescent="0.2">
      <c r="A206" s="13">
        <v>51</v>
      </c>
      <c r="AF206" s="14"/>
    </row>
    <row r="207" spans="1:32" x14ac:dyDescent="0.2">
      <c r="A207" s="13">
        <v>52</v>
      </c>
      <c r="AF207" s="14"/>
    </row>
    <row r="208" spans="1:32" x14ac:dyDescent="0.2">
      <c r="A208" s="13">
        <v>53</v>
      </c>
      <c r="AF208" s="14"/>
    </row>
    <row r="209" spans="1:32" x14ac:dyDescent="0.2">
      <c r="A209" s="13">
        <v>54</v>
      </c>
      <c r="AF209" s="14"/>
    </row>
    <row r="210" spans="1:32" x14ac:dyDescent="0.2">
      <c r="A210" s="13">
        <v>55</v>
      </c>
      <c r="AF210" s="14"/>
    </row>
    <row r="211" spans="1:32" x14ac:dyDescent="0.2">
      <c r="A211" s="13">
        <v>56</v>
      </c>
      <c r="AF211" s="14"/>
    </row>
    <row r="212" spans="1:32" x14ac:dyDescent="0.2">
      <c r="A212" s="13">
        <v>57</v>
      </c>
      <c r="AF212" s="14"/>
    </row>
    <row r="213" spans="1:32" x14ac:dyDescent="0.2">
      <c r="A213" s="13">
        <v>58</v>
      </c>
      <c r="AF213" s="14"/>
    </row>
    <row r="214" spans="1:32" x14ac:dyDescent="0.2">
      <c r="A214" s="13">
        <v>59</v>
      </c>
      <c r="AF214" s="14"/>
    </row>
    <row r="215" spans="1:32" x14ac:dyDescent="0.2">
      <c r="A215" s="13">
        <v>60</v>
      </c>
      <c r="AF215" s="14"/>
    </row>
    <row r="216" spans="1:32" x14ac:dyDescent="0.2">
      <c r="A216" s="13">
        <v>61</v>
      </c>
      <c r="AF216" s="14"/>
    </row>
    <row r="217" spans="1:32" x14ac:dyDescent="0.2">
      <c r="A217" s="13">
        <v>62</v>
      </c>
      <c r="AF217" s="14"/>
    </row>
    <row r="218" spans="1:32" x14ac:dyDescent="0.2">
      <c r="A218" s="13">
        <v>63</v>
      </c>
      <c r="AF218" s="14"/>
    </row>
    <row r="219" spans="1:32" x14ac:dyDescent="0.2">
      <c r="A219" s="13">
        <v>64</v>
      </c>
      <c r="AF219" s="14"/>
    </row>
    <row r="220" spans="1:32" x14ac:dyDescent="0.2">
      <c r="A220" s="13">
        <v>65</v>
      </c>
      <c r="AF220" s="14"/>
    </row>
    <row r="221" spans="1:32" x14ac:dyDescent="0.2">
      <c r="A221" s="13">
        <v>66</v>
      </c>
      <c r="AF221" s="14"/>
    </row>
    <row r="222" spans="1:32" x14ac:dyDescent="0.2">
      <c r="A222" s="13">
        <v>67</v>
      </c>
      <c r="AF222" s="14"/>
    </row>
    <row r="223" spans="1:32" x14ac:dyDescent="0.2">
      <c r="A223" s="13">
        <v>68</v>
      </c>
      <c r="AF223" s="14"/>
    </row>
    <row r="224" spans="1:32" x14ac:dyDescent="0.2">
      <c r="A224" s="13">
        <v>69</v>
      </c>
      <c r="AF224" s="14"/>
    </row>
    <row r="225" spans="1:32" x14ac:dyDescent="0.2">
      <c r="A225" s="13">
        <v>70</v>
      </c>
      <c r="AF225" s="14"/>
    </row>
    <row r="226" spans="1:32" x14ac:dyDescent="0.2">
      <c r="A226" s="13">
        <v>71</v>
      </c>
      <c r="AF226" s="14"/>
    </row>
    <row r="227" spans="1:32" x14ac:dyDescent="0.2">
      <c r="A227" s="13">
        <v>72</v>
      </c>
      <c r="AF227" s="14"/>
    </row>
    <row r="228" spans="1:32" x14ac:dyDescent="0.2">
      <c r="A228" s="13">
        <v>73</v>
      </c>
      <c r="AF228" s="14"/>
    </row>
    <row r="229" spans="1:32" x14ac:dyDescent="0.2">
      <c r="A229" s="13">
        <v>74</v>
      </c>
      <c r="AF229" s="14"/>
    </row>
    <row r="230" spans="1:32" x14ac:dyDescent="0.2">
      <c r="A230" s="13">
        <v>75</v>
      </c>
      <c r="AF230" s="14"/>
    </row>
    <row r="231" spans="1:32" x14ac:dyDescent="0.2">
      <c r="A231" s="13">
        <v>76</v>
      </c>
      <c r="AF231" s="14"/>
    </row>
    <row r="232" spans="1:32" x14ac:dyDescent="0.2">
      <c r="A232" s="13">
        <v>77</v>
      </c>
      <c r="AF232" s="14"/>
    </row>
    <row r="233" spans="1:32" x14ac:dyDescent="0.2">
      <c r="A233" s="13">
        <v>78</v>
      </c>
      <c r="AF233" s="14"/>
    </row>
    <row r="234" spans="1:32" x14ac:dyDescent="0.2">
      <c r="A234" s="13">
        <v>79</v>
      </c>
      <c r="AF234" s="14"/>
    </row>
    <row r="235" spans="1:32" x14ac:dyDescent="0.2">
      <c r="A235" s="13">
        <v>80</v>
      </c>
      <c r="AF235" s="14"/>
    </row>
    <row r="236" spans="1:32" x14ac:dyDescent="0.2">
      <c r="A236" s="13">
        <v>81</v>
      </c>
      <c r="AF236" s="14"/>
    </row>
    <row r="237" spans="1:32" x14ac:dyDescent="0.2">
      <c r="A237" s="13">
        <v>82</v>
      </c>
      <c r="AF237" s="14"/>
    </row>
    <row r="238" spans="1:32" x14ac:dyDescent="0.2">
      <c r="A238" s="13">
        <v>83</v>
      </c>
      <c r="AF238" s="14"/>
    </row>
    <row r="239" spans="1:32" x14ac:dyDescent="0.2">
      <c r="A239" s="13">
        <v>84</v>
      </c>
      <c r="AF239" s="14"/>
    </row>
    <row r="240" spans="1:32" x14ac:dyDescent="0.2">
      <c r="A240" s="13"/>
      <c r="AF240" s="14"/>
    </row>
    <row r="241" spans="1:32" x14ac:dyDescent="0.2">
      <c r="A241" s="13"/>
      <c r="AF241" s="14"/>
    </row>
    <row r="242" spans="1:32" ht="29" x14ac:dyDescent="0.35">
      <c r="A242" s="15" t="s">
        <v>1898</v>
      </c>
      <c r="B242" s="12" t="s">
        <v>1899</v>
      </c>
      <c r="C242" s="12" t="s">
        <v>1900</v>
      </c>
      <c r="D242" s="12" t="s">
        <v>1901</v>
      </c>
      <c r="E242" s="12" t="s">
        <v>1902</v>
      </c>
      <c r="F242" s="12" t="s">
        <v>1903</v>
      </c>
      <c r="G242" s="12" t="s">
        <v>1904</v>
      </c>
      <c r="AF242" s="14"/>
    </row>
    <row r="243" spans="1:32" ht="29" hidden="1" x14ac:dyDescent="0.35">
      <c r="A243" s="15" t="str">
        <f t="shared" ref="A243:A306" si="10">MID(E243, 3, 1)</f>
        <v/>
      </c>
      <c r="B243" s="12" cm="1">
        <f t="array" ref="B243:B489">_xlfn.UNIQUE(_xlfn._xlws.FILTER('Investor Exit List'!$AB:$AB,('Investor Exit List'!$I:$I=FALSE)*('Investor Exit List'!$H:$H=FALSE)*('Investor Exit List'!$U:$U=FALSE)*('Investor Exit List'!$F:$F&lt;&gt;0)))</f>
        <v>0</v>
      </c>
      <c r="C243" s="12">
        <f>SUMIFS('Investor Exit List'!$AC:$AC,'Investor Exit List'!$AB:$AB,B243)</f>
        <v>0</v>
      </c>
      <c r="D243" s="12">
        <f>SUMIFS('Investor Exit List'!$Q:$Q,'Investor Exit List'!$AB:$AB,B243)</f>
        <v>0</v>
      </c>
      <c r="E243" s="12" t="str">
        <f t="shared" ref="E243:E306" si="11">LEFT(B243,6)</f>
        <v>0</v>
      </c>
      <c r="F243" s="12"/>
      <c r="AF243" s="14"/>
    </row>
    <row r="244" spans="1:32" ht="29" hidden="1" x14ac:dyDescent="0.35">
      <c r="A244" s="15" t="str">
        <f t="shared" si="10"/>
        <v>C</v>
      </c>
      <c r="B244" s="12" t="str">
        <v>HVC202-ZALM01</v>
      </c>
      <c r="C244" s="16">
        <f>SUMIFS('Investor Exit List'!$AC:$AC,'Investor Exit List'!$AB:$AB,B244)</f>
        <v>45619</v>
      </c>
      <c r="D244" s="12">
        <f>SUMIFS('Investor Exit List'!$Q:$Q,'Investor Exit List'!$AB:$AB,B244)</f>
        <v>131241.09589041097</v>
      </c>
      <c r="E244" s="26" t="str">
        <f t="shared" si="11"/>
        <v>HVC202</v>
      </c>
      <c r="F244" s="12">
        <f t="shared" ref="F244:F307" si="12">IF(SUMIFS($E$117:$E$149,$D$117:$D$149,E244)&lt;&gt;0,E244,0)</f>
        <v>0</v>
      </c>
      <c r="AF244" s="14"/>
    </row>
    <row r="245" spans="1:32" ht="29" hidden="1" x14ac:dyDescent="0.35">
      <c r="A245" s="15" t="str">
        <f t="shared" si="10"/>
        <v>C</v>
      </c>
      <c r="B245" s="12" t="str">
        <v>HVC202-ZINT01</v>
      </c>
      <c r="C245" s="16">
        <f>SUMIFS('Investor Exit List'!$AC:$AC,'Investor Exit List'!$AB:$AB,B245)</f>
        <v>45802</v>
      </c>
      <c r="D245" s="12">
        <f>SUMIFS('Investor Exit List'!$Q:$Q,'Investor Exit List'!$AB:$AB,B245)</f>
        <v>124306.8493150685</v>
      </c>
      <c r="E245" s="26" t="str">
        <f t="shared" si="11"/>
        <v>HVC202</v>
      </c>
      <c r="F245" s="12">
        <f t="shared" si="12"/>
        <v>0</v>
      </c>
      <c r="AF245" s="14"/>
    </row>
    <row r="246" spans="1:32" ht="29" hidden="1" x14ac:dyDescent="0.35">
      <c r="A246" s="15" t="str">
        <f t="shared" si="10"/>
        <v>C</v>
      </c>
      <c r="B246" s="12" t="str">
        <v>HVC202-ZMON01</v>
      </c>
      <c r="C246" s="16">
        <f>SUMIFS('Investor Exit List'!$AC:$AC,'Investor Exit List'!$AB:$AB,B246)</f>
        <v>45746</v>
      </c>
      <c r="D246" s="12">
        <f>SUMIFS('Investor Exit List'!$Q:$Q,'Investor Exit List'!$AB:$AB,B246)</f>
        <v>120773.28767123287</v>
      </c>
      <c r="E246" s="26" t="str">
        <f t="shared" si="11"/>
        <v>HVC202</v>
      </c>
      <c r="F246" s="12">
        <f t="shared" si="12"/>
        <v>0</v>
      </c>
      <c r="AF246" s="14"/>
    </row>
    <row r="247" spans="1:32" ht="29" hidden="1" x14ac:dyDescent="0.35">
      <c r="A247" s="15" t="str">
        <f t="shared" si="10"/>
        <v>C</v>
      </c>
      <c r="B247" s="12" t="str">
        <v>HVC202-ZPER01</v>
      </c>
      <c r="C247" s="16">
        <f>SUMIFS('Investor Exit List'!$AC:$AC,'Investor Exit List'!$AB:$AB,B247)</f>
        <v>45633</v>
      </c>
      <c r="D247" s="12">
        <f>SUMIFS('Investor Exit List'!$Q:$Q,'Investor Exit List'!$AB:$AB,B247)</f>
        <v>123526.02739726027</v>
      </c>
      <c r="E247" s="26" t="str">
        <f t="shared" si="11"/>
        <v>HVC202</v>
      </c>
      <c r="F247" s="12">
        <f t="shared" si="12"/>
        <v>0</v>
      </c>
      <c r="AF247" s="14"/>
    </row>
    <row r="248" spans="1:32" ht="29" hidden="1" x14ac:dyDescent="0.35">
      <c r="A248" s="15" t="str">
        <f t="shared" si="10"/>
        <v>C</v>
      </c>
      <c r="B248" s="12" t="str">
        <v>HVC202-ZRAB02</v>
      </c>
      <c r="C248" s="16">
        <f>SUMIFS('Investor Exit List'!$AC:$AC,'Investor Exit List'!$AB:$AB,B248)</f>
        <v>45633</v>
      </c>
      <c r="D248" s="12">
        <f>SUMIFS('Investor Exit List'!$Q:$Q,'Investor Exit List'!$AB:$AB,B248)</f>
        <v>371613.69863013696</v>
      </c>
      <c r="E248" s="26" t="str">
        <f t="shared" si="11"/>
        <v>HVC202</v>
      </c>
      <c r="F248" s="12">
        <f t="shared" si="12"/>
        <v>0</v>
      </c>
      <c r="AF248" s="14"/>
    </row>
    <row r="249" spans="1:32" ht="29" hidden="1" x14ac:dyDescent="0.35">
      <c r="A249" s="15" t="str">
        <f t="shared" si="10"/>
        <v>C</v>
      </c>
      <c r="B249" s="12" t="str">
        <v>HVC202-ZRIT01</v>
      </c>
      <c r="C249" s="16">
        <f>SUMIFS('Investor Exit List'!$AC:$AC,'Investor Exit List'!$AB:$AB,B249)</f>
        <v>45619</v>
      </c>
      <c r="D249" s="12">
        <f>SUMIFS('Investor Exit List'!$Q:$Q,'Investor Exit List'!$AB:$AB,B249)</f>
        <v>393427.39726027398</v>
      </c>
      <c r="E249" s="26" t="str">
        <f t="shared" si="11"/>
        <v>HVC202</v>
      </c>
      <c r="F249" s="12">
        <f t="shared" si="12"/>
        <v>0</v>
      </c>
      <c r="AF249" s="14"/>
    </row>
    <row r="250" spans="1:32" ht="29" hidden="1" x14ac:dyDescent="0.35">
      <c r="A250" s="15" t="str">
        <f t="shared" si="10"/>
        <v>C</v>
      </c>
      <c r="B250" s="12" t="str">
        <v>HVC202-ZVAN11</v>
      </c>
      <c r="C250" s="16">
        <f>SUMIFS('Investor Exit List'!$AC:$AC,'Investor Exit List'!$AB:$AB,B250)</f>
        <v>45633</v>
      </c>
      <c r="D250" s="12">
        <f>SUMIFS('Investor Exit List'!$Q:$Q,'Investor Exit List'!$AB:$AB,B250)</f>
        <v>123673.97260273973</v>
      </c>
      <c r="E250" s="26" t="str">
        <f t="shared" si="11"/>
        <v>HVC202</v>
      </c>
      <c r="F250" s="12">
        <f t="shared" si="12"/>
        <v>0</v>
      </c>
      <c r="AF250" s="14"/>
    </row>
    <row r="251" spans="1:32" ht="29" hidden="1" x14ac:dyDescent="0.35">
      <c r="A251" s="15" t="str">
        <f t="shared" si="10"/>
        <v>C</v>
      </c>
      <c r="B251" s="12" t="str">
        <v>HVC204-ZCRO01</v>
      </c>
      <c r="C251" s="16">
        <f>SUMIFS('Investor Exit List'!$AC:$AC,'Investor Exit List'!$AB:$AB,B251)</f>
        <v>45837</v>
      </c>
      <c r="D251" s="12">
        <f>SUMIFS('Investor Exit List'!$Q:$Q,'Investor Exit List'!$AB:$AB,B251)</f>
        <v>186265.06849315067</v>
      </c>
      <c r="E251" s="26" t="str">
        <f t="shared" si="11"/>
        <v>HVC204</v>
      </c>
      <c r="F251" s="12">
        <f t="shared" si="12"/>
        <v>0</v>
      </c>
      <c r="AF251" s="14"/>
    </row>
    <row r="252" spans="1:32" ht="29" hidden="1" x14ac:dyDescent="0.35">
      <c r="A252" s="15" t="str">
        <f t="shared" si="10"/>
        <v>C</v>
      </c>
      <c r="B252" s="12" t="str">
        <v>HVC204-ZFEM01</v>
      </c>
      <c r="C252" s="16">
        <f>SUMIFS('Investor Exit List'!$AC:$AC,'Investor Exit List'!$AB:$AB,B252)</f>
        <v>45646</v>
      </c>
      <c r="D252" s="12">
        <f>SUMIFS('Investor Exit List'!$Q:$Q,'Investor Exit List'!$AB:$AB,B252)</f>
        <v>140720.22778458905</v>
      </c>
      <c r="E252" s="26" t="str">
        <f t="shared" si="11"/>
        <v>HVC204</v>
      </c>
      <c r="F252" s="12">
        <f t="shared" si="12"/>
        <v>0</v>
      </c>
      <c r="AF252" s="14"/>
    </row>
    <row r="253" spans="1:32" ht="29" hidden="1" x14ac:dyDescent="0.35">
      <c r="A253" s="15" t="str">
        <f t="shared" si="10"/>
        <v>C</v>
      </c>
      <c r="B253" s="12" t="str">
        <v>HVC204-ZKUS02</v>
      </c>
      <c r="C253" s="16">
        <f>SUMIFS('Investor Exit List'!$AC:$AC,'Investor Exit List'!$AB:$AB,B253)</f>
        <v>45619</v>
      </c>
      <c r="D253" s="12">
        <f>SUMIFS('Investor Exit List'!$Q:$Q,'Investor Exit List'!$AB:$AB,B253)</f>
        <v>345717.80136575346</v>
      </c>
      <c r="E253" s="26" t="str">
        <f t="shared" si="11"/>
        <v>HVC204</v>
      </c>
      <c r="F253" s="12">
        <f t="shared" si="12"/>
        <v>0</v>
      </c>
      <c r="AF253" s="14"/>
    </row>
    <row r="254" spans="1:32" ht="29" hidden="1" x14ac:dyDescent="0.35">
      <c r="A254" s="15" t="str">
        <f t="shared" si="10"/>
        <v>C</v>
      </c>
      <c r="B254" s="12" t="str">
        <v>HVC204-ZSTO01</v>
      </c>
      <c r="C254" s="16">
        <f>SUMIFS('Investor Exit List'!$AC:$AC,'Investor Exit List'!$AB:$AB,B254)</f>
        <v>45619</v>
      </c>
      <c r="D254" s="12">
        <f>SUMIFS('Investor Exit List'!$Q:$Q,'Investor Exit List'!$AB:$AB,B254)</f>
        <v>257726.02739726027</v>
      </c>
      <c r="E254" s="26" t="str">
        <f t="shared" si="11"/>
        <v>HVC204</v>
      </c>
      <c r="F254" s="12">
        <f t="shared" si="12"/>
        <v>0</v>
      </c>
      <c r="AF254" s="14"/>
    </row>
    <row r="255" spans="1:32" ht="29" hidden="1" x14ac:dyDescent="0.35">
      <c r="A255" s="15" t="str">
        <f t="shared" si="10"/>
        <v>C</v>
      </c>
      <c r="B255" s="12" t="str">
        <v>HVC204-ZVAN10</v>
      </c>
      <c r="C255" s="16">
        <f>SUMIFS('Investor Exit List'!$AC:$AC,'Investor Exit List'!$AB:$AB,B255)</f>
        <v>45619</v>
      </c>
      <c r="D255" s="12">
        <f>SUMIFS('Investor Exit List'!$Q:$Q,'Investor Exit List'!$AB:$AB,B255)</f>
        <v>313315.0684931507</v>
      </c>
      <c r="E255" s="26" t="str">
        <f t="shared" si="11"/>
        <v>HVC204</v>
      </c>
      <c r="F255" s="12">
        <f t="shared" si="12"/>
        <v>0</v>
      </c>
      <c r="AF255" s="14"/>
    </row>
    <row r="256" spans="1:32" ht="29" hidden="1" x14ac:dyDescent="0.35">
      <c r="A256" s="15" t="str">
        <f t="shared" si="10"/>
        <v>C</v>
      </c>
      <c r="B256" s="12" t="str">
        <v>HVC204-ZWIL01</v>
      </c>
      <c r="C256" s="16">
        <f>SUMIFS('Investor Exit List'!$AC:$AC,'Investor Exit List'!$AB:$AB,B256)</f>
        <v>45633</v>
      </c>
      <c r="D256" s="12">
        <f>SUMIFS('Investor Exit List'!$Q:$Q,'Investor Exit List'!$AB:$AB,B256)</f>
        <v>148128.90810794523</v>
      </c>
      <c r="E256" s="26" t="str">
        <f t="shared" si="11"/>
        <v>HVC204</v>
      </c>
      <c r="F256" s="12">
        <f t="shared" si="12"/>
        <v>0</v>
      </c>
      <c r="AF256" s="14"/>
    </row>
    <row r="257" spans="1:32" ht="29" x14ac:dyDescent="0.35">
      <c r="A257" s="15" t="str">
        <f t="shared" si="10"/>
        <v>C</v>
      </c>
      <c r="B257" s="12" t="str">
        <v>HVC302-ZCON01</v>
      </c>
      <c r="C257" s="16">
        <f>SUMIFS('Investor Exit List'!$AC:$AC,'Investor Exit List'!$AB:$AB,B257)</f>
        <v>45485</v>
      </c>
      <c r="D257" s="12">
        <f>SUMIFS('Investor Exit List'!$Q:$Q,'Investor Exit List'!$AB:$AB,B257)</f>
        <v>1265713.9691034248</v>
      </c>
      <c r="E257" s="26" t="str">
        <f t="shared" si="11"/>
        <v>HVC302</v>
      </c>
      <c r="F257" s="12">
        <f t="shared" si="12"/>
        <v>0</v>
      </c>
      <c r="AF257" s="14"/>
    </row>
    <row r="258" spans="1:32" ht="29" hidden="1" x14ac:dyDescent="0.35">
      <c r="A258" s="15" t="str">
        <f t="shared" si="10"/>
        <v>C</v>
      </c>
      <c r="B258" s="12" t="str">
        <v>HVC302-ZKEW01</v>
      </c>
      <c r="C258" s="16">
        <f>SUMIFS('Investor Exit List'!$AC:$AC,'Investor Exit List'!$AB:$AB,B258)</f>
        <v>45633</v>
      </c>
      <c r="D258" s="12">
        <f>SUMIFS('Investor Exit List'!$Q:$Q,'Investor Exit List'!$AB:$AB,B258)</f>
        <v>144124.20709150683</v>
      </c>
      <c r="E258" s="26" t="str">
        <f t="shared" si="11"/>
        <v>HVC302</v>
      </c>
      <c r="F258" s="12">
        <f t="shared" si="12"/>
        <v>0</v>
      </c>
      <c r="AF258" s="14"/>
    </row>
    <row r="259" spans="1:32" ht="29" hidden="1" x14ac:dyDescent="0.35">
      <c r="A259" s="15" t="str">
        <f t="shared" si="10"/>
        <v>C</v>
      </c>
      <c r="B259" s="12" t="str">
        <v>HVC304-ZVAN05</v>
      </c>
      <c r="C259" s="16">
        <f>SUMIFS('Investor Exit List'!$AC:$AC,'Investor Exit List'!$AB:$AB,B259)</f>
        <v>45633</v>
      </c>
      <c r="D259" s="12">
        <f>SUMIFS('Investor Exit List'!$Q:$Q,'Investor Exit List'!$AB:$AB,B259)</f>
        <v>1357954.8019931507</v>
      </c>
      <c r="E259" s="26" t="str">
        <f t="shared" si="11"/>
        <v>HVC304</v>
      </c>
      <c r="F259" s="12">
        <f t="shared" si="12"/>
        <v>0</v>
      </c>
      <c r="AF259" s="14"/>
    </row>
    <row r="260" spans="1:32" ht="29" hidden="1" x14ac:dyDescent="0.35">
      <c r="A260" s="15" t="str">
        <f t="shared" si="10"/>
        <v>C</v>
      </c>
      <c r="B260" s="12" t="str">
        <v>HVC305-ZBER01</v>
      </c>
      <c r="C260" s="16">
        <f>SUMIFS('Investor Exit List'!$AC:$AC,'Investor Exit List'!$AB:$AB,B260)</f>
        <v>45639</v>
      </c>
      <c r="D260" s="12">
        <f>SUMIFS('Investor Exit List'!$Q:$Q,'Investor Exit List'!$AB:$AB,B260)</f>
        <v>461343.15068493149</v>
      </c>
      <c r="E260" s="26" t="str">
        <f t="shared" si="11"/>
        <v>HVC305</v>
      </c>
      <c r="F260" s="12">
        <f t="shared" si="12"/>
        <v>0</v>
      </c>
      <c r="AF260" s="14"/>
    </row>
    <row r="261" spans="1:32" ht="29" hidden="1" x14ac:dyDescent="0.35">
      <c r="A261" s="15" t="str">
        <f t="shared" si="10"/>
        <v>C</v>
      </c>
      <c r="B261" s="12" t="str">
        <v>HVC305-ZDEK01</v>
      </c>
      <c r="C261" s="16">
        <f>SUMIFS('Investor Exit List'!$AC:$AC,'Investor Exit List'!$AB:$AB,B261)</f>
        <v>45837</v>
      </c>
      <c r="D261" s="12">
        <f>SUMIFS('Investor Exit List'!$Q:$Q,'Investor Exit List'!$AB:$AB,B261)</f>
        <v>310886.67323999997</v>
      </c>
      <c r="E261" s="26" t="str">
        <f t="shared" si="11"/>
        <v>HVC305</v>
      </c>
      <c r="F261" s="12">
        <f t="shared" si="12"/>
        <v>0</v>
      </c>
      <c r="AF261" s="14"/>
    </row>
    <row r="262" spans="1:32" ht="29" hidden="1" x14ac:dyDescent="0.35">
      <c r="A262" s="15" t="str">
        <f t="shared" si="10"/>
        <v>C</v>
      </c>
      <c r="B262" s="12" t="str">
        <v>HVC305-ZDUT01</v>
      </c>
      <c r="C262" s="16">
        <f>SUMIFS('Investor Exit List'!$AC:$AC,'Investor Exit List'!$AB:$AB,B262)</f>
        <v>45633</v>
      </c>
      <c r="D262" s="12">
        <f>SUMIFS('Investor Exit List'!$Q:$Q,'Investor Exit List'!$AB:$AB,B262)</f>
        <v>124846.57534246575</v>
      </c>
      <c r="E262" s="26" t="str">
        <f t="shared" si="11"/>
        <v>HVC305</v>
      </c>
      <c r="F262" s="12">
        <f t="shared" si="12"/>
        <v>0</v>
      </c>
      <c r="AF262" s="14"/>
    </row>
    <row r="263" spans="1:32" ht="29" hidden="1" x14ac:dyDescent="0.35">
      <c r="A263" s="15" t="str">
        <f t="shared" si="10"/>
        <v>C</v>
      </c>
      <c r="B263" s="12" t="str">
        <v>HVC305-ZKRO01</v>
      </c>
      <c r="C263" s="16">
        <f>SUMIFS('Investor Exit List'!$AC:$AC,'Investor Exit List'!$AB:$AB,B263)</f>
        <v>45646</v>
      </c>
      <c r="D263" s="12">
        <f>SUMIFS('Investor Exit List'!$Q:$Q,'Investor Exit List'!$AB:$AB,B263)</f>
        <v>127804.79452054793</v>
      </c>
      <c r="E263" s="26" t="str">
        <f t="shared" si="11"/>
        <v>HVC305</v>
      </c>
      <c r="F263" s="12">
        <f t="shared" si="12"/>
        <v>0</v>
      </c>
      <c r="AF263" s="14"/>
    </row>
    <row r="264" spans="1:32" ht="29" hidden="1" x14ac:dyDescent="0.35">
      <c r="A264" s="15" t="str">
        <f t="shared" si="10"/>
        <v>C</v>
      </c>
      <c r="B264" s="12" t="str">
        <v>HVC305-ZVOL01</v>
      </c>
      <c r="C264" s="16">
        <f>SUMIFS('Investor Exit List'!$AC:$AC,'Investor Exit List'!$AB:$AB,B264)</f>
        <v>45633</v>
      </c>
      <c r="D264" s="12">
        <f>SUMIFS('Investor Exit List'!$Q:$Q,'Investor Exit List'!$AB:$AB,B264)</f>
        <v>391632.17102575343</v>
      </c>
      <c r="E264" s="26" t="str">
        <f t="shared" si="11"/>
        <v>HVC305</v>
      </c>
      <c r="F264" s="12">
        <f t="shared" si="12"/>
        <v>0</v>
      </c>
      <c r="AF264" s="14"/>
    </row>
    <row r="265" spans="1:32" ht="29" hidden="1" x14ac:dyDescent="0.35">
      <c r="A265" s="15" t="str">
        <f t="shared" si="10"/>
        <v>D</v>
      </c>
      <c r="B265" s="12" t="str">
        <v>HVD302-ZHAY01</v>
      </c>
      <c r="C265" s="16">
        <f>SUMIFS('Investor Exit List'!$AC:$AC,'Investor Exit List'!$AB:$AB,B265)</f>
        <v>46173</v>
      </c>
      <c r="D265" s="12">
        <f>SUMIFS('Investor Exit List'!$Q:$Q,'Investor Exit List'!$AB:$AB,B265)</f>
        <v>1332171.413630137</v>
      </c>
      <c r="E265" s="26" t="str">
        <f t="shared" si="11"/>
        <v>HVD302</v>
      </c>
      <c r="F265" s="12">
        <f t="shared" si="12"/>
        <v>0</v>
      </c>
      <c r="AF265" s="14"/>
    </row>
    <row r="266" spans="1:32" ht="29" hidden="1" x14ac:dyDescent="0.35">
      <c r="A266" s="15" t="str">
        <f t="shared" si="10"/>
        <v>D</v>
      </c>
      <c r="B266" s="12" t="str">
        <v>HVD303-ZDIC01</v>
      </c>
      <c r="C266" s="16">
        <f>SUMIFS('Investor Exit List'!$AC:$AC,'Investor Exit List'!$AB:$AB,B266)</f>
        <v>45465</v>
      </c>
      <c r="D266" s="12">
        <f>SUMIFS('Investor Exit List'!$Q:$Q,'Investor Exit List'!$AB:$AB,B266)</f>
        <v>572764.41324219177</v>
      </c>
      <c r="E266" s="26" t="str">
        <f t="shared" si="11"/>
        <v>HVD303</v>
      </c>
      <c r="F266" s="12">
        <f t="shared" si="12"/>
        <v>0</v>
      </c>
      <c r="AF266" s="14"/>
    </row>
    <row r="267" spans="1:32" ht="29" hidden="1" x14ac:dyDescent="0.35">
      <c r="A267" s="15" t="str">
        <f t="shared" si="10"/>
        <v>D</v>
      </c>
      <c r="B267" s="12" t="str">
        <v>HVD303-ZHAY01</v>
      </c>
      <c r="C267" s="16">
        <f>SUMIFS('Investor Exit List'!$AC:$AC,'Investor Exit List'!$AB:$AB,B267)</f>
        <v>46173</v>
      </c>
      <c r="D267" s="12">
        <f>SUMIFS('Investor Exit List'!$Q:$Q,'Investor Exit List'!$AB:$AB,B267)</f>
        <v>797019.7517890411</v>
      </c>
      <c r="E267" s="26" t="str">
        <f t="shared" si="11"/>
        <v>HVD303</v>
      </c>
      <c r="F267" s="12">
        <f t="shared" si="12"/>
        <v>0</v>
      </c>
      <c r="AF267" s="14"/>
    </row>
    <row r="268" spans="1:32" ht="29" hidden="1" x14ac:dyDescent="0.35">
      <c r="A268" s="15" t="str">
        <f t="shared" si="10"/>
        <v>D</v>
      </c>
      <c r="B268" s="12" t="str">
        <v>HVD304-ZOOS01</v>
      </c>
      <c r="C268" s="16">
        <f>SUMIFS('Investor Exit List'!$AC:$AC,'Investor Exit List'!$AB:$AB,B268)</f>
        <v>45473</v>
      </c>
      <c r="D268" s="12">
        <f>SUMIFS('Investor Exit List'!$Q:$Q,'Investor Exit List'!$AB:$AB,B268)</f>
        <v>193557.53424657535</v>
      </c>
      <c r="E268" s="26" t="str">
        <f t="shared" si="11"/>
        <v>HVD304</v>
      </c>
      <c r="F268" s="12">
        <f t="shared" si="12"/>
        <v>0</v>
      </c>
      <c r="AF268" s="14"/>
    </row>
    <row r="269" spans="1:32" ht="29" hidden="1" x14ac:dyDescent="0.35">
      <c r="A269" s="15" t="str">
        <f t="shared" si="10"/>
        <v>D</v>
      </c>
      <c r="B269" s="12" t="str">
        <v>HVD304-ZRAN01</v>
      </c>
      <c r="C269" s="16">
        <f>SUMIFS('Investor Exit List'!$AC:$AC,'Investor Exit List'!$AB:$AB,B269)</f>
        <v>45465</v>
      </c>
      <c r="D269" s="12">
        <f>SUMIFS('Investor Exit List'!$Q:$Q,'Investor Exit List'!$AB:$AB,B269)</f>
        <v>1168959.5890410959</v>
      </c>
      <c r="E269" s="26" t="str">
        <f t="shared" si="11"/>
        <v>HVD304</v>
      </c>
      <c r="F269" s="12">
        <f t="shared" si="12"/>
        <v>0</v>
      </c>
      <c r="AF269" s="14"/>
    </row>
    <row r="270" spans="1:32" ht="29" hidden="1" x14ac:dyDescent="0.35">
      <c r="A270" s="15" t="str">
        <f t="shared" si="10"/>
        <v>E</v>
      </c>
      <c r="B270" s="12" t="str">
        <v>HVE101-ZMEY02</v>
      </c>
      <c r="C270" s="16">
        <f>SUMIFS('Investor Exit List'!$AC:$AC,'Investor Exit List'!$AB:$AB,B270)</f>
        <v>46051</v>
      </c>
      <c r="D270" s="12">
        <f>SUMIFS('Investor Exit List'!$Q:$Q,'Investor Exit List'!$AB:$AB,B270)</f>
        <v>294536.90899999999</v>
      </c>
      <c r="E270" s="26" t="str">
        <f t="shared" si="11"/>
        <v>HVE101</v>
      </c>
      <c r="F270" s="12">
        <f t="shared" si="12"/>
        <v>0</v>
      </c>
      <c r="AF270" s="14"/>
    </row>
    <row r="271" spans="1:32" ht="29" hidden="1" x14ac:dyDescent="0.35">
      <c r="A271" s="15" t="str">
        <f t="shared" si="10"/>
        <v>E</v>
      </c>
      <c r="B271" s="12" t="str">
        <v>HVE101-ZTHA01</v>
      </c>
      <c r="C271" s="16">
        <f>SUMIFS('Investor Exit List'!$AC:$AC,'Investor Exit List'!$AB:$AB,B271)</f>
        <v>46138</v>
      </c>
      <c r="D271" s="12">
        <f>SUMIFS('Investor Exit List'!$Q:$Q,'Investor Exit List'!$AB:$AB,B271)</f>
        <v>276309.49580712331</v>
      </c>
      <c r="E271" s="26" t="str">
        <f t="shared" si="11"/>
        <v>HVE101</v>
      </c>
      <c r="F271" s="12">
        <f t="shared" si="12"/>
        <v>0</v>
      </c>
      <c r="AF271" s="14"/>
    </row>
    <row r="272" spans="1:32" ht="29" hidden="1" x14ac:dyDescent="0.35">
      <c r="A272" s="15" t="str">
        <f t="shared" si="10"/>
        <v>E</v>
      </c>
      <c r="B272" s="12" t="str">
        <v>HVE101-ZVER02</v>
      </c>
      <c r="C272" s="16">
        <f>SUMIFS('Investor Exit List'!$AC:$AC,'Investor Exit List'!$AB:$AB,B272)</f>
        <v>46051</v>
      </c>
      <c r="D272" s="12">
        <f>SUMIFS('Investor Exit List'!$Q:$Q,'Investor Exit List'!$AB:$AB,B272)</f>
        <v>136047.53360000002</v>
      </c>
      <c r="E272" s="26" t="str">
        <f t="shared" si="11"/>
        <v>HVE101</v>
      </c>
      <c r="F272" s="12">
        <f t="shared" si="12"/>
        <v>0</v>
      </c>
      <c r="AF272" s="14"/>
    </row>
    <row r="273" spans="1:32" ht="29" hidden="1" x14ac:dyDescent="0.35">
      <c r="A273" s="15" t="str">
        <f t="shared" si="10"/>
        <v>E</v>
      </c>
      <c r="B273" s="12" t="str">
        <v>HVE102-ZFER02</v>
      </c>
      <c r="C273" s="16">
        <f>SUMIFS('Investor Exit List'!$AC:$AC,'Investor Exit List'!$AB:$AB,B273)</f>
        <v>46051</v>
      </c>
      <c r="D273" s="12">
        <f>SUMIFS('Investor Exit List'!$Q:$Q,'Investor Exit List'!$AB:$AB,B273)</f>
        <v>135817.19760000001</v>
      </c>
      <c r="E273" s="26" t="str">
        <f t="shared" si="11"/>
        <v>HVE102</v>
      </c>
      <c r="F273" s="12">
        <f t="shared" si="12"/>
        <v>0</v>
      </c>
      <c r="AF273" s="14"/>
    </row>
    <row r="274" spans="1:32" ht="29" hidden="1" x14ac:dyDescent="0.35">
      <c r="A274" s="15" t="str">
        <f t="shared" si="10"/>
        <v>E</v>
      </c>
      <c r="B274" s="12" t="str">
        <v>HVE102-ZZYL01</v>
      </c>
      <c r="C274" s="16">
        <f>SUMIFS('Investor Exit List'!$AC:$AC,'Investor Exit List'!$AB:$AB,B274)</f>
        <v>46173</v>
      </c>
      <c r="D274" s="12">
        <f>SUMIFS('Investor Exit List'!$Q:$Q,'Investor Exit List'!$AB:$AB,B274)</f>
        <v>145718.43749917808</v>
      </c>
      <c r="E274" s="26" t="str">
        <f t="shared" si="11"/>
        <v>HVE102</v>
      </c>
      <c r="F274" s="12">
        <f t="shared" si="12"/>
        <v>0</v>
      </c>
      <c r="AF274" s="14"/>
    </row>
    <row r="275" spans="1:32" ht="29" hidden="1" x14ac:dyDescent="0.35">
      <c r="A275" s="15" t="str">
        <f t="shared" si="10"/>
        <v>E</v>
      </c>
      <c r="B275" s="12" t="str">
        <v>HVE103-ZZYL01</v>
      </c>
      <c r="C275" s="16">
        <f>SUMIFS('Investor Exit List'!$AC:$AC,'Investor Exit List'!$AB:$AB,B275)</f>
        <v>46173</v>
      </c>
      <c r="D275" s="12">
        <f>SUMIFS('Investor Exit List'!$Q:$Q,'Investor Exit List'!$AB:$AB,B275)</f>
        <v>1349358.9041095891</v>
      </c>
      <c r="E275" s="26" t="str">
        <f t="shared" si="11"/>
        <v>HVE103</v>
      </c>
      <c r="F275" s="12">
        <f t="shared" si="12"/>
        <v>0</v>
      </c>
      <c r="AF275" s="14"/>
    </row>
    <row r="276" spans="1:32" ht="29" hidden="1" x14ac:dyDescent="0.35">
      <c r="A276" s="15" t="str">
        <f t="shared" si="10"/>
        <v>E</v>
      </c>
      <c r="B276" s="12" t="str">
        <v>HVE104-ZMYB01</v>
      </c>
      <c r="C276" s="16">
        <f>SUMIFS('Investor Exit List'!$AC:$AC,'Investor Exit List'!$AB:$AB,B276)</f>
        <v>46101</v>
      </c>
      <c r="D276" s="12">
        <f>SUMIFS('Investor Exit List'!$Q:$Q,'Investor Exit List'!$AB:$AB,B276)</f>
        <v>1452000</v>
      </c>
      <c r="E276" s="26" t="str">
        <f t="shared" si="11"/>
        <v>HVE104</v>
      </c>
      <c r="F276" s="12">
        <f t="shared" si="12"/>
        <v>0</v>
      </c>
      <c r="AF276" s="14"/>
    </row>
    <row r="277" spans="1:32" ht="29" hidden="1" x14ac:dyDescent="0.35">
      <c r="A277" s="15" t="str">
        <f t="shared" si="10"/>
        <v>E</v>
      </c>
      <c r="B277" s="12" t="str">
        <v>HVE201-ZLEB01</v>
      </c>
      <c r="C277" s="16">
        <f>SUMIFS('Investor Exit List'!$AC:$AC,'Investor Exit List'!$AB:$AB,B277)</f>
        <v>46138</v>
      </c>
      <c r="D277" s="12">
        <f>SUMIFS('Investor Exit List'!$Q:$Q,'Investor Exit List'!$AB:$AB,B277)</f>
        <v>842653.66947452049</v>
      </c>
      <c r="E277" s="26" t="str">
        <f t="shared" si="11"/>
        <v>HVE201</v>
      </c>
      <c r="F277" s="12">
        <f t="shared" si="12"/>
        <v>0</v>
      </c>
      <c r="AF277" s="14"/>
    </row>
    <row r="278" spans="1:32" ht="29" hidden="1" x14ac:dyDescent="0.35">
      <c r="A278" s="15" t="str">
        <f t="shared" si="10"/>
        <v>E</v>
      </c>
      <c r="B278" s="12" t="str">
        <v>HVE201-ZSCO01</v>
      </c>
      <c r="C278" s="16">
        <f>SUMIFS('Investor Exit List'!$AC:$AC,'Investor Exit List'!$AB:$AB,B278)</f>
        <v>46080</v>
      </c>
      <c r="D278" s="12">
        <f>SUMIFS('Investor Exit List'!$Q:$Q,'Investor Exit List'!$AB:$AB,B278)</f>
        <v>596780.82191780827</v>
      </c>
      <c r="E278" s="26" t="str">
        <f t="shared" si="11"/>
        <v>HVE201</v>
      </c>
      <c r="F278" s="12">
        <f t="shared" si="12"/>
        <v>0</v>
      </c>
      <c r="AF278" s="14"/>
    </row>
    <row r="279" spans="1:32" ht="29" hidden="1" x14ac:dyDescent="0.35">
      <c r="A279" s="15" t="str">
        <f t="shared" si="10"/>
        <v>E</v>
      </c>
      <c r="B279" s="12" t="str">
        <v>HVE202-ZMYB01</v>
      </c>
      <c r="C279" s="16">
        <f>SUMIFS('Investor Exit List'!$AC:$AC,'Investor Exit List'!$AB:$AB,B279)</f>
        <v>46101</v>
      </c>
      <c r="D279" s="12">
        <f>SUMIFS('Investor Exit List'!$Q:$Q,'Investor Exit List'!$AB:$AB,B279)</f>
        <v>1452000</v>
      </c>
      <c r="E279" s="26" t="str">
        <f t="shared" si="11"/>
        <v>HVE202</v>
      </c>
      <c r="F279" s="12">
        <f t="shared" si="12"/>
        <v>0</v>
      </c>
      <c r="AF279" s="14"/>
    </row>
    <row r="280" spans="1:32" ht="29" hidden="1" x14ac:dyDescent="0.35">
      <c r="A280" s="15" t="str">
        <f t="shared" si="10"/>
        <v>E</v>
      </c>
      <c r="B280" s="12" t="str">
        <v>HVE203-ZHOW01</v>
      </c>
      <c r="C280" s="16">
        <f>SUMIFS('Investor Exit List'!$AC:$AC,'Investor Exit List'!$AB:$AB,B280)</f>
        <v>46051</v>
      </c>
      <c r="D280" s="12">
        <f>SUMIFS('Investor Exit List'!$Q:$Q,'Investor Exit List'!$AB:$AB,B280)</f>
        <v>1460975.3424657534</v>
      </c>
      <c r="E280" s="26" t="str">
        <f t="shared" si="11"/>
        <v>HVE203</v>
      </c>
      <c r="F280" s="12">
        <f t="shared" si="12"/>
        <v>0</v>
      </c>
      <c r="AF280" s="14"/>
    </row>
    <row r="281" spans="1:32" ht="29" hidden="1" x14ac:dyDescent="0.35">
      <c r="A281" s="15" t="str">
        <f t="shared" si="10"/>
        <v>E</v>
      </c>
      <c r="B281" s="12" t="str">
        <v>HVE204-ZMYB01</v>
      </c>
      <c r="C281" s="16">
        <f>SUMIFS('Investor Exit List'!$AC:$AC,'Investor Exit List'!$AB:$AB,B281)</f>
        <v>46101</v>
      </c>
      <c r="D281" s="12">
        <f>SUMIFS('Investor Exit List'!$Q:$Q,'Investor Exit List'!$AB:$AB,B281)</f>
        <v>1452000</v>
      </c>
      <c r="E281" s="26" t="str">
        <f t="shared" si="11"/>
        <v>HVE204</v>
      </c>
      <c r="F281" s="12">
        <f t="shared" si="12"/>
        <v>0</v>
      </c>
      <c r="AF281" s="14"/>
    </row>
    <row r="282" spans="1:32" ht="29" hidden="1" x14ac:dyDescent="0.35">
      <c r="A282" s="15" t="str">
        <f t="shared" si="10"/>
        <v>E</v>
      </c>
      <c r="B282" s="12" t="str">
        <v>HVE301-ZMYB01</v>
      </c>
      <c r="C282" s="16">
        <f>SUMIFS('Investor Exit List'!$AC:$AC,'Investor Exit List'!$AB:$AB,B282)</f>
        <v>46080</v>
      </c>
      <c r="D282" s="12">
        <f>SUMIFS('Investor Exit List'!$Q:$Q,'Investor Exit List'!$AB:$AB,B282)</f>
        <v>1456832.8767123288</v>
      </c>
      <c r="E282" s="26" t="str">
        <f t="shared" si="11"/>
        <v>HVE301</v>
      </c>
      <c r="F282" s="12">
        <f t="shared" si="12"/>
        <v>0</v>
      </c>
      <c r="AF282" s="14"/>
    </row>
    <row r="283" spans="1:32" ht="29" hidden="1" x14ac:dyDescent="0.35">
      <c r="A283" s="15" t="str">
        <f t="shared" si="10"/>
        <v>E</v>
      </c>
      <c r="B283" s="12" t="str">
        <v>HVE302-ZHOW01</v>
      </c>
      <c r="C283" s="16">
        <f>SUMIFS('Investor Exit List'!$AC:$AC,'Investor Exit List'!$AB:$AB,B283)</f>
        <v>46051</v>
      </c>
      <c r="D283" s="12">
        <f>SUMIFS('Investor Exit List'!$Q:$Q,'Investor Exit List'!$AB:$AB,B283)</f>
        <v>1460975.3424657534</v>
      </c>
      <c r="E283" s="26" t="str">
        <f t="shared" si="11"/>
        <v>HVE302</v>
      </c>
      <c r="F283" s="12">
        <f t="shared" si="12"/>
        <v>0</v>
      </c>
      <c r="AF283" s="14"/>
    </row>
    <row r="284" spans="1:32" ht="29" hidden="1" x14ac:dyDescent="0.35">
      <c r="A284" s="15" t="str">
        <f t="shared" si="10"/>
        <v>E</v>
      </c>
      <c r="B284" s="12" t="str">
        <v>HVE303-ZCRO01</v>
      </c>
      <c r="C284" s="16">
        <f>SUMIFS('Investor Exit List'!$AC:$AC,'Investor Exit List'!$AB:$AB,B284)</f>
        <v>45954</v>
      </c>
      <c r="D284" s="12">
        <f>SUMIFS('Investor Exit List'!$Q:$Q,'Investor Exit List'!$AB:$AB,B284)</f>
        <v>135869.5890410959</v>
      </c>
      <c r="E284" s="26" t="str">
        <f t="shared" si="11"/>
        <v>HVE303</v>
      </c>
      <c r="F284" s="12">
        <f t="shared" si="12"/>
        <v>0</v>
      </c>
      <c r="AF284" s="14"/>
    </row>
    <row r="285" spans="1:32" ht="29" hidden="1" x14ac:dyDescent="0.35">
      <c r="A285" s="15" t="str">
        <f t="shared" si="10"/>
        <v>E</v>
      </c>
      <c r="B285" s="12" t="str">
        <v>HVE303-ZHOW01</v>
      </c>
      <c r="C285" s="16">
        <f>SUMIFS('Investor Exit List'!$AC:$AC,'Investor Exit List'!$AB:$AB,B285)</f>
        <v>46051</v>
      </c>
      <c r="D285" s="12">
        <f>SUMIFS('Investor Exit List'!$Q:$Q,'Investor Exit List'!$AB:$AB,B285)</f>
        <v>730487.67123287672</v>
      </c>
      <c r="E285" s="26" t="str">
        <f t="shared" si="11"/>
        <v>HVE303</v>
      </c>
      <c r="F285" s="12">
        <f t="shared" si="12"/>
        <v>0</v>
      </c>
      <c r="AF285" s="14"/>
    </row>
    <row r="286" spans="1:32" ht="29" hidden="1" x14ac:dyDescent="0.35">
      <c r="A286" s="15" t="str">
        <f t="shared" si="10"/>
        <v>E</v>
      </c>
      <c r="B286" s="12" t="str">
        <v>HVE303-ZLAL01</v>
      </c>
      <c r="C286" s="16">
        <f>SUMIFS('Investor Exit List'!$AC:$AC,'Investor Exit List'!$AB:$AB,B286)</f>
        <v>46173</v>
      </c>
      <c r="D286" s="12">
        <f>SUMIFS('Investor Exit List'!$Q:$Q,'Investor Exit List'!$AB:$AB,B286)</f>
        <v>109583.56164383562</v>
      </c>
      <c r="E286" s="26" t="str">
        <f t="shared" si="11"/>
        <v>HVE303</v>
      </c>
      <c r="F286" s="12">
        <f t="shared" si="12"/>
        <v>0</v>
      </c>
      <c r="AF286" s="14"/>
    </row>
    <row r="287" spans="1:32" ht="29" hidden="1" x14ac:dyDescent="0.35">
      <c r="A287" s="15" t="str">
        <f t="shared" si="10"/>
        <v>E</v>
      </c>
      <c r="B287" s="12" t="str">
        <v>HVE304-ZMYB01</v>
      </c>
      <c r="C287" s="16">
        <f>SUMIFS('Investor Exit List'!$AC:$AC,'Investor Exit List'!$AB:$AB,B287)</f>
        <v>46080</v>
      </c>
      <c r="D287" s="12">
        <f>SUMIFS('Investor Exit List'!$Q:$Q,'Investor Exit List'!$AB:$AB,B287)</f>
        <v>1456832.8767123288</v>
      </c>
      <c r="E287" s="26" t="str">
        <f t="shared" si="11"/>
        <v>HVE304</v>
      </c>
      <c r="F287" s="12">
        <f t="shared" si="12"/>
        <v>0</v>
      </c>
      <c r="AF287" s="14"/>
    </row>
    <row r="288" spans="1:32" ht="29" hidden="1" x14ac:dyDescent="0.35">
      <c r="A288" s="15" t="str">
        <f t="shared" si="10"/>
        <v>F</v>
      </c>
      <c r="B288" s="12" t="str">
        <v>HVF101-ZLES01</v>
      </c>
      <c r="C288" s="16">
        <f>SUMIFS('Investor Exit List'!$AC:$AC,'Investor Exit List'!$AB:$AB,B288)</f>
        <v>46101</v>
      </c>
      <c r="D288" s="12">
        <f>SUMIFS('Investor Exit List'!$Q:$Q,'Investor Exit List'!$AB:$AB,B288)</f>
        <v>186546.36442465754</v>
      </c>
      <c r="E288" s="26" t="str">
        <f t="shared" si="11"/>
        <v>HVF101</v>
      </c>
      <c r="F288" s="12">
        <f t="shared" si="12"/>
        <v>0</v>
      </c>
      <c r="AF288" s="14"/>
    </row>
    <row r="289" spans="1:32" ht="29" hidden="1" x14ac:dyDescent="0.35">
      <c r="A289" s="15" t="str">
        <f t="shared" si="10"/>
        <v>F</v>
      </c>
      <c r="B289" s="12" t="str">
        <v>HVF101-ZTHA01</v>
      </c>
      <c r="C289" s="16">
        <f>SUMIFS('Investor Exit List'!$AC:$AC,'Investor Exit List'!$AB:$AB,B289)</f>
        <v>46173</v>
      </c>
      <c r="D289" s="12">
        <f>SUMIFS('Investor Exit List'!$Q:$Q,'Investor Exit List'!$AB:$AB,B289)</f>
        <v>109320.54794520549</v>
      </c>
      <c r="E289" s="26" t="str">
        <f t="shared" si="11"/>
        <v>HVF101</v>
      </c>
      <c r="F289" s="12">
        <f t="shared" si="12"/>
        <v>0</v>
      </c>
      <c r="AF289" s="14"/>
    </row>
    <row r="290" spans="1:32" ht="29" hidden="1" x14ac:dyDescent="0.35">
      <c r="A290" s="15" t="str">
        <f t="shared" si="10"/>
        <v>F</v>
      </c>
      <c r="B290" s="12" t="str">
        <v>HVF101-ZWAT01</v>
      </c>
      <c r="C290" s="16">
        <f>SUMIFS('Investor Exit List'!$AC:$AC,'Investor Exit List'!$AB:$AB,B290)</f>
        <v>46101</v>
      </c>
      <c r="D290" s="12">
        <f>SUMIFS('Investor Exit List'!$Q:$Q,'Investor Exit List'!$AB:$AB,B290)</f>
        <v>1044980.5768323287</v>
      </c>
      <c r="E290" s="26" t="str">
        <f t="shared" si="11"/>
        <v>HVF101</v>
      </c>
      <c r="F290" s="12">
        <f t="shared" si="12"/>
        <v>0</v>
      </c>
      <c r="AF290" s="14"/>
    </row>
    <row r="291" spans="1:32" ht="29" hidden="1" x14ac:dyDescent="0.35">
      <c r="A291" s="15" t="str">
        <f t="shared" si="10"/>
        <v>F</v>
      </c>
      <c r="B291" s="12" t="str">
        <v>HVF102-ZFON01</v>
      </c>
      <c r="C291" s="16">
        <f>SUMIFS('Investor Exit List'!$AC:$AC,'Investor Exit List'!$AB:$AB,B291)</f>
        <v>46101</v>
      </c>
      <c r="D291" s="12">
        <f>SUMIFS('Investor Exit List'!$Q:$Q,'Investor Exit List'!$AB:$AB,B291)</f>
        <v>876816.49056657543</v>
      </c>
      <c r="E291" s="26" t="str">
        <f t="shared" si="11"/>
        <v>HVF102</v>
      </c>
      <c r="F291" s="12">
        <f t="shared" si="12"/>
        <v>0</v>
      </c>
      <c r="AF291" s="14"/>
    </row>
    <row r="292" spans="1:32" ht="29" hidden="1" x14ac:dyDescent="0.35">
      <c r="A292" s="15" t="str">
        <f t="shared" si="10"/>
        <v>F</v>
      </c>
      <c r="B292" s="12" t="str">
        <v>HVF102-ZKAL01</v>
      </c>
      <c r="C292" s="16">
        <f>SUMIFS('Investor Exit List'!$AC:$AC,'Investor Exit List'!$AB:$AB,B292)</f>
        <v>46173</v>
      </c>
      <c r="D292" s="12">
        <f>SUMIFS('Investor Exit List'!$Q:$Q,'Investor Exit List'!$AB:$AB,B292)</f>
        <v>212449.31506849316</v>
      </c>
      <c r="E292" s="26" t="str">
        <f t="shared" si="11"/>
        <v>HVF102</v>
      </c>
      <c r="F292" s="12">
        <f t="shared" si="12"/>
        <v>0</v>
      </c>
      <c r="AF292" s="14"/>
    </row>
    <row r="293" spans="1:32" ht="29" hidden="1" x14ac:dyDescent="0.35">
      <c r="A293" s="15" t="str">
        <f t="shared" si="10"/>
        <v>F</v>
      </c>
      <c r="B293" s="12" t="str">
        <v>HVF102-ZTHA01</v>
      </c>
      <c r="C293" s="16">
        <f>SUMIFS('Investor Exit List'!$AC:$AC,'Investor Exit List'!$AB:$AB,B293)</f>
        <v>46101</v>
      </c>
      <c r="D293" s="12">
        <f>SUMIFS('Investor Exit List'!$Q:$Q,'Investor Exit List'!$AB:$AB,B293)</f>
        <v>273317.20434438356</v>
      </c>
      <c r="E293" s="26" t="str">
        <f t="shared" si="11"/>
        <v>HVF102</v>
      </c>
      <c r="F293" s="12">
        <f t="shared" si="12"/>
        <v>0</v>
      </c>
      <c r="AF293" s="14"/>
    </row>
    <row r="294" spans="1:32" ht="29" hidden="1" x14ac:dyDescent="0.35">
      <c r="A294" s="15" t="str">
        <f t="shared" si="10"/>
        <v>F</v>
      </c>
      <c r="B294" s="12" t="str">
        <v>HVF103-ZPLA01</v>
      </c>
      <c r="C294" s="16">
        <f>SUMIFS('Investor Exit List'!$AC:$AC,'Investor Exit List'!$AB:$AB,B294)</f>
        <v>46173</v>
      </c>
      <c r="D294" s="12">
        <f>SUMIFS('Investor Exit List'!$Q:$Q,'Investor Exit List'!$AB:$AB,B294)</f>
        <v>320177.10246575344</v>
      </c>
      <c r="E294" s="26" t="str">
        <f t="shared" si="11"/>
        <v>HVF103</v>
      </c>
      <c r="F294" s="12">
        <f t="shared" si="12"/>
        <v>0</v>
      </c>
      <c r="AF294" s="14"/>
    </row>
    <row r="295" spans="1:32" ht="29" hidden="1" x14ac:dyDescent="0.35">
      <c r="A295" s="15" t="str">
        <f t="shared" si="10"/>
        <v>F</v>
      </c>
      <c r="B295" s="12" t="str">
        <v>HVF103-ZWAT01</v>
      </c>
      <c r="C295" s="16">
        <f>SUMIFS('Investor Exit List'!$AC:$AC,'Investor Exit List'!$AB:$AB,B295)</f>
        <v>46138</v>
      </c>
      <c r="D295" s="12">
        <f>SUMIFS('Investor Exit List'!$Q:$Q,'Investor Exit List'!$AB:$AB,B295)</f>
        <v>1002612.4124183562</v>
      </c>
      <c r="E295" s="26" t="str">
        <f t="shared" si="11"/>
        <v>HVF103</v>
      </c>
      <c r="F295" s="12">
        <f t="shared" si="12"/>
        <v>0</v>
      </c>
      <c r="AF295" s="14"/>
    </row>
    <row r="296" spans="1:32" ht="29" hidden="1" x14ac:dyDescent="0.35">
      <c r="A296" s="15" t="str">
        <f t="shared" si="10"/>
        <v>F</v>
      </c>
      <c r="B296" s="12" t="str">
        <v>HVF104-ZOLI01</v>
      </c>
      <c r="C296" s="16">
        <f>SUMIFS('Investor Exit List'!$AC:$AC,'Investor Exit List'!$AB:$AB,B296)</f>
        <v>46010</v>
      </c>
      <c r="D296" s="12">
        <f>SUMIFS('Investor Exit List'!$Q:$Q,'Investor Exit List'!$AB:$AB,B296)</f>
        <v>662441.64383561641</v>
      </c>
      <c r="E296" s="26" t="str">
        <f t="shared" si="11"/>
        <v>HVF104</v>
      </c>
      <c r="F296" s="12">
        <f t="shared" si="12"/>
        <v>0</v>
      </c>
      <c r="AF296" s="14"/>
    </row>
    <row r="297" spans="1:32" ht="29" hidden="1" x14ac:dyDescent="0.35">
      <c r="A297" s="15" t="str">
        <f t="shared" si="10"/>
        <v>F</v>
      </c>
      <c r="B297" s="12" t="str">
        <v>HVF104-ZRIT01</v>
      </c>
      <c r="C297" s="16">
        <f>SUMIFS('Investor Exit List'!$AC:$AC,'Investor Exit List'!$AB:$AB,B297)</f>
        <v>45954</v>
      </c>
      <c r="D297" s="12">
        <f>SUMIFS('Investor Exit List'!$Q:$Q,'Investor Exit List'!$AB:$AB,B297)</f>
        <v>410669.91529452056</v>
      </c>
      <c r="E297" s="26" t="str">
        <f t="shared" si="11"/>
        <v>HVF104</v>
      </c>
      <c r="F297" s="12">
        <f t="shared" si="12"/>
        <v>0</v>
      </c>
      <c r="AF297" s="14"/>
    </row>
    <row r="298" spans="1:32" ht="29" hidden="1" x14ac:dyDescent="0.35">
      <c r="A298" s="15" t="str">
        <f t="shared" si="10"/>
        <v>F</v>
      </c>
      <c r="B298" s="12" t="str">
        <v>HVF104-ZSCH05</v>
      </c>
      <c r="C298" s="16">
        <f>SUMIFS('Investor Exit List'!$AC:$AC,'Investor Exit List'!$AB:$AB,B298)</f>
        <v>46173</v>
      </c>
      <c r="D298" s="12">
        <f>SUMIFS('Investor Exit List'!$Q:$Q,'Investor Exit List'!$AB:$AB,B298)</f>
        <v>211786.30136986301</v>
      </c>
      <c r="E298" s="26" t="str">
        <f t="shared" si="11"/>
        <v>HVF104</v>
      </c>
      <c r="F298" s="12">
        <f t="shared" si="12"/>
        <v>0</v>
      </c>
      <c r="AF298" s="14"/>
    </row>
    <row r="299" spans="1:32" ht="29" hidden="1" x14ac:dyDescent="0.35">
      <c r="A299" s="15" t="str">
        <f t="shared" si="10"/>
        <v>F</v>
      </c>
      <c r="B299" s="12" t="str">
        <v>HVF104-ZVIS04</v>
      </c>
      <c r="C299" s="16">
        <f>SUMIFS('Investor Exit List'!$AC:$AC,'Investor Exit List'!$AB:$AB,B299)</f>
        <v>46173</v>
      </c>
      <c r="D299" s="12">
        <f>SUMIFS('Investor Exit List'!$Q:$Q,'Investor Exit List'!$AB:$AB,B299)</f>
        <v>106315.06849315068</v>
      </c>
      <c r="E299" s="26" t="str">
        <f t="shared" si="11"/>
        <v>HVF104</v>
      </c>
      <c r="F299" s="12">
        <f t="shared" si="12"/>
        <v>0</v>
      </c>
      <c r="AF299" s="14"/>
    </row>
    <row r="300" spans="1:32" ht="29" hidden="1" x14ac:dyDescent="0.35">
      <c r="A300" s="15" t="str">
        <f t="shared" si="10"/>
        <v>F</v>
      </c>
      <c r="B300" s="12" t="str">
        <v>HVF201-ZMAN01</v>
      </c>
      <c r="C300" s="16">
        <f>SUMIFS('Investor Exit List'!$AC:$AC,'Investor Exit List'!$AB:$AB,B300)</f>
        <v>46138</v>
      </c>
      <c r="D300" s="12">
        <f>SUMIFS('Investor Exit List'!$Q:$Q,'Investor Exit List'!$AB:$AB,B300)</f>
        <v>1112273.9726027397</v>
      </c>
      <c r="E300" s="26" t="str">
        <f t="shared" si="11"/>
        <v>HVF201</v>
      </c>
      <c r="F300" s="12">
        <f t="shared" si="12"/>
        <v>0</v>
      </c>
      <c r="AF300" s="14"/>
    </row>
    <row r="301" spans="1:32" ht="29" hidden="1" x14ac:dyDescent="0.35">
      <c r="A301" s="15" t="str">
        <f t="shared" si="10"/>
        <v>F</v>
      </c>
      <c r="B301" s="12" t="str">
        <v>HVF201-ZVAN05</v>
      </c>
      <c r="C301" s="16">
        <f>SUMIFS('Investor Exit List'!$AC:$AC,'Investor Exit List'!$AB:$AB,B301)</f>
        <v>46173</v>
      </c>
      <c r="D301" s="12">
        <f>SUMIFS('Investor Exit List'!$Q:$Q,'Investor Exit List'!$AB:$AB,B301)</f>
        <v>191534.20682958903</v>
      </c>
      <c r="E301" s="26" t="str">
        <f t="shared" si="11"/>
        <v>HVF201</v>
      </c>
      <c r="F301" s="12">
        <f t="shared" si="12"/>
        <v>0</v>
      </c>
      <c r="AF301" s="14"/>
    </row>
    <row r="302" spans="1:32" ht="29" hidden="1" x14ac:dyDescent="0.35">
      <c r="A302" s="15" t="str">
        <f t="shared" si="10"/>
        <v>F</v>
      </c>
      <c r="B302" s="12" t="str">
        <v>HVF202-ZDIK01</v>
      </c>
      <c r="C302" s="16">
        <f>SUMIFS('Investor Exit List'!$AC:$AC,'Investor Exit List'!$AB:$AB,B302)</f>
        <v>46173</v>
      </c>
      <c r="D302" s="12">
        <f>SUMIFS('Investor Exit List'!$Q:$Q,'Investor Exit List'!$AB:$AB,B302)</f>
        <v>106827.39726027398</v>
      </c>
      <c r="E302" s="26" t="str">
        <f t="shared" si="11"/>
        <v>HVF202</v>
      </c>
      <c r="F302" s="12">
        <f t="shared" si="12"/>
        <v>0</v>
      </c>
      <c r="AF302" s="14"/>
    </row>
    <row r="303" spans="1:32" ht="29" hidden="1" x14ac:dyDescent="0.35">
      <c r="A303" s="15" t="str">
        <f t="shared" si="10"/>
        <v>F</v>
      </c>
      <c r="B303" s="12" t="str">
        <v>HVF202-ZELO02</v>
      </c>
      <c r="C303" s="16">
        <f>SUMIFS('Investor Exit List'!$AC:$AC,'Investor Exit List'!$AB:$AB,B303)</f>
        <v>46051</v>
      </c>
      <c r="D303" s="12">
        <f>SUMIFS('Investor Exit List'!$Q:$Q,'Investor Exit List'!$AB:$AB,B303)</f>
        <v>787942.98904849333</v>
      </c>
      <c r="E303" s="26" t="str">
        <f t="shared" si="11"/>
        <v>HVF202</v>
      </c>
      <c r="F303" s="12">
        <f t="shared" si="12"/>
        <v>0</v>
      </c>
      <c r="AF303" s="14"/>
    </row>
    <row r="304" spans="1:32" ht="29" hidden="1" x14ac:dyDescent="0.35">
      <c r="A304" s="15" t="str">
        <f t="shared" si="10"/>
        <v>F</v>
      </c>
      <c r="B304" s="12" t="str">
        <v>HVF202-ZJEN01</v>
      </c>
      <c r="C304" s="16">
        <f>SUMIFS('Investor Exit List'!$AC:$AC,'Investor Exit List'!$AB:$AB,B304)</f>
        <v>46051</v>
      </c>
      <c r="D304" s="12">
        <f>SUMIFS('Investor Exit List'!$Q:$Q,'Investor Exit List'!$AB:$AB,B304)</f>
        <v>151173.37321643837</v>
      </c>
      <c r="E304" s="26" t="str">
        <f t="shared" si="11"/>
        <v>HVF202</v>
      </c>
      <c r="F304" s="12">
        <f t="shared" si="12"/>
        <v>0</v>
      </c>
      <c r="AF304" s="14"/>
    </row>
    <row r="305" spans="1:32" ht="29" hidden="1" x14ac:dyDescent="0.35">
      <c r="A305" s="15" t="str">
        <f t="shared" si="10"/>
        <v>F</v>
      </c>
      <c r="B305" s="12" t="str">
        <v>HVF202-ZRIT01</v>
      </c>
      <c r="C305" s="16">
        <f>SUMIFS('Investor Exit List'!$AC:$AC,'Investor Exit List'!$AB:$AB,B305)</f>
        <v>45954</v>
      </c>
      <c r="D305" s="12">
        <f>SUMIFS('Investor Exit List'!$Q:$Q,'Investor Exit List'!$AB:$AB,B305)</f>
        <v>317457.13620328769</v>
      </c>
      <c r="E305" s="26" t="str">
        <f t="shared" si="11"/>
        <v>HVF202</v>
      </c>
      <c r="F305" s="12">
        <f t="shared" si="12"/>
        <v>0</v>
      </c>
      <c r="AF305" s="14"/>
    </row>
    <row r="306" spans="1:32" ht="29" hidden="1" x14ac:dyDescent="0.35">
      <c r="A306" s="15" t="str">
        <f t="shared" si="10"/>
        <v>F</v>
      </c>
      <c r="B306" s="12" t="str">
        <v>HVF203-ZHEI01</v>
      </c>
      <c r="C306" s="16">
        <f>SUMIFS('Investor Exit List'!$AC:$AC,'Investor Exit List'!$AB:$AB,B306)</f>
        <v>46138</v>
      </c>
      <c r="D306" s="12">
        <f>SUMIFS('Investor Exit List'!$Q:$Q,'Investor Exit List'!$AB:$AB,B306)</f>
        <v>390347.68578246573</v>
      </c>
      <c r="E306" s="26" t="str">
        <f t="shared" si="11"/>
        <v>HVF203</v>
      </c>
      <c r="F306" s="12">
        <f t="shared" si="12"/>
        <v>0</v>
      </c>
      <c r="AF306" s="14"/>
    </row>
    <row r="307" spans="1:32" ht="29" hidden="1" x14ac:dyDescent="0.35">
      <c r="A307" s="15" t="str">
        <f t="shared" ref="A307:A370" si="13">MID(E307, 3, 1)</f>
        <v>F</v>
      </c>
      <c r="B307" s="12" t="str">
        <v>HVF203-ZHUM01</v>
      </c>
      <c r="C307" s="16">
        <f>SUMIFS('Investor Exit List'!$AC:$AC,'Investor Exit List'!$AB:$AB,B307)</f>
        <v>46003</v>
      </c>
      <c r="D307" s="12">
        <f>SUMIFS('Investor Exit List'!$Q:$Q,'Investor Exit List'!$AB:$AB,B307)</f>
        <v>114673.97260273973</v>
      </c>
      <c r="E307" s="26" t="str">
        <f t="shared" ref="E307:E370" si="14">LEFT(B307,6)</f>
        <v>HVF203</v>
      </c>
      <c r="F307" s="12">
        <f t="shared" si="12"/>
        <v>0</v>
      </c>
      <c r="AF307" s="14"/>
    </row>
    <row r="308" spans="1:32" ht="29" hidden="1" x14ac:dyDescent="0.35">
      <c r="A308" s="15" t="str">
        <f t="shared" si="13"/>
        <v>F</v>
      </c>
      <c r="B308" s="12" t="str">
        <v>HVF203-ZSCH01</v>
      </c>
      <c r="C308" s="16">
        <f>SUMIFS('Investor Exit List'!$AC:$AC,'Investor Exit List'!$AB:$AB,B308)</f>
        <v>46138</v>
      </c>
      <c r="D308" s="12">
        <f>SUMIFS('Investor Exit List'!$Q:$Q,'Investor Exit List'!$AB:$AB,B308)</f>
        <v>796452.63951999997</v>
      </c>
      <c r="E308" s="26" t="str">
        <f t="shared" si="14"/>
        <v>HVF203</v>
      </c>
      <c r="F308" s="12">
        <f t="shared" ref="F308:F371" si="15">IF(SUMIFS($E$117:$E$149,$D$117:$D$149,E308)&lt;&gt;0,E308,0)</f>
        <v>0</v>
      </c>
      <c r="AF308" s="14"/>
    </row>
    <row r="309" spans="1:32" ht="29" hidden="1" x14ac:dyDescent="0.35">
      <c r="A309" s="15" t="str">
        <f t="shared" si="13"/>
        <v>F</v>
      </c>
      <c r="B309" s="12" t="str">
        <v>HVF204-ZVAN05</v>
      </c>
      <c r="C309" s="16">
        <f>SUMIFS('Investor Exit List'!$AC:$AC,'Investor Exit List'!$AB:$AB,B309)</f>
        <v>46138</v>
      </c>
      <c r="D309" s="12">
        <f>SUMIFS('Investor Exit List'!$Q:$Q,'Investor Exit List'!$AB:$AB,B309)</f>
        <v>1309775.3424657534</v>
      </c>
      <c r="E309" s="26" t="str">
        <f t="shared" si="14"/>
        <v>HVF204</v>
      </c>
      <c r="F309" s="12">
        <f t="shared" si="15"/>
        <v>0</v>
      </c>
      <c r="AF309" s="14"/>
    </row>
    <row r="310" spans="1:32" ht="29" hidden="1" x14ac:dyDescent="0.35">
      <c r="A310" s="15" t="str">
        <f t="shared" si="13"/>
        <v>G</v>
      </c>
      <c r="B310" s="12" t="str">
        <v>HVG101-ZCRO01</v>
      </c>
      <c r="C310" s="16">
        <f>SUMIFS('Investor Exit List'!$AC:$AC,'Investor Exit List'!$AB:$AB,B310)</f>
        <v>45859</v>
      </c>
      <c r="D310" s="12">
        <f>SUMIFS('Investor Exit List'!$Q:$Q,'Investor Exit List'!$AB:$AB,B310)</f>
        <v>134977.53424657535</v>
      </c>
      <c r="E310" s="26" t="str">
        <f t="shared" si="14"/>
        <v>HVG101</v>
      </c>
      <c r="F310" s="12">
        <f t="shared" si="15"/>
        <v>0</v>
      </c>
      <c r="AF310" s="14"/>
    </row>
    <row r="311" spans="1:32" ht="29" hidden="1" x14ac:dyDescent="0.35">
      <c r="A311" s="15" t="str">
        <f t="shared" si="13"/>
        <v>G</v>
      </c>
      <c r="B311" s="12" t="str">
        <v>HVG101-ZWIL02</v>
      </c>
      <c r="C311" s="16">
        <f>SUMIFS('Investor Exit List'!$AC:$AC,'Investor Exit List'!$AB:$AB,B311)</f>
        <v>45898</v>
      </c>
      <c r="D311" s="12">
        <f>SUMIFS('Investor Exit List'!$Q:$Q,'Investor Exit List'!$AB:$AB,B311)</f>
        <v>1219589.0410958903</v>
      </c>
      <c r="E311" s="26" t="str">
        <f t="shared" si="14"/>
        <v>HVG101</v>
      </c>
      <c r="F311" s="12">
        <f t="shared" si="15"/>
        <v>0</v>
      </c>
      <c r="AF311" s="14"/>
    </row>
    <row r="312" spans="1:32" ht="29" hidden="1" x14ac:dyDescent="0.35">
      <c r="A312" s="15" t="str">
        <f t="shared" si="13"/>
        <v>G</v>
      </c>
      <c r="B312" s="12" t="str">
        <v>HVG102-ZKRIE0</v>
      </c>
      <c r="C312" s="16">
        <f>SUMIFS('Investor Exit List'!$AC:$AC,'Investor Exit List'!$AB:$AB,B312)</f>
        <v>45919</v>
      </c>
      <c r="D312" s="12">
        <f>SUMIFS('Investor Exit List'!$Q:$Q,'Investor Exit List'!$AB:$AB,B312)</f>
        <v>1215561.6438356163</v>
      </c>
      <c r="E312" s="26" t="str">
        <f t="shared" si="14"/>
        <v>HVG102</v>
      </c>
      <c r="F312" s="12">
        <f t="shared" si="15"/>
        <v>0</v>
      </c>
      <c r="AF312" s="14"/>
    </row>
    <row r="313" spans="1:32" ht="29" hidden="1" x14ac:dyDescent="0.35">
      <c r="A313" s="15" t="str">
        <f t="shared" si="13"/>
        <v>G</v>
      </c>
      <c r="B313" s="12" t="str">
        <v>HVG102-ZSIV01</v>
      </c>
      <c r="C313" s="16">
        <f>SUMIFS('Investor Exit List'!$AC:$AC,'Investor Exit List'!$AB:$AB,B313)</f>
        <v>45891</v>
      </c>
      <c r="D313" s="12">
        <f>SUMIFS('Investor Exit List'!$Q:$Q,'Investor Exit List'!$AB:$AB,B313)</f>
        <v>143706.16569452058</v>
      </c>
      <c r="E313" s="26" t="str">
        <f t="shared" si="14"/>
        <v>HVG102</v>
      </c>
      <c r="F313" s="12">
        <f t="shared" si="15"/>
        <v>0</v>
      </c>
      <c r="AF313" s="14"/>
    </row>
    <row r="314" spans="1:32" ht="29" hidden="1" x14ac:dyDescent="0.35">
      <c r="A314" s="15" t="str">
        <f t="shared" si="13"/>
        <v>G</v>
      </c>
      <c r="B314" s="12" t="str">
        <v>HVG103-ZDEJ01</v>
      </c>
      <c r="C314" s="16">
        <f>SUMIFS('Investor Exit List'!$AC:$AC,'Investor Exit List'!$AB:$AB,B314)</f>
        <v>45928</v>
      </c>
      <c r="D314" s="12">
        <f>SUMIFS('Investor Exit List'!$Q:$Q,'Investor Exit List'!$AB:$AB,B314)</f>
        <v>657385.61643835623</v>
      </c>
      <c r="E314" s="26" t="str">
        <f t="shared" si="14"/>
        <v>HVG103</v>
      </c>
      <c r="F314" s="12">
        <f t="shared" si="15"/>
        <v>0</v>
      </c>
      <c r="AF314" s="14"/>
    </row>
    <row r="315" spans="1:32" ht="29" hidden="1" x14ac:dyDescent="0.35">
      <c r="A315" s="15" t="str">
        <f t="shared" si="13"/>
        <v>G</v>
      </c>
      <c r="B315" s="12" t="str">
        <v>HVG103-ZSCA02</v>
      </c>
      <c r="C315" s="16">
        <f>SUMIFS('Investor Exit List'!$AC:$AC,'Investor Exit List'!$AB:$AB,B315)</f>
        <v>45928</v>
      </c>
      <c r="D315" s="12">
        <f>SUMIFS('Investor Exit List'!$Q:$Q,'Investor Exit List'!$AB:$AB,B315)</f>
        <v>666185.61643835623</v>
      </c>
      <c r="E315" s="26" t="str">
        <f t="shared" si="14"/>
        <v>HVG103</v>
      </c>
      <c r="F315" s="12">
        <f t="shared" si="15"/>
        <v>0</v>
      </c>
      <c r="AF315" s="14"/>
    </row>
    <row r="316" spans="1:32" ht="29" hidden="1" x14ac:dyDescent="0.35">
      <c r="A316" s="15" t="str">
        <f t="shared" si="13"/>
        <v>G</v>
      </c>
      <c r="B316" s="12" t="str">
        <v>HVG104-ZDOT01</v>
      </c>
      <c r="C316" s="16">
        <f>SUMIFS('Investor Exit List'!$AC:$AC,'Investor Exit List'!$AB:$AB,B316)</f>
        <v>45928</v>
      </c>
      <c r="D316" s="12">
        <f>SUMIFS('Investor Exit List'!$Q:$Q,'Investor Exit List'!$AB:$AB,B316)</f>
        <v>1212972.602739726</v>
      </c>
      <c r="E316" s="26" t="str">
        <f t="shared" si="14"/>
        <v>HVG104</v>
      </c>
      <c r="F316" s="12">
        <f t="shared" si="15"/>
        <v>0</v>
      </c>
      <c r="AF316" s="14"/>
    </row>
    <row r="317" spans="1:32" ht="29" hidden="1" x14ac:dyDescent="0.35">
      <c r="A317" s="15" t="str">
        <f t="shared" si="13"/>
        <v>G</v>
      </c>
      <c r="B317" s="12" t="str">
        <v>HVG104-ZVOR01</v>
      </c>
      <c r="C317" s="16">
        <f>SUMIFS('Investor Exit List'!$AC:$AC,'Investor Exit List'!$AB:$AB,B317)</f>
        <v>45954</v>
      </c>
      <c r="D317" s="12">
        <f>SUMIFS('Investor Exit List'!$Q:$Q,'Investor Exit List'!$AB:$AB,B317)</f>
        <v>141642.21764657533</v>
      </c>
      <c r="E317" s="26" t="str">
        <f t="shared" si="14"/>
        <v>HVG104</v>
      </c>
      <c r="F317" s="12">
        <f t="shared" si="15"/>
        <v>0</v>
      </c>
      <c r="AF317" s="14"/>
    </row>
    <row r="318" spans="1:32" ht="29" hidden="1" x14ac:dyDescent="0.35">
      <c r="A318" s="15" t="str">
        <f t="shared" si="13"/>
        <v>G</v>
      </c>
      <c r="B318" s="12" t="str">
        <v>HVG201-ZREN01</v>
      </c>
      <c r="C318" s="16">
        <f>SUMIFS('Investor Exit List'!$AC:$AC,'Investor Exit List'!$AB:$AB,B318)</f>
        <v>45898</v>
      </c>
      <c r="D318" s="12">
        <f>SUMIFS('Investor Exit List'!$Q:$Q,'Investor Exit List'!$AB:$AB,B318)</f>
        <v>1220452.0547945206</v>
      </c>
      <c r="E318" s="26" t="str">
        <f t="shared" si="14"/>
        <v>HVG201</v>
      </c>
      <c r="F318" s="12">
        <f t="shared" si="15"/>
        <v>0</v>
      </c>
      <c r="AF318" s="14"/>
    </row>
    <row r="319" spans="1:32" ht="29" hidden="1" x14ac:dyDescent="0.35">
      <c r="A319" s="15" t="str">
        <f t="shared" si="13"/>
        <v>G</v>
      </c>
      <c r="B319" s="12" t="str">
        <v>HVG201-ZVAN05</v>
      </c>
      <c r="C319" s="16">
        <f>SUMIFS('Investor Exit List'!$AC:$AC,'Investor Exit List'!$AB:$AB,B319)</f>
        <v>45928</v>
      </c>
      <c r="D319" s="12">
        <f>SUMIFS('Investor Exit List'!$Q:$Q,'Investor Exit List'!$AB:$AB,B319)</f>
        <v>151082.19178082192</v>
      </c>
      <c r="E319" s="26" t="str">
        <f t="shared" si="14"/>
        <v>HVG201</v>
      </c>
      <c r="F319" s="12">
        <f t="shared" si="15"/>
        <v>0</v>
      </c>
      <c r="AF319" s="14"/>
    </row>
    <row r="320" spans="1:32" ht="29" hidden="1" x14ac:dyDescent="0.35">
      <c r="A320" s="15" t="str">
        <f t="shared" si="13"/>
        <v>G</v>
      </c>
      <c r="B320" s="12" t="str">
        <v>HVG202-ZLAB01</v>
      </c>
      <c r="C320" s="16">
        <f>SUMIFS('Investor Exit List'!$AC:$AC,'Investor Exit List'!$AB:$AB,B320)</f>
        <v>45859</v>
      </c>
      <c r="D320" s="12">
        <f>SUMIFS('Investor Exit List'!$Q:$Q,'Investor Exit List'!$AB:$AB,B320)</f>
        <v>370814.22097205481</v>
      </c>
      <c r="E320" s="26" t="str">
        <f t="shared" si="14"/>
        <v>HVG202</v>
      </c>
      <c r="F320" s="12">
        <f t="shared" si="15"/>
        <v>0</v>
      </c>
      <c r="AF320" s="14"/>
    </row>
    <row r="321" spans="1:32" ht="29" hidden="1" x14ac:dyDescent="0.35">
      <c r="A321" s="15" t="str">
        <f t="shared" si="13"/>
        <v>G</v>
      </c>
      <c r="B321" s="12" t="str">
        <v>HVG202-ZRAN01</v>
      </c>
      <c r="C321" s="16">
        <f>SUMIFS('Investor Exit List'!$AC:$AC,'Investor Exit List'!$AB:$AB,B321)</f>
        <v>45982</v>
      </c>
      <c r="D321" s="12">
        <f>SUMIFS('Investor Exit List'!$Q:$Q,'Investor Exit List'!$AB:$AB,B321)</f>
        <v>238854.7945205479</v>
      </c>
      <c r="E321" s="26" t="str">
        <f t="shared" si="14"/>
        <v>HVG202</v>
      </c>
      <c r="F321" s="12">
        <f t="shared" si="15"/>
        <v>0</v>
      </c>
      <c r="AF321" s="14"/>
    </row>
    <row r="322" spans="1:32" ht="29" hidden="1" x14ac:dyDescent="0.35">
      <c r="A322" s="15" t="str">
        <f t="shared" si="13"/>
        <v>G</v>
      </c>
      <c r="B322" s="12" t="str">
        <v>HVG202-ZSCA02</v>
      </c>
      <c r="C322" s="16">
        <f>SUMIFS('Investor Exit List'!$AC:$AC,'Investor Exit List'!$AB:$AB,B322)</f>
        <v>45898</v>
      </c>
      <c r="D322" s="12">
        <f>SUMIFS('Investor Exit List'!$Q:$Q,'Investor Exit List'!$AB:$AB,B322)</f>
        <v>731753.42465753423</v>
      </c>
      <c r="E322" s="26" t="str">
        <f t="shared" si="14"/>
        <v>HVG202</v>
      </c>
      <c r="F322" s="12">
        <f t="shared" si="15"/>
        <v>0</v>
      </c>
      <c r="AF322" s="14"/>
    </row>
    <row r="323" spans="1:32" ht="29" hidden="1" x14ac:dyDescent="0.35">
      <c r="A323" s="15" t="str">
        <f t="shared" si="13"/>
        <v>G</v>
      </c>
      <c r="B323" s="12" t="str">
        <v>HVG203-ZGEL01</v>
      </c>
      <c r="C323" s="16">
        <f>SUMIFS('Investor Exit List'!$AC:$AC,'Investor Exit List'!$AB:$AB,B323)</f>
        <v>45982</v>
      </c>
      <c r="D323" s="12">
        <f>SUMIFS('Investor Exit List'!$Q:$Q,'Investor Exit List'!$AB:$AB,B323)</f>
        <v>116358.90410958903</v>
      </c>
      <c r="E323" s="26" t="str">
        <f t="shared" si="14"/>
        <v>HVG203</v>
      </c>
      <c r="F323" s="12">
        <f t="shared" si="15"/>
        <v>0</v>
      </c>
      <c r="AF323" s="14"/>
    </row>
    <row r="324" spans="1:32" ht="29" hidden="1" x14ac:dyDescent="0.35">
      <c r="A324" s="15" t="str">
        <f t="shared" si="13"/>
        <v>G</v>
      </c>
      <c r="B324" s="12" t="str">
        <v>HVG203-ZRAN01</v>
      </c>
      <c r="C324" s="16">
        <f>SUMIFS('Investor Exit List'!$AC:$AC,'Investor Exit List'!$AB:$AB,B324)</f>
        <v>45859</v>
      </c>
      <c r="D324" s="12">
        <f>SUMIFS('Investor Exit List'!$Q:$Q,'Investor Exit List'!$AB:$AB,B324)</f>
        <v>309824.70801753423</v>
      </c>
      <c r="E324" s="26" t="str">
        <f t="shared" si="14"/>
        <v>HVG203</v>
      </c>
      <c r="F324" s="12">
        <f t="shared" si="15"/>
        <v>0</v>
      </c>
      <c r="AF324" s="14"/>
    </row>
    <row r="325" spans="1:32" ht="29" hidden="1" x14ac:dyDescent="0.35">
      <c r="A325" s="15" t="str">
        <f t="shared" si="13"/>
        <v>G</v>
      </c>
      <c r="B325" s="12" t="str">
        <v>HVG203-ZSMI02</v>
      </c>
      <c r="C325" s="16">
        <f>SUMIFS('Investor Exit List'!$AC:$AC,'Investor Exit List'!$AB:$AB,B325)</f>
        <v>45898</v>
      </c>
      <c r="D325" s="12">
        <f>SUMIFS('Investor Exit List'!$Q:$Q,'Investor Exit List'!$AB:$AB,B325)</f>
        <v>770454.49734794535</v>
      </c>
      <c r="E325" s="26" t="str">
        <f t="shared" si="14"/>
        <v>HVG203</v>
      </c>
      <c r="F325" s="12">
        <f t="shared" si="15"/>
        <v>0</v>
      </c>
      <c r="AF325" s="14"/>
    </row>
    <row r="326" spans="1:32" ht="29" hidden="1" x14ac:dyDescent="0.35">
      <c r="A326" s="15" t="str">
        <f t="shared" si="13"/>
        <v>G</v>
      </c>
      <c r="B326" s="12" t="str">
        <v>HVG203-ZTHA01</v>
      </c>
      <c r="C326" s="16">
        <f>SUMIFS('Investor Exit List'!$AC:$AC,'Investor Exit List'!$AB:$AB,B326)</f>
        <v>45982</v>
      </c>
      <c r="D326" s="12">
        <f>SUMIFS('Investor Exit List'!$Q:$Q,'Investor Exit List'!$AB:$AB,B326)</f>
        <v>119283.56164383559</v>
      </c>
      <c r="E326" s="26" t="str">
        <f t="shared" si="14"/>
        <v>HVG203</v>
      </c>
      <c r="F326" s="12">
        <f t="shared" si="15"/>
        <v>0</v>
      </c>
      <c r="AF326" s="14"/>
    </row>
    <row r="327" spans="1:32" ht="29" hidden="1" x14ac:dyDescent="0.35">
      <c r="A327" s="15" t="str">
        <f t="shared" si="13"/>
        <v>G</v>
      </c>
      <c r="B327" s="12" t="str">
        <v>HVG204-ZBAS01</v>
      </c>
      <c r="C327" s="16">
        <f>SUMIFS('Investor Exit List'!$AC:$AC,'Investor Exit List'!$AB:$AB,B327)</f>
        <v>45928</v>
      </c>
      <c r="D327" s="12">
        <f>SUMIFS('Investor Exit List'!$Q:$Q,'Investor Exit List'!$AB:$AB,B327)</f>
        <v>596616.43835616438</v>
      </c>
      <c r="E327" s="26" t="str">
        <f t="shared" si="14"/>
        <v>HVG204</v>
      </c>
      <c r="F327" s="12">
        <f t="shared" si="15"/>
        <v>0</v>
      </c>
      <c r="AF327" s="14"/>
    </row>
    <row r="328" spans="1:32" ht="29" hidden="1" x14ac:dyDescent="0.35">
      <c r="A328" s="15" t="str">
        <f t="shared" si="13"/>
        <v>G</v>
      </c>
      <c r="B328" s="12" t="str">
        <v>HVG204-ZBEL01</v>
      </c>
      <c r="C328" s="16">
        <f>SUMIFS('Investor Exit List'!$AC:$AC,'Investor Exit List'!$AB:$AB,B328)</f>
        <v>45982</v>
      </c>
      <c r="D328" s="12">
        <f>SUMIFS('Investor Exit List'!$Q:$Q,'Investor Exit List'!$AB:$AB,B328)</f>
        <v>298208.90410958906</v>
      </c>
      <c r="E328" s="26" t="str">
        <f t="shared" si="14"/>
        <v>HVG204</v>
      </c>
      <c r="F328" s="12">
        <f t="shared" si="15"/>
        <v>0</v>
      </c>
      <c r="AF328" s="14"/>
    </row>
    <row r="329" spans="1:32" ht="29" hidden="1" x14ac:dyDescent="0.35">
      <c r="A329" s="15" t="str">
        <f t="shared" si="13"/>
        <v>G</v>
      </c>
      <c r="B329" s="12" t="str">
        <v>HVG204-ZMOS01</v>
      </c>
      <c r="C329" s="16">
        <f>SUMIFS('Investor Exit List'!$AC:$AC,'Investor Exit List'!$AB:$AB,B329)</f>
        <v>45928</v>
      </c>
      <c r="D329" s="12">
        <f>SUMIFS('Investor Exit List'!$Q:$Q,'Investor Exit List'!$AB:$AB,B329)</f>
        <v>411226.0273972603</v>
      </c>
      <c r="E329" s="26" t="str">
        <f t="shared" si="14"/>
        <v>HVG204</v>
      </c>
      <c r="F329" s="12">
        <f t="shared" si="15"/>
        <v>0</v>
      </c>
      <c r="AF329" s="14"/>
    </row>
    <row r="330" spans="1:32" ht="29" hidden="1" x14ac:dyDescent="0.35">
      <c r="A330" s="15" t="str">
        <f t="shared" si="13"/>
        <v>G</v>
      </c>
      <c r="B330" s="12" t="str">
        <v>HVG301-ZHAR02</v>
      </c>
      <c r="C330" s="16">
        <f>SUMIFS('Investor Exit List'!$AC:$AC,'Investor Exit List'!$AB:$AB,B330)</f>
        <v>45928</v>
      </c>
      <c r="D330" s="12">
        <f>SUMIFS('Investor Exit List'!$Q:$Q,'Investor Exit List'!$AB:$AB,B330)</f>
        <v>470778.08219178079</v>
      </c>
      <c r="E330" s="26" t="str">
        <f t="shared" si="14"/>
        <v>HVG301</v>
      </c>
      <c r="F330" s="12">
        <f t="shared" si="15"/>
        <v>0</v>
      </c>
      <c r="AF330" s="14"/>
    </row>
    <row r="331" spans="1:32" ht="29" hidden="1" x14ac:dyDescent="0.35">
      <c r="A331" s="15" t="str">
        <f t="shared" si="13"/>
        <v>G</v>
      </c>
      <c r="B331" s="12" t="str">
        <v>HVG301-ZNIE01</v>
      </c>
      <c r="C331" s="16">
        <f>SUMIFS('Investor Exit List'!$AC:$AC,'Investor Exit List'!$AB:$AB,B331)</f>
        <v>45928</v>
      </c>
      <c r="D331" s="12">
        <f>SUMIFS('Investor Exit List'!$Q:$Q,'Investor Exit List'!$AB:$AB,B331)</f>
        <v>605623.28767123295</v>
      </c>
      <c r="E331" s="26" t="str">
        <f t="shared" si="14"/>
        <v>HVG301</v>
      </c>
      <c r="F331" s="12">
        <f t="shared" si="15"/>
        <v>0</v>
      </c>
      <c r="AF331" s="14"/>
    </row>
    <row r="332" spans="1:32" ht="29" hidden="1" x14ac:dyDescent="0.35">
      <c r="A332" s="15" t="str">
        <f t="shared" si="13"/>
        <v>G</v>
      </c>
      <c r="B332" s="12" t="str">
        <v>HVG301-ZVAN05</v>
      </c>
      <c r="C332" s="16">
        <f>SUMIFS('Investor Exit List'!$AC:$AC,'Investor Exit List'!$AB:$AB,B332)</f>
        <v>45928</v>
      </c>
      <c r="D332" s="12">
        <f>SUMIFS('Investor Exit List'!$Q:$Q,'Investor Exit List'!$AB:$AB,B332)</f>
        <v>241731.50684931505</v>
      </c>
      <c r="E332" s="26" t="str">
        <f t="shared" si="14"/>
        <v>HVG301</v>
      </c>
      <c r="F332" s="12">
        <f t="shared" si="15"/>
        <v>0</v>
      </c>
      <c r="AF332" s="14"/>
    </row>
    <row r="333" spans="1:32" ht="29" hidden="1" x14ac:dyDescent="0.35">
      <c r="A333" s="15" t="str">
        <f t="shared" si="13"/>
        <v>G</v>
      </c>
      <c r="B333" s="12" t="str">
        <v>HVG302-ZDAD01</v>
      </c>
      <c r="C333" s="16">
        <f>SUMIFS('Investor Exit List'!$AC:$AC,'Investor Exit List'!$AB:$AB,B333)</f>
        <v>45928</v>
      </c>
      <c r="D333" s="12">
        <f>SUMIFS('Investor Exit List'!$Q:$Q,'Investor Exit List'!$AB:$AB,B333)</f>
        <v>574101.84313191788</v>
      </c>
      <c r="E333" s="26" t="str">
        <f t="shared" si="14"/>
        <v>HVG302</v>
      </c>
      <c r="F333" s="12">
        <f t="shared" si="15"/>
        <v>0</v>
      </c>
      <c r="AF333" s="14"/>
    </row>
    <row r="334" spans="1:32" ht="29" hidden="1" x14ac:dyDescent="0.35">
      <c r="A334" s="15" t="str">
        <f t="shared" si="13"/>
        <v>G</v>
      </c>
      <c r="B334" s="12" t="str">
        <v>HVG302-ZEDE01</v>
      </c>
      <c r="C334" s="16">
        <f>SUMIFS('Investor Exit List'!$AC:$AC,'Investor Exit List'!$AB:$AB,B334)</f>
        <v>45954</v>
      </c>
      <c r="D334" s="12">
        <f>SUMIFS('Investor Exit List'!$Q:$Q,'Investor Exit List'!$AB:$AB,B334)</f>
        <v>713630.13698630128</v>
      </c>
      <c r="E334" s="26" t="str">
        <f t="shared" si="14"/>
        <v>HVG302</v>
      </c>
      <c r="F334" s="12">
        <f t="shared" si="15"/>
        <v>0</v>
      </c>
      <c r="AF334" s="14"/>
    </row>
    <row r="335" spans="1:32" ht="29" hidden="1" x14ac:dyDescent="0.35">
      <c r="A335" s="15" t="str">
        <f t="shared" si="13"/>
        <v>G</v>
      </c>
      <c r="B335" s="12" t="str">
        <v>HVG303-ZAFR01</v>
      </c>
      <c r="C335" s="16">
        <f>SUMIFS('Investor Exit List'!$AC:$AC,'Investor Exit List'!$AB:$AB,B335)</f>
        <v>45954</v>
      </c>
      <c r="D335" s="12">
        <f>SUMIFS('Investor Exit List'!$Q:$Q,'Investor Exit List'!$AB:$AB,B335)</f>
        <v>1138186.7124257535</v>
      </c>
      <c r="E335" s="26" t="str">
        <f t="shared" si="14"/>
        <v>HVG303</v>
      </c>
      <c r="F335" s="12">
        <f t="shared" si="15"/>
        <v>0</v>
      </c>
      <c r="AF335" s="14"/>
    </row>
    <row r="336" spans="1:32" ht="29" hidden="1" x14ac:dyDescent="0.35">
      <c r="A336" s="15" t="str">
        <f t="shared" si="13"/>
        <v>G</v>
      </c>
      <c r="B336" s="12" t="str">
        <v>HVG303-ZVER02</v>
      </c>
      <c r="C336" s="16">
        <f>SUMIFS('Investor Exit List'!$AC:$AC,'Investor Exit List'!$AB:$AB,B336)</f>
        <v>45989</v>
      </c>
      <c r="D336" s="12">
        <f>SUMIFS('Investor Exit List'!$Q:$Q,'Investor Exit List'!$AB:$AB,B336)</f>
        <v>160688.15109260273</v>
      </c>
      <c r="E336" s="26" t="str">
        <f t="shared" si="14"/>
        <v>HVG303</v>
      </c>
      <c r="F336" s="12">
        <f t="shared" si="15"/>
        <v>0</v>
      </c>
      <c r="AF336" s="14"/>
    </row>
    <row r="337" spans="1:32" ht="29" hidden="1" x14ac:dyDescent="0.35">
      <c r="A337" s="15" t="str">
        <f t="shared" si="13"/>
        <v>G</v>
      </c>
      <c r="B337" s="12" t="str">
        <v>HVG304-ZJOS01</v>
      </c>
      <c r="C337" s="16">
        <f>SUMIFS('Investor Exit List'!$AC:$AC,'Investor Exit List'!$AB:$AB,B337)</f>
        <v>45982</v>
      </c>
      <c r="D337" s="12">
        <f>SUMIFS('Investor Exit List'!$Q:$Q,'Investor Exit List'!$AB:$AB,B337)</f>
        <v>116589.0410958904</v>
      </c>
      <c r="E337" s="26" t="str">
        <f t="shared" si="14"/>
        <v>HVG304</v>
      </c>
      <c r="F337" s="12">
        <f t="shared" si="15"/>
        <v>0</v>
      </c>
      <c r="AF337" s="14"/>
    </row>
    <row r="338" spans="1:32" ht="29" hidden="1" x14ac:dyDescent="0.35">
      <c r="A338" s="15" t="str">
        <f t="shared" si="13"/>
        <v>G</v>
      </c>
      <c r="B338" s="12" t="str">
        <v>HVG304-ZREN01</v>
      </c>
      <c r="C338" s="16">
        <f>SUMIFS('Investor Exit List'!$AC:$AC,'Investor Exit List'!$AB:$AB,B338)</f>
        <v>45928</v>
      </c>
      <c r="D338" s="12">
        <f>SUMIFS('Investor Exit List'!$Q:$Q,'Investor Exit List'!$AB:$AB,B338)</f>
        <v>605623.28767123295</v>
      </c>
      <c r="E338" s="26" t="str">
        <f t="shared" si="14"/>
        <v>HVG304</v>
      </c>
      <c r="F338" s="12">
        <f t="shared" si="15"/>
        <v>0</v>
      </c>
      <c r="AF338" s="14"/>
    </row>
    <row r="339" spans="1:32" ht="29" hidden="1" x14ac:dyDescent="0.35">
      <c r="A339" s="15" t="str">
        <f t="shared" si="13"/>
        <v>G</v>
      </c>
      <c r="B339" s="12" t="str">
        <v>HVG304-ZSCA02</v>
      </c>
      <c r="C339" s="16">
        <f>SUMIFS('Investor Exit List'!$AC:$AC,'Investor Exit List'!$AB:$AB,B339)</f>
        <v>45954</v>
      </c>
      <c r="D339" s="12">
        <f>SUMIFS('Investor Exit List'!$Q:$Q,'Investor Exit List'!$AB:$AB,B339)</f>
        <v>602842.46575342468</v>
      </c>
      <c r="E339" s="26" t="str">
        <f t="shared" si="14"/>
        <v>HVG304</v>
      </c>
      <c r="F339" s="12">
        <f t="shared" si="15"/>
        <v>0</v>
      </c>
      <c r="AF339" s="14"/>
    </row>
    <row r="340" spans="1:32" ht="29" hidden="1" x14ac:dyDescent="0.35">
      <c r="A340" s="15" t="str">
        <f t="shared" si="13"/>
        <v>I</v>
      </c>
      <c r="B340" s="12" t="str">
        <v>HVI101-ZDEB01</v>
      </c>
      <c r="C340" s="16">
        <f>SUMIFS('Investor Exit List'!$AC:$AC,'Investor Exit List'!$AB:$AB,B340)</f>
        <v>45954</v>
      </c>
      <c r="D340" s="12">
        <f>SUMIFS('Investor Exit List'!$Q:$Q,'Investor Exit List'!$AB:$AB,B340)</f>
        <v>1317573.9726027397</v>
      </c>
      <c r="E340" s="26" t="str">
        <f t="shared" si="14"/>
        <v>HVI101</v>
      </c>
      <c r="F340" s="12">
        <f t="shared" si="15"/>
        <v>0</v>
      </c>
      <c r="AF340" s="14"/>
    </row>
    <row r="341" spans="1:32" ht="29" hidden="1" x14ac:dyDescent="0.35">
      <c r="A341" s="15" t="str">
        <f t="shared" si="13"/>
        <v>I</v>
      </c>
      <c r="B341" s="12" t="str">
        <v>HVI102-ZBEL01</v>
      </c>
      <c r="C341" s="16">
        <f>SUMIFS('Investor Exit List'!$AC:$AC,'Investor Exit List'!$AB:$AB,B341)</f>
        <v>45982</v>
      </c>
      <c r="D341" s="12">
        <f>SUMIFS('Investor Exit List'!$Q:$Q,'Investor Exit List'!$AB:$AB,B341)</f>
        <v>416521.60273972596</v>
      </c>
      <c r="E341" s="26" t="str">
        <f t="shared" si="14"/>
        <v>HVI102</v>
      </c>
      <c r="F341" s="12">
        <f t="shared" si="15"/>
        <v>0</v>
      </c>
      <c r="AF341" s="14"/>
    </row>
    <row r="342" spans="1:32" ht="29" hidden="1" x14ac:dyDescent="0.35">
      <c r="A342" s="15" t="str">
        <f t="shared" si="13"/>
        <v>I</v>
      </c>
      <c r="B342" s="12" t="str">
        <v>HVI102-ZCAR01</v>
      </c>
      <c r="C342" s="16">
        <f>SUMIFS('Investor Exit List'!$AC:$AC,'Investor Exit List'!$AB:$AB,B342)</f>
        <v>45989</v>
      </c>
      <c r="D342" s="12">
        <f>SUMIFS('Investor Exit List'!$Q:$Q,'Investor Exit List'!$AB:$AB,B342)</f>
        <v>172019.17808219176</v>
      </c>
      <c r="E342" s="26" t="str">
        <f t="shared" si="14"/>
        <v>HVI102</v>
      </c>
      <c r="F342" s="12">
        <f t="shared" si="15"/>
        <v>0</v>
      </c>
      <c r="AF342" s="14"/>
    </row>
    <row r="343" spans="1:32" ht="29" hidden="1" x14ac:dyDescent="0.35">
      <c r="A343" s="15" t="str">
        <f t="shared" si="13"/>
        <v>I</v>
      </c>
      <c r="B343" s="12" t="str">
        <v>HVI102-ZCOE02</v>
      </c>
      <c r="C343" s="16">
        <f>SUMIFS('Investor Exit List'!$AC:$AC,'Investor Exit List'!$AB:$AB,B343)</f>
        <v>45954</v>
      </c>
      <c r="D343" s="12">
        <f>SUMIFS('Investor Exit List'!$Q:$Q,'Investor Exit List'!$AB:$AB,B343)</f>
        <v>466317.808219178</v>
      </c>
      <c r="E343" s="26" t="str">
        <f t="shared" si="14"/>
        <v>HVI102</v>
      </c>
      <c r="F343" s="12">
        <f t="shared" si="15"/>
        <v>0</v>
      </c>
      <c r="AF343" s="14"/>
    </row>
    <row r="344" spans="1:32" ht="29" hidden="1" x14ac:dyDescent="0.35">
      <c r="A344" s="15" t="str">
        <f t="shared" si="13"/>
        <v>I</v>
      </c>
      <c r="B344" s="12" t="str">
        <v>HVI102-ZNEL01</v>
      </c>
      <c r="C344" s="16">
        <f>SUMIFS('Investor Exit List'!$AC:$AC,'Investor Exit List'!$AB:$AB,B344)</f>
        <v>45989</v>
      </c>
      <c r="D344" s="12">
        <f>SUMIFS('Investor Exit List'!$Q:$Q,'Investor Exit List'!$AB:$AB,B344)</f>
        <v>228515.06849315067</v>
      </c>
      <c r="E344" s="26" t="str">
        <f t="shared" si="14"/>
        <v>HVI102</v>
      </c>
      <c r="F344" s="12">
        <f t="shared" si="15"/>
        <v>0</v>
      </c>
      <c r="AF344" s="14"/>
    </row>
    <row r="345" spans="1:32" ht="29" hidden="1" x14ac:dyDescent="0.35">
      <c r="A345" s="15" t="str">
        <f t="shared" si="13"/>
        <v>I</v>
      </c>
      <c r="B345" s="12" t="str">
        <v>HVI103-ZSWA02</v>
      </c>
      <c r="C345" s="16">
        <f>SUMIFS('Investor Exit List'!$AC:$AC,'Investor Exit List'!$AB:$AB,B345)</f>
        <v>45989</v>
      </c>
      <c r="D345" s="12">
        <f>SUMIFS('Investor Exit List'!$Q:$Q,'Investor Exit List'!$AB:$AB,B345)</f>
        <v>1185328.7671232878</v>
      </c>
      <c r="E345" s="26" t="str">
        <f t="shared" si="14"/>
        <v>HVI103</v>
      </c>
      <c r="F345" s="12">
        <f t="shared" si="15"/>
        <v>0</v>
      </c>
      <c r="AF345" s="14"/>
    </row>
    <row r="346" spans="1:32" ht="29" hidden="1" x14ac:dyDescent="0.35">
      <c r="A346" s="15" t="str">
        <f t="shared" si="13"/>
        <v>I</v>
      </c>
      <c r="B346" s="12" t="str">
        <v>HVI103-ZVDM01</v>
      </c>
      <c r="C346" s="16">
        <f>SUMIFS('Investor Exit List'!$AC:$AC,'Investor Exit List'!$AB:$AB,B346)</f>
        <v>46101</v>
      </c>
      <c r="D346" s="12">
        <f>SUMIFS('Investor Exit List'!$Q:$Q,'Investor Exit List'!$AB:$AB,B346)</f>
        <v>106857.53424657535</v>
      </c>
      <c r="E346" s="26" t="str">
        <f t="shared" si="14"/>
        <v>HVI103</v>
      </c>
      <c r="F346" s="12">
        <f t="shared" si="15"/>
        <v>0</v>
      </c>
      <c r="AF346" s="14"/>
    </row>
    <row r="347" spans="1:32" ht="29" hidden="1" x14ac:dyDescent="0.35">
      <c r="A347" s="15" t="str">
        <f t="shared" si="13"/>
        <v>I</v>
      </c>
      <c r="B347" s="12" t="str">
        <v>HVI104-ZDUP01</v>
      </c>
      <c r="C347" s="16">
        <f>SUMIFS('Investor Exit List'!$AC:$AC,'Investor Exit List'!$AB:$AB,B347)</f>
        <v>45989</v>
      </c>
      <c r="D347" s="12">
        <f>SUMIFS('Investor Exit List'!$Q:$Q,'Investor Exit List'!$AB:$AB,B347)</f>
        <v>114739.72602739725</v>
      </c>
      <c r="E347" s="26" t="str">
        <f t="shared" si="14"/>
        <v>HVI104</v>
      </c>
      <c r="F347" s="12">
        <f t="shared" si="15"/>
        <v>0</v>
      </c>
      <c r="AF347" s="14"/>
    </row>
    <row r="348" spans="1:32" ht="29" hidden="1" x14ac:dyDescent="0.35">
      <c r="A348" s="15" t="str">
        <f t="shared" si="13"/>
        <v>I</v>
      </c>
      <c r="B348" s="12" t="str">
        <v>HVI104-ZRUS01</v>
      </c>
      <c r="C348" s="16">
        <f>SUMIFS('Investor Exit List'!$AC:$AC,'Investor Exit List'!$AB:$AB,B348)</f>
        <v>45989</v>
      </c>
      <c r="D348" s="12">
        <f>SUMIFS('Investor Exit List'!$Q:$Q,'Investor Exit List'!$AB:$AB,B348)</f>
        <v>1178876.7123287672</v>
      </c>
      <c r="E348" s="26" t="str">
        <f t="shared" si="14"/>
        <v>HVI104</v>
      </c>
      <c r="F348" s="12">
        <f t="shared" si="15"/>
        <v>0</v>
      </c>
      <c r="AF348" s="14"/>
    </row>
    <row r="349" spans="1:32" ht="29" hidden="1" x14ac:dyDescent="0.35">
      <c r="A349" s="15" t="str">
        <f t="shared" si="13"/>
        <v>I</v>
      </c>
      <c r="B349" s="12" t="str">
        <v>HVI201-ZDEL01</v>
      </c>
      <c r="C349" s="16">
        <f>SUMIFS('Investor Exit List'!$AC:$AC,'Investor Exit List'!$AB:$AB,B349)</f>
        <v>45989</v>
      </c>
      <c r="D349" s="12">
        <f>SUMIFS('Investor Exit List'!$Q:$Q,'Investor Exit List'!$AB:$AB,B349)</f>
        <v>116230.13698630137</v>
      </c>
      <c r="E349" s="26" t="str">
        <f t="shared" si="14"/>
        <v>HVI201</v>
      </c>
      <c r="F349" s="12">
        <f t="shared" si="15"/>
        <v>0</v>
      </c>
      <c r="AF349" s="14"/>
    </row>
    <row r="350" spans="1:32" ht="29" hidden="1" x14ac:dyDescent="0.35">
      <c r="A350" s="15" t="str">
        <f t="shared" si="13"/>
        <v>I</v>
      </c>
      <c r="B350" s="12" t="str">
        <v>HVI201-ZESP01</v>
      </c>
      <c r="C350" s="16">
        <f>SUMIFS('Investor Exit List'!$AC:$AC,'Investor Exit List'!$AB:$AB,B350)</f>
        <v>45982</v>
      </c>
      <c r="D350" s="12">
        <f>SUMIFS('Investor Exit List'!$Q:$Q,'Investor Exit List'!$AB:$AB,B350)</f>
        <v>816027.39726027404</v>
      </c>
      <c r="E350" s="26" t="str">
        <f t="shared" si="14"/>
        <v>HVI201</v>
      </c>
      <c r="F350" s="12">
        <f t="shared" si="15"/>
        <v>0</v>
      </c>
      <c r="AF350" s="14"/>
    </row>
    <row r="351" spans="1:32" ht="29" hidden="1" x14ac:dyDescent="0.35">
      <c r="A351" s="15" t="str">
        <f t="shared" si="13"/>
        <v>I</v>
      </c>
      <c r="B351" s="12" t="str">
        <v>HVI201-ZKRO01</v>
      </c>
      <c r="C351" s="16">
        <f>SUMIFS('Investor Exit List'!$AC:$AC,'Investor Exit List'!$AB:$AB,B351)</f>
        <v>46003</v>
      </c>
      <c r="D351" s="12">
        <f>SUMIFS('Investor Exit List'!$Q:$Q,'Investor Exit List'!$AB:$AB,B351)</f>
        <v>347884.9315068493</v>
      </c>
      <c r="E351" s="26" t="str">
        <f t="shared" si="14"/>
        <v>HVI201</v>
      </c>
      <c r="F351" s="12">
        <f t="shared" si="15"/>
        <v>0</v>
      </c>
      <c r="AF351" s="14"/>
    </row>
    <row r="352" spans="1:32" ht="29" hidden="1" x14ac:dyDescent="0.35">
      <c r="A352" s="15" t="str">
        <f t="shared" si="13"/>
        <v>I</v>
      </c>
      <c r="B352" s="12" t="str">
        <v>HVI202-ZKRI02</v>
      </c>
      <c r="C352" s="16">
        <f>SUMIFS('Investor Exit List'!$AC:$AC,'Investor Exit List'!$AB:$AB,B352)</f>
        <v>45989</v>
      </c>
      <c r="D352" s="12">
        <f>SUMIFS('Investor Exit List'!$Q:$Q,'Investor Exit List'!$AB:$AB,B352)</f>
        <v>1293117.8082191781</v>
      </c>
      <c r="E352" s="26" t="str">
        <f t="shared" si="14"/>
        <v>HVI202</v>
      </c>
      <c r="F352" s="12">
        <f t="shared" si="15"/>
        <v>0</v>
      </c>
      <c r="AF352" s="14"/>
    </row>
    <row r="353" spans="1:32" ht="29" hidden="1" x14ac:dyDescent="0.35">
      <c r="A353" s="15" t="str">
        <f t="shared" si="13"/>
        <v>I</v>
      </c>
      <c r="B353" s="12" t="str">
        <v>HVI203-ZKRI02</v>
      </c>
      <c r="C353" s="16">
        <f>SUMIFS('Investor Exit List'!$AC:$AC,'Investor Exit List'!$AB:$AB,B353)</f>
        <v>45989</v>
      </c>
      <c r="D353" s="12">
        <f>SUMIFS('Investor Exit List'!$Q:$Q,'Investor Exit List'!$AB:$AB,B353)</f>
        <v>1293117.8082191781</v>
      </c>
      <c r="E353" s="26" t="str">
        <f t="shared" si="14"/>
        <v>HVI203</v>
      </c>
      <c r="F353" s="12">
        <f t="shared" si="15"/>
        <v>0</v>
      </c>
      <c r="AF353" s="14"/>
    </row>
    <row r="354" spans="1:32" ht="29" hidden="1" x14ac:dyDescent="0.35">
      <c r="A354" s="15" t="str">
        <f t="shared" si="13"/>
        <v>I</v>
      </c>
      <c r="B354" s="12" t="str">
        <v>HVI204-ZMYB01</v>
      </c>
      <c r="C354" s="16">
        <f>SUMIFS('Investor Exit List'!$AC:$AC,'Investor Exit List'!$AB:$AB,B354)</f>
        <v>46010</v>
      </c>
      <c r="D354" s="12">
        <f>SUMIFS('Investor Exit List'!$Q:$Q,'Investor Exit List'!$AB:$AB,B354)</f>
        <v>1288024.6575342466</v>
      </c>
      <c r="E354" s="26" t="str">
        <f t="shared" si="14"/>
        <v>HVI204</v>
      </c>
      <c r="F354" s="12">
        <f t="shared" si="15"/>
        <v>0</v>
      </c>
      <c r="AF354" s="14"/>
    </row>
    <row r="355" spans="1:32" ht="29" hidden="1" x14ac:dyDescent="0.35">
      <c r="A355" s="15" t="str">
        <f t="shared" si="13"/>
        <v>J</v>
      </c>
      <c r="B355" s="12" t="str">
        <v>HVJ103-ZDIC01</v>
      </c>
      <c r="C355" s="16">
        <f>SUMIFS('Investor Exit List'!$AC:$AC,'Investor Exit List'!$AB:$AB,B355)</f>
        <v>45513</v>
      </c>
      <c r="D355" s="12">
        <f>SUMIFS('Investor Exit List'!$Q:$Q,'Investor Exit List'!$AB:$AB,B355)</f>
        <v>693479.45205479453</v>
      </c>
      <c r="E355" s="26" t="str">
        <f t="shared" si="14"/>
        <v>HVJ103</v>
      </c>
      <c r="F355" s="12">
        <f t="shared" si="15"/>
        <v>0</v>
      </c>
      <c r="AF355" s="14"/>
    </row>
    <row r="356" spans="1:32" ht="29" hidden="1" x14ac:dyDescent="0.35">
      <c r="A356" s="15" t="str">
        <f t="shared" si="13"/>
        <v>J</v>
      </c>
      <c r="B356" s="12" t="str">
        <v>HVJ103-ZJER01</v>
      </c>
      <c r="C356" s="16">
        <f>SUMIFS('Investor Exit List'!$AC:$AC,'Investor Exit List'!$AB:$AB,B356)</f>
        <v>45528</v>
      </c>
      <c r="D356" s="12">
        <f>SUMIFS('Investor Exit List'!$Q:$Q,'Investor Exit List'!$AB:$AB,B356)</f>
        <v>129502.05479452055</v>
      </c>
      <c r="E356" s="26" t="str">
        <f t="shared" si="14"/>
        <v>HVJ103</v>
      </c>
      <c r="F356" s="12">
        <f t="shared" si="15"/>
        <v>0</v>
      </c>
      <c r="AF356" s="14"/>
    </row>
    <row r="357" spans="1:32" ht="29" hidden="1" x14ac:dyDescent="0.35">
      <c r="A357" s="15" t="str">
        <f t="shared" si="13"/>
        <v>J</v>
      </c>
      <c r="B357" s="12" t="str">
        <v>HVJ103-ZZYL05</v>
      </c>
      <c r="C357" s="16">
        <f>SUMIFS('Investor Exit List'!$AC:$AC,'Investor Exit List'!$AB:$AB,B357)</f>
        <v>45507</v>
      </c>
      <c r="D357" s="12">
        <f>SUMIFS('Investor Exit List'!$Q:$Q,'Investor Exit List'!$AB:$AB,B357)</f>
        <v>520975.34246575343</v>
      </c>
      <c r="E357" s="26" t="str">
        <f t="shared" si="14"/>
        <v>HVJ103</v>
      </c>
      <c r="F357" s="12">
        <f t="shared" si="15"/>
        <v>0</v>
      </c>
      <c r="AF357" s="14"/>
    </row>
    <row r="358" spans="1:32" ht="29" hidden="1" x14ac:dyDescent="0.35">
      <c r="A358" s="15" t="str">
        <f t="shared" si="13"/>
        <v>J</v>
      </c>
      <c r="B358" s="12" t="str">
        <v>HVJ203-ZBUM01</v>
      </c>
      <c r="C358" s="16">
        <f>SUMIFS('Investor Exit List'!$AC:$AC,'Investor Exit List'!$AB:$AB,B358)</f>
        <v>45521</v>
      </c>
      <c r="D358" s="12">
        <f>SUMIFS('Investor Exit List'!$Q:$Q,'Investor Exit List'!$AB:$AB,B358)</f>
        <v>1382972.6027397262</v>
      </c>
      <c r="E358" s="26" t="str">
        <f t="shared" si="14"/>
        <v>HVJ203</v>
      </c>
      <c r="F358" s="12">
        <f t="shared" si="15"/>
        <v>0</v>
      </c>
      <c r="AF358" s="14"/>
    </row>
    <row r="359" spans="1:32" ht="29" hidden="1" x14ac:dyDescent="0.35">
      <c r="A359" s="15" t="str">
        <f t="shared" si="13"/>
        <v>J</v>
      </c>
      <c r="B359" s="12" t="str">
        <v>HVJ301-ZBRO01</v>
      </c>
      <c r="C359" s="16">
        <f>SUMIFS('Investor Exit List'!$AC:$AC,'Investor Exit List'!$AB:$AB,B359)</f>
        <v>45598</v>
      </c>
      <c r="D359" s="12">
        <f>SUMIFS('Investor Exit List'!$Q:$Q,'Investor Exit List'!$AB:$AB,B359)</f>
        <v>161447.67092027399</v>
      </c>
      <c r="E359" s="26" t="str">
        <f t="shared" si="14"/>
        <v>HVJ301</v>
      </c>
      <c r="F359" s="12">
        <f t="shared" si="15"/>
        <v>0</v>
      </c>
      <c r="AF359" s="14"/>
    </row>
    <row r="360" spans="1:32" ht="29" hidden="1" x14ac:dyDescent="0.35">
      <c r="A360" s="15" t="str">
        <f t="shared" si="13"/>
        <v>J</v>
      </c>
      <c r="B360" s="12" t="str">
        <v>HVJ301-ZMAN02</v>
      </c>
      <c r="C360" s="16">
        <f>SUMIFS('Investor Exit List'!$AC:$AC,'Investor Exit List'!$AB:$AB,B360)</f>
        <v>45541</v>
      </c>
      <c r="D360" s="12">
        <f>SUMIFS('Investor Exit List'!$Q:$Q,'Investor Exit List'!$AB:$AB,B360)</f>
        <v>755210.27397260279</v>
      </c>
      <c r="E360" s="26" t="str">
        <f t="shared" si="14"/>
        <v>HVJ301</v>
      </c>
      <c r="F360" s="12">
        <f t="shared" si="15"/>
        <v>0</v>
      </c>
      <c r="AF360" s="14"/>
    </row>
    <row r="361" spans="1:32" ht="29" hidden="1" x14ac:dyDescent="0.35">
      <c r="A361" s="15" t="str">
        <f t="shared" si="13"/>
        <v>J</v>
      </c>
      <c r="B361" s="12" t="str">
        <v>HVJ301-ZSMI03</v>
      </c>
      <c r="C361" s="16">
        <f>SUMIFS('Investor Exit List'!$AC:$AC,'Investor Exit List'!$AB:$AB,B361)</f>
        <v>45541</v>
      </c>
      <c r="D361" s="12">
        <f>SUMIFS('Investor Exit List'!$Q:$Q,'Investor Exit List'!$AB:$AB,B361)</f>
        <v>399850.68493150687</v>
      </c>
      <c r="E361" s="26" t="str">
        <f t="shared" si="14"/>
        <v>HVJ301</v>
      </c>
      <c r="F361" s="12">
        <f t="shared" si="15"/>
        <v>0</v>
      </c>
      <c r="AF361" s="14"/>
    </row>
    <row r="362" spans="1:32" ht="29" hidden="1" x14ac:dyDescent="0.35">
      <c r="A362" s="15" t="str">
        <f t="shared" si="13"/>
        <v>J</v>
      </c>
      <c r="B362" s="12" t="str">
        <v>HVJ302-ZMAN02</v>
      </c>
      <c r="C362" s="16">
        <f>SUMIFS('Investor Exit List'!$AC:$AC,'Investor Exit List'!$AB:$AB,B362)</f>
        <v>45541</v>
      </c>
      <c r="D362" s="12">
        <f>SUMIFS('Investor Exit List'!$Q:$Q,'Investor Exit List'!$AB:$AB,B362)</f>
        <v>690253.42465753434</v>
      </c>
      <c r="E362" s="26" t="str">
        <f t="shared" si="14"/>
        <v>HVJ302</v>
      </c>
      <c r="F362" s="12">
        <f t="shared" si="15"/>
        <v>0</v>
      </c>
      <c r="AF362" s="14"/>
    </row>
    <row r="363" spans="1:32" ht="29" hidden="1" x14ac:dyDescent="0.35">
      <c r="A363" s="15" t="str">
        <f t="shared" si="13"/>
        <v>J</v>
      </c>
      <c r="B363" s="12" t="str">
        <v>HVJ302-ZVER04</v>
      </c>
      <c r="C363" s="16">
        <f>SUMIFS('Investor Exit List'!$AC:$AC,'Investor Exit List'!$AB:$AB,B363)</f>
        <v>45528</v>
      </c>
      <c r="D363" s="12">
        <f>SUMIFS('Investor Exit List'!$Q:$Q,'Investor Exit List'!$AB:$AB,B363)</f>
        <v>692811.64383561641</v>
      </c>
      <c r="E363" s="26" t="str">
        <f t="shared" si="14"/>
        <v>HVJ302</v>
      </c>
      <c r="F363" s="12">
        <f t="shared" si="15"/>
        <v>0</v>
      </c>
      <c r="AF363" s="14"/>
    </row>
    <row r="364" spans="1:32" ht="29" hidden="1" x14ac:dyDescent="0.35">
      <c r="A364" s="15" t="str">
        <f t="shared" si="13"/>
        <v>J</v>
      </c>
      <c r="B364" s="12" t="str">
        <v>HVJ401-ZFOU02</v>
      </c>
      <c r="C364" s="16">
        <f>SUMIFS('Investor Exit List'!$AC:$AC,'Investor Exit List'!$AB:$AB,B364)</f>
        <v>45541</v>
      </c>
      <c r="D364" s="12">
        <f>SUMIFS('Investor Exit List'!$Q:$Q,'Investor Exit List'!$AB:$AB,B364)</f>
        <v>1393616.4383561644</v>
      </c>
      <c r="E364" s="26" t="str">
        <f t="shared" si="14"/>
        <v>HVJ401</v>
      </c>
      <c r="F364" s="12">
        <f t="shared" si="15"/>
        <v>0</v>
      </c>
      <c r="AF364" s="14"/>
    </row>
    <row r="365" spans="1:32" ht="29" hidden="1" x14ac:dyDescent="0.35">
      <c r="A365" s="15" t="str">
        <f t="shared" si="13"/>
        <v>J</v>
      </c>
      <c r="B365" s="12" t="str">
        <v>HVJ403-ZFOU02</v>
      </c>
      <c r="C365" s="16">
        <f>SUMIFS('Investor Exit List'!$AC:$AC,'Investor Exit List'!$AB:$AB,B365)</f>
        <v>45541</v>
      </c>
      <c r="D365" s="12">
        <f>SUMIFS('Investor Exit List'!$Q:$Q,'Investor Exit List'!$AB:$AB,B365)</f>
        <v>700260.27397260268</v>
      </c>
      <c r="E365" s="26" t="str">
        <f t="shared" si="14"/>
        <v>HVJ403</v>
      </c>
      <c r="F365" s="12">
        <f t="shared" si="15"/>
        <v>0</v>
      </c>
      <c r="AF365" s="14"/>
    </row>
    <row r="366" spans="1:32" ht="29" hidden="1" x14ac:dyDescent="0.35">
      <c r="A366" s="15" t="str">
        <f t="shared" si="13"/>
        <v>J</v>
      </c>
      <c r="B366" s="12" t="str">
        <v>HVJ403-ZVER04</v>
      </c>
      <c r="C366" s="16">
        <f>SUMIFS('Investor Exit List'!$AC:$AC,'Investor Exit List'!$AB:$AB,B366)</f>
        <v>45528</v>
      </c>
      <c r="D366" s="12">
        <f>SUMIFS('Investor Exit List'!$Q:$Q,'Investor Exit List'!$AB:$AB,B366)</f>
        <v>702921.23287671234</v>
      </c>
      <c r="E366" s="26" t="str">
        <f t="shared" si="14"/>
        <v>HVJ403</v>
      </c>
      <c r="F366" s="12">
        <f t="shared" si="15"/>
        <v>0</v>
      </c>
      <c r="AF366" s="14"/>
    </row>
    <row r="367" spans="1:32" ht="29" hidden="1" x14ac:dyDescent="0.35">
      <c r="A367" s="15" t="str">
        <f t="shared" si="13"/>
        <v>K</v>
      </c>
      <c r="B367" s="12" t="str">
        <v>HVK101-ZCRO01</v>
      </c>
      <c r="C367" s="16">
        <f>SUMIFS('Investor Exit List'!$AC:$AC,'Investor Exit List'!$AB:$AB,B367)</f>
        <v>45837</v>
      </c>
      <c r="D367" s="12">
        <f>SUMIFS('Investor Exit List'!$Q:$Q,'Investor Exit List'!$AB:$AB,B367)</f>
        <v>187448.63013698632</v>
      </c>
      <c r="E367" s="26" t="str">
        <f t="shared" si="14"/>
        <v>HVK101</v>
      </c>
      <c r="F367" s="12">
        <f t="shared" si="15"/>
        <v>0</v>
      </c>
      <c r="AF367" s="14"/>
    </row>
    <row r="368" spans="1:32" ht="29" hidden="1" x14ac:dyDescent="0.35">
      <c r="A368" s="15" t="str">
        <f t="shared" si="13"/>
        <v>K</v>
      </c>
      <c r="B368" s="12" t="str">
        <v>HVK101-ZINT01</v>
      </c>
      <c r="C368" s="16">
        <f>SUMIFS('Investor Exit List'!$AC:$AC,'Investor Exit List'!$AB:$AB,B368)</f>
        <v>45837</v>
      </c>
      <c r="D368" s="12">
        <f>SUMIFS('Investor Exit List'!$Q:$Q,'Investor Exit List'!$AB:$AB,B368)</f>
        <v>124691.7808219178</v>
      </c>
      <c r="E368" s="26" t="str">
        <f t="shared" si="14"/>
        <v>HVK101</v>
      </c>
      <c r="F368" s="12">
        <f t="shared" si="15"/>
        <v>0</v>
      </c>
      <c r="AF368" s="14"/>
    </row>
    <row r="369" spans="1:32" ht="29" hidden="1" x14ac:dyDescent="0.35">
      <c r="A369" s="15" t="str">
        <f t="shared" si="13"/>
        <v>K</v>
      </c>
      <c r="B369" s="12" t="str">
        <v>HVK101-ZMIN01</v>
      </c>
      <c r="C369" s="16">
        <f>SUMIFS('Investor Exit List'!$AC:$AC,'Investor Exit List'!$AB:$AB,B369)</f>
        <v>45746</v>
      </c>
      <c r="D369" s="12">
        <f>SUMIFS('Investor Exit List'!$Q:$Q,'Investor Exit List'!$AB:$AB,B369)</f>
        <v>626784.24657534249</v>
      </c>
      <c r="E369" s="26" t="str">
        <f t="shared" si="14"/>
        <v>HVK101</v>
      </c>
      <c r="F369" s="12">
        <f t="shared" si="15"/>
        <v>0</v>
      </c>
      <c r="AF369" s="14"/>
    </row>
    <row r="370" spans="1:32" ht="29" hidden="1" x14ac:dyDescent="0.35">
      <c r="A370" s="15" t="str">
        <f t="shared" si="13"/>
        <v>K</v>
      </c>
      <c r="B370" s="12" t="str">
        <v>HVK101-ZRIT01</v>
      </c>
      <c r="C370" s="16">
        <f>SUMIFS('Investor Exit List'!$AC:$AC,'Investor Exit List'!$AB:$AB,B370)</f>
        <v>45639</v>
      </c>
      <c r="D370" s="12">
        <f>SUMIFS('Investor Exit List'!$Q:$Q,'Investor Exit List'!$AB:$AB,B370)</f>
        <v>381110.79452054796</v>
      </c>
      <c r="E370" s="26" t="str">
        <f t="shared" si="14"/>
        <v>HVK101</v>
      </c>
      <c r="F370" s="12">
        <f t="shared" si="15"/>
        <v>0</v>
      </c>
      <c r="AF370" s="14"/>
    </row>
    <row r="371" spans="1:32" ht="29" hidden="1" x14ac:dyDescent="0.35">
      <c r="A371" s="15" t="str">
        <f t="shared" ref="A371:A434" si="16">MID(E371, 3, 1)</f>
        <v>K</v>
      </c>
      <c r="B371" s="12" t="str">
        <v>HVK102-ZVAN05</v>
      </c>
      <c r="C371" s="16">
        <f>SUMIFS('Investor Exit List'!$AC:$AC,'Investor Exit List'!$AB:$AB,B371)</f>
        <v>45639</v>
      </c>
      <c r="D371" s="12">
        <f>SUMIFS('Investor Exit List'!$Q:$Q,'Investor Exit List'!$AB:$AB,B371)</f>
        <v>1457530.1369863013</v>
      </c>
      <c r="E371" s="26" t="str">
        <f t="shared" ref="E371:E434" si="17">LEFT(B371,6)</f>
        <v>HVK102</v>
      </c>
      <c r="F371" s="12">
        <f t="shared" si="15"/>
        <v>0</v>
      </c>
      <c r="AF371" s="14"/>
    </row>
    <row r="372" spans="1:32" ht="29" hidden="1" x14ac:dyDescent="0.35">
      <c r="A372" s="15" t="str">
        <f t="shared" si="16"/>
        <v>K</v>
      </c>
      <c r="B372" s="12" t="str">
        <v>HVK103-ZCRO01</v>
      </c>
      <c r="C372" s="16">
        <f>SUMIFS('Investor Exit List'!$AC:$AC,'Investor Exit List'!$AB:$AB,B372)</f>
        <v>45697</v>
      </c>
      <c r="D372" s="12">
        <f>SUMIFS('Investor Exit List'!$Q:$Q,'Investor Exit List'!$AB:$AB,B372)</f>
        <v>144139.93150684933</v>
      </c>
      <c r="E372" s="26" t="str">
        <f t="shared" si="17"/>
        <v>HVK103</v>
      </c>
      <c r="F372" s="12">
        <f t="shared" ref="F372:F435" si="18">IF(SUMIFS($E$117:$E$149,$D$117:$D$149,E372)&lt;&gt;0,E372,0)</f>
        <v>0</v>
      </c>
      <c r="AF372" s="14"/>
    </row>
    <row r="373" spans="1:32" ht="29" hidden="1" x14ac:dyDescent="0.35">
      <c r="A373" s="15" t="str">
        <f t="shared" si="16"/>
        <v>K</v>
      </c>
      <c r="B373" s="12" t="str">
        <v>HVK103-ZDAM01</v>
      </c>
      <c r="C373" s="16">
        <f>SUMIFS('Investor Exit List'!$AC:$AC,'Investor Exit List'!$AB:$AB,B373)</f>
        <v>45646</v>
      </c>
      <c r="D373" s="12">
        <f>SUMIFS('Investor Exit List'!$Q:$Q,'Investor Exit List'!$AB:$AB,B373)</f>
        <v>529494.9953462329</v>
      </c>
      <c r="E373" s="26" t="str">
        <f t="shared" si="17"/>
        <v>HVK103</v>
      </c>
      <c r="F373" s="12">
        <f t="shared" si="18"/>
        <v>0</v>
      </c>
      <c r="AF373" s="14"/>
    </row>
    <row r="374" spans="1:32" ht="29" hidden="1" x14ac:dyDescent="0.35">
      <c r="A374" s="15" t="str">
        <f t="shared" si="16"/>
        <v>K</v>
      </c>
      <c r="B374" s="12" t="str">
        <v>HVK103-ZELE01</v>
      </c>
      <c r="C374" s="16">
        <f>SUMIFS('Investor Exit List'!$AC:$AC,'Investor Exit List'!$AB:$AB,B374)</f>
        <v>45646</v>
      </c>
      <c r="D374" s="12">
        <f>SUMIFS('Investor Exit List'!$Q:$Q,'Investor Exit List'!$AB:$AB,B374)</f>
        <v>250280.82191780821</v>
      </c>
      <c r="E374" s="26" t="str">
        <f t="shared" si="17"/>
        <v>HVK103</v>
      </c>
      <c r="F374" s="12">
        <f t="shared" si="18"/>
        <v>0</v>
      </c>
      <c r="AF374" s="14"/>
    </row>
    <row r="375" spans="1:32" ht="29" hidden="1" x14ac:dyDescent="0.35">
      <c r="A375" s="15" t="str">
        <f t="shared" si="16"/>
        <v>K</v>
      </c>
      <c r="B375" s="12" t="str">
        <v>HVK103-ZJOH01</v>
      </c>
      <c r="C375" s="16">
        <f>SUMIFS('Investor Exit List'!$AC:$AC,'Investor Exit List'!$AB:$AB,B375)</f>
        <v>45697</v>
      </c>
      <c r="D375" s="12">
        <f>SUMIFS('Investor Exit List'!$Q:$Q,'Investor Exit List'!$AB:$AB,B375)</f>
        <v>144139.93150684933</v>
      </c>
      <c r="E375" s="26" t="str">
        <f t="shared" si="17"/>
        <v>HVK103</v>
      </c>
      <c r="F375" s="12">
        <f t="shared" si="18"/>
        <v>0</v>
      </c>
      <c r="AF375" s="14"/>
    </row>
    <row r="376" spans="1:32" ht="29" hidden="1" x14ac:dyDescent="0.35">
      <c r="A376" s="15" t="str">
        <f t="shared" si="16"/>
        <v>K</v>
      </c>
      <c r="B376" s="12" t="str">
        <v>HVK103-ZRIT01</v>
      </c>
      <c r="C376" s="16">
        <f>SUMIFS('Investor Exit List'!$AC:$AC,'Investor Exit List'!$AB:$AB,B376)</f>
        <v>45859</v>
      </c>
      <c r="D376" s="12">
        <f>SUMIFS('Investor Exit List'!$Q:$Q,'Investor Exit List'!$AB:$AB,B376)</f>
        <v>309156.20021917805</v>
      </c>
      <c r="E376" s="26" t="str">
        <f t="shared" si="17"/>
        <v>HVK103</v>
      </c>
      <c r="F376" s="12">
        <f t="shared" si="18"/>
        <v>0</v>
      </c>
      <c r="AF376" s="14"/>
    </row>
    <row r="377" spans="1:32" ht="29" hidden="1" x14ac:dyDescent="0.35">
      <c r="A377" s="15" t="str">
        <f t="shared" si="16"/>
        <v>K</v>
      </c>
      <c r="B377" s="12" t="str">
        <v>HVK104-ZINT01</v>
      </c>
      <c r="C377" s="16">
        <f>SUMIFS('Investor Exit List'!$AC:$AC,'Investor Exit List'!$AB:$AB,B377)</f>
        <v>45710</v>
      </c>
      <c r="D377" s="12">
        <f>SUMIFS('Investor Exit List'!$Q:$Q,'Investor Exit List'!$AB:$AB,B377)</f>
        <v>130591.09589041096</v>
      </c>
      <c r="E377" s="26" t="str">
        <f t="shared" si="17"/>
        <v>HVK104</v>
      </c>
      <c r="F377" s="12">
        <f t="shared" si="18"/>
        <v>0</v>
      </c>
      <c r="AF377" s="14"/>
    </row>
    <row r="378" spans="1:32" ht="29" hidden="1" x14ac:dyDescent="0.35">
      <c r="A378" s="15" t="str">
        <f t="shared" si="16"/>
        <v>K</v>
      </c>
      <c r="B378" s="12" t="str">
        <v>HVK104-ZNIE01</v>
      </c>
      <c r="C378" s="16">
        <f>SUMIFS('Investor Exit List'!$AC:$AC,'Investor Exit List'!$AB:$AB,B378)</f>
        <v>45774</v>
      </c>
      <c r="D378" s="12">
        <f>SUMIFS('Investor Exit List'!$Q:$Q,'Investor Exit List'!$AB:$AB,B378)</f>
        <v>1278630.1369863015</v>
      </c>
      <c r="E378" s="26" t="str">
        <f t="shared" si="17"/>
        <v>HVK104</v>
      </c>
      <c r="F378" s="12">
        <f t="shared" si="18"/>
        <v>0</v>
      </c>
      <c r="AF378" s="14"/>
    </row>
    <row r="379" spans="1:32" ht="29" hidden="1" x14ac:dyDescent="0.35">
      <c r="A379" s="15" t="str">
        <f t="shared" si="16"/>
        <v>K</v>
      </c>
      <c r="B379" s="12" t="str">
        <v>HVK105-ZBOH01</v>
      </c>
      <c r="C379" s="16">
        <f>SUMIFS('Investor Exit List'!$AC:$AC,'Investor Exit List'!$AB:$AB,B379)</f>
        <v>45690</v>
      </c>
      <c r="D379" s="12">
        <f>SUMIFS('Investor Exit List'!$Q:$Q,'Investor Exit List'!$AB:$AB,B379)</f>
        <v>1304767.1232876712</v>
      </c>
      <c r="E379" s="26" t="str">
        <f t="shared" si="17"/>
        <v>HVK105</v>
      </c>
      <c r="F379" s="12">
        <f t="shared" si="18"/>
        <v>0</v>
      </c>
      <c r="AF379" s="14"/>
    </row>
    <row r="380" spans="1:32" ht="29" hidden="1" x14ac:dyDescent="0.35">
      <c r="A380" s="15" t="str">
        <f t="shared" si="16"/>
        <v>K</v>
      </c>
      <c r="B380" s="12" t="str">
        <v>HVK105-ZCRO01</v>
      </c>
      <c r="C380" s="16">
        <f>SUMIFS('Investor Exit List'!$AC:$AC,'Investor Exit List'!$AB:$AB,B380)</f>
        <v>45646</v>
      </c>
      <c r="D380" s="12">
        <f>SUMIFS('Investor Exit List'!$Q:$Q,'Investor Exit List'!$AB:$AB,B380)</f>
        <v>157795.0684931507</v>
      </c>
      <c r="E380" s="26" t="str">
        <f t="shared" si="17"/>
        <v>HVK105</v>
      </c>
      <c r="F380" s="12">
        <f t="shared" si="18"/>
        <v>0</v>
      </c>
      <c r="AF380" s="14"/>
    </row>
    <row r="381" spans="1:32" ht="29" hidden="1" x14ac:dyDescent="0.35">
      <c r="A381" s="15" t="str">
        <f t="shared" si="16"/>
        <v>K</v>
      </c>
      <c r="B381" s="12" t="str">
        <v>HVK201-ZVAN05</v>
      </c>
      <c r="C381" s="16">
        <f>SUMIFS('Investor Exit List'!$AC:$AC,'Investor Exit List'!$AB:$AB,B381)</f>
        <v>45646</v>
      </c>
      <c r="D381" s="12">
        <f>SUMIFS('Investor Exit List'!$Q:$Q,'Investor Exit List'!$AB:$AB,B381)</f>
        <v>1467723.9726027399</v>
      </c>
      <c r="E381" s="26" t="str">
        <f t="shared" si="17"/>
        <v>HVK201</v>
      </c>
      <c r="F381" s="12">
        <f t="shared" si="18"/>
        <v>0</v>
      </c>
      <c r="AF381" s="14"/>
    </row>
    <row r="382" spans="1:32" ht="29" hidden="1" x14ac:dyDescent="0.35">
      <c r="A382" s="15" t="str">
        <f t="shared" si="16"/>
        <v>K</v>
      </c>
      <c r="B382" s="12" t="str">
        <v>HVK202-ZBLO01</v>
      </c>
      <c r="C382" s="16">
        <f>SUMIFS('Investor Exit List'!$AC:$AC,'Investor Exit List'!$AB:$AB,B382)</f>
        <v>45646</v>
      </c>
      <c r="D382" s="12">
        <f>SUMIFS('Investor Exit List'!$Q:$Q,'Investor Exit List'!$AB:$AB,B382)</f>
        <v>125569.17808219178</v>
      </c>
      <c r="E382" s="26" t="str">
        <f t="shared" si="17"/>
        <v>HVK202</v>
      </c>
      <c r="F382" s="12">
        <f t="shared" si="18"/>
        <v>0</v>
      </c>
      <c r="AF382" s="14"/>
    </row>
    <row r="383" spans="1:32" ht="29" hidden="1" x14ac:dyDescent="0.35">
      <c r="A383" s="15" t="str">
        <f t="shared" si="16"/>
        <v>K</v>
      </c>
      <c r="B383" s="12" t="str">
        <v>HVK202-ZLAB02</v>
      </c>
      <c r="C383" s="16">
        <f>SUMIFS('Investor Exit List'!$AC:$AC,'Investor Exit List'!$AB:$AB,B383)</f>
        <v>45646</v>
      </c>
      <c r="D383" s="12">
        <f>SUMIFS('Investor Exit List'!$Q:$Q,'Investor Exit List'!$AB:$AB,B383)</f>
        <v>141525.91905773972</v>
      </c>
      <c r="E383" s="26" t="str">
        <f t="shared" si="17"/>
        <v>HVK202</v>
      </c>
      <c r="F383" s="12">
        <f t="shared" si="18"/>
        <v>0</v>
      </c>
      <c r="AF383" s="14"/>
    </row>
    <row r="384" spans="1:32" ht="29" hidden="1" x14ac:dyDescent="0.35">
      <c r="A384" s="15" t="str">
        <f t="shared" si="16"/>
        <v>K</v>
      </c>
      <c r="B384" s="12" t="str">
        <v>HVK202-ZRAN01</v>
      </c>
      <c r="C384" s="16">
        <f>SUMIFS('Investor Exit List'!$AC:$AC,'Investor Exit List'!$AB:$AB,B384)</f>
        <v>45697</v>
      </c>
      <c r="D384" s="12">
        <f>SUMIFS('Investor Exit List'!$Q:$Q,'Investor Exit List'!$AB:$AB,B384)</f>
        <v>165934.84315068493</v>
      </c>
      <c r="E384" s="26" t="str">
        <f t="shared" si="17"/>
        <v>HVK202</v>
      </c>
      <c r="F384" s="12">
        <f t="shared" si="18"/>
        <v>0</v>
      </c>
      <c r="AF384" s="14"/>
    </row>
    <row r="385" spans="1:32" ht="29" hidden="1" x14ac:dyDescent="0.35">
      <c r="A385" s="15" t="str">
        <f t="shared" si="16"/>
        <v>K</v>
      </c>
      <c r="B385" s="12" t="str">
        <v>HVK202-ZVDM01</v>
      </c>
      <c r="C385" s="16">
        <f>SUMIFS('Investor Exit List'!$AC:$AC,'Investor Exit List'!$AB:$AB,B385)</f>
        <v>45716</v>
      </c>
      <c r="D385" s="12">
        <f>SUMIFS('Investor Exit List'!$Q:$Q,'Investor Exit List'!$AB:$AB,B385)</f>
        <v>81235.906319863017</v>
      </c>
      <c r="E385" s="26" t="str">
        <f t="shared" si="17"/>
        <v>HVK202</v>
      </c>
      <c r="F385" s="12">
        <f t="shared" si="18"/>
        <v>0</v>
      </c>
      <c r="AF385" s="14"/>
    </row>
    <row r="386" spans="1:32" ht="29" hidden="1" x14ac:dyDescent="0.35">
      <c r="A386" s="15" t="str">
        <f t="shared" si="16"/>
        <v>K</v>
      </c>
      <c r="B386" s="12" t="str">
        <v>HVK202-ZZYL03</v>
      </c>
      <c r="C386" s="16">
        <f>SUMIFS('Investor Exit List'!$AC:$AC,'Investor Exit List'!$AB:$AB,B386)</f>
        <v>45746</v>
      </c>
      <c r="D386" s="12">
        <f>SUMIFS('Investor Exit List'!$Q:$Q,'Investor Exit List'!$AB:$AB,B386)</f>
        <v>790732.60425178078</v>
      </c>
      <c r="E386" s="26" t="str">
        <f t="shared" si="17"/>
        <v>HVK202</v>
      </c>
      <c r="F386" s="12">
        <f t="shared" si="18"/>
        <v>0</v>
      </c>
      <c r="AF386" s="14"/>
    </row>
    <row r="387" spans="1:32" ht="29" hidden="1" x14ac:dyDescent="0.35">
      <c r="A387" s="15" t="str">
        <f t="shared" si="16"/>
        <v>K</v>
      </c>
      <c r="B387" s="12" t="str">
        <v>HVK203-ZASD01</v>
      </c>
      <c r="C387" s="16">
        <f>SUMIFS('Investor Exit List'!$AC:$AC,'Investor Exit List'!$AB:$AB,B387)</f>
        <v>45646</v>
      </c>
      <c r="D387" s="12">
        <f>SUMIFS('Investor Exit List'!$Q:$Q,'Investor Exit List'!$AB:$AB,B387)</f>
        <v>662821.84931506845</v>
      </c>
      <c r="E387" s="26" t="str">
        <f t="shared" si="17"/>
        <v>HVK203</v>
      </c>
      <c r="F387" s="12">
        <f t="shared" si="18"/>
        <v>0</v>
      </c>
      <c r="AF387" s="14"/>
    </row>
    <row r="388" spans="1:32" ht="29" hidden="1" x14ac:dyDescent="0.35">
      <c r="A388" s="15" t="str">
        <f t="shared" si="16"/>
        <v>K</v>
      </c>
      <c r="B388" s="12" t="str">
        <v>HVK203-ZLOU01</v>
      </c>
      <c r="C388" s="16">
        <f>SUMIFS('Investor Exit List'!$AC:$AC,'Investor Exit List'!$AB:$AB,B388)</f>
        <v>45774</v>
      </c>
      <c r="D388" s="12">
        <f>SUMIFS('Investor Exit List'!$Q:$Q,'Investor Exit List'!$AB:$AB,B388)</f>
        <v>632010.27397260279</v>
      </c>
      <c r="E388" s="26" t="str">
        <f t="shared" si="17"/>
        <v>HVK203</v>
      </c>
      <c r="F388" s="12">
        <f t="shared" si="18"/>
        <v>0</v>
      </c>
      <c r="AF388" s="14"/>
    </row>
    <row r="389" spans="1:32" ht="29" hidden="1" x14ac:dyDescent="0.35">
      <c r="A389" s="15" t="str">
        <f t="shared" si="16"/>
        <v>K</v>
      </c>
      <c r="B389" s="12" t="str">
        <v>HVK203-ZSPE01</v>
      </c>
      <c r="C389" s="16">
        <f>SUMIFS('Investor Exit List'!$AC:$AC,'Investor Exit List'!$AB:$AB,B389)</f>
        <v>45746</v>
      </c>
      <c r="D389" s="12">
        <f>SUMIFS('Investor Exit List'!$Q:$Q,'Investor Exit List'!$AB:$AB,B389)</f>
        <v>111839.08759054795</v>
      </c>
      <c r="E389" s="26" t="str">
        <f t="shared" si="17"/>
        <v>HVK203</v>
      </c>
      <c r="F389" s="12">
        <f t="shared" si="18"/>
        <v>0</v>
      </c>
      <c r="AF389" s="14"/>
    </row>
    <row r="390" spans="1:32" ht="29" hidden="1" x14ac:dyDescent="0.35">
      <c r="A390" s="15" t="str">
        <f t="shared" si="16"/>
        <v>K</v>
      </c>
      <c r="B390" s="12" t="str">
        <v>HVK204-ZCAM01</v>
      </c>
      <c r="C390" s="16">
        <f>SUMIFS('Investor Exit List'!$AC:$AC,'Investor Exit List'!$AB:$AB,B390)</f>
        <v>45746</v>
      </c>
      <c r="D390" s="12">
        <f>SUMIFS('Investor Exit List'!$Q:$Q,'Investor Exit List'!$AB:$AB,B390)</f>
        <v>494972.60273972602</v>
      </c>
      <c r="E390" s="26" t="str">
        <f t="shared" si="17"/>
        <v>HVK204</v>
      </c>
      <c r="F390" s="12">
        <f t="shared" si="18"/>
        <v>0</v>
      </c>
      <c r="AF390" s="14"/>
    </row>
    <row r="391" spans="1:32" ht="29" hidden="1" x14ac:dyDescent="0.35">
      <c r="A391" s="15" t="str">
        <f t="shared" si="16"/>
        <v>K</v>
      </c>
      <c r="B391" s="12" t="str">
        <v>HVK204-ZFEM01</v>
      </c>
      <c r="C391" s="16">
        <f>SUMIFS('Investor Exit List'!$AC:$AC,'Investor Exit List'!$AB:$AB,B391)</f>
        <v>45646</v>
      </c>
      <c r="D391" s="12">
        <f>SUMIFS('Investor Exit List'!$Q:$Q,'Investor Exit List'!$AB:$AB,B391)</f>
        <v>157655.21762130136</v>
      </c>
      <c r="E391" s="26" t="str">
        <f t="shared" si="17"/>
        <v>HVK204</v>
      </c>
      <c r="F391" s="12">
        <f t="shared" si="18"/>
        <v>0</v>
      </c>
      <c r="AF391" s="14"/>
    </row>
    <row r="392" spans="1:32" ht="29" hidden="1" x14ac:dyDescent="0.35">
      <c r="A392" s="15" t="str">
        <f t="shared" si="16"/>
        <v>K</v>
      </c>
      <c r="B392" s="12" t="str">
        <v>HVK204-ZKRO03</v>
      </c>
      <c r="C392" s="16">
        <f>SUMIFS('Investor Exit List'!$AC:$AC,'Investor Exit List'!$AB:$AB,B392)</f>
        <v>45710</v>
      </c>
      <c r="D392" s="12">
        <f>SUMIFS('Investor Exit List'!$Q:$Q,'Investor Exit List'!$AB:$AB,B392)</f>
        <v>772347.94520547951</v>
      </c>
      <c r="E392" s="26" t="str">
        <f t="shared" si="17"/>
        <v>HVK204</v>
      </c>
      <c r="F392" s="12">
        <f t="shared" si="18"/>
        <v>0</v>
      </c>
      <c r="AF392" s="14"/>
    </row>
    <row r="393" spans="1:32" ht="29" hidden="1" x14ac:dyDescent="0.35">
      <c r="A393" s="15" t="str">
        <f t="shared" si="16"/>
        <v>K</v>
      </c>
      <c r="B393" s="12" t="str">
        <v>HVK205-ZVDW01</v>
      </c>
      <c r="C393" s="16">
        <f>SUMIFS('Investor Exit List'!$AC:$AC,'Investor Exit List'!$AB:$AB,B393)</f>
        <v>45746</v>
      </c>
      <c r="D393" s="12">
        <f>SUMIFS('Investor Exit List'!$Q:$Q,'Investor Exit List'!$AB:$AB,B393)</f>
        <v>1311641.7945205481</v>
      </c>
      <c r="E393" s="26" t="str">
        <f t="shared" si="17"/>
        <v>HVK205</v>
      </c>
      <c r="F393" s="12">
        <f t="shared" si="18"/>
        <v>0</v>
      </c>
      <c r="AF393" s="14"/>
    </row>
    <row r="394" spans="1:32" ht="29" hidden="1" x14ac:dyDescent="0.35">
      <c r="A394" s="15" t="str">
        <f t="shared" si="16"/>
        <v>K</v>
      </c>
      <c r="B394" s="12" t="str">
        <v>HVK205-ZZYL02</v>
      </c>
      <c r="C394" s="16">
        <f>SUMIFS('Investor Exit List'!$AC:$AC,'Investor Exit List'!$AB:$AB,B394)</f>
        <v>45646</v>
      </c>
      <c r="D394" s="12">
        <f>SUMIFS('Investor Exit List'!$Q:$Q,'Investor Exit List'!$AB:$AB,B394)</f>
        <v>156879.30298568492</v>
      </c>
      <c r="E394" s="26" t="str">
        <f t="shared" si="17"/>
        <v>HVK205</v>
      </c>
      <c r="F394" s="12">
        <f t="shared" si="18"/>
        <v>0</v>
      </c>
      <c r="AF394" s="14"/>
    </row>
    <row r="395" spans="1:32" ht="29" hidden="1" x14ac:dyDescent="0.35">
      <c r="A395" s="15" t="str">
        <f t="shared" si="16"/>
        <v>K</v>
      </c>
      <c r="B395" s="12" t="str">
        <v>HVK206-ZCOL01</v>
      </c>
      <c r="C395" s="16">
        <f>SUMIFS('Investor Exit List'!$AC:$AC,'Investor Exit List'!$AB:$AB,B395)</f>
        <v>45738</v>
      </c>
      <c r="D395" s="12">
        <f>SUMIFS('Investor Exit List'!$Q:$Q,'Investor Exit List'!$AB:$AB,B395)</f>
        <v>163195.68174041098</v>
      </c>
      <c r="E395" s="26" t="str">
        <f t="shared" si="17"/>
        <v>HVK206</v>
      </c>
      <c r="F395" s="12">
        <f t="shared" si="18"/>
        <v>0</v>
      </c>
      <c r="AF395" s="14"/>
    </row>
    <row r="396" spans="1:32" ht="29" hidden="1" x14ac:dyDescent="0.35">
      <c r="A396" s="15" t="str">
        <f t="shared" si="16"/>
        <v>K</v>
      </c>
      <c r="B396" s="12" t="str">
        <v>HVK206-ZDIC01</v>
      </c>
      <c r="C396" s="16">
        <f>SUMIFS('Investor Exit List'!$AC:$AC,'Investor Exit List'!$AB:$AB,B396)</f>
        <v>45774</v>
      </c>
      <c r="D396" s="12">
        <f>SUMIFS('Investor Exit List'!$Q:$Q,'Investor Exit List'!$AB:$AB,B396)</f>
        <v>999003.49805013696</v>
      </c>
      <c r="E396" s="26" t="str">
        <f t="shared" si="17"/>
        <v>HVK206</v>
      </c>
      <c r="F396" s="12">
        <f t="shared" si="18"/>
        <v>0</v>
      </c>
      <c r="AF396" s="14"/>
    </row>
    <row r="397" spans="1:32" ht="29" hidden="1" x14ac:dyDescent="0.35">
      <c r="A397" s="15" t="str">
        <f t="shared" si="16"/>
        <v>K</v>
      </c>
      <c r="B397" s="12" t="str">
        <v>HVK206-ZFOU01</v>
      </c>
      <c r="C397" s="16">
        <f>SUMIFS('Investor Exit List'!$AC:$AC,'Investor Exit List'!$AB:$AB,B397)</f>
        <v>45746</v>
      </c>
      <c r="D397" s="12">
        <f>SUMIFS('Investor Exit List'!$Q:$Q,'Investor Exit List'!$AB:$AB,B397)</f>
        <v>124517.12328767123</v>
      </c>
      <c r="E397" s="26" t="str">
        <f t="shared" si="17"/>
        <v>HVK206</v>
      </c>
      <c r="F397" s="12">
        <f t="shared" si="18"/>
        <v>0</v>
      </c>
      <c r="AF397" s="14"/>
    </row>
    <row r="398" spans="1:32" ht="29" hidden="1" x14ac:dyDescent="0.35">
      <c r="A398" s="15" t="str">
        <f t="shared" si="16"/>
        <v>K</v>
      </c>
      <c r="B398" s="12" t="str">
        <v>HVK206-ZGOV01</v>
      </c>
      <c r="C398" s="16">
        <f>SUMIFS('Investor Exit List'!$AC:$AC,'Investor Exit List'!$AB:$AB,B398)</f>
        <v>45697</v>
      </c>
      <c r="D398" s="12">
        <f>SUMIFS('Investor Exit List'!$Q:$Q,'Investor Exit List'!$AB:$AB,B398)</f>
        <v>155064.2897187671</v>
      </c>
      <c r="E398" s="26" t="str">
        <f t="shared" si="17"/>
        <v>HVK206</v>
      </c>
      <c r="F398" s="12">
        <f t="shared" si="18"/>
        <v>0</v>
      </c>
      <c r="AF398" s="14"/>
    </row>
    <row r="399" spans="1:32" ht="29" hidden="1" x14ac:dyDescent="0.35">
      <c r="A399" s="15" t="str">
        <f t="shared" si="16"/>
        <v>K</v>
      </c>
      <c r="B399" s="12" t="str">
        <v>HVK301-ZBAR01</v>
      </c>
      <c r="C399" s="16">
        <f>SUMIFS('Investor Exit List'!$AC:$AC,'Investor Exit List'!$AB:$AB,B399)</f>
        <v>45716</v>
      </c>
      <c r="D399" s="12">
        <f>SUMIFS('Investor Exit List'!$Q:$Q,'Investor Exit List'!$AB:$AB,B399)</f>
        <v>315641.40182636987</v>
      </c>
      <c r="E399" s="26" t="str">
        <f t="shared" si="17"/>
        <v>HVK301</v>
      </c>
      <c r="F399" s="12">
        <f t="shared" si="18"/>
        <v>0</v>
      </c>
      <c r="AF399" s="14"/>
    </row>
    <row r="400" spans="1:32" ht="29" hidden="1" x14ac:dyDescent="0.35">
      <c r="A400" s="15" t="str">
        <f t="shared" si="16"/>
        <v>K</v>
      </c>
      <c r="B400" s="12" t="str">
        <v>HVK301-ZDAV01</v>
      </c>
      <c r="C400" s="16">
        <f>SUMIFS('Investor Exit List'!$AC:$AC,'Investor Exit List'!$AB:$AB,B400)</f>
        <v>45697</v>
      </c>
      <c r="D400" s="12">
        <f>SUMIFS('Investor Exit List'!$Q:$Q,'Investor Exit List'!$AB:$AB,B400)</f>
        <v>323660.9589041096</v>
      </c>
      <c r="E400" s="26" t="str">
        <f t="shared" si="17"/>
        <v>HVK301</v>
      </c>
      <c r="F400" s="12">
        <f t="shared" si="18"/>
        <v>0</v>
      </c>
      <c r="AF400" s="14"/>
    </row>
    <row r="401" spans="1:32" ht="29" hidden="1" x14ac:dyDescent="0.35">
      <c r="A401" s="15" t="str">
        <f t="shared" si="16"/>
        <v>K</v>
      </c>
      <c r="B401" s="12" t="str">
        <v>HVK301-ZHIL01</v>
      </c>
      <c r="C401" s="16">
        <f>SUMIFS('Investor Exit List'!$AC:$AC,'Investor Exit List'!$AB:$AB,B401)</f>
        <v>45646</v>
      </c>
      <c r="D401" s="12">
        <f>SUMIFS('Investor Exit List'!$Q:$Q,'Investor Exit List'!$AB:$AB,B401)</f>
        <v>156454.81418102741</v>
      </c>
      <c r="E401" s="26" t="str">
        <f t="shared" si="17"/>
        <v>HVK301</v>
      </c>
      <c r="F401" s="12">
        <f t="shared" si="18"/>
        <v>0</v>
      </c>
      <c r="AF401" s="14"/>
    </row>
    <row r="402" spans="1:32" ht="29" hidden="1" x14ac:dyDescent="0.35">
      <c r="A402" s="15" t="str">
        <f t="shared" si="16"/>
        <v>K</v>
      </c>
      <c r="B402" s="12" t="str">
        <v>HVK301-ZJBM01</v>
      </c>
      <c r="C402" s="16">
        <f>SUMIFS('Investor Exit List'!$AC:$AC,'Investor Exit List'!$AB:$AB,B402)</f>
        <v>45646</v>
      </c>
      <c r="D402" s="12">
        <f>SUMIFS('Investor Exit List'!$Q:$Q,'Investor Exit List'!$AB:$AB,B402)</f>
        <v>158230.32364431507</v>
      </c>
      <c r="E402" s="26" t="str">
        <f t="shared" si="17"/>
        <v>HVK301</v>
      </c>
      <c r="F402" s="12">
        <f t="shared" si="18"/>
        <v>0</v>
      </c>
      <c r="AF402" s="14"/>
    </row>
    <row r="403" spans="1:32" ht="29" hidden="1" x14ac:dyDescent="0.35">
      <c r="A403" s="15" t="str">
        <f t="shared" si="16"/>
        <v>K</v>
      </c>
      <c r="B403" s="12" t="str">
        <v>HVK301-ZVAN05</v>
      </c>
      <c r="C403" s="16">
        <f>SUMIFS('Investor Exit List'!$AC:$AC,'Investor Exit List'!$AB:$AB,B403)</f>
        <v>45639</v>
      </c>
      <c r="D403" s="12">
        <f>SUMIFS('Investor Exit List'!$Q:$Q,'Investor Exit List'!$AB:$AB,B403)</f>
        <v>473080.1369863014</v>
      </c>
      <c r="E403" s="26" t="str">
        <f t="shared" si="17"/>
        <v>HVK301</v>
      </c>
      <c r="F403" s="12">
        <f t="shared" si="18"/>
        <v>0</v>
      </c>
      <c r="AF403" s="14"/>
    </row>
    <row r="404" spans="1:32" ht="29" hidden="1" x14ac:dyDescent="0.35">
      <c r="A404" s="15" t="str">
        <f t="shared" si="16"/>
        <v>K</v>
      </c>
      <c r="B404" s="12" t="str">
        <v>HVK302-ZBEL01</v>
      </c>
      <c r="C404" s="16">
        <f>SUMIFS('Investor Exit List'!$AC:$AC,'Investor Exit List'!$AB:$AB,B404)</f>
        <v>45716</v>
      </c>
      <c r="D404" s="12">
        <f>SUMIFS('Investor Exit List'!$Q:$Q,'Investor Exit List'!$AB:$AB,B404)</f>
        <v>479397.76360958896</v>
      </c>
      <c r="E404" s="26" t="str">
        <f t="shared" si="17"/>
        <v>HVK302</v>
      </c>
      <c r="F404" s="12">
        <f t="shared" si="18"/>
        <v>0</v>
      </c>
      <c r="AF404" s="14"/>
    </row>
    <row r="405" spans="1:32" ht="29" hidden="1" x14ac:dyDescent="0.35">
      <c r="A405" s="15" t="str">
        <f t="shared" si="16"/>
        <v>K</v>
      </c>
      <c r="B405" s="12" t="str">
        <v>HVK302-ZCRO01</v>
      </c>
      <c r="C405" s="16">
        <f>SUMIFS('Investor Exit List'!$AC:$AC,'Investor Exit List'!$AB:$AB,B405)</f>
        <v>45725</v>
      </c>
      <c r="D405" s="12">
        <f>SUMIFS('Investor Exit List'!$Q:$Q,'Investor Exit List'!$AB:$AB,B405)</f>
        <v>146296.98630136985</v>
      </c>
      <c r="E405" s="26" t="str">
        <f t="shared" si="17"/>
        <v>HVK302</v>
      </c>
      <c r="F405" s="12">
        <f t="shared" si="18"/>
        <v>0</v>
      </c>
      <c r="AF405" s="14"/>
    </row>
    <row r="406" spans="1:32" ht="29" hidden="1" x14ac:dyDescent="0.35">
      <c r="A406" s="15" t="str">
        <f t="shared" si="16"/>
        <v>K</v>
      </c>
      <c r="B406" s="12" t="str">
        <v>HVK302-ZJOH01</v>
      </c>
      <c r="C406" s="16">
        <f>SUMIFS('Investor Exit List'!$AC:$AC,'Investor Exit List'!$AB:$AB,B406)</f>
        <v>45725</v>
      </c>
      <c r="D406" s="12">
        <f>SUMIFS('Investor Exit List'!$Q:$Q,'Investor Exit List'!$AB:$AB,B406)</f>
        <v>146296.98630136985</v>
      </c>
      <c r="E406" s="26" t="str">
        <f t="shared" si="17"/>
        <v>HVK302</v>
      </c>
      <c r="F406" s="12">
        <f t="shared" si="18"/>
        <v>0</v>
      </c>
      <c r="AF406" s="14"/>
    </row>
    <row r="407" spans="1:32" ht="29" hidden="1" x14ac:dyDescent="0.35">
      <c r="A407" s="15" t="str">
        <f t="shared" si="16"/>
        <v>K</v>
      </c>
      <c r="B407" s="12" t="str">
        <v>HVK302-ZLEW01</v>
      </c>
      <c r="C407" s="16">
        <f>SUMIFS('Investor Exit List'!$AC:$AC,'Investor Exit List'!$AB:$AB,B407)</f>
        <v>45710</v>
      </c>
      <c r="D407" s="12">
        <f>SUMIFS('Investor Exit List'!$Q:$Q,'Investor Exit List'!$AB:$AB,B407)</f>
        <v>533304.10958904109</v>
      </c>
      <c r="E407" s="26" t="str">
        <f t="shared" si="17"/>
        <v>HVK302</v>
      </c>
      <c r="F407" s="12">
        <f t="shared" si="18"/>
        <v>0</v>
      </c>
      <c r="AF407" s="14"/>
    </row>
    <row r="408" spans="1:32" ht="29" hidden="1" x14ac:dyDescent="0.35">
      <c r="A408" s="15" t="str">
        <f t="shared" si="16"/>
        <v>K</v>
      </c>
      <c r="B408" s="12" t="str">
        <v>HVK302-ZMAR01</v>
      </c>
      <c r="C408" s="16">
        <f>SUMIFS('Investor Exit List'!$AC:$AC,'Investor Exit List'!$AB:$AB,B408)</f>
        <v>45710</v>
      </c>
      <c r="D408" s="12">
        <f>SUMIFS('Investor Exit List'!$Q:$Q,'Investor Exit List'!$AB:$AB,B408)</f>
        <v>126505.47945205479</v>
      </c>
      <c r="E408" s="26" t="str">
        <f t="shared" si="17"/>
        <v>HVK302</v>
      </c>
      <c r="F408" s="12">
        <f t="shared" si="18"/>
        <v>0</v>
      </c>
      <c r="AF408" s="14"/>
    </row>
    <row r="409" spans="1:32" ht="29" hidden="1" x14ac:dyDescent="0.35">
      <c r="A409" s="15" t="str">
        <f t="shared" si="16"/>
        <v>K</v>
      </c>
      <c r="B409" s="12" t="str">
        <v>HVK303-ZCRO01</v>
      </c>
      <c r="C409" s="16">
        <f>SUMIFS('Investor Exit List'!$AC:$AC,'Investor Exit List'!$AB:$AB,B409)</f>
        <v>45725</v>
      </c>
      <c r="D409" s="12">
        <f>SUMIFS('Investor Exit List'!$Q:$Q,'Investor Exit List'!$AB:$AB,B409)</f>
        <v>159951.78082191781</v>
      </c>
      <c r="E409" s="26" t="str">
        <f t="shared" si="17"/>
        <v>HVK303</v>
      </c>
      <c r="F409" s="12">
        <f t="shared" si="18"/>
        <v>0</v>
      </c>
      <c r="AF409" s="14"/>
    </row>
    <row r="410" spans="1:32" ht="29" hidden="1" x14ac:dyDescent="0.35">
      <c r="A410" s="15" t="str">
        <f t="shared" si="16"/>
        <v>K</v>
      </c>
      <c r="B410" s="12" t="str">
        <v>HVK303-ZDAD01</v>
      </c>
      <c r="C410" s="16">
        <f>SUMIFS('Investor Exit List'!$AC:$AC,'Investor Exit List'!$AB:$AB,B410)</f>
        <v>45746</v>
      </c>
      <c r="D410" s="12">
        <f>SUMIFS('Investor Exit List'!$Q:$Q,'Investor Exit List'!$AB:$AB,B410)</f>
        <v>840826.8197567123</v>
      </c>
      <c r="E410" s="26" t="str">
        <f t="shared" si="17"/>
        <v>HVK303</v>
      </c>
      <c r="F410" s="12">
        <f t="shared" si="18"/>
        <v>0</v>
      </c>
      <c r="AF410" s="14"/>
    </row>
    <row r="411" spans="1:32" ht="29" hidden="1" x14ac:dyDescent="0.35">
      <c r="A411" s="15" t="str">
        <f t="shared" si="16"/>
        <v>K</v>
      </c>
      <c r="B411" s="12" t="str">
        <v>HVK303-ZHUN01</v>
      </c>
      <c r="C411" s="16">
        <f>SUMIFS('Investor Exit List'!$AC:$AC,'Investor Exit List'!$AB:$AB,B411)</f>
        <v>45710</v>
      </c>
      <c r="D411" s="12">
        <f>SUMIFS('Investor Exit List'!$Q:$Q,'Investor Exit List'!$AB:$AB,B411)</f>
        <v>189903.08219178082</v>
      </c>
      <c r="E411" s="26" t="str">
        <f t="shared" si="17"/>
        <v>HVK303</v>
      </c>
      <c r="F411" s="12">
        <f t="shared" si="18"/>
        <v>0</v>
      </c>
      <c r="AF411" s="14"/>
    </row>
    <row r="412" spans="1:32" ht="29" hidden="1" x14ac:dyDescent="0.35">
      <c r="A412" s="15" t="str">
        <f t="shared" si="16"/>
        <v>K</v>
      </c>
      <c r="B412" s="12" t="str">
        <v>HVK303-ZINT01</v>
      </c>
      <c r="C412" s="16">
        <f>SUMIFS('Investor Exit List'!$AC:$AC,'Investor Exit List'!$AB:$AB,B412)</f>
        <v>45738</v>
      </c>
      <c r="D412" s="12">
        <f>SUMIFS('Investor Exit List'!$Q:$Q,'Investor Exit List'!$AB:$AB,B412)</f>
        <v>133008.21917808219</v>
      </c>
      <c r="E412" s="26" t="str">
        <f t="shared" si="17"/>
        <v>HVK303</v>
      </c>
      <c r="F412" s="12">
        <f t="shared" si="18"/>
        <v>0</v>
      </c>
      <c r="AF412" s="14"/>
    </row>
    <row r="413" spans="1:32" ht="29" hidden="1" x14ac:dyDescent="0.35">
      <c r="A413" s="15" t="str">
        <f t="shared" si="16"/>
        <v>K</v>
      </c>
      <c r="B413" s="12" t="str">
        <v>HVK303-ZMEH01</v>
      </c>
      <c r="C413" s="16">
        <f>SUMIFS('Investor Exit List'!$AC:$AC,'Investor Exit List'!$AB:$AB,B413)</f>
        <v>45746</v>
      </c>
      <c r="D413" s="12">
        <f>SUMIFS('Investor Exit List'!$Q:$Q,'Investor Exit List'!$AB:$AB,B413)</f>
        <v>144761.92549273971</v>
      </c>
      <c r="E413" s="26" t="str">
        <f t="shared" si="17"/>
        <v>HVK303</v>
      </c>
      <c r="F413" s="12">
        <f t="shared" si="18"/>
        <v>0</v>
      </c>
      <c r="AF413" s="14"/>
    </row>
    <row r="414" spans="1:32" ht="29" hidden="1" x14ac:dyDescent="0.35">
      <c r="A414" s="15" t="str">
        <f t="shared" si="16"/>
        <v>K</v>
      </c>
      <c r="B414" s="12" t="str">
        <v>HVK304-ZMCD01</v>
      </c>
      <c r="C414" s="16">
        <f>SUMIFS('Investor Exit List'!$AC:$AC,'Investor Exit List'!$AB:$AB,B414)</f>
        <v>45710</v>
      </c>
      <c r="D414" s="12">
        <f>SUMIFS('Investor Exit List'!$Q:$Q,'Investor Exit List'!$AB:$AB,B414)</f>
        <v>570917.46575342468</v>
      </c>
      <c r="E414" s="26" t="str">
        <f t="shared" si="17"/>
        <v>HVK304</v>
      </c>
      <c r="F414" s="12">
        <f t="shared" si="18"/>
        <v>0</v>
      </c>
      <c r="AF414" s="14"/>
    </row>
    <row r="415" spans="1:32" ht="29" hidden="1" x14ac:dyDescent="0.35">
      <c r="A415" s="15" t="str">
        <f t="shared" si="16"/>
        <v>K</v>
      </c>
      <c r="B415" s="12" t="str">
        <v>HVK304-ZSCH02</v>
      </c>
      <c r="C415" s="16">
        <f>SUMIFS('Investor Exit List'!$AC:$AC,'Investor Exit List'!$AB:$AB,B415)</f>
        <v>45725</v>
      </c>
      <c r="D415" s="12">
        <f>SUMIFS('Investor Exit List'!$Q:$Q,'Investor Exit List'!$AB:$AB,B415)</f>
        <v>845592.94151136989</v>
      </c>
      <c r="E415" s="26" t="str">
        <f t="shared" si="17"/>
        <v>HVK304</v>
      </c>
      <c r="F415" s="12">
        <f t="shared" si="18"/>
        <v>0</v>
      </c>
      <c r="AF415" s="14"/>
    </row>
    <row r="416" spans="1:32" ht="29" hidden="1" x14ac:dyDescent="0.35">
      <c r="A416" s="15" t="str">
        <f t="shared" si="16"/>
        <v>K</v>
      </c>
      <c r="B416" s="12" t="str">
        <v>HVK305-ZRAN01</v>
      </c>
      <c r="C416" s="16">
        <f>SUMIFS('Investor Exit List'!$AC:$AC,'Investor Exit List'!$AB:$AB,B416)</f>
        <v>45774</v>
      </c>
      <c r="D416" s="12">
        <f>SUMIFS('Investor Exit List'!$Q:$Q,'Investor Exit List'!$AB:$AB,B416)</f>
        <v>234803.91277863015</v>
      </c>
      <c r="E416" s="26" t="str">
        <f t="shared" si="17"/>
        <v>HVK305</v>
      </c>
      <c r="F416" s="12">
        <f t="shared" si="18"/>
        <v>0</v>
      </c>
      <c r="AF416" s="14"/>
    </row>
    <row r="417" spans="1:32" ht="29" hidden="1" x14ac:dyDescent="0.35">
      <c r="A417" s="15" t="str">
        <f t="shared" si="16"/>
        <v>K</v>
      </c>
      <c r="B417" s="12" t="str">
        <v>HVK305-ZSCH01</v>
      </c>
      <c r="C417" s="16">
        <f>SUMIFS('Investor Exit List'!$AC:$AC,'Investor Exit List'!$AB:$AB,B417)</f>
        <v>45746</v>
      </c>
      <c r="D417" s="12">
        <f>SUMIFS('Investor Exit List'!$Q:$Q,'Investor Exit List'!$AB:$AB,B417)</f>
        <v>1074769.2647962328</v>
      </c>
      <c r="E417" s="26" t="str">
        <f t="shared" si="17"/>
        <v>HVK305</v>
      </c>
      <c r="F417" s="12">
        <f t="shared" si="18"/>
        <v>0</v>
      </c>
      <c r="AF417" s="14"/>
    </row>
    <row r="418" spans="1:32" ht="29" hidden="1" x14ac:dyDescent="0.35">
      <c r="A418" s="15" t="str">
        <f t="shared" si="16"/>
        <v>K</v>
      </c>
      <c r="B418" s="12" t="str">
        <v>HVK305-ZTSH01</v>
      </c>
      <c r="C418" s="16">
        <f>SUMIFS('Investor Exit List'!$AC:$AC,'Investor Exit List'!$AB:$AB,B418)</f>
        <v>45746</v>
      </c>
      <c r="D418" s="12">
        <f>SUMIFS('Investor Exit List'!$Q:$Q,'Investor Exit List'!$AB:$AB,B418)</f>
        <v>155471.09447897261</v>
      </c>
      <c r="E418" s="26" t="str">
        <f t="shared" si="17"/>
        <v>HVK305</v>
      </c>
      <c r="F418" s="12">
        <f t="shared" si="18"/>
        <v>0</v>
      </c>
      <c r="AF418" s="14"/>
    </row>
    <row r="419" spans="1:32" ht="29" hidden="1" x14ac:dyDescent="0.35">
      <c r="A419" s="15" t="str">
        <f t="shared" si="16"/>
        <v>K</v>
      </c>
      <c r="B419" s="12" t="str">
        <v>HVK306-ZBUF01</v>
      </c>
      <c r="C419" s="16">
        <f>SUMIFS('Investor Exit List'!$AC:$AC,'Investor Exit List'!$AB:$AB,B419)</f>
        <v>45710</v>
      </c>
      <c r="D419" s="12">
        <f>SUMIFS('Investor Exit List'!$Q:$Q,'Investor Exit List'!$AB:$AB,B419)</f>
        <v>1359068.493150685</v>
      </c>
      <c r="E419" s="26" t="str">
        <f t="shared" si="17"/>
        <v>HVK306</v>
      </c>
      <c r="F419" s="12">
        <f t="shared" si="18"/>
        <v>0</v>
      </c>
      <c r="AF419" s="14"/>
    </row>
    <row r="420" spans="1:32" ht="29" hidden="1" x14ac:dyDescent="0.35">
      <c r="A420" s="15" t="str">
        <f t="shared" si="16"/>
        <v>K</v>
      </c>
      <c r="B420" s="12" t="str">
        <v>HVK306-ZRIT01</v>
      </c>
      <c r="C420" s="16">
        <f>SUMIFS('Investor Exit List'!$AC:$AC,'Investor Exit List'!$AB:$AB,B420)</f>
        <v>45802</v>
      </c>
      <c r="D420" s="12">
        <f>SUMIFS('Investor Exit List'!$Q:$Q,'Investor Exit List'!$AB:$AB,B420)</f>
        <v>132306.84931506851</v>
      </c>
      <c r="E420" s="26" t="str">
        <f t="shared" si="17"/>
        <v>HVK306</v>
      </c>
      <c r="F420" s="12">
        <f t="shared" si="18"/>
        <v>0</v>
      </c>
      <c r="AF420" s="14"/>
    </row>
    <row r="421" spans="1:32" ht="29" hidden="1" x14ac:dyDescent="0.35">
      <c r="A421" s="15" t="str">
        <f t="shared" si="16"/>
        <v>K</v>
      </c>
      <c r="B421" s="12" t="str">
        <v>HVK401-ZRAN01</v>
      </c>
      <c r="C421" s="16">
        <f>SUMIFS('Investor Exit List'!$AC:$AC,'Investor Exit List'!$AB:$AB,B421)</f>
        <v>45746</v>
      </c>
      <c r="D421" s="12">
        <f>SUMIFS('Investor Exit List'!$Q:$Q,'Investor Exit List'!$AB:$AB,B421)</f>
        <v>153757.06519260275</v>
      </c>
      <c r="E421" s="26" t="str">
        <f t="shared" si="17"/>
        <v>HVK401</v>
      </c>
      <c r="F421" s="12">
        <f t="shared" si="18"/>
        <v>0</v>
      </c>
      <c r="AF421" s="14"/>
    </row>
    <row r="422" spans="1:32" ht="29" hidden="1" x14ac:dyDescent="0.35">
      <c r="A422" s="15" t="str">
        <f t="shared" si="16"/>
        <v>K</v>
      </c>
      <c r="B422" s="12" t="str">
        <v>HVK401-ZVAN13</v>
      </c>
      <c r="C422" s="16">
        <f>SUMIFS('Investor Exit List'!$AC:$AC,'Investor Exit List'!$AB:$AB,B422)</f>
        <v>45710</v>
      </c>
      <c r="D422" s="12">
        <f>SUMIFS('Investor Exit List'!$Q:$Q,'Investor Exit List'!$AB:$AB,B422)</f>
        <v>1352636.9863013697</v>
      </c>
      <c r="E422" s="26" t="str">
        <f t="shared" si="17"/>
        <v>HVK401</v>
      </c>
      <c r="F422" s="12">
        <f t="shared" si="18"/>
        <v>0</v>
      </c>
      <c r="AF422" s="14"/>
    </row>
    <row r="423" spans="1:32" ht="29" hidden="1" x14ac:dyDescent="0.35">
      <c r="A423" s="15" t="str">
        <f t="shared" si="16"/>
        <v>K</v>
      </c>
      <c r="B423" s="12" t="str">
        <v>HVK402-ZVAN02</v>
      </c>
      <c r="C423" s="16">
        <f>SUMIFS('Investor Exit List'!$AC:$AC,'Investor Exit List'!$AB:$AB,B423)</f>
        <v>45725</v>
      </c>
      <c r="D423" s="12">
        <f>SUMIFS('Investor Exit List'!$Q:$Q,'Investor Exit List'!$AB:$AB,B423)</f>
        <v>158121.9196860274</v>
      </c>
      <c r="E423" s="26" t="str">
        <f t="shared" si="17"/>
        <v>HVK402</v>
      </c>
      <c r="F423" s="12">
        <f t="shared" si="18"/>
        <v>0</v>
      </c>
      <c r="AF423" s="14"/>
    </row>
    <row r="424" spans="1:32" ht="29" hidden="1" x14ac:dyDescent="0.35">
      <c r="A424" s="15" t="str">
        <f t="shared" si="16"/>
        <v>K</v>
      </c>
      <c r="B424" s="12" t="str">
        <v>HVK402-ZVAN14</v>
      </c>
      <c r="C424" s="16">
        <f>SUMIFS('Investor Exit List'!$AC:$AC,'Investor Exit List'!$AB:$AB,B424)</f>
        <v>45746</v>
      </c>
      <c r="D424" s="12">
        <f>SUMIFS('Investor Exit List'!$Q:$Q,'Investor Exit List'!$AB:$AB,B424)</f>
        <v>1343678.0821917807</v>
      </c>
      <c r="E424" s="26" t="str">
        <f t="shared" si="17"/>
        <v>HVK402</v>
      </c>
      <c r="F424" s="12">
        <f t="shared" si="18"/>
        <v>0</v>
      </c>
      <c r="AF424" s="14"/>
    </row>
    <row r="425" spans="1:32" ht="29" hidden="1" x14ac:dyDescent="0.35">
      <c r="A425" s="15" t="str">
        <f t="shared" si="16"/>
        <v>K</v>
      </c>
      <c r="B425" s="12" t="str">
        <v>HVK403-ZALM01</v>
      </c>
      <c r="C425" s="16">
        <f>SUMIFS('Investor Exit List'!$AC:$AC,'Investor Exit List'!$AB:$AB,B425)</f>
        <v>45837</v>
      </c>
      <c r="D425" s="12">
        <f>SUMIFS('Investor Exit List'!$Q:$Q,'Investor Exit List'!$AB:$AB,B425)</f>
        <v>195692.46575342468</v>
      </c>
      <c r="E425" s="26" t="str">
        <f t="shared" si="17"/>
        <v>HVK403</v>
      </c>
      <c r="F425" s="12">
        <f t="shared" si="18"/>
        <v>0</v>
      </c>
      <c r="AF425" s="14"/>
    </row>
    <row r="426" spans="1:32" ht="29" hidden="1" x14ac:dyDescent="0.35">
      <c r="A426" s="15" t="str">
        <f t="shared" si="16"/>
        <v>K</v>
      </c>
      <c r="B426" s="12" t="str">
        <v>HVK403-ZGRA01</v>
      </c>
      <c r="C426" s="16">
        <f>SUMIFS('Investor Exit List'!$AC:$AC,'Investor Exit List'!$AB:$AB,B426)</f>
        <v>45746</v>
      </c>
      <c r="D426" s="12">
        <f>SUMIFS('Investor Exit List'!$Q:$Q,'Investor Exit List'!$AB:$AB,B426)</f>
        <v>126833.56164383561</v>
      </c>
      <c r="E426" s="26" t="str">
        <f t="shared" si="17"/>
        <v>HVK403</v>
      </c>
      <c r="F426" s="12">
        <f t="shared" si="18"/>
        <v>0</v>
      </c>
      <c r="AF426" s="14"/>
    </row>
    <row r="427" spans="1:32" ht="29" hidden="1" x14ac:dyDescent="0.35">
      <c r="A427" s="15" t="str">
        <f t="shared" si="16"/>
        <v>K</v>
      </c>
      <c r="B427" s="12" t="str">
        <v>HVK403-ZHAN06</v>
      </c>
      <c r="C427" s="16">
        <f>SUMIFS('Investor Exit List'!$AC:$AC,'Investor Exit List'!$AB:$AB,B427)</f>
        <v>45746</v>
      </c>
      <c r="D427" s="12">
        <f>SUMIFS('Investor Exit List'!$Q:$Q,'Investor Exit List'!$AB:$AB,B427)</f>
        <v>253934.24657534243</v>
      </c>
      <c r="E427" s="26" t="str">
        <f t="shared" si="17"/>
        <v>HVK403</v>
      </c>
      <c r="F427" s="12">
        <f t="shared" si="18"/>
        <v>0</v>
      </c>
      <c r="AF427" s="14"/>
    </row>
    <row r="428" spans="1:32" ht="29" hidden="1" x14ac:dyDescent="0.35">
      <c r="A428" s="15" t="str">
        <f t="shared" si="16"/>
        <v>K</v>
      </c>
      <c r="B428" s="12" t="str">
        <v>HVK403-ZINT01</v>
      </c>
      <c r="C428" s="16">
        <f>SUMIFS('Investor Exit List'!$AC:$AC,'Investor Exit List'!$AB:$AB,B428)</f>
        <v>45738</v>
      </c>
      <c r="D428" s="12">
        <f>SUMIFS('Investor Exit List'!$Q:$Q,'Investor Exit List'!$AB:$AB,B428)</f>
        <v>134847.26027397258</v>
      </c>
      <c r="E428" s="26" t="str">
        <f t="shared" si="17"/>
        <v>HVK403</v>
      </c>
      <c r="F428" s="12">
        <f t="shared" si="18"/>
        <v>0</v>
      </c>
      <c r="AF428" s="14"/>
    </row>
    <row r="429" spans="1:32" ht="29" hidden="1" x14ac:dyDescent="0.35">
      <c r="A429" s="15" t="str">
        <f t="shared" si="16"/>
        <v>K</v>
      </c>
      <c r="B429" s="12" t="str">
        <v>HVK403-ZKRO01</v>
      </c>
      <c r="C429" s="16">
        <f>SUMIFS('Investor Exit List'!$AC:$AC,'Investor Exit List'!$AB:$AB,B429)</f>
        <v>45802</v>
      </c>
      <c r="D429" s="12">
        <f>SUMIFS('Investor Exit List'!$Q:$Q,'Investor Exit List'!$AB:$AB,B429)</f>
        <v>244535.85327780823</v>
      </c>
      <c r="E429" s="26" t="str">
        <f t="shared" si="17"/>
        <v>HVK403</v>
      </c>
      <c r="F429" s="12">
        <f t="shared" si="18"/>
        <v>0</v>
      </c>
      <c r="AF429" s="14"/>
    </row>
    <row r="430" spans="1:32" ht="29" hidden="1" x14ac:dyDescent="0.35">
      <c r="A430" s="15" t="str">
        <f t="shared" si="16"/>
        <v>K</v>
      </c>
      <c r="B430" s="12" t="str">
        <v>HVK403-ZLUN01</v>
      </c>
      <c r="C430" s="16">
        <f>SUMIFS('Investor Exit List'!$AC:$AC,'Investor Exit List'!$AB:$AB,B430)</f>
        <v>45837</v>
      </c>
      <c r="D430" s="12">
        <f>SUMIFS('Investor Exit List'!$Q:$Q,'Investor Exit List'!$AB:$AB,B430)</f>
        <v>195774.65753424657</v>
      </c>
      <c r="E430" s="26" t="str">
        <f t="shared" si="17"/>
        <v>HVK403</v>
      </c>
      <c r="F430" s="12">
        <f t="shared" si="18"/>
        <v>0</v>
      </c>
      <c r="AF430" s="14"/>
    </row>
    <row r="431" spans="1:32" ht="29" hidden="1" x14ac:dyDescent="0.35">
      <c r="A431" s="15" t="str">
        <f t="shared" si="16"/>
        <v>K</v>
      </c>
      <c r="B431" s="12" t="str">
        <v>HVK403-ZMCK01</v>
      </c>
      <c r="C431" s="16">
        <f>SUMIFS('Investor Exit List'!$AC:$AC,'Investor Exit List'!$AB:$AB,B431)</f>
        <v>45802</v>
      </c>
      <c r="D431" s="12">
        <f>SUMIFS('Investor Exit List'!$Q:$Q,'Investor Exit List'!$AB:$AB,B431)</f>
        <v>132317.80821917808</v>
      </c>
      <c r="E431" s="26" t="str">
        <f t="shared" si="17"/>
        <v>HVK403</v>
      </c>
      <c r="F431" s="12">
        <f t="shared" si="18"/>
        <v>0</v>
      </c>
      <c r="AF431" s="14"/>
    </row>
    <row r="432" spans="1:32" ht="29" hidden="1" x14ac:dyDescent="0.35">
      <c r="A432" s="15" t="str">
        <f t="shared" si="16"/>
        <v>K</v>
      </c>
      <c r="B432" s="12" t="str">
        <v>HVK403-ZTHA01</v>
      </c>
      <c r="C432" s="16">
        <f>SUMIFS('Investor Exit List'!$AC:$AC,'Investor Exit List'!$AB:$AB,B432)</f>
        <v>45738</v>
      </c>
      <c r="D432" s="12">
        <f>SUMIFS('Investor Exit List'!$Q:$Q,'Investor Exit List'!$AB:$AB,B432)</f>
        <v>163446.99840000001</v>
      </c>
      <c r="E432" s="26" t="str">
        <f t="shared" si="17"/>
        <v>HVK403</v>
      </c>
      <c r="F432" s="12">
        <f t="shared" si="18"/>
        <v>0</v>
      </c>
      <c r="AF432" s="14"/>
    </row>
    <row r="433" spans="1:32" ht="29" hidden="1" x14ac:dyDescent="0.35">
      <c r="A433" s="15" t="str">
        <f t="shared" si="16"/>
        <v>K</v>
      </c>
      <c r="B433" s="12" t="str">
        <v>HVK404-ZMCK01</v>
      </c>
      <c r="C433" s="16">
        <f>SUMIFS('Investor Exit List'!$AC:$AC,'Investor Exit List'!$AB:$AB,B433)</f>
        <v>45802</v>
      </c>
      <c r="D433" s="12">
        <f>SUMIFS('Investor Exit List'!$Q:$Q,'Investor Exit List'!$AB:$AB,B433)</f>
        <v>1433254.7945205481</v>
      </c>
      <c r="E433" s="26" t="str">
        <f t="shared" si="17"/>
        <v>HVK404</v>
      </c>
      <c r="F433" s="12">
        <f t="shared" si="18"/>
        <v>0</v>
      </c>
      <c r="AF433" s="14"/>
    </row>
    <row r="434" spans="1:32" ht="29" hidden="1" x14ac:dyDescent="0.35">
      <c r="A434" s="15" t="str">
        <f t="shared" si="16"/>
        <v>K</v>
      </c>
      <c r="B434" s="12" t="str">
        <v>HVK405-ZVAN15</v>
      </c>
      <c r="C434" s="16">
        <f>SUMIFS('Investor Exit List'!$AC:$AC,'Investor Exit List'!$AB:$AB,B434)</f>
        <v>45802</v>
      </c>
      <c r="D434" s="12">
        <f>SUMIFS('Investor Exit List'!$Q:$Q,'Investor Exit List'!$AB:$AB,B434)</f>
        <v>1301260.273972603</v>
      </c>
      <c r="E434" s="26" t="str">
        <f t="shared" si="17"/>
        <v>HVK405</v>
      </c>
      <c r="F434" s="12">
        <f t="shared" si="18"/>
        <v>0</v>
      </c>
      <c r="AF434" s="14"/>
    </row>
    <row r="435" spans="1:32" ht="29" hidden="1" x14ac:dyDescent="0.35">
      <c r="A435" s="15" t="str">
        <f t="shared" ref="A435:A498" si="19">MID(E435, 3, 1)</f>
        <v>K</v>
      </c>
      <c r="B435" s="12" t="str">
        <v>HVK405-ZVER02</v>
      </c>
      <c r="C435" s="16">
        <f>SUMIFS('Investor Exit List'!$AC:$AC,'Investor Exit List'!$AB:$AB,B435)</f>
        <v>45802</v>
      </c>
      <c r="D435" s="12">
        <f>SUMIFS('Investor Exit List'!$Q:$Q,'Investor Exit List'!$AB:$AB,B435)</f>
        <v>146416.68201863015</v>
      </c>
      <c r="E435" s="26" t="str">
        <f t="shared" ref="E435:E498" si="20">LEFT(B435,6)</f>
        <v>HVK405</v>
      </c>
      <c r="F435" s="12">
        <f t="shared" si="18"/>
        <v>0</v>
      </c>
      <c r="AF435" s="14"/>
    </row>
    <row r="436" spans="1:32" ht="29" hidden="1" x14ac:dyDescent="0.35">
      <c r="A436" s="15" t="str">
        <f t="shared" si="19"/>
        <v>K</v>
      </c>
      <c r="B436" s="12" t="str">
        <v>HVK406-ZVAN13</v>
      </c>
      <c r="C436" s="16">
        <f>SUMIFS('Investor Exit List'!$AC:$AC,'Investor Exit List'!$AB:$AB,B436)</f>
        <v>45746</v>
      </c>
      <c r="D436" s="12">
        <f>SUMIFS('Investor Exit List'!$Q:$Q,'Investor Exit List'!$AB:$AB,B436)</f>
        <v>630948.63013698626</v>
      </c>
      <c r="E436" s="26" t="str">
        <f t="shared" si="20"/>
        <v>HVK406</v>
      </c>
      <c r="F436" s="12">
        <f t="shared" ref="F436:F499" si="21">IF(SUMIFS($E$117:$E$149,$D$117:$D$149,E436)&lt;&gt;0,E436,0)</f>
        <v>0</v>
      </c>
      <c r="AF436" s="14"/>
    </row>
    <row r="437" spans="1:32" ht="29" hidden="1" x14ac:dyDescent="0.35">
      <c r="A437" s="15" t="str">
        <f t="shared" si="19"/>
        <v>K</v>
      </c>
      <c r="B437" s="12" t="str">
        <v>HVK406-ZVAN14</v>
      </c>
      <c r="C437" s="16">
        <f>SUMIFS('Investor Exit List'!$AC:$AC,'Investor Exit List'!$AB:$AB,B437)</f>
        <v>45746</v>
      </c>
      <c r="D437" s="12">
        <f>SUMIFS('Investor Exit List'!$Q:$Q,'Investor Exit List'!$AB:$AB,B437)</f>
        <v>630414.38356164377</v>
      </c>
      <c r="E437" s="26" t="str">
        <f t="shared" si="20"/>
        <v>HVK406</v>
      </c>
      <c r="F437" s="12">
        <f t="shared" si="21"/>
        <v>0</v>
      </c>
      <c r="AF437" s="14"/>
    </row>
    <row r="438" spans="1:32" ht="29" hidden="1" x14ac:dyDescent="0.35">
      <c r="A438" s="15" t="str">
        <f t="shared" si="19"/>
        <v>K</v>
      </c>
      <c r="B438" s="12" t="str">
        <v>HVK406-ZVOL01</v>
      </c>
      <c r="C438" s="16">
        <f>SUMIFS('Investor Exit List'!$AC:$AC,'Investor Exit List'!$AB:$AB,B438)</f>
        <v>45746</v>
      </c>
      <c r="D438" s="12">
        <f>SUMIFS('Investor Exit List'!$Q:$Q,'Investor Exit List'!$AB:$AB,B438)</f>
        <v>137708.94686595892</v>
      </c>
      <c r="E438" s="26" t="str">
        <f t="shared" si="20"/>
        <v>HVK406</v>
      </c>
      <c r="F438" s="12">
        <f t="shared" si="21"/>
        <v>0</v>
      </c>
      <c r="AF438" s="14"/>
    </row>
    <row r="439" spans="1:32" ht="29" hidden="1" x14ac:dyDescent="0.35">
      <c r="A439" s="15" t="str">
        <f t="shared" si="19"/>
        <v>L</v>
      </c>
      <c r="B439" s="12" t="str">
        <v>HVL101-ZMYB01</v>
      </c>
      <c r="C439" s="16">
        <f>SUMIFS('Investor Exit List'!$AC:$AC,'Investor Exit List'!$AB:$AB,B439)</f>
        <v>46010</v>
      </c>
      <c r="D439" s="12">
        <f>SUMIFS('Investor Exit List'!$Q:$Q,'Investor Exit List'!$AB:$AB,B439)</f>
        <v>1292364.3835616438</v>
      </c>
      <c r="E439" s="26" t="str">
        <f t="shared" si="20"/>
        <v>HVL101</v>
      </c>
      <c r="F439" s="12">
        <f t="shared" si="21"/>
        <v>0</v>
      </c>
      <c r="AF439" s="14"/>
    </row>
    <row r="440" spans="1:32" ht="29" hidden="1" x14ac:dyDescent="0.35">
      <c r="A440" s="15" t="str">
        <f t="shared" si="19"/>
        <v>L</v>
      </c>
      <c r="B440" s="12" t="str">
        <v>HVL102-ZMYB01</v>
      </c>
      <c r="C440" s="16">
        <f>SUMIFS('Investor Exit List'!$AC:$AC,'Investor Exit List'!$AB:$AB,B440)</f>
        <v>46010</v>
      </c>
      <c r="D440" s="12">
        <f>SUMIFS('Investor Exit List'!$Q:$Q,'Investor Exit List'!$AB:$AB,B440)</f>
        <v>822413.69863013714</v>
      </c>
      <c r="E440" s="26" t="str">
        <f t="shared" si="20"/>
        <v>HVL102</v>
      </c>
      <c r="F440" s="12">
        <f t="shared" si="21"/>
        <v>0</v>
      </c>
      <c r="AF440" s="14"/>
    </row>
    <row r="441" spans="1:32" ht="29" hidden="1" x14ac:dyDescent="0.35">
      <c r="A441" s="15" t="str">
        <f t="shared" si="19"/>
        <v>L</v>
      </c>
      <c r="B441" s="12" t="str">
        <v>HVL102-ZTUR01</v>
      </c>
      <c r="C441" s="16">
        <f>SUMIFS('Investor Exit List'!$AC:$AC,'Investor Exit List'!$AB:$AB,B441)</f>
        <v>45989</v>
      </c>
      <c r="D441" s="12">
        <f>SUMIFS('Investor Exit List'!$Q:$Q,'Investor Exit List'!$AB:$AB,B441)</f>
        <v>114202.73972602739</v>
      </c>
      <c r="E441" s="26" t="str">
        <f t="shared" si="20"/>
        <v>HVL102</v>
      </c>
      <c r="F441" s="12">
        <f t="shared" si="21"/>
        <v>0</v>
      </c>
      <c r="AF441" s="14"/>
    </row>
    <row r="442" spans="1:32" ht="29" hidden="1" x14ac:dyDescent="0.35">
      <c r="A442" s="15" t="str">
        <f t="shared" si="19"/>
        <v>L</v>
      </c>
      <c r="B442" s="12" t="str">
        <v>HVL102-ZVOL01</v>
      </c>
      <c r="C442" s="16">
        <f>SUMIFS('Investor Exit List'!$AC:$AC,'Investor Exit List'!$AB:$AB,B442)</f>
        <v>45989</v>
      </c>
      <c r="D442" s="12">
        <f>SUMIFS('Investor Exit List'!$Q:$Q,'Investor Exit List'!$AB:$AB,B442)</f>
        <v>290116.43835616438</v>
      </c>
      <c r="E442" s="26" t="str">
        <f t="shared" si="20"/>
        <v>HVL102</v>
      </c>
      <c r="F442" s="12">
        <f t="shared" si="21"/>
        <v>0</v>
      </c>
      <c r="AF442" s="14"/>
    </row>
    <row r="443" spans="1:32" ht="29" hidden="1" x14ac:dyDescent="0.35">
      <c r="A443" s="15" t="str">
        <f t="shared" si="19"/>
        <v>L</v>
      </c>
      <c r="B443" s="12" t="str">
        <v>HVL103-ZCRO02</v>
      </c>
      <c r="C443" s="16">
        <f>SUMIFS('Investor Exit List'!$AC:$AC,'Investor Exit List'!$AB:$AB,B443)</f>
        <v>46003</v>
      </c>
      <c r="D443" s="12">
        <f>SUMIFS('Investor Exit List'!$Q:$Q,'Investor Exit List'!$AB:$AB,B443)</f>
        <v>1176224.2593490412</v>
      </c>
      <c r="E443" s="26" t="str">
        <f t="shared" si="20"/>
        <v>HVL103</v>
      </c>
      <c r="F443" s="12">
        <f t="shared" si="21"/>
        <v>0</v>
      </c>
      <c r="AF443" s="14"/>
    </row>
    <row r="444" spans="1:32" ht="29" hidden="1" x14ac:dyDescent="0.35">
      <c r="A444" s="15" t="str">
        <f t="shared" si="19"/>
        <v>L</v>
      </c>
      <c r="B444" s="12" t="str">
        <v>HVL103-ZSIP01</v>
      </c>
      <c r="C444" s="16">
        <f>SUMIFS('Investor Exit List'!$AC:$AC,'Investor Exit List'!$AB:$AB,B444)</f>
        <v>45989</v>
      </c>
      <c r="D444" s="12">
        <f>SUMIFS('Investor Exit List'!$Q:$Q,'Investor Exit List'!$AB:$AB,B444)</f>
        <v>114202.73972602739</v>
      </c>
      <c r="E444" s="26" t="str">
        <f t="shared" si="20"/>
        <v>HVL103</v>
      </c>
      <c r="F444" s="12">
        <f t="shared" si="21"/>
        <v>0</v>
      </c>
      <c r="AF444" s="14"/>
    </row>
    <row r="445" spans="1:32" ht="29" hidden="1" x14ac:dyDescent="0.35">
      <c r="A445" s="15" t="str">
        <f t="shared" si="19"/>
        <v>L</v>
      </c>
      <c r="B445" s="12" t="str">
        <v>HVL104-ZMYB01</v>
      </c>
      <c r="C445" s="16">
        <f>SUMIFS('Investor Exit List'!$AC:$AC,'Investor Exit List'!$AB:$AB,B445)</f>
        <v>46010</v>
      </c>
      <c r="D445" s="12">
        <f>SUMIFS('Investor Exit List'!$Q:$Q,'Investor Exit List'!$AB:$AB,B445)</f>
        <v>1292364.3835616438</v>
      </c>
      <c r="E445" s="26" t="str">
        <f t="shared" si="20"/>
        <v>HVL104</v>
      </c>
      <c r="F445" s="12">
        <f t="shared" si="21"/>
        <v>0</v>
      </c>
      <c r="AF445" s="14"/>
    </row>
    <row r="446" spans="1:32" ht="29" hidden="1" x14ac:dyDescent="0.35">
      <c r="A446" s="15" t="str">
        <f t="shared" si="19"/>
        <v>L</v>
      </c>
      <c r="B446" s="12" t="str">
        <v>HVL201-ZHAL03</v>
      </c>
      <c r="C446" s="16">
        <f>SUMIFS('Investor Exit List'!$AC:$AC,'Investor Exit List'!$AB:$AB,B446)</f>
        <v>46093</v>
      </c>
      <c r="D446" s="12">
        <f>SUMIFS('Investor Exit List'!$Q:$Q,'Investor Exit List'!$AB:$AB,B446)</f>
        <v>662203.03561643837</v>
      </c>
      <c r="E446" s="26" t="str">
        <f t="shared" si="20"/>
        <v>HVL201</v>
      </c>
      <c r="F446" s="12">
        <f t="shared" si="21"/>
        <v>0</v>
      </c>
      <c r="AF446" s="14"/>
    </row>
    <row r="447" spans="1:32" ht="29" hidden="1" x14ac:dyDescent="0.35">
      <c r="A447" s="15" t="str">
        <f t="shared" si="19"/>
        <v>L</v>
      </c>
      <c r="B447" s="12" t="str">
        <v>HVL201-ZHEN01</v>
      </c>
      <c r="C447" s="16">
        <f>SUMIFS('Investor Exit List'!$AC:$AC,'Investor Exit List'!$AB:$AB,B447)</f>
        <v>45989</v>
      </c>
      <c r="D447" s="12">
        <f>SUMIFS('Investor Exit List'!$Q:$Q,'Investor Exit List'!$AB:$AB,B447)</f>
        <v>465994.52054794517</v>
      </c>
      <c r="E447" s="26" t="str">
        <f t="shared" si="20"/>
        <v>HVL201</v>
      </c>
      <c r="F447" s="12">
        <f t="shared" si="21"/>
        <v>0</v>
      </c>
      <c r="AF447" s="14"/>
    </row>
    <row r="448" spans="1:32" ht="29" hidden="1" x14ac:dyDescent="0.35">
      <c r="A448" s="15" t="str">
        <f t="shared" si="19"/>
        <v>L</v>
      </c>
      <c r="B448" s="12" t="str">
        <v>HVL201-ZINT01</v>
      </c>
      <c r="C448" s="16">
        <f>SUMIFS('Investor Exit List'!$AC:$AC,'Investor Exit List'!$AB:$AB,B448)</f>
        <v>46101</v>
      </c>
      <c r="D448" s="12">
        <f>SUMIFS('Investor Exit List'!$Q:$Q,'Investor Exit List'!$AB:$AB,B448)</f>
        <v>110317.80821917808</v>
      </c>
      <c r="E448" s="26" t="str">
        <f t="shared" si="20"/>
        <v>HVL201</v>
      </c>
      <c r="F448" s="12">
        <f t="shared" si="21"/>
        <v>0</v>
      </c>
      <c r="AF448" s="14"/>
    </row>
    <row r="449" spans="1:32" ht="29" hidden="1" x14ac:dyDescent="0.35">
      <c r="A449" s="15" t="str">
        <f t="shared" si="19"/>
        <v>L</v>
      </c>
      <c r="B449" s="12" t="str">
        <v>HVL201-ZKUS03</v>
      </c>
      <c r="C449" s="16">
        <f>SUMIFS('Investor Exit List'!$AC:$AC,'Investor Exit List'!$AB:$AB,B449)</f>
        <v>46003</v>
      </c>
      <c r="D449" s="12">
        <f>SUMIFS('Investor Exit List'!$Q:$Q,'Investor Exit List'!$AB:$AB,B449)</f>
        <v>112339.72602739726</v>
      </c>
      <c r="E449" s="26" t="str">
        <f t="shared" si="20"/>
        <v>HVL201</v>
      </c>
      <c r="F449" s="12">
        <f t="shared" si="21"/>
        <v>0</v>
      </c>
      <c r="AF449" s="14"/>
    </row>
    <row r="450" spans="1:32" ht="29" hidden="1" x14ac:dyDescent="0.35">
      <c r="A450" s="15" t="str">
        <f t="shared" si="19"/>
        <v>L</v>
      </c>
      <c r="B450" s="12" t="str">
        <v>HVL202-ZDEL01</v>
      </c>
      <c r="C450" s="16">
        <f>SUMIFS('Investor Exit List'!$AC:$AC,'Investor Exit List'!$AB:$AB,B450)</f>
        <v>46051</v>
      </c>
      <c r="D450" s="12">
        <f>SUMIFS('Investor Exit List'!$Q:$Q,'Investor Exit List'!$AB:$AB,B450)</f>
        <v>1383780.8219178081</v>
      </c>
      <c r="E450" s="26" t="str">
        <f t="shared" si="20"/>
        <v>HVL202</v>
      </c>
      <c r="F450" s="12">
        <f t="shared" si="21"/>
        <v>0</v>
      </c>
      <c r="AF450" s="14"/>
    </row>
    <row r="451" spans="1:32" ht="29" hidden="1" x14ac:dyDescent="0.35">
      <c r="A451" s="15" t="str">
        <f t="shared" si="19"/>
        <v>L</v>
      </c>
      <c r="B451" s="12" t="str">
        <v>HVL203-ZBUM01</v>
      </c>
      <c r="C451" s="16">
        <f>SUMIFS('Investor Exit List'!$AC:$AC,'Investor Exit List'!$AB:$AB,B451)</f>
        <v>46003</v>
      </c>
      <c r="D451" s="12">
        <f>SUMIFS('Investor Exit List'!$Q:$Q,'Investor Exit List'!$AB:$AB,B451)</f>
        <v>174172.60273972602</v>
      </c>
      <c r="E451" s="26" t="str">
        <f t="shared" si="20"/>
        <v>HVL203</v>
      </c>
      <c r="F451" s="12">
        <f t="shared" si="21"/>
        <v>0</v>
      </c>
      <c r="AF451" s="14"/>
    </row>
    <row r="452" spans="1:32" ht="29" hidden="1" x14ac:dyDescent="0.35">
      <c r="A452" s="15" t="str">
        <f t="shared" si="19"/>
        <v>L</v>
      </c>
      <c r="B452" s="12" t="str">
        <v>HVL203-ZDEL01</v>
      </c>
      <c r="C452" s="16">
        <f>SUMIFS('Investor Exit List'!$AC:$AC,'Investor Exit List'!$AB:$AB,B452)</f>
        <v>46003</v>
      </c>
      <c r="D452" s="12">
        <f>SUMIFS('Investor Exit List'!$Q:$Q,'Investor Exit List'!$AB:$AB,B452)</f>
        <v>207705.20547945207</v>
      </c>
      <c r="E452" s="26" t="str">
        <f t="shared" si="20"/>
        <v>HVL203</v>
      </c>
      <c r="F452" s="12">
        <f t="shared" si="21"/>
        <v>0</v>
      </c>
      <c r="AF452" s="14"/>
    </row>
    <row r="453" spans="1:32" ht="29" hidden="1" x14ac:dyDescent="0.35">
      <c r="A453" s="15" t="str">
        <f t="shared" si="19"/>
        <v>L</v>
      </c>
      <c r="B453" s="12" t="str">
        <v>HVL203-ZERA02</v>
      </c>
      <c r="C453" s="16">
        <f>SUMIFS('Investor Exit List'!$AC:$AC,'Investor Exit List'!$AB:$AB,B453)</f>
        <v>46003</v>
      </c>
      <c r="D453" s="12">
        <f>SUMIFS('Investor Exit List'!$Q:$Q,'Investor Exit List'!$AB:$AB,B453)</f>
        <v>339098.63013698632</v>
      </c>
      <c r="E453" s="26" t="str">
        <f t="shared" si="20"/>
        <v>HVL203</v>
      </c>
      <c r="F453" s="12">
        <f t="shared" si="21"/>
        <v>0</v>
      </c>
      <c r="AF453" s="14"/>
    </row>
    <row r="454" spans="1:32" ht="29" hidden="1" x14ac:dyDescent="0.35">
      <c r="A454" s="15" t="str">
        <f t="shared" si="19"/>
        <v>L</v>
      </c>
      <c r="B454" s="12" t="str">
        <v>HVL203-ZHEN01</v>
      </c>
      <c r="C454" s="16">
        <f>SUMIFS('Investor Exit List'!$AC:$AC,'Investor Exit List'!$AB:$AB,B454)</f>
        <v>46093</v>
      </c>
      <c r="D454" s="12">
        <f>SUMIFS('Investor Exit List'!$Q:$Q,'Investor Exit List'!$AB:$AB,B454)</f>
        <v>133138.67397260273</v>
      </c>
      <c r="E454" s="26" t="str">
        <f t="shared" si="20"/>
        <v>HVL203</v>
      </c>
      <c r="F454" s="12">
        <f t="shared" si="21"/>
        <v>0</v>
      </c>
      <c r="AF454" s="14"/>
    </row>
    <row r="455" spans="1:32" ht="29" hidden="1" x14ac:dyDescent="0.35">
      <c r="A455" s="15" t="str">
        <f t="shared" si="19"/>
        <v>L</v>
      </c>
      <c r="B455" s="12" t="str">
        <v>HVL203-ZHUT01</v>
      </c>
      <c r="C455" s="16">
        <f>SUMIFS('Investor Exit List'!$AC:$AC,'Investor Exit List'!$AB:$AB,B455)</f>
        <v>46101</v>
      </c>
      <c r="D455" s="12">
        <f>SUMIFS('Investor Exit List'!$Q:$Q,'Investor Exit List'!$AB:$AB,B455)</f>
        <v>340679.81204383564</v>
      </c>
      <c r="E455" s="26" t="str">
        <f t="shared" si="20"/>
        <v>HVL203</v>
      </c>
      <c r="F455" s="12">
        <f t="shared" si="21"/>
        <v>0</v>
      </c>
      <c r="AF455" s="14"/>
    </row>
    <row r="456" spans="1:32" ht="29" hidden="1" x14ac:dyDescent="0.35">
      <c r="A456" s="15" t="str">
        <f t="shared" si="19"/>
        <v>L</v>
      </c>
      <c r="B456" s="12" t="str">
        <v>HVL203-ZROD01</v>
      </c>
      <c r="C456" s="16">
        <f>SUMIFS('Investor Exit List'!$AC:$AC,'Investor Exit List'!$AB:$AB,B456)</f>
        <v>46093</v>
      </c>
      <c r="D456" s="12">
        <f>SUMIFS('Investor Exit List'!$Q:$Q,'Investor Exit List'!$AB:$AB,B456)</f>
        <v>152174.71794410961</v>
      </c>
      <c r="E456" s="26" t="str">
        <f t="shared" si="20"/>
        <v>HVL203</v>
      </c>
      <c r="F456" s="12">
        <f t="shared" si="21"/>
        <v>0</v>
      </c>
      <c r="AF456" s="14"/>
    </row>
    <row r="457" spans="1:32" ht="29" hidden="1" x14ac:dyDescent="0.35">
      <c r="A457" s="15" t="str">
        <f t="shared" si="19"/>
        <v>L</v>
      </c>
      <c r="B457" s="12" t="str">
        <v>HVL204-ZHEI01</v>
      </c>
      <c r="C457" s="16">
        <f>SUMIFS('Investor Exit List'!$AC:$AC,'Investor Exit List'!$AB:$AB,B457)</f>
        <v>46101</v>
      </c>
      <c r="D457" s="12">
        <f>SUMIFS('Investor Exit List'!$Q:$Q,'Investor Exit List'!$AB:$AB,B457)</f>
        <v>1086096.4727671233</v>
      </c>
      <c r="E457" s="26" t="str">
        <f t="shared" si="20"/>
        <v>HVL204</v>
      </c>
      <c r="F457" s="12">
        <f t="shared" si="21"/>
        <v>0</v>
      </c>
      <c r="AF457" s="14"/>
    </row>
    <row r="458" spans="1:32" ht="29" hidden="1" x14ac:dyDescent="0.35">
      <c r="A458" s="15" t="str">
        <f t="shared" si="19"/>
        <v>L</v>
      </c>
      <c r="B458" s="12" t="str">
        <v>HVL204-ZINT01</v>
      </c>
      <c r="C458" s="16">
        <f>SUMIFS('Investor Exit List'!$AC:$AC,'Investor Exit List'!$AB:$AB,B458)</f>
        <v>45891</v>
      </c>
      <c r="D458" s="12">
        <f>SUMIFS('Investor Exit List'!$Q:$Q,'Investor Exit List'!$AB:$AB,B458)</f>
        <v>126215.72675506849</v>
      </c>
      <c r="E458" s="26" t="str">
        <f t="shared" si="20"/>
        <v>HVL204</v>
      </c>
      <c r="F458" s="12">
        <f t="shared" si="21"/>
        <v>0</v>
      </c>
      <c r="AF458" s="14"/>
    </row>
    <row r="459" spans="1:32" ht="29" hidden="1" x14ac:dyDescent="0.35">
      <c r="A459" s="15" t="str">
        <f t="shared" si="19"/>
        <v>L</v>
      </c>
      <c r="B459" s="12" t="str">
        <v>HVL204-ZNIE02</v>
      </c>
      <c r="C459" s="16">
        <f>SUMIFS('Investor Exit List'!$AC:$AC,'Investor Exit List'!$AB:$AB,B459)</f>
        <v>46003</v>
      </c>
      <c r="D459" s="12">
        <f>SUMIFS('Investor Exit List'!$Q:$Q,'Investor Exit List'!$AB:$AB,B459)</f>
        <v>113032.87671232875</v>
      </c>
      <c r="E459" s="26" t="str">
        <f t="shared" si="20"/>
        <v>HVL204</v>
      </c>
      <c r="F459" s="12">
        <f t="shared" si="21"/>
        <v>0</v>
      </c>
      <c r="AF459" s="14"/>
    </row>
    <row r="460" spans="1:32" ht="29" hidden="1" x14ac:dyDescent="0.35">
      <c r="A460" s="15" t="str">
        <f t="shared" si="19"/>
        <v>M</v>
      </c>
      <c r="B460" s="12" t="str">
        <v>HVM101-ZAFR01</v>
      </c>
      <c r="C460" s="16">
        <f>SUMIFS('Investor Exit List'!$AC:$AC,'Investor Exit List'!$AB:$AB,B460)</f>
        <v>45859</v>
      </c>
      <c r="D460" s="12">
        <f>SUMIFS('Investor Exit List'!$Q:$Q,'Investor Exit List'!$AB:$AB,B460)</f>
        <v>374692.70874561643</v>
      </c>
      <c r="E460" s="26" t="str">
        <f t="shared" si="20"/>
        <v>HVM101</v>
      </c>
      <c r="F460" s="12">
        <f t="shared" si="21"/>
        <v>0</v>
      </c>
      <c r="AF460" s="14"/>
    </row>
    <row r="461" spans="1:32" ht="29" hidden="1" x14ac:dyDescent="0.35">
      <c r="A461" s="15" t="str">
        <f t="shared" si="19"/>
        <v>M</v>
      </c>
      <c r="B461" s="12" t="str">
        <v>HVM101-ZKOO01</v>
      </c>
      <c r="C461" s="16">
        <f>SUMIFS('Investor Exit List'!$AC:$AC,'Investor Exit List'!$AB:$AB,B461)</f>
        <v>45891</v>
      </c>
      <c r="D461" s="12">
        <f>SUMIFS('Investor Exit List'!$Q:$Q,'Investor Exit List'!$AB:$AB,B461)</f>
        <v>608671.23287671234</v>
      </c>
      <c r="E461" s="26" t="str">
        <f t="shared" si="20"/>
        <v>HVM101</v>
      </c>
      <c r="F461" s="12">
        <f t="shared" si="21"/>
        <v>0</v>
      </c>
      <c r="AF461" s="14"/>
    </row>
    <row r="462" spans="1:32" ht="29" hidden="1" x14ac:dyDescent="0.35">
      <c r="A462" s="15" t="str">
        <f t="shared" si="19"/>
        <v>M</v>
      </c>
      <c r="B462" s="12" t="str">
        <v>HVM101-ZRIT01</v>
      </c>
      <c r="C462" s="16">
        <f>SUMIFS('Investor Exit List'!$AC:$AC,'Investor Exit List'!$AB:$AB,B462)</f>
        <v>45891</v>
      </c>
      <c r="D462" s="12">
        <f>SUMIFS('Investor Exit List'!$Q:$Q,'Investor Exit List'!$AB:$AB,B462)</f>
        <v>372283.56164383562</v>
      </c>
      <c r="E462" s="26" t="str">
        <f t="shared" si="20"/>
        <v>HVM101</v>
      </c>
      <c r="F462" s="12">
        <f t="shared" si="21"/>
        <v>0</v>
      </c>
      <c r="AF462" s="14"/>
    </row>
    <row r="463" spans="1:32" ht="29" hidden="1" x14ac:dyDescent="0.35">
      <c r="A463" s="15" t="str">
        <f t="shared" si="19"/>
        <v>M</v>
      </c>
      <c r="B463" s="12" t="str">
        <v>HVM102-ZNUN01</v>
      </c>
      <c r="C463" s="16">
        <f>SUMIFS('Investor Exit List'!$AC:$AC,'Investor Exit List'!$AB:$AB,B463)</f>
        <v>45859</v>
      </c>
      <c r="D463" s="12">
        <f>SUMIFS('Investor Exit List'!$Q:$Q,'Investor Exit List'!$AB:$AB,B463)</f>
        <v>378093.99833589041</v>
      </c>
      <c r="E463" s="26" t="str">
        <f t="shared" si="20"/>
        <v>HVM102</v>
      </c>
      <c r="F463" s="12">
        <f t="shared" si="21"/>
        <v>0</v>
      </c>
      <c r="AF463" s="14"/>
    </row>
    <row r="464" spans="1:32" ht="29" hidden="1" x14ac:dyDescent="0.35">
      <c r="A464" s="15" t="str">
        <f t="shared" si="19"/>
        <v>M</v>
      </c>
      <c r="B464" s="12" t="str">
        <v>HVM102-ZRIT01</v>
      </c>
      <c r="C464" s="16">
        <f>SUMIFS('Investor Exit List'!$AC:$AC,'Investor Exit List'!$AB:$AB,B464)</f>
        <v>45891</v>
      </c>
      <c r="D464" s="12">
        <f>SUMIFS('Investor Exit List'!$Q:$Q,'Investor Exit List'!$AB:$AB,B464)</f>
        <v>372283.56164383562</v>
      </c>
      <c r="E464" s="26" t="str">
        <f t="shared" si="20"/>
        <v>HVM102</v>
      </c>
      <c r="F464" s="12">
        <f t="shared" si="21"/>
        <v>0</v>
      </c>
      <c r="AF464" s="14"/>
    </row>
    <row r="465" spans="1:32" ht="29" hidden="1" x14ac:dyDescent="0.35">
      <c r="A465" s="15" t="str">
        <f t="shared" si="19"/>
        <v>M</v>
      </c>
      <c r="B465" s="12" t="str">
        <v>HVM102-ZSCH04</v>
      </c>
      <c r="C465" s="16">
        <f>SUMIFS('Investor Exit List'!$AC:$AC,'Investor Exit List'!$AB:$AB,B465)</f>
        <v>45859</v>
      </c>
      <c r="D465" s="12">
        <f>SUMIFS('Investor Exit List'!$Q:$Q,'Investor Exit List'!$AB:$AB,B465)</f>
        <v>621116.43835616426</v>
      </c>
      <c r="E465" s="26" t="str">
        <f t="shared" si="20"/>
        <v>HVM102</v>
      </c>
      <c r="F465" s="12">
        <f t="shared" si="21"/>
        <v>0</v>
      </c>
      <c r="AF465" s="14"/>
    </row>
    <row r="466" spans="1:32" ht="29" hidden="1" x14ac:dyDescent="0.35">
      <c r="A466" s="15" t="str">
        <f t="shared" si="19"/>
        <v>M</v>
      </c>
      <c r="B466" s="12" t="str">
        <v>HVM103-ZRIT01</v>
      </c>
      <c r="C466" s="16">
        <f>SUMIFS('Investor Exit List'!$AC:$AC,'Investor Exit List'!$AB:$AB,B466)</f>
        <v>45891</v>
      </c>
      <c r="D466" s="12">
        <f>SUMIFS('Investor Exit List'!$Q:$Q,'Investor Exit List'!$AB:$AB,B466)</f>
        <v>372283.56164383562</v>
      </c>
      <c r="E466" s="26" t="str">
        <f t="shared" si="20"/>
        <v>HVM103</v>
      </c>
      <c r="F466" s="12">
        <f t="shared" si="21"/>
        <v>0</v>
      </c>
      <c r="AF466" s="14"/>
    </row>
    <row r="467" spans="1:32" ht="29" hidden="1" x14ac:dyDescent="0.35">
      <c r="A467" s="15" t="str">
        <f t="shared" si="19"/>
        <v>M</v>
      </c>
      <c r="B467" s="12" t="str">
        <v>HVM103-ZROU01</v>
      </c>
      <c r="C467" s="16">
        <f>SUMIFS('Investor Exit List'!$AC:$AC,'Investor Exit List'!$AB:$AB,B467)</f>
        <v>45859</v>
      </c>
      <c r="D467" s="12">
        <f>SUMIFS('Investor Exit List'!$Q:$Q,'Investor Exit List'!$AB:$AB,B467)</f>
        <v>280146.14337452053</v>
      </c>
      <c r="E467" s="26" t="str">
        <f t="shared" si="20"/>
        <v>HVM103</v>
      </c>
      <c r="F467" s="12">
        <f t="shared" si="21"/>
        <v>0</v>
      </c>
      <c r="AF467" s="14"/>
    </row>
    <row r="468" spans="1:32" ht="29" hidden="1" x14ac:dyDescent="0.35">
      <c r="A468" s="15" t="str">
        <f t="shared" si="19"/>
        <v>M</v>
      </c>
      <c r="B468" s="12" t="str">
        <v>HVM103-ZSCH04</v>
      </c>
      <c r="C468" s="16">
        <f>SUMIFS('Investor Exit List'!$AC:$AC,'Investor Exit List'!$AB:$AB,B468)</f>
        <v>45891</v>
      </c>
      <c r="D468" s="12">
        <f>SUMIFS('Investor Exit List'!$Q:$Q,'Investor Exit List'!$AB:$AB,B468)</f>
        <v>618047.94520547939</v>
      </c>
      <c r="E468" s="26" t="str">
        <f t="shared" si="20"/>
        <v>HVM103</v>
      </c>
      <c r="F468" s="12">
        <f t="shared" si="21"/>
        <v>0</v>
      </c>
      <c r="AF468" s="14"/>
    </row>
    <row r="469" spans="1:32" ht="29" hidden="1" x14ac:dyDescent="0.35">
      <c r="A469" s="15" t="str">
        <f t="shared" si="19"/>
        <v>M</v>
      </c>
      <c r="B469" s="12" t="str">
        <v>HVM104-ZDEB01</v>
      </c>
      <c r="C469" s="16">
        <f>SUMIFS('Investor Exit List'!$AC:$AC,'Investor Exit List'!$AB:$AB,B469)</f>
        <v>45837</v>
      </c>
      <c r="D469" s="12">
        <f>SUMIFS('Investor Exit List'!$Q:$Q,'Investor Exit List'!$AB:$AB,B469)</f>
        <v>1380047.9452054794</v>
      </c>
      <c r="E469" s="26" t="str">
        <f t="shared" si="20"/>
        <v>HVM104</v>
      </c>
      <c r="F469" s="12">
        <f t="shared" si="21"/>
        <v>0</v>
      </c>
      <c r="AF469" s="14"/>
    </row>
    <row r="470" spans="1:32" ht="29" hidden="1" x14ac:dyDescent="0.35">
      <c r="A470" s="15" t="str">
        <f t="shared" si="19"/>
        <v>M</v>
      </c>
      <c r="B470" s="12" t="str">
        <v>HVM201-ZGOF01</v>
      </c>
      <c r="C470" s="16">
        <f>SUMIFS('Investor Exit List'!$AC:$AC,'Investor Exit List'!$AB:$AB,B470)</f>
        <v>45859</v>
      </c>
      <c r="D470" s="12">
        <f>SUMIFS('Investor Exit List'!$Q:$Q,'Investor Exit List'!$AB:$AB,B470)</f>
        <v>1369936.98630137</v>
      </c>
      <c r="E470" s="26" t="str">
        <f t="shared" si="20"/>
        <v>HVM201</v>
      </c>
      <c r="F470" s="12">
        <f t="shared" si="21"/>
        <v>0</v>
      </c>
      <c r="AF470" s="14"/>
    </row>
    <row r="471" spans="1:32" ht="29" hidden="1" x14ac:dyDescent="0.35">
      <c r="A471" s="15" t="str">
        <f t="shared" si="19"/>
        <v>M</v>
      </c>
      <c r="B471" s="12" t="str">
        <v>HVM202-ZAFR01</v>
      </c>
      <c r="C471" s="16">
        <f>SUMIFS('Investor Exit List'!$AC:$AC,'Investor Exit List'!$AB:$AB,B471)</f>
        <v>45859</v>
      </c>
      <c r="D471" s="12">
        <f>SUMIFS('Investor Exit List'!$Q:$Q,'Investor Exit List'!$AB:$AB,B471)</f>
        <v>1369620.5479452056</v>
      </c>
      <c r="E471" s="26" t="str">
        <f t="shared" si="20"/>
        <v>HVM202</v>
      </c>
      <c r="F471" s="12">
        <f t="shared" si="21"/>
        <v>0</v>
      </c>
      <c r="AF471" s="14"/>
    </row>
    <row r="472" spans="1:32" ht="29" hidden="1" x14ac:dyDescent="0.35">
      <c r="A472" s="15" t="str">
        <f t="shared" si="19"/>
        <v>M</v>
      </c>
      <c r="B472" s="12" t="str">
        <v>HVM203-ZPED01</v>
      </c>
      <c r="C472" s="16">
        <f>SUMIFS('Investor Exit List'!$AC:$AC,'Investor Exit List'!$AB:$AB,B472)</f>
        <v>45859</v>
      </c>
      <c r="D472" s="12">
        <f>SUMIFS('Investor Exit List'!$Q:$Q,'Investor Exit List'!$AB:$AB,B472)</f>
        <v>1367405.4794520547</v>
      </c>
      <c r="E472" s="26" t="str">
        <f t="shared" si="20"/>
        <v>HVM203</v>
      </c>
      <c r="F472" s="12">
        <f t="shared" si="21"/>
        <v>0</v>
      </c>
      <c r="AF472" s="14"/>
    </row>
    <row r="473" spans="1:32" ht="29" hidden="1" x14ac:dyDescent="0.35">
      <c r="A473" s="15" t="str">
        <f t="shared" si="19"/>
        <v>M</v>
      </c>
      <c r="B473" s="12" t="str">
        <v>HVM204-ZDAD01</v>
      </c>
      <c r="C473" s="16">
        <f>SUMIFS('Investor Exit List'!$AC:$AC,'Investor Exit List'!$AB:$AB,B473)</f>
        <v>45859</v>
      </c>
      <c r="D473" s="12">
        <f>SUMIFS('Investor Exit List'!$Q:$Q,'Investor Exit List'!$AB:$AB,B473)</f>
        <v>247756.16438356164</v>
      </c>
      <c r="E473" s="26" t="str">
        <f t="shared" si="20"/>
        <v>HVM204</v>
      </c>
      <c r="F473" s="12">
        <f t="shared" si="21"/>
        <v>0</v>
      </c>
      <c r="AF473" s="14"/>
    </row>
    <row r="474" spans="1:32" ht="29" hidden="1" x14ac:dyDescent="0.35">
      <c r="A474" s="15" t="str">
        <f t="shared" si="19"/>
        <v>M</v>
      </c>
      <c r="B474" s="12" t="str">
        <v>HVM204-ZKRI03</v>
      </c>
      <c r="C474" s="16">
        <f>SUMIFS('Investor Exit List'!$AC:$AC,'Investor Exit List'!$AB:$AB,B474)</f>
        <v>45898</v>
      </c>
      <c r="D474" s="12">
        <f>SUMIFS('Investor Exit List'!$Q:$Q,'Investor Exit List'!$AB:$AB,B474)</f>
        <v>1091120.5479452054</v>
      </c>
      <c r="E474" s="26" t="str">
        <f t="shared" si="20"/>
        <v>HVM204</v>
      </c>
      <c r="F474" s="12">
        <f t="shared" si="21"/>
        <v>0</v>
      </c>
      <c r="AF474" s="14"/>
    </row>
    <row r="475" spans="1:32" ht="29" x14ac:dyDescent="0.35">
      <c r="A475" s="15" t="str">
        <f t="shared" si="19"/>
        <v>N</v>
      </c>
      <c r="B475" s="12" t="str">
        <v>HVN302-ZAMP01</v>
      </c>
      <c r="C475" s="16">
        <f>SUMIFS('Investor Exit List'!$AC:$AC,'Investor Exit List'!$AB:$AB,B475)</f>
        <v>45493</v>
      </c>
      <c r="D475" s="12">
        <f>SUMIFS('Investor Exit List'!$Q:$Q,'Investor Exit List'!$AB:$AB,B475)</f>
        <v>1354739.7260273974</v>
      </c>
      <c r="E475" s="26" t="str">
        <f t="shared" si="20"/>
        <v>HVN302</v>
      </c>
      <c r="F475" s="12">
        <f t="shared" si="21"/>
        <v>0</v>
      </c>
      <c r="AF475" s="14"/>
    </row>
    <row r="476" spans="1:32" ht="29" hidden="1" x14ac:dyDescent="0.35">
      <c r="A476" s="15" t="str">
        <f t="shared" si="19"/>
        <v>N</v>
      </c>
      <c r="B476" s="12" t="str">
        <v>HVN303-ZERF01</v>
      </c>
      <c r="C476" s="16">
        <f>SUMIFS('Investor Exit List'!$AC:$AC,'Investor Exit List'!$AB:$AB,B476)</f>
        <v>45507</v>
      </c>
      <c r="D476" s="12">
        <f>SUMIFS('Investor Exit List'!$Q:$Q,'Investor Exit List'!$AB:$AB,B476)</f>
        <v>1365917.8082191781</v>
      </c>
      <c r="E476" s="26" t="str">
        <f t="shared" si="20"/>
        <v>HVN303</v>
      </c>
      <c r="F476" s="12">
        <f t="shared" si="21"/>
        <v>0</v>
      </c>
      <c r="AF476" s="14"/>
    </row>
    <row r="477" spans="1:32" ht="29" hidden="1" x14ac:dyDescent="0.35">
      <c r="A477" s="15" t="str">
        <f t="shared" si="19"/>
        <v>O</v>
      </c>
      <c r="B477" s="12" t="str">
        <v>HVO205-ZKUS04</v>
      </c>
      <c r="C477" s="16">
        <f>SUMIFS('Investor Exit List'!$AC:$AC,'Investor Exit List'!$AB:$AB,B477)</f>
        <v>45802</v>
      </c>
      <c r="D477" s="12">
        <f>SUMIFS('Investor Exit List'!$Q:$Q,'Investor Exit List'!$AB:$AB,B477)</f>
        <v>1264712.3287671234</v>
      </c>
      <c r="E477" s="26" t="str">
        <f t="shared" si="20"/>
        <v>HVO205</v>
      </c>
      <c r="F477" s="12">
        <f t="shared" si="21"/>
        <v>0</v>
      </c>
      <c r="AF477" s="14"/>
    </row>
    <row r="478" spans="1:32" ht="29" hidden="1" x14ac:dyDescent="0.35">
      <c r="A478" s="15" t="str">
        <f t="shared" si="19"/>
        <v>O</v>
      </c>
      <c r="B478" s="12" t="str">
        <v>HVO205-ZVAN10</v>
      </c>
      <c r="C478" s="16">
        <f>SUMIFS('Investor Exit List'!$AC:$AC,'Investor Exit List'!$AB:$AB,B478)</f>
        <v>45802</v>
      </c>
      <c r="D478" s="12">
        <f>SUMIFS('Investor Exit List'!$Q:$Q,'Investor Exit List'!$AB:$AB,B478)</f>
        <v>126115.0684931507</v>
      </c>
      <c r="E478" s="26" t="str">
        <f t="shared" si="20"/>
        <v>HVO205</v>
      </c>
      <c r="F478" s="12">
        <f t="shared" si="21"/>
        <v>0</v>
      </c>
      <c r="AF478" s="14"/>
    </row>
    <row r="479" spans="1:32" ht="29" hidden="1" x14ac:dyDescent="0.35">
      <c r="A479" s="15" t="str">
        <f t="shared" si="19"/>
        <v>O</v>
      </c>
      <c r="B479" s="12" t="str">
        <v>HVO302-ZLER02</v>
      </c>
      <c r="C479" s="16">
        <f>SUMIFS('Investor Exit List'!$AC:$AC,'Investor Exit List'!$AB:$AB,B479)</f>
        <v>45859</v>
      </c>
      <c r="D479" s="12">
        <f>SUMIFS('Investor Exit List'!$Q:$Q,'Investor Exit List'!$AB:$AB,B479)</f>
        <v>117753.42465753424</v>
      </c>
      <c r="E479" s="26" t="str">
        <f t="shared" si="20"/>
        <v>HVO302</v>
      </c>
      <c r="F479" s="12">
        <f t="shared" si="21"/>
        <v>0</v>
      </c>
      <c r="AF479" s="14"/>
    </row>
    <row r="480" spans="1:32" ht="29" hidden="1" x14ac:dyDescent="0.35">
      <c r="A480" s="15" t="str">
        <f t="shared" si="19"/>
        <v>O</v>
      </c>
      <c r="B480" s="12" t="str">
        <v>HVO302-ZPED01</v>
      </c>
      <c r="C480" s="16">
        <f>SUMIFS('Investor Exit List'!$AC:$AC,'Investor Exit List'!$AB:$AB,B480)</f>
        <v>45859</v>
      </c>
      <c r="D480" s="12">
        <f>SUMIFS('Investor Exit List'!$Q:$Q,'Investor Exit List'!$AB:$AB,B480)</f>
        <v>135990.54988465755</v>
      </c>
      <c r="E480" s="26" t="str">
        <f t="shared" si="20"/>
        <v>HVO302</v>
      </c>
      <c r="F480" s="12">
        <f t="shared" si="21"/>
        <v>0</v>
      </c>
      <c r="AF480" s="14"/>
    </row>
    <row r="481" spans="1:32" ht="29" hidden="1" x14ac:dyDescent="0.35">
      <c r="A481" s="15" t="str">
        <f t="shared" si="19"/>
        <v>O</v>
      </c>
      <c r="B481" s="12" t="str">
        <v>HVO302-ZVIS03</v>
      </c>
      <c r="C481" s="16">
        <f>SUMIFS('Investor Exit List'!$AC:$AC,'Investor Exit List'!$AB:$AB,B481)</f>
        <v>45837</v>
      </c>
      <c r="D481" s="12">
        <f>SUMIFS('Investor Exit List'!$Q:$Q,'Investor Exit List'!$AB:$AB,B481)</f>
        <v>1091995.8904109588</v>
      </c>
      <c r="E481" s="26" t="str">
        <f t="shared" si="20"/>
        <v>HVO302</v>
      </c>
      <c r="F481" s="12">
        <f t="shared" si="21"/>
        <v>0</v>
      </c>
      <c r="AF481" s="14"/>
    </row>
    <row r="482" spans="1:32" ht="29" hidden="1" x14ac:dyDescent="0.35">
      <c r="A482" s="15" t="str">
        <f t="shared" si="19"/>
        <v>O</v>
      </c>
      <c r="B482" s="12" t="str">
        <v>HVO304-ZJAN03</v>
      </c>
      <c r="C482" s="16">
        <f>SUMIFS('Investor Exit List'!$AC:$AC,'Investor Exit List'!$AB:$AB,B482)</f>
        <v>45989</v>
      </c>
      <c r="D482" s="12">
        <f>SUMIFS('Investor Exit List'!$Q:$Q,'Investor Exit List'!$AB:$AB,B482)</f>
        <v>138196.13967123287</v>
      </c>
      <c r="E482" s="26" t="str">
        <f t="shared" si="20"/>
        <v>HVO304</v>
      </c>
      <c r="F482" s="12">
        <f t="shared" si="21"/>
        <v>0</v>
      </c>
      <c r="AF482" s="14"/>
    </row>
    <row r="483" spans="1:32" ht="29" hidden="1" x14ac:dyDescent="0.35">
      <c r="A483" s="15" t="str">
        <f t="shared" si="19"/>
        <v>O</v>
      </c>
      <c r="B483" s="12" t="str">
        <v>HVO304-ZVIS02</v>
      </c>
      <c r="C483" s="16">
        <f>SUMIFS('Investor Exit List'!$AC:$AC,'Investor Exit List'!$AB:$AB,B483)</f>
        <v>45989</v>
      </c>
      <c r="D483" s="12">
        <f>SUMIFS('Investor Exit List'!$Q:$Q,'Investor Exit List'!$AB:$AB,B483)</f>
        <v>1196958.9041095891</v>
      </c>
      <c r="E483" s="26" t="str">
        <f t="shared" si="20"/>
        <v>HVO304</v>
      </c>
      <c r="F483" s="12">
        <f t="shared" si="21"/>
        <v>0</v>
      </c>
      <c r="AF483" s="14"/>
    </row>
    <row r="484" spans="1:32" ht="29" hidden="1" x14ac:dyDescent="0.35">
      <c r="A484" s="15" t="str">
        <f t="shared" si="19"/>
        <v>O</v>
      </c>
      <c r="B484" s="12" t="str">
        <v>HVO305-ZDEV01</v>
      </c>
      <c r="C484" s="16">
        <f>SUMIFS('Investor Exit List'!$AC:$AC,'Investor Exit List'!$AB:$AB,B484)</f>
        <v>45837</v>
      </c>
      <c r="D484" s="12">
        <f>SUMIFS('Investor Exit List'!$Q:$Q,'Investor Exit List'!$AB:$AB,B484)</f>
        <v>623979.45205479464</v>
      </c>
      <c r="E484" s="26" t="str">
        <f t="shared" si="20"/>
        <v>HVO305</v>
      </c>
      <c r="F484" s="12">
        <f t="shared" si="21"/>
        <v>0</v>
      </c>
      <c r="AF484" s="14"/>
    </row>
    <row r="485" spans="1:32" ht="29" hidden="1" x14ac:dyDescent="0.35">
      <c r="A485" s="15" t="str">
        <f t="shared" si="19"/>
        <v>O</v>
      </c>
      <c r="B485" s="12" t="str">
        <v>HVO305-ZFLA01</v>
      </c>
      <c r="C485" s="16">
        <f>SUMIFS('Investor Exit List'!$AC:$AC,'Investor Exit List'!$AB:$AB,B485)</f>
        <v>45891</v>
      </c>
      <c r="D485" s="12">
        <f>SUMIFS('Investor Exit List'!$Q:$Q,'Investor Exit List'!$AB:$AB,B485)</f>
        <v>474504.10958904104</v>
      </c>
      <c r="E485" s="26" t="str">
        <f t="shared" si="20"/>
        <v>HVO305</v>
      </c>
      <c r="F485" s="12">
        <f t="shared" si="21"/>
        <v>0</v>
      </c>
      <c r="AF485" s="14"/>
    </row>
    <row r="486" spans="1:32" ht="29" hidden="1" x14ac:dyDescent="0.35">
      <c r="A486" s="15" t="str">
        <f t="shared" si="19"/>
        <v>O</v>
      </c>
      <c r="B486" s="12" t="str">
        <v>HVO305-ZLIN01</v>
      </c>
      <c r="C486" s="16">
        <f>SUMIFS('Investor Exit List'!$AC:$AC,'Investor Exit List'!$AB:$AB,B486)</f>
        <v>45859</v>
      </c>
      <c r="D486" s="12">
        <f>SUMIFS('Investor Exit List'!$Q:$Q,'Investor Exit List'!$AB:$AB,B486)</f>
        <v>140204.24166575342</v>
      </c>
      <c r="E486" s="26" t="str">
        <f t="shared" si="20"/>
        <v>HVO305</v>
      </c>
      <c r="F486" s="12">
        <f t="shared" si="21"/>
        <v>0</v>
      </c>
      <c r="AF486" s="14"/>
    </row>
    <row r="487" spans="1:32" ht="29" hidden="1" x14ac:dyDescent="0.35">
      <c r="A487" s="15" t="str">
        <f t="shared" si="19"/>
        <v>O</v>
      </c>
      <c r="B487" s="12" t="str">
        <v>HVO305-ZSOU02</v>
      </c>
      <c r="C487" s="16">
        <f>SUMIFS('Investor Exit List'!$AC:$AC,'Investor Exit List'!$AB:$AB,B487)</f>
        <v>45891</v>
      </c>
      <c r="D487" s="12">
        <f>SUMIFS('Investor Exit List'!$Q:$Q,'Investor Exit List'!$AB:$AB,B487)</f>
        <v>118027.39726027395</v>
      </c>
      <c r="E487" s="26" t="str">
        <f t="shared" si="20"/>
        <v>HVO305</v>
      </c>
      <c r="F487" s="12">
        <f t="shared" si="21"/>
        <v>0</v>
      </c>
      <c r="AF487" s="14"/>
    </row>
    <row r="488" spans="1:32" ht="29" hidden="1" x14ac:dyDescent="0.35">
      <c r="A488" s="15" t="str">
        <f t="shared" si="19"/>
        <v>P</v>
      </c>
      <c r="B488" s="12" t="str">
        <v>HVP203-ZSON01</v>
      </c>
      <c r="C488" s="16">
        <f>SUMIFS('Investor Exit List'!$AC:$AC,'Investor Exit List'!$AB:$AB,B488)</f>
        <v>45563</v>
      </c>
      <c r="D488" s="12">
        <f>SUMIFS('Investor Exit List'!$Q:$Q,'Investor Exit List'!$AB:$AB,B488)</f>
        <v>1467384.9315068494</v>
      </c>
      <c r="E488" s="26" t="str">
        <f t="shared" si="20"/>
        <v>HVP203</v>
      </c>
      <c r="F488" s="12">
        <f t="shared" si="21"/>
        <v>0</v>
      </c>
      <c r="AF488" s="14"/>
    </row>
    <row r="489" spans="1:32" ht="29" hidden="1" x14ac:dyDescent="0.35">
      <c r="A489" s="15" t="str">
        <f t="shared" si="19"/>
        <v>P</v>
      </c>
      <c r="B489" s="12" t="str">
        <v>HVP303-ZKRI02</v>
      </c>
      <c r="C489" s="16">
        <f>SUMIFS('Investor Exit List'!$AC:$AC,'Investor Exit List'!$AB:$AB,B489)</f>
        <v>45591</v>
      </c>
      <c r="D489" s="12">
        <f>SUMIFS('Investor Exit List'!$Q:$Q,'Investor Exit List'!$AB:$AB,B489)</f>
        <v>1461553.4246575343</v>
      </c>
      <c r="E489" s="26" t="str">
        <f t="shared" si="20"/>
        <v>HVP303</v>
      </c>
      <c r="F489" s="12">
        <f t="shared" si="21"/>
        <v>0</v>
      </c>
      <c r="AF489" s="14"/>
    </row>
    <row r="490" spans="1:32" ht="29" hidden="1" x14ac:dyDescent="0.35">
      <c r="A490" s="15" t="str">
        <f t="shared" si="19"/>
        <v/>
      </c>
      <c r="B490" s="12"/>
      <c r="C490" s="16">
        <f>SUMIFS('Investor Exit List'!$AC:$AC,'Investor Exit List'!$AB:$AB,B490)</f>
        <v>0</v>
      </c>
      <c r="D490" s="12">
        <f>SUMIFS('Investor Exit List'!$Q:$Q,'Investor Exit List'!$AB:$AB,B490)</f>
        <v>0</v>
      </c>
      <c r="E490" s="26" t="str">
        <f t="shared" si="20"/>
        <v/>
      </c>
      <c r="F490" s="12">
        <f t="shared" si="21"/>
        <v>0</v>
      </c>
      <c r="AF490" s="14"/>
    </row>
    <row r="491" spans="1:32" ht="29" hidden="1" x14ac:dyDescent="0.35">
      <c r="A491" s="15" t="str">
        <f t="shared" si="19"/>
        <v/>
      </c>
      <c r="B491" s="12"/>
      <c r="C491" s="16">
        <f>SUMIFS('Investor Exit List'!$AC:$AC,'Investor Exit List'!$AB:$AB,B491)</f>
        <v>0</v>
      </c>
      <c r="D491" s="12">
        <f>SUMIFS('Investor Exit List'!$Q:$Q,'Investor Exit List'!$AB:$AB,B491)</f>
        <v>0</v>
      </c>
      <c r="E491" s="26" t="str">
        <f t="shared" si="20"/>
        <v/>
      </c>
      <c r="F491" s="12">
        <f t="shared" si="21"/>
        <v>0</v>
      </c>
      <c r="AF491" s="14"/>
    </row>
    <row r="492" spans="1:32" ht="29" hidden="1" x14ac:dyDescent="0.35">
      <c r="A492" s="15" t="str">
        <f t="shared" si="19"/>
        <v/>
      </c>
      <c r="B492" s="12"/>
      <c r="C492" s="16">
        <f>SUMIFS('Investor Exit List'!$AC:$AC,'Investor Exit List'!$AB:$AB,B492)</f>
        <v>0</v>
      </c>
      <c r="D492" s="12">
        <f>SUMIFS('Investor Exit List'!$Q:$Q,'Investor Exit List'!$AB:$AB,B492)</f>
        <v>0</v>
      </c>
      <c r="E492" s="26" t="str">
        <f t="shared" si="20"/>
        <v/>
      </c>
      <c r="F492" s="12">
        <f t="shared" si="21"/>
        <v>0</v>
      </c>
      <c r="AF492" s="14"/>
    </row>
    <row r="493" spans="1:32" ht="29" hidden="1" x14ac:dyDescent="0.35">
      <c r="A493" s="15" t="str">
        <f t="shared" si="19"/>
        <v/>
      </c>
      <c r="B493" s="12"/>
      <c r="C493" s="16">
        <f>SUMIFS('Investor Exit List'!$AC:$AC,'Investor Exit List'!$AB:$AB,B493)</f>
        <v>0</v>
      </c>
      <c r="D493" s="12">
        <f>SUMIFS('Investor Exit List'!$Q:$Q,'Investor Exit List'!$AB:$AB,B493)</f>
        <v>0</v>
      </c>
      <c r="E493" s="26" t="str">
        <f t="shared" si="20"/>
        <v/>
      </c>
      <c r="F493" s="12">
        <f t="shared" si="21"/>
        <v>0</v>
      </c>
      <c r="AF493" s="14"/>
    </row>
    <row r="494" spans="1:32" ht="29" hidden="1" x14ac:dyDescent="0.35">
      <c r="A494" s="15" t="str">
        <f t="shared" si="19"/>
        <v/>
      </c>
      <c r="B494" s="12"/>
      <c r="C494" s="16">
        <f>SUMIFS('Investor Exit List'!$AC:$AC,'Investor Exit List'!$AB:$AB,B494)</f>
        <v>0</v>
      </c>
      <c r="D494" s="12">
        <f>SUMIFS('Investor Exit List'!$Q:$Q,'Investor Exit List'!$AB:$AB,B494)</f>
        <v>0</v>
      </c>
      <c r="E494" s="26" t="str">
        <f t="shared" si="20"/>
        <v/>
      </c>
      <c r="F494" s="12">
        <f t="shared" si="21"/>
        <v>0</v>
      </c>
      <c r="AF494" s="14"/>
    </row>
    <row r="495" spans="1:32" ht="29" hidden="1" x14ac:dyDescent="0.35">
      <c r="A495" s="15" t="str">
        <f t="shared" si="19"/>
        <v/>
      </c>
      <c r="B495" s="12"/>
      <c r="C495" s="16">
        <f>SUMIFS('Investor Exit List'!$AC:$AC,'Investor Exit List'!$AB:$AB,B495)</f>
        <v>0</v>
      </c>
      <c r="D495" s="12">
        <f>SUMIFS('Investor Exit List'!$Q:$Q,'Investor Exit List'!$AB:$AB,B495)</f>
        <v>0</v>
      </c>
      <c r="E495" s="26" t="str">
        <f t="shared" si="20"/>
        <v/>
      </c>
      <c r="F495" s="12">
        <f t="shared" si="21"/>
        <v>0</v>
      </c>
      <c r="AF495" s="14"/>
    </row>
    <row r="496" spans="1:32" ht="29" hidden="1" x14ac:dyDescent="0.35">
      <c r="A496" s="15" t="str">
        <f t="shared" si="19"/>
        <v/>
      </c>
      <c r="B496" s="12"/>
      <c r="C496" s="16">
        <f>SUMIFS('Investor Exit List'!$AC:$AC,'Investor Exit List'!$AB:$AB,B496)</f>
        <v>0</v>
      </c>
      <c r="D496" s="12">
        <f>SUMIFS('Investor Exit List'!$Q:$Q,'Investor Exit List'!$AB:$AB,B496)</f>
        <v>0</v>
      </c>
      <c r="E496" s="26" t="str">
        <f t="shared" si="20"/>
        <v/>
      </c>
      <c r="F496" s="12">
        <f t="shared" si="21"/>
        <v>0</v>
      </c>
      <c r="AF496" s="14"/>
    </row>
    <row r="497" spans="1:32" ht="29" hidden="1" x14ac:dyDescent="0.35">
      <c r="A497" s="15" t="str">
        <f t="shared" si="19"/>
        <v/>
      </c>
      <c r="B497" s="12"/>
      <c r="C497" s="16">
        <f>SUMIFS('Investor Exit List'!$AC:$AC,'Investor Exit List'!$AB:$AB,B497)</f>
        <v>0</v>
      </c>
      <c r="D497" s="12">
        <f>SUMIFS('Investor Exit List'!$Q:$Q,'Investor Exit List'!$AB:$AB,B497)</f>
        <v>0</v>
      </c>
      <c r="E497" s="26" t="str">
        <f t="shared" si="20"/>
        <v/>
      </c>
      <c r="F497" s="12">
        <f t="shared" si="21"/>
        <v>0</v>
      </c>
      <c r="AF497" s="14"/>
    </row>
    <row r="498" spans="1:32" ht="29" hidden="1" x14ac:dyDescent="0.35">
      <c r="A498" s="15" t="str">
        <f t="shared" si="19"/>
        <v/>
      </c>
      <c r="B498" s="12"/>
      <c r="C498" s="16">
        <f>SUMIFS('Investor Exit List'!$AC:$AC,'Investor Exit List'!$AB:$AB,B498)</f>
        <v>0</v>
      </c>
      <c r="D498" s="12">
        <f>SUMIFS('Investor Exit List'!$Q:$Q,'Investor Exit List'!$AB:$AB,B498)</f>
        <v>0</v>
      </c>
      <c r="E498" s="26" t="str">
        <f t="shared" si="20"/>
        <v/>
      </c>
      <c r="F498" s="12">
        <f t="shared" si="21"/>
        <v>0</v>
      </c>
      <c r="AF498" s="14"/>
    </row>
    <row r="499" spans="1:32" ht="29" hidden="1" x14ac:dyDescent="0.35">
      <c r="A499" s="15" t="str">
        <f t="shared" ref="A499:A562" si="22">MID(E499, 3, 1)</f>
        <v/>
      </c>
      <c r="B499" s="12"/>
      <c r="C499" s="16">
        <f>SUMIFS('Investor Exit List'!$AC:$AC,'Investor Exit List'!$AB:$AB,B499)</f>
        <v>0</v>
      </c>
      <c r="D499" s="12">
        <f>SUMIFS('Investor Exit List'!$Q:$Q,'Investor Exit List'!$AB:$AB,B499)</f>
        <v>0</v>
      </c>
      <c r="E499" s="26" t="str">
        <f t="shared" ref="E499:E562" si="23">LEFT(B499,6)</f>
        <v/>
      </c>
      <c r="F499" s="12">
        <f t="shared" si="21"/>
        <v>0</v>
      </c>
      <c r="AF499" s="14"/>
    </row>
    <row r="500" spans="1:32" ht="29" hidden="1" x14ac:dyDescent="0.35">
      <c r="A500" s="15" t="str">
        <f t="shared" si="22"/>
        <v/>
      </c>
      <c r="B500" s="12"/>
      <c r="C500" s="16">
        <f>SUMIFS('Investor Exit List'!$AC:$AC,'Investor Exit List'!$AB:$AB,B500)</f>
        <v>0</v>
      </c>
      <c r="D500" s="12">
        <f>SUMIFS('Investor Exit List'!$Q:$Q,'Investor Exit List'!$AB:$AB,B500)</f>
        <v>0</v>
      </c>
      <c r="E500" s="26" t="str">
        <f t="shared" si="23"/>
        <v/>
      </c>
      <c r="F500" s="12">
        <f t="shared" ref="F500:F563" si="24">IF(SUMIFS($E$117:$E$149,$D$117:$D$149,E500)&lt;&gt;0,E500,0)</f>
        <v>0</v>
      </c>
      <c r="AF500" s="14"/>
    </row>
    <row r="501" spans="1:32" ht="29" hidden="1" x14ac:dyDescent="0.35">
      <c r="A501" s="15" t="str">
        <f t="shared" si="22"/>
        <v/>
      </c>
      <c r="B501" s="12"/>
      <c r="C501" s="16">
        <f>SUMIFS('Investor Exit List'!$AC:$AC,'Investor Exit List'!$AB:$AB,B501)</f>
        <v>0</v>
      </c>
      <c r="D501" s="12">
        <f>SUMIFS('Investor Exit List'!$Q:$Q,'Investor Exit List'!$AB:$AB,B501)</f>
        <v>0</v>
      </c>
      <c r="E501" s="26" t="str">
        <f t="shared" si="23"/>
        <v/>
      </c>
      <c r="F501" s="12">
        <f t="shared" si="24"/>
        <v>0</v>
      </c>
      <c r="AF501" s="14"/>
    </row>
    <row r="502" spans="1:32" ht="29" hidden="1" x14ac:dyDescent="0.35">
      <c r="A502" s="15" t="str">
        <f t="shared" si="22"/>
        <v/>
      </c>
      <c r="B502" s="12"/>
      <c r="C502" s="16">
        <f>SUMIFS('Investor Exit List'!$AC:$AC,'Investor Exit List'!$AB:$AB,B502)</f>
        <v>0</v>
      </c>
      <c r="D502" s="12">
        <f>SUMIFS('Investor Exit List'!$Q:$Q,'Investor Exit List'!$AB:$AB,B502)</f>
        <v>0</v>
      </c>
      <c r="E502" s="26" t="str">
        <f t="shared" si="23"/>
        <v/>
      </c>
      <c r="F502" s="12">
        <f t="shared" si="24"/>
        <v>0</v>
      </c>
      <c r="AF502" s="14"/>
    </row>
    <row r="503" spans="1:32" ht="29" hidden="1" x14ac:dyDescent="0.35">
      <c r="A503" s="15" t="str">
        <f t="shared" si="22"/>
        <v/>
      </c>
      <c r="B503" s="12"/>
      <c r="C503" s="16">
        <f>SUMIFS('Investor Exit List'!$AC:$AC,'Investor Exit List'!$AB:$AB,B503)</f>
        <v>0</v>
      </c>
      <c r="D503" s="12">
        <f>SUMIFS('Investor Exit List'!$Q:$Q,'Investor Exit List'!$AB:$AB,B503)</f>
        <v>0</v>
      </c>
      <c r="E503" s="26" t="str">
        <f t="shared" si="23"/>
        <v/>
      </c>
      <c r="F503" s="12">
        <f t="shared" si="24"/>
        <v>0</v>
      </c>
      <c r="AF503" s="14"/>
    </row>
    <row r="504" spans="1:32" ht="29" hidden="1" x14ac:dyDescent="0.35">
      <c r="A504" s="15" t="str">
        <f t="shared" si="22"/>
        <v/>
      </c>
      <c r="B504" s="12"/>
      <c r="C504" s="16">
        <f>SUMIFS('Investor Exit List'!$AC:$AC,'Investor Exit List'!$AB:$AB,B504)</f>
        <v>0</v>
      </c>
      <c r="D504" s="12">
        <f>SUMIFS('Investor Exit List'!$Q:$Q,'Investor Exit List'!$AB:$AB,B504)</f>
        <v>0</v>
      </c>
      <c r="E504" s="26" t="str">
        <f t="shared" si="23"/>
        <v/>
      </c>
      <c r="F504" s="12">
        <f t="shared" si="24"/>
        <v>0</v>
      </c>
      <c r="AF504" s="14"/>
    </row>
    <row r="505" spans="1:32" ht="29" hidden="1" x14ac:dyDescent="0.35">
      <c r="A505" s="15" t="str">
        <f t="shared" si="22"/>
        <v/>
      </c>
      <c r="B505" s="12"/>
      <c r="C505" s="16">
        <f>SUMIFS('Investor Exit List'!$AC:$AC,'Investor Exit List'!$AB:$AB,B505)</f>
        <v>0</v>
      </c>
      <c r="D505" s="12">
        <f>SUMIFS('Investor Exit List'!$Q:$Q,'Investor Exit List'!$AB:$AB,B505)</f>
        <v>0</v>
      </c>
      <c r="E505" s="26" t="str">
        <f t="shared" si="23"/>
        <v/>
      </c>
      <c r="F505" s="12">
        <f t="shared" si="24"/>
        <v>0</v>
      </c>
      <c r="AF505" s="14"/>
    </row>
    <row r="506" spans="1:32" ht="29" hidden="1" x14ac:dyDescent="0.35">
      <c r="A506" s="15" t="str">
        <f t="shared" si="22"/>
        <v/>
      </c>
      <c r="B506" s="12"/>
      <c r="C506" s="16">
        <f>SUMIFS('Investor Exit List'!$AC:$AC,'Investor Exit List'!$AB:$AB,B506)</f>
        <v>0</v>
      </c>
      <c r="D506" s="12">
        <f>SUMIFS('Investor Exit List'!$Q:$Q,'Investor Exit List'!$AB:$AB,B506)</f>
        <v>0</v>
      </c>
      <c r="E506" s="26" t="str">
        <f t="shared" si="23"/>
        <v/>
      </c>
      <c r="F506" s="12">
        <f t="shared" si="24"/>
        <v>0</v>
      </c>
      <c r="AF506" s="14"/>
    </row>
    <row r="507" spans="1:32" ht="29" hidden="1" x14ac:dyDescent="0.35">
      <c r="A507" s="15" t="str">
        <f t="shared" si="22"/>
        <v/>
      </c>
      <c r="B507" s="12"/>
      <c r="C507" s="16">
        <f>SUMIFS('Investor Exit List'!$AC:$AC,'Investor Exit List'!$AB:$AB,B507)</f>
        <v>0</v>
      </c>
      <c r="D507" s="12">
        <f>SUMIFS('Investor Exit List'!$Q:$Q,'Investor Exit List'!$AB:$AB,B507)</f>
        <v>0</v>
      </c>
      <c r="E507" s="26" t="str">
        <f t="shared" si="23"/>
        <v/>
      </c>
      <c r="F507" s="12">
        <f t="shared" si="24"/>
        <v>0</v>
      </c>
      <c r="AF507" s="14"/>
    </row>
    <row r="508" spans="1:32" ht="29" hidden="1" x14ac:dyDescent="0.35">
      <c r="A508" s="15" t="str">
        <f t="shared" si="22"/>
        <v/>
      </c>
      <c r="B508" s="12"/>
      <c r="C508" s="16">
        <f>SUMIFS('Investor Exit List'!$AC:$AC,'Investor Exit List'!$AB:$AB,B508)</f>
        <v>0</v>
      </c>
      <c r="D508" s="12">
        <f>SUMIFS('Investor Exit List'!$Q:$Q,'Investor Exit List'!$AB:$AB,B508)</f>
        <v>0</v>
      </c>
      <c r="E508" s="26" t="str">
        <f t="shared" si="23"/>
        <v/>
      </c>
      <c r="F508" s="12">
        <f t="shared" si="24"/>
        <v>0</v>
      </c>
      <c r="AF508" s="14"/>
    </row>
    <row r="509" spans="1:32" ht="29" hidden="1" x14ac:dyDescent="0.35">
      <c r="A509" s="15" t="str">
        <f t="shared" si="22"/>
        <v/>
      </c>
      <c r="B509" s="12"/>
      <c r="C509" s="16">
        <f>SUMIFS('Investor Exit List'!$AC:$AC,'Investor Exit List'!$AB:$AB,B509)</f>
        <v>0</v>
      </c>
      <c r="D509" s="12">
        <f>SUMIFS('Investor Exit List'!$Q:$Q,'Investor Exit List'!$AB:$AB,B509)</f>
        <v>0</v>
      </c>
      <c r="E509" s="26" t="str">
        <f t="shared" si="23"/>
        <v/>
      </c>
      <c r="F509" s="12">
        <f t="shared" si="24"/>
        <v>0</v>
      </c>
      <c r="AF509" s="14"/>
    </row>
    <row r="510" spans="1:32" ht="29" hidden="1" x14ac:dyDescent="0.35">
      <c r="A510" s="15" t="str">
        <f t="shared" si="22"/>
        <v/>
      </c>
      <c r="B510" s="12"/>
      <c r="C510" s="16">
        <f>SUMIFS('Investor Exit List'!$AC:$AC,'Investor Exit List'!$AB:$AB,B510)</f>
        <v>0</v>
      </c>
      <c r="D510" s="12">
        <f>SUMIFS('Investor Exit List'!$Q:$Q,'Investor Exit List'!$AB:$AB,B510)</f>
        <v>0</v>
      </c>
      <c r="E510" s="26" t="str">
        <f t="shared" si="23"/>
        <v/>
      </c>
      <c r="F510" s="12">
        <f t="shared" si="24"/>
        <v>0</v>
      </c>
      <c r="AF510" s="14"/>
    </row>
    <row r="511" spans="1:32" ht="29" hidden="1" x14ac:dyDescent="0.35">
      <c r="A511" s="15" t="str">
        <f t="shared" si="22"/>
        <v/>
      </c>
      <c r="B511" s="12"/>
      <c r="C511" s="16">
        <f>SUMIFS('Investor Exit List'!$AC:$AC,'Investor Exit List'!$AB:$AB,B511)</f>
        <v>0</v>
      </c>
      <c r="D511" s="12">
        <f>SUMIFS('Investor Exit List'!$Q:$Q,'Investor Exit List'!$AB:$AB,B511)</f>
        <v>0</v>
      </c>
      <c r="E511" s="26" t="str">
        <f t="shared" si="23"/>
        <v/>
      </c>
      <c r="F511" s="12">
        <f t="shared" si="24"/>
        <v>0</v>
      </c>
      <c r="AF511" s="14"/>
    </row>
    <row r="512" spans="1:32" ht="29" hidden="1" x14ac:dyDescent="0.35">
      <c r="A512" s="15" t="str">
        <f t="shared" si="22"/>
        <v/>
      </c>
      <c r="B512" s="12"/>
      <c r="C512" s="16">
        <f>SUMIFS('Investor Exit List'!$AC:$AC,'Investor Exit List'!$AB:$AB,B512)</f>
        <v>0</v>
      </c>
      <c r="D512" s="12">
        <f>SUMIFS('Investor Exit List'!$Q:$Q,'Investor Exit List'!$AB:$AB,B512)</f>
        <v>0</v>
      </c>
      <c r="E512" s="26" t="str">
        <f t="shared" si="23"/>
        <v/>
      </c>
      <c r="F512" s="12">
        <f t="shared" si="24"/>
        <v>0</v>
      </c>
      <c r="AF512" s="14"/>
    </row>
    <row r="513" spans="1:32" ht="29" hidden="1" x14ac:dyDescent="0.35">
      <c r="A513" s="15" t="str">
        <f t="shared" si="22"/>
        <v/>
      </c>
      <c r="B513" s="12"/>
      <c r="C513" s="16">
        <f>SUMIFS('Investor Exit List'!$AC:$AC,'Investor Exit List'!$AB:$AB,B513)</f>
        <v>0</v>
      </c>
      <c r="D513" s="12">
        <f>SUMIFS('Investor Exit List'!$Q:$Q,'Investor Exit List'!$AB:$AB,B513)</f>
        <v>0</v>
      </c>
      <c r="E513" s="26" t="str">
        <f t="shared" si="23"/>
        <v/>
      </c>
      <c r="F513" s="12">
        <f t="shared" si="24"/>
        <v>0</v>
      </c>
      <c r="AF513" s="14"/>
    </row>
    <row r="514" spans="1:32" ht="29" hidden="1" x14ac:dyDescent="0.35">
      <c r="A514" s="15" t="str">
        <f t="shared" si="22"/>
        <v/>
      </c>
      <c r="B514" s="12"/>
      <c r="C514" s="16">
        <f>SUMIFS('Investor Exit List'!$AC:$AC,'Investor Exit List'!$AB:$AB,B514)</f>
        <v>0</v>
      </c>
      <c r="D514" s="12">
        <f>SUMIFS('Investor Exit List'!$Q:$Q,'Investor Exit List'!$AB:$AB,B514)</f>
        <v>0</v>
      </c>
      <c r="E514" s="26" t="str">
        <f t="shared" si="23"/>
        <v/>
      </c>
      <c r="F514" s="12">
        <f t="shared" si="24"/>
        <v>0</v>
      </c>
      <c r="AF514" s="14"/>
    </row>
    <row r="515" spans="1:32" ht="29" hidden="1" x14ac:dyDescent="0.35">
      <c r="A515" s="15" t="str">
        <f t="shared" si="22"/>
        <v/>
      </c>
      <c r="B515" s="12"/>
      <c r="C515" s="16">
        <f>SUMIFS('Investor Exit List'!$AC:$AC,'Investor Exit List'!$AB:$AB,B515)</f>
        <v>0</v>
      </c>
      <c r="D515" s="12">
        <f>SUMIFS('Investor Exit List'!$Q:$Q,'Investor Exit List'!$AB:$AB,B515)</f>
        <v>0</v>
      </c>
      <c r="E515" s="26" t="str">
        <f t="shared" si="23"/>
        <v/>
      </c>
      <c r="F515" s="12">
        <f t="shared" si="24"/>
        <v>0</v>
      </c>
      <c r="AF515" s="14"/>
    </row>
    <row r="516" spans="1:32" ht="29" hidden="1" x14ac:dyDescent="0.35">
      <c r="A516" s="15" t="str">
        <f t="shared" si="22"/>
        <v/>
      </c>
      <c r="B516" s="12"/>
      <c r="C516" s="16">
        <f>SUMIFS('Investor Exit List'!$AC:$AC,'Investor Exit List'!$AB:$AB,B516)</f>
        <v>0</v>
      </c>
      <c r="D516" s="12">
        <f>SUMIFS('Investor Exit List'!$Q:$Q,'Investor Exit List'!$AB:$AB,B516)</f>
        <v>0</v>
      </c>
      <c r="E516" s="26" t="str">
        <f t="shared" si="23"/>
        <v/>
      </c>
      <c r="F516" s="12">
        <f t="shared" si="24"/>
        <v>0</v>
      </c>
      <c r="AF516" s="14"/>
    </row>
    <row r="517" spans="1:32" ht="29" hidden="1" x14ac:dyDescent="0.35">
      <c r="A517" s="15" t="str">
        <f t="shared" si="22"/>
        <v/>
      </c>
      <c r="B517" s="12"/>
      <c r="C517" s="16">
        <f>SUMIFS('Investor Exit List'!$AC:$AC,'Investor Exit List'!$AB:$AB,B517)</f>
        <v>0</v>
      </c>
      <c r="D517" s="12">
        <f>SUMIFS('Investor Exit List'!$Q:$Q,'Investor Exit List'!$AB:$AB,B517)</f>
        <v>0</v>
      </c>
      <c r="E517" s="26" t="str">
        <f t="shared" si="23"/>
        <v/>
      </c>
      <c r="F517" s="12">
        <f t="shared" si="24"/>
        <v>0</v>
      </c>
      <c r="AF517" s="14"/>
    </row>
    <row r="518" spans="1:32" ht="29" hidden="1" x14ac:dyDescent="0.35">
      <c r="A518" s="15" t="str">
        <f t="shared" si="22"/>
        <v/>
      </c>
      <c r="B518" s="12"/>
      <c r="C518" s="16">
        <f>SUMIFS('Investor Exit List'!$AC:$AC,'Investor Exit List'!$AB:$AB,B518)</f>
        <v>0</v>
      </c>
      <c r="D518" s="12">
        <f>SUMIFS('Investor Exit List'!$Q:$Q,'Investor Exit List'!$AB:$AB,B518)</f>
        <v>0</v>
      </c>
      <c r="E518" s="26" t="str">
        <f t="shared" si="23"/>
        <v/>
      </c>
      <c r="F518" s="12">
        <f t="shared" si="24"/>
        <v>0</v>
      </c>
      <c r="AF518" s="14"/>
    </row>
    <row r="519" spans="1:32" ht="29" hidden="1" x14ac:dyDescent="0.35">
      <c r="A519" s="15" t="str">
        <f t="shared" si="22"/>
        <v/>
      </c>
      <c r="B519" s="12"/>
      <c r="C519" s="16">
        <f>SUMIFS('Investor Exit List'!$AC:$AC,'Investor Exit List'!$AB:$AB,B519)</f>
        <v>0</v>
      </c>
      <c r="D519" s="12">
        <f>SUMIFS('Investor Exit List'!$Q:$Q,'Investor Exit List'!$AB:$AB,B519)</f>
        <v>0</v>
      </c>
      <c r="E519" s="26" t="str">
        <f t="shared" si="23"/>
        <v/>
      </c>
      <c r="F519" s="12">
        <f t="shared" si="24"/>
        <v>0</v>
      </c>
      <c r="AF519" s="14"/>
    </row>
    <row r="520" spans="1:32" ht="29" hidden="1" x14ac:dyDescent="0.35">
      <c r="A520" s="15" t="str">
        <f t="shared" si="22"/>
        <v/>
      </c>
      <c r="B520" s="12"/>
      <c r="C520" s="16">
        <f>SUMIFS('Investor Exit List'!$AC:$AC,'Investor Exit List'!$AB:$AB,B520)</f>
        <v>0</v>
      </c>
      <c r="D520" s="12">
        <f>SUMIFS('Investor Exit List'!$Q:$Q,'Investor Exit List'!$AB:$AB,B520)</f>
        <v>0</v>
      </c>
      <c r="E520" s="26" t="str">
        <f t="shared" si="23"/>
        <v/>
      </c>
      <c r="F520" s="12">
        <f t="shared" si="24"/>
        <v>0</v>
      </c>
      <c r="AF520" s="14"/>
    </row>
    <row r="521" spans="1:32" ht="29" hidden="1" x14ac:dyDescent="0.35">
      <c r="A521" s="15" t="str">
        <f t="shared" si="22"/>
        <v/>
      </c>
      <c r="B521" s="12"/>
      <c r="C521" s="16">
        <f>SUMIFS('Investor Exit List'!$AC:$AC,'Investor Exit List'!$AB:$AB,B521)</f>
        <v>0</v>
      </c>
      <c r="D521" s="12">
        <f>SUMIFS('Investor Exit List'!$Q:$Q,'Investor Exit List'!$AB:$AB,B521)</f>
        <v>0</v>
      </c>
      <c r="E521" s="26" t="str">
        <f t="shared" si="23"/>
        <v/>
      </c>
      <c r="F521" s="12">
        <f t="shared" si="24"/>
        <v>0</v>
      </c>
      <c r="AF521" s="14"/>
    </row>
    <row r="522" spans="1:32" ht="29" hidden="1" x14ac:dyDescent="0.35">
      <c r="A522" s="15" t="str">
        <f t="shared" si="22"/>
        <v/>
      </c>
      <c r="B522" s="12"/>
      <c r="C522" s="16">
        <f>SUMIFS('Investor Exit List'!$AC:$AC,'Investor Exit List'!$AB:$AB,B522)</f>
        <v>0</v>
      </c>
      <c r="D522" s="12">
        <f>SUMIFS('Investor Exit List'!$Q:$Q,'Investor Exit List'!$AB:$AB,B522)</f>
        <v>0</v>
      </c>
      <c r="E522" s="26" t="str">
        <f t="shared" si="23"/>
        <v/>
      </c>
      <c r="F522" s="12">
        <f t="shared" si="24"/>
        <v>0</v>
      </c>
      <c r="AF522" s="14"/>
    </row>
    <row r="523" spans="1:32" ht="29" hidden="1" x14ac:dyDescent="0.35">
      <c r="A523" s="15" t="str">
        <f t="shared" si="22"/>
        <v/>
      </c>
      <c r="B523" s="12"/>
      <c r="C523" s="16">
        <f>SUMIFS('Investor Exit List'!$AC:$AC,'Investor Exit List'!$AB:$AB,B523)</f>
        <v>0</v>
      </c>
      <c r="D523" s="12">
        <f>SUMIFS('Investor Exit List'!$Q:$Q,'Investor Exit List'!$AB:$AB,B523)</f>
        <v>0</v>
      </c>
      <c r="E523" s="26" t="str">
        <f t="shared" si="23"/>
        <v/>
      </c>
      <c r="F523" s="12">
        <f t="shared" si="24"/>
        <v>0</v>
      </c>
      <c r="AF523" s="14"/>
    </row>
    <row r="524" spans="1:32" ht="29" hidden="1" x14ac:dyDescent="0.35">
      <c r="A524" s="15" t="str">
        <f t="shared" si="22"/>
        <v/>
      </c>
      <c r="B524" s="12"/>
      <c r="C524" s="16">
        <f>SUMIFS('Investor Exit List'!$AC:$AC,'Investor Exit List'!$AB:$AB,B524)</f>
        <v>0</v>
      </c>
      <c r="D524" s="12">
        <f>SUMIFS('Investor Exit List'!$Q:$Q,'Investor Exit List'!$AB:$AB,B524)</f>
        <v>0</v>
      </c>
      <c r="E524" s="26" t="str">
        <f t="shared" si="23"/>
        <v/>
      </c>
      <c r="F524" s="12">
        <f t="shared" si="24"/>
        <v>0</v>
      </c>
      <c r="AF524" s="14"/>
    </row>
    <row r="525" spans="1:32" ht="29" hidden="1" x14ac:dyDescent="0.35">
      <c r="A525" s="15" t="str">
        <f t="shared" si="22"/>
        <v/>
      </c>
      <c r="B525" s="12"/>
      <c r="C525" s="16">
        <f>SUMIFS('Investor Exit List'!$AC:$AC,'Investor Exit List'!$AB:$AB,B525)</f>
        <v>0</v>
      </c>
      <c r="D525" s="12">
        <f>SUMIFS('Investor Exit List'!$Q:$Q,'Investor Exit List'!$AB:$AB,B525)</f>
        <v>0</v>
      </c>
      <c r="E525" s="26" t="str">
        <f t="shared" si="23"/>
        <v/>
      </c>
      <c r="F525" s="12">
        <f t="shared" si="24"/>
        <v>0</v>
      </c>
      <c r="AF525" s="14"/>
    </row>
    <row r="526" spans="1:32" ht="29" hidden="1" x14ac:dyDescent="0.35">
      <c r="A526" s="15" t="str">
        <f t="shared" si="22"/>
        <v/>
      </c>
      <c r="B526" s="12"/>
      <c r="C526" s="16">
        <f>SUMIFS('Investor Exit List'!$AC:$AC,'Investor Exit List'!$AB:$AB,B526)</f>
        <v>0</v>
      </c>
      <c r="D526" s="12">
        <f>SUMIFS('Investor Exit List'!$Q:$Q,'Investor Exit List'!$AB:$AB,B526)</f>
        <v>0</v>
      </c>
      <c r="E526" s="26" t="str">
        <f t="shared" si="23"/>
        <v/>
      </c>
      <c r="F526" s="12">
        <f t="shared" si="24"/>
        <v>0</v>
      </c>
      <c r="AF526" s="14"/>
    </row>
    <row r="527" spans="1:32" ht="29" hidden="1" x14ac:dyDescent="0.35">
      <c r="A527" s="15" t="str">
        <f t="shared" si="22"/>
        <v/>
      </c>
      <c r="B527" s="12"/>
      <c r="C527" s="16">
        <f>SUMIFS('Investor Exit List'!$AC:$AC,'Investor Exit List'!$AB:$AB,B527)</f>
        <v>0</v>
      </c>
      <c r="D527" s="12">
        <f>SUMIFS('Investor Exit List'!$Q:$Q,'Investor Exit List'!$AB:$AB,B527)</f>
        <v>0</v>
      </c>
      <c r="E527" s="26" t="str">
        <f t="shared" si="23"/>
        <v/>
      </c>
      <c r="F527" s="12">
        <f t="shared" si="24"/>
        <v>0</v>
      </c>
      <c r="AF527" s="14"/>
    </row>
    <row r="528" spans="1:32" ht="29" hidden="1" x14ac:dyDescent="0.35">
      <c r="A528" s="15" t="str">
        <f t="shared" si="22"/>
        <v/>
      </c>
      <c r="B528" s="12"/>
      <c r="C528" s="16">
        <f>SUMIFS('Investor Exit List'!$AC:$AC,'Investor Exit List'!$AB:$AB,B528)</f>
        <v>0</v>
      </c>
      <c r="D528" s="12">
        <f>SUMIFS('Investor Exit List'!$Q:$Q,'Investor Exit List'!$AB:$AB,B528)</f>
        <v>0</v>
      </c>
      <c r="E528" s="26" t="str">
        <f t="shared" si="23"/>
        <v/>
      </c>
      <c r="F528" s="12">
        <f t="shared" si="24"/>
        <v>0</v>
      </c>
      <c r="AF528" s="14"/>
    </row>
    <row r="529" spans="1:32" ht="29" hidden="1" x14ac:dyDescent="0.35">
      <c r="A529" s="15" t="str">
        <f t="shared" si="22"/>
        <v/>
      </c>
      <c r="B529" s="12"/>
      <c r="C529" s="16">
        <f>SUMIFS('Investor Exit List'!$AC:$AC,'Investor Exit List'!$AB:$AB,B529)</f>
        <v>0</v>
      </c>
      <c r="D529" s="12">
        <f>SUMIFS('Investor Exit List'!$Q:$Q,'Investor Exit List'!$AB:$AB,B529)</f>
        <v>0</v>
      </c>
      <c r="E529" s="26" t="str">
        <f t="shared" si="23"/>
        <v/>
      </c>
      <c r="F529" s="12">
        <f t="shared" si="24"/>
        <v>0</v>
      </c>
      <c r="AF529" s="14"/>
    </row>
    <row r="530" spans="1:32" ht="29" hidden="1" x14ac:dyDescent="0.35">
      <c r="A530" s="15" t="str">
        <f t="shared" si="22"/>
        <v/>
      </c>
      <c r="B530" s="12"/>
      <c r="C530" s="16">
        <f>SUMIFS('Investor Exit List'!$AC:$AC,'Investor Exit List'!$AB:$AB,B530)</f>
        <v>0</v>
      </c>
      <c r="D530" s="12">
        <f>SUMIFS('Investor Exit List'!$Q:$Q,'Investor Exit List'!$AB:$AB,B530)</f>
        <v>0</v>
      </c>
      <c r="E530" s="26" t="str">
        <f t="shared" si="23"/>
        <v/>
      </c>
      <c r="F530" s="12">
        <f t="shared" si="24"/>
        <v>0</v>
      </c>
      <c r="AF530" s="14"/>
    </row>
    <row r="531" spans="1:32" ht="29" hidden="1" x14ac:dyDescent="0.35">
      <c r="A531" s="15" t="str">
        <f t="shared" si="22"/>
        <v/>
      </c>
      <c r="B531" s="12"/>
      <c r="C531" s="16">
        <f>SUMIFS('Investor Exit List'!$AC:$AC,'Investor Exit List'!$AB:$AB,B531)</f>
        <v>0</v>
      </c>
      <c r="D531" s="12">
        <f>SUMIFS('Investor Exit List'!$Q:$Q,'Investor Exit List'!$AB:$AB,B531)</f>
        <v>0</v>
      </c>
      <c r="E531" s="26" t="str">
        <f t="shared" si="23"/>
        <v/>
      </c>
      <c r="F531" s="12">
        <f t="shared" si="24"/>
        <v>0</v>
      </c>
      <c r="AF531" s="14"/>
    </row>
    <row r="532" spans="1:32" ht="29" hidden="1" x14ac:dyDescent="0.35">
      <c r="A532" s="15" t="str">
        <f t="shared" si="22"/>
        <v/>
      </c>
      <c r="B532" s="12"/>
      <c r="C532" s="16">
        <f>SUMIFS('Investor Exit List'!$AC:$AC,'Investor Exit List'!$AB:$AB,B532)</f>
        <v>0</v>
      </c>
      <c r="D532" s="12">
        <f>SUMIFS('Investor Exit List'!$Q:$Q,'Investor Exit List'!$AB:$AB,B532)</f>
        <v>0</v>
      </c>
      <c r="E532" s="26" t="str">
        <f t="shared" si="23"/>
        <v/>
      </c>
      <c r="F532" s="12">
        <f t="shared" si="24"/>
        <v>0</v>
      </c>
      <c r="AF532" s="14"/>
    </row>
    <row r="533" spans="1:32" ht="29" hidden="1" x14ac:dyDescent="0.35">
      <c r="A533" s="15" t="str">
        <f t="shared" si="22"/>
        <v/>
      </c>
      <c r="B533" s="12"/>
      <c r="C533" s="16">
        <f>SUMIFS('Investor Exit List'!$AC:$AC,'Investor Exit List'!$AB:$AB,B533)</f>
        <v>0</v>
      </c>
      <c r="D533" s="12">
        <f>SUMIFS('Investor Exit List'!$Q:$Q,'Investor Exit List'!$AB:$AB,B533)</f>
        <v>0</v>
      </c>
      <c r="E533" s="26" t="str">
        <f t="shared" si="23"/>
        <v/>
      </c>
      <c r="F533" s="12">
        <f t="shared" si="24"/>
        <v>0</v>
      </c>
      <c r="AF533" s="14"/>
    </row>
    <row r="534" spans="1:32" ht="29" hidden="1" x14ac:dyDescent="0.35">
      <c r="A534" s="15" t="str">
        <f t="shared" si="22"/>
        <v/>
      </c>
      <c r="B534" s="12"/>
      <c r="C534" s="16">
        <f>SUMIFS('Investor Exit List'!$AC:$AC,'Investor Exit List'!$AB:$AB,B534)</f>
        <v>0</v>
      </c>
      <c r="D534" s="12">
        <f>SUMIFS('Investor Exit List'!$Q:$Q,'Investor Exit List'!$AB:$AB,B534)</f>
        <v>0</v>
      </c>
      <c r="E534" s="26" t="str">
        <f t="shared" si="23"/>
        <v/>
      </c>
      <c r="F534" s="12">
        <f t="shared" si="24"/>
        <v>0</v>
      </c>
      <c r="AF534" s="14"/>
    </row>
    <row r="535" spans="1:32" ht="29" hidden="1" x14ac:dyDescent="0.35">
      <c r="A535" s="15" t="str">
        <f t="shared" si="22"/>
        <v/>
      </c>
      <c r="B535" s="12"/>
      <c r="C535" s="16">
        <f>SUMIFS('Investor Exit List'!$AC:$AC,'Investor Exit List'!$AB:$AB,B535)</f>
        <v>0</v>
      </c>
      <c r="D535" s="12">
        <f>SUMIFS('Investor Exit List'!$Q:$Q,'Investor Exit List'!$AB:$AB,B535)</f>
        <v>0</v>
      </c>
      <c r="E535" s="26" t="str">
        <f t="shared" si="23"/>
        <v/>
      </c>
      <c r="F535" s="12">
        <f t="shared" si="24"/>
        <v>0</v>
      </c>
      <c r="AF535" s="14"/>
    </row>
    <row r="536" spans="1:32" ht="29" hidden="1" x14ac:dyDescent="0.35">
      <c r="A536" s="15" t="str">
        <f t="shared" si="22"/>
        <v/>
      </c>
      <c r="B536" s="12"/>
      <c r="C536" s="16">
        <f>SUMIFS('Investor Exit List'!$AC:$AC,'Investor Exit List'!$AB:$AB,B536)</f>
        <v>0</v>
      </c>
      <c r="D536" s="12">
        <f>SUMIFS('Investor Exit List'!$Q:$Q,'Investor Exit List'!$AB:$AB,B536)</f>
        <v>0</v>
      </c>
      <c r="E536" s="26" t="str">
        <f t="shared" si="23"/>
        <v/>
      </c>
      <c r="F536" s="12">
        <f t="shared" si="24"/>
        <v>0</v>
      </c>
      <c r="AF536" s="14"/>
    </row>
    <row r="537" spans="1:32" ht="29" hidden="1" x14ac:dyDescent="0.35">
      <c r="A537" s="15" t="str">
        <f t="shared" si="22"/>
        <v/>
      </c>
      <c r="B537" s="12"/>
      <c r="C537" s="16">
        <f>SUMIFS('Investor Exit List'!$AC:$AC,'Investor Exit List'!$AB:$AB,B537)</f>
        <v>0</v>
      </c>
      <c r="D537" s="12">
        <f>SUMIFS('Investor Exit List'!$Q:$Q,'Investor Exit List'!$AB:$AB,B537)</f>
        <v>0</v>
      </c>
      <c r="E537" s="26" t="str">
        <f t="shared" si="23"/>
        <v/>
      </c>
      <c r="F537" s="12">
        <f t="shared" si="24"/>
        <v>0</v>
      </c>
      <c r="AF537" s="14"/>
    </row>
    <row r="538" spans="1:32" ht="29" hidden="1" x14ac:dyDescent="0.35">
      <c r="A538" s="15" t="str">
        <f t="shared" si="22"/>
        <v/>
      </c>
      <c r="B538" s="12"/>
      <c r="C538" s="16">
        <f>SUMIFS('Investor Exit List'!$AC:$AC,'Investor Exit List'!$AB:$AB,B538)</f>
        <v>0</v>
      </c>
      <c r="D538" s="12">
        <f>SUMIFS('Investor Exit List'!$Q:$Q,'Investor Exit List'!$AB:$AB,B538)</f>
        <v>0</v>
      </c>
      <c r="E538" s="26" t="str">
        <f t="shared" si="23"/>
        <v/>
      </c>
      <c r="F538" s="12">
        <f t="shared" si="24"/>
        <v>0</v>
      </c>
      <c r="AF538" s="14"/>
    </row>
    <row r="539" spans="1:32" ht="29" hidden="1" x14ac:dyDescent="0.35">
      <c r="A539" s="15" t="str">
        <f t="shared" si="22"/>
        <v/>
      </c>
      <c r="B539" s="12"/>
      <c r="C539" s="16">
        <f>SUMIFS('Investor Exit List'!$AC:$AC,'Investor Exit List'!$AB:$AB,B539)</f>
        <v>0</v>
      </c>
      <c r="D539" s="12">
        <f>SUMIFS('Investor Exit List'!$Q:$Q,'Investor Exit List'!$AB:$AB,B539)</f>
        <v>0</v>
      </c>
      <c r="E539" s="26" t="str">
        <f t="shared" si="23"/>
        <v/>
      </c>
      <c r="F539" s="12">
        <f t="shared" si="24"/>
        <v>0</v>
      </c>
      <c r="AF539" s="14"/>
    </row>
    <row r="540" spans="1:32" ht="29" hidden="1" x14ac:dyDescent="0.35">
      <c r="A540" s="15" t="str">
        <f t="shared" si="22"/>
        <v/>
      </c>
      <c r="B540" s="12"/>
      <c r="C540" s="16">
        <f>SUMIFS('Investor Exit List'!$AC:$AC,'Investor Exit List'!$AB:$AB,B540)</f>
        <v>0</v>
      </c>
      <c r="D540" s="12">
        <f>SUMIFS('Investor Exit List'!$Q:$Q,'Investor Exit List'!$AB:$AB,B540)</f>
        <v>0</v>
      </c>
      <c r="E540" s="26" t="str">
        <f t="shared" si="23"/>
        <v/>
      </c>
      <c r="F540" s="12">
        <f t="shared" si="24"/>
        <v>0</v>
      </c>
      <c r="AF540" s="14"/>
    </row>
    <row r="541" spans="1:32" ht="29" hidden="1" x14ac:dyDescent="0.35">
      <c r="A541" s="15" t="str">
        <f t="shared" si="22"/>
        <v/>
      </c>
      <c r="B541" s="12"/>
      <c r="C541" s="16">
        <f>SUMIFS('Investor Exit List'!$AC:$AC,'Investor Exit List'!$AB:$AB,B541)</f>
        <v>0</v>
      </c>
      <c r="D541" s="12">
        <f>SUMIFS('Investor Exit List'!$Q:$Q,'Investor Exit List'!$AB:$AB,B541)</f>
        <v>0</v>
      </c>
      <c r="E541" s="26" t="str">
        <f t="shared" si="23"/>
        <v/>
      </c>
      <c r="F541" s="12">
        <f t="shared" si="24"/>
        <v>0</v>
      </c>
      <c r="AF541" s="14"/>
    </row>
    <row r="542" spans="1:32" ht="29" hidden="1" x14ac:dyDescent="0.35">
      <c r="A542" s="15" t="str">
        <f t="shared" si="22"/>
        <v/>
      </c>
      <c r="B542" s="12"/>
      <c r="C542" s="16">
        <f>SUMIFS('Investor Exit List'!$AC:$AC,'Investor Exit List'!$AB:$AB,B542)</f>
        <v>0</v>
      </c>
      <c r="D542" s="12">
        <f>SUMIFS('Investor Exit List'!$Q:$Q,'Investor Exit List'!$AB:$AB,B542)</f>
        <v>0</v>
      </c>
      <c r="E542" s="26" t="str">
        <f t="shared" si="23"/>
        <v/>
      </c>
      <c r="F542" s="12">
        <f t="shared" si="24"/>
        <v>0</v>
      </c>
      <c r="AF542" s="14"/>
    </row>
    <row r="543" spans="1:32" ht="29" hidden="1" x14ac:dyDescent="0.35">
      <c r="A543" s="15" t="str">
        <f t="shared" si="22"/>
        <v/>
      </c>
      <c r="B543" s="12"/>
      <c r="C543" s="16">
        <f>SUMIFS('Investor Exit List'!$AC:$AC,'Investor Exit List'!$AB:$AB,B543)</f>
        <v>0</v>
      </c>
      <c r="D543" s="12">
        <f>SUMIFS('Investor Exit List'!$Q:$Q,'Investor Exit List'!$AB:$AB,B543)</f>
        <v>0</v>
      </c>
      <c r="E543" s="26" t="str">
        <f t="shared" si="23"/>
        <v/>
      </c>
      <c r="F543" s="12">
        <f t="shared" si="24"/>
        <v>0</v>
      </c>
      <c r="AF543" s="14"/>
    </row>
    <row r="544" spans="1:32" ht="29" hidden="1" x14ac:dyDescent="0.35">
      <c r="A544" s="15" t="str">
        <f t="shared" si="22"/>
        <v/>
      </c>
      <c r="B544" s="12"/>
      <c r="C544" s="16">
        <f>SUMIFS('Investor Exit List'!$AC:$AC,'Investor Exit List'!$AB:$AB,B544)</f>
        <v>0</v>
      </c>
      <c r="D544" s="12">
        <f>SUMIFS('Investor Exit List'!$Q:$Q,'Investor Exit List'!$AB:$AB,B544)</f>
        <v>0</v>
      </c>
      <c r="E544" s="26" t="str">
        <f t="shared" si="23"/>
        <v/>
      </c>
      <c r="F544" s="12">
        <f t="shared" si="24"/>
        <v>0</v>
      </c>
      <c r="AF544" s="14"/>
    </row>
    <row r="545" spans="1:32" ht="29" hidden="1" x14ac:dyDescent="0.35">
      <c r="A545" s="15" t="str">
        <f t="shared" si="22"/>
        <v/>
      </c>
      <c r="B545" s="12"/>
      <c r="C545" s="16">
        <f>SUMIFS('Investor Exit List'!$AC:$AC,'Investor Exit List'!$AB:$AB,B545)</f>
        <v>0</v>
      </c>
      <c r="D545" s="12">
        <f>SUMIFS('Investor Exit List'!$Q:$Q,'Investor Exit List'!$AB:$AB,B545)</f>
        <v>0</v>
      </c>
      <c r="E545" s="26" t="str">
        <f t="shared" si="23"/>
        <v/>
      </c>
      <c r="F545" s="12">
        <f t="shared" si="24"/>
        <v>0</v>
      </c>
      <c r="AF545" s="14"/>
    </row>
    <row r="546" spans="1:32" ht="29" hidden="1" x14ac:dyDescent="0.35">
      <c r="A546" s="15" t="str">
        <f t="shared" si="22"/>
        <v/>
      </c>
      <c r="B546" s="12"/>
      <c r="C546" s="16">
        <f>SUMIFS('Investor Exit List'!$AC:$AC,'Investor Exit List'!$AB:$AB,B546)</f>
        <v>0</v>
      </c>
      <c r="D546" s="12">
        <f>SUMIFS('Investor Exit List'!$Q:$Q,'Investor Exit List'!$AB:$AB,B546)</f>
        <v>0</v>
      </c>
      <c r="E546" s="26" t="str">
        <f t="shared" si="23"/>
        <v/>
      </c>
      <c r="F546" s="12">
        <f t="shared" si="24"/>
        <v>0</v>
      </c>
      <c r="AF546" s="14"/>
    </row>
    <row r="547" spans="1:32" ht="29" hidden="1" x14ac:dyDescent="0.35">
      <c r="A547" s="15" t="str">
        <f t="shared" si="22"/>
        <v/>
      </c>
      <c r="B547" s="12"/>
      <c r="C547" s="16">
        <f>SUMIFS('Investor Exit List'!$AC:$AC,'Investor Exit List'!$AB:$AB,B547)</f>
        <v>0</v>
      </c>
      <c r="D547" s="12">
        <f>SUMIFS('Investor Exit List'!$Q:$Q,'Investor Exit List'!$AB:$AB,B547)</f>
        <v>0</v>
      </c>
      <c r="E547" s="26" t="str">
        <f t="shared" si="23"/>
        <v/>
      </c>
      <c r="F547" s="12">
        <f t="shared" si="24"/>
        <v>0</v>
      </c>
      <c r="AF547" s="14"/>
    </row>
    <row r="548" spans="1:32" ht="29" hidden="1" x14ac:dyDescent="0.35">
      <c r="A548" s="15" t="str">
        <f t="shared" si="22"/>
        <v/>
      </c>
      <c r="B548" s="12"/>
      <c r="C548" s="16">
        <f>SUMIFS('Investor Exit List'!$AC:$AC,'Investor Exit List'!$AB:$AB,B548)</f>
        <v>0</v>
      </c>
      <c r="D548" s="12">
        <f>SUMIFS('Investor Exit List'!$Q:$Q,'Investor Exit List'!$AB:$AB,B548)</f>
        <v>0</v>
      </c>
      <c r="E548" s="26" t="str">
        <f t="shared" si="23"/>
        <v/>
      </c>
      <c r="F548" s="12">
        <f t="shared" si="24"/>
        <v>0</v>
      </c>
      <c r="AF548" s="14"/>
    </row>
    <row r="549" spans="1:32" ht="29" hidden="1" x14ac:dyDescent="0.35">
      <c r="A549" s="15" t="str">
        <f t="shared" si="22"/>
        <v/>
      </c>
      <c r="B549" s="12"/>
      <c r="C549" s="16">
        <f>SUMIFS('Investor Exit List'!$AC:$AC,'Investor Exit List'!$AB:$AB,B549)</f>
        <v>0</v>
      </c>
      <c r="D549" s="12">
        <f>SUMIFS('Investor Exit List'!$Q:$Q,'Investor Exit List'!$AB:$AB,B549)</f>
        <v>0</v>
      </c>
      <c r="E549" s="26" t="str">
        <f t="shared" si="23"/>
        <v/>
      </c>
      <c r="F549" s="12">
        <f t="shared" si="24"/>
        <v>0</v>
      </c>
      <c r="AF549" s="14"/>
    </row>
    <row r="550" spans="1:32" ht="29" hidden="1" x14ac:dyDescent="0.35">
      <c r="A550" s="15" t="str">
        <f t="shared" si="22"/>
        <v/>
      </c>
      <c r="B550" s="12"/>
      <c r="C550" s="16">
        <f>SUMIFS('Investor Exit List'!$AC:$AC,'Investor Exit List'!$AB:$AB,B550)</f>
        <v>0</v>
      </c>
      <c r="D550" s="12">
        <f>SUMIFS('Investor Exit List'!$Q:$Q,'Investor Exit List'!$AB:$AB,B550)</f>
        <v>0</v>
      </c>
      <c r="E550" s="26" t="str">
        <f t="shared" si="23"/>
        <v/>
      </c>
      <c r="F550" s="12">
        <f t="shared" si="24"/>
        <v>0</v>
      </c>
      <c r="AF550" s="14"/>
    </row>
    <row r="551" spans="1:32" ht="29" hidden="1" x14ac:dyDescent="0.35">
      <c r="A551" s="15" t="str">
        <f t="shared" si="22"/>
        <v/>
      </c>
      <c r="B551" s="12"/>
      <c r="C551" s="16">
        <f>SUMIFS('Investor Exit List'!$AC:$AC,'Investor Exit List'!$AB:$AB,B551)</f>
        <v>0</v>
      </c>
      <c r="D551" s="12">
        <f>SUMIFS('Investor Exit List'!$Q:$Q,'Investor Exit List'!$AB:$AB,B551)</f>
        <v>0</v>
      </c>
      <c r="E551" s="26" t="str">
        <f t="shared" si="23"/>
        <v/>
      </c>
      <c r="F551" s="12">
        <f t="shared" si="24"/>
        <v>0</v>
      </c>
      <c r="AF551" s="14"/>
    </row>
    <row r="552" spans="1:32" ht="29" hidden="1" x14ac:dyDescent="0.35">
      <c r="A552" s="15" t="str">
        <f t="shared" si="22"/>
        <v/>
      </c>
      <c r="B552" s="12"/>
      <c r="C552" s="16">
        <f>SUMIFS('Investor Exit List'!$AC:$AC,'Investor Exit List'!$AB:$AB,B552)</f>
        <v>0</v>
      </c>
      <c r="D552" s="12">
        <f>SUMIFS('Investor Exit List'!$Q:$Q,'Investor Exit List'!$AB:$AB,B552)</f>
        <v>0</v>
      </c>
      <c r="E552" s="26" t="str">
        <f t="shared" si="23"/>
        <v/>
      </c>
      <c r="F552" s="12">
        <f t="shared" si="24"/>
        <v>0</v>
      </c>
      <c r="AF552" s="14"/>
    </row>
    <row r="553" spans="1:32" ht="29" hidden="1" x14ac:dyDescent="0.35">
      <c r="A553" s="15" t="str">
        <f t="shared" si="22"/>
        <v/>
      </c>
      <c r="B553" s="12"/>
      <c r="C553" s="16">
        <f>SUMIFS('Investor Exit List'!$AC:$AC,'Investor Exit List'!$AB:$AB,B553)</f>
        <v>0</v>
      </c>
      <c r="D553" s="12">
        <f>SUMIFS('Investor Exit List'!$Q:$Q,'Investor Exit List'!$AB:$AB,B553)</f>
        <v>0</v>
      </c>
      <c r="E553" s="26" t="str">
        <f t="shared" si="23"/>
        <v/>
      </c>
      <c r="F553" s="12">
        <f t="shared" si="24"/>
        <v>0</v>
      </c>
      <c r="AF553" s="14"/>
    </row>
    <row r="554" spans="1:32" ht="29" hidden="1" x14ac:dyDescent="0.35">
      <c r="A554" s="15" t="str">
        <f t="shared" si="22"/>
        <v/>
      </c>
      <c r="B554" s="12"/>
      <c r="C554" s="16">
        <f>SUMIFS('Investor Exit List'!$AC:$AC,'Investor Exit List'!$AB:$AB,B554)</f>
        <v>0</v>
      </c>
      <c r="D554" s="12">
        <f>SUMIFS('Investor Exit List'!$Q:$Q,'Investor Exit List'!$AB:$AB,B554)</f>
        <v>0</v>
      </c>
      <c r="E554" s="26" t="str">
        <f t="shared" si="23"/>
        <v/>
      </c>
      <c r="F554" s="12">
        <f t="shared" si="24"/>
        <v>0</v>
      </c>
      <c r="AF554" s="14"/>
    </row>
    <row r="555" spans="1:32" ht="29" hidden="1" x14ac:dyDescent="0.35">
      <c r="A555" s="15" t="str">
        <f t="shared" si="22"/>
        <v/>
      </c>
      <c r="B555" s="12"/>
      <c r="C555" s="16">
        <f>SUMIFS('Investor Exit List'!$AC:$AC,'Investor Exit List'!$AB:$AB,B555)</f>
        <v>0</v>
      </c>
      <c r="D555" s="12">
        <f>SUMIFS('Investor Exit List'!$Q:$Q,'Investor Exit List'!$AB:$AB,B555)</f>
        <v>0</v>
      </c>
      <c r="E555" s="26" t="str">
        <f t="shared" si="23"/>
        <v/>
      </c>
      <c r="F555" s="12">
        <f t="shared" si="24"/>
        <v>0</v>
      </c>
      <c r="AF555" s="14"/>
    </row>
    <row r="556" spans="1:32" ht="29" hidden="1" x14ac:dyDescent="0.35">
      <c r="A556" s="15" t="str">
        <f t="shared" si="22"/>
        <v/>
      </c>
      <c r="B556" s="12"/>
      <c r="C556" s="16">
        <f>SUMIFS('Investor Exit List'!$AC:$AC,'Investor Exit List'!$AB:$AB,B556)</f>
        <v>0</v>
      </c>
      <c r="D556" s="12">
        <f>SUMIFS('Investor Exit List'!$Q:$Q,'Investor Exit List'!$AB:$AB,B556)</f>
        <v>0</v>
      </c>
      <c r="E556" s="26" t="str">
        <f t="shared" si="23"/>
        <v/>
      </c>
      <c r="F556" s="12">
        <f t="shared" si="24"/>
        <v>0</v>
      </c>
      <c r="AF556" s="14"/>
    </row>
    <row r="557" spans="1:32" ht="29" hidden="1" x14ac:dyDescent="0.35">
      <c r="A557" s="15" t="str">
        <f t="shared" si="22"/>
        <v/>
      </c>
      <c r="B557" s="12"/>
      <c r="C557" s="16">
        <f>SUMIFS('Investor Exit List'!$AC:$AC,'Investor Exit List'!$AB:$AB,B557)</f>
        <v>0</v>
      </c>
      <c r="D557" s="12">
        <f>SUMIFS('Investor Exit List'!$Q:$Q,'Investor Exit List'!$AB:$AB,B557)</f>
        <v>0</v>
      </c>
      <c r="E557" s="26" t="str">
        <f t="shared" si="23"/>
        <v/>
      </c>
      <c r="F557" s="12">
        <f t="shared" si="24"/>
        <v>0</v>
      </c>
      <c r="AF557" s="14"/>
    </row>
    <row r="558" spans="1:32" ht="29" hidden="1" x14ac:dyDescent="0.35">
      <c r="A558" s="15" t="str">
        <f t="shared" si="22"/>
        <v/>
      </c>
      <c r="B558" s="12"/>
      <c r="C558" s="16">
        <f>SUMIFS('Investor Exit List'!$AC:$AC,'Investor Exit List'!$AB:$AB,B558)</f>
        <v>0</v>
      </c>
      <c r="D558" s="12">
        <f>SUMIFS('Investor Exit List'!$Q:$Q,'Investor Exit List'!$AB:$AB,B558)</f>
        <v>0</v>
      </c>
      <c r="E558" s="26" t="str">
        <f t="shared" si="23"/>
        <v/>
      </c>
      <c r="F558" s="12">
        <f t="shared" si="24"/>
        <v>0</v>
      </c>
      <c r="AF558" s="14"/>
    </row>
    <row r="559" spans="1:32" ht="29" hidden="1" x14ac:dyDescent="0.35">
      <c r="A559" s="15" t="str">
        <f t="shared" si="22"/>
        <v/>
      </c>
      <c r="B559" s="12"/>
      <c r="C559" s="16">
        <f>SUMIFS('Investor Exit List'!$AC:$AC,'Investor Exit List'!$AB:$AB,B559)</f>
        <v>0</v>
      </c>
      <c r="D559" s="12">
        <f>SUMIFS('Investor Exit List'!$Q:$Q,'Investor Exit List'!$AB:$AB,B559)</f>
        <v>0</v>
      </c>
      <c r="E559" s="26" t="str">
        <f t="shared" si="23"/>
        <v/>
      </c>
      <c r="F559" s="12">
        <f t="shared" si="24"/>
        <v>0</v>
      </c>
      <c r="AF559" s="14"/>
    </row>
    <row r="560" spans="1:32" ht="29" hidden="1" x14ac:dyDescent="0.35">
      <c r="A560" s="15" t="str">
        <f t="shared" si="22"/>
        <v/>
      </c>
      <c r="B560" s="12"/>
      <c r="C560" s="16">
        <f>SUMIFS('Investor Exit List'!$AC:$AC,'Investor Exit List'!$AB:$AB,B560)</f>
        <v>0</v>
      </c>
      <c r="D560" s="12">
        <f>SUMIFS('Investor Exit List'!$Q:$Q,'Investor Exit List'!$AB:$AB,B560)</f>
        <v>0</v>
      </c>
      <c r="E560" s="26" t="str">
        <f t="shared" si="23"/>
        <v/>
      </c>
      <c r="F560" s="12">
        <f t="shared" si="24"/>
        <v>0</v>
      </c>
      <c r="AF560" s="14"/>
    </row>
    <row r="561" spans="1:32" ht="29" hidden="1" x14ac:dyDescent="0.35">
      <c r="A561" s="15" t="str">
        <f t="shared" si="22"/>
        <v/>
      </c>
      <c r="B561" s="12"/>
      <c r="C561" s="16">
        <f>SUMIFS('Investor Exit List'!$AC:$AC,'Investor Exit List'!$AB:$AB,B561)</f>
        <v>0</v>
      </c>
      <c r="D561" s="12">
        <f>SUMIFS('Investor Exit List'!$Q:$Q,'Investor Exit List'!$AB:$AB,B561)</f>
        <v>0</v>
      </c>
      <c r="E561" s="26" t="str">
        <f t="shared" si="23"/>
        <v/>
      </c>
      <c r="F561" s="12">
        <f t="shared" si="24"/>
        <v>0</v>
      </c>
      <c r="AF561" s="14"/>
    </row>
    <row r="562" spans="1:32" ht="29" hidden="1" x14ac:dyDescent="0.35">
      <c r="A562" s="15" t="str">
        <f t="shared" si="22"/>
        <v/>
      </c>
      <c r="B562" s="12"/>
      <c r="C562" s="16">
        <f>SUMIFS('Investor Exit List'!$AC:$AC,'Investor Exit List'!$AB:$AB,B562)</f>
        <v>0</v>
      </c>
      <c r="D562" s="12">
        <f>SUMIFS('Investor Exit List'!$Q:$Q,'Investor Exit List'!$AB:$AB,B562)</f>
        <v>0</v>
      </c>
      <c r="E562" s="26" t="str">
        <f t="shared" si="23"/>
        <v/>
      </c>
      <c r="F562" s="12">
        <f t="shared" si="24"/>
        <v>0</v>
      </c>
      <c r="AF562" s="14"/>
    </row>
    <row r="563" spans="1:32" ht="29" hidden="1" x14ac:dyDescent="0.35">
      <c r="A563" s="15" t="str">
        <f t="shared" ref="A563:A593" si="25">MID(E563, 3, 1)</f>
        <v/>
      </c>
      <c r="B563" s="12"/>
      <c r="C563" s="16">
        <f>SUMIFS('Investor Exit List'!$AC:$AC,'Investor Exit List'!$AB:$AB,B563)</f>
        <v>0</v>
      </c>
      <c r="D563" s="12">
        <f>SUMIFS('Investor Exit List'!$Q:$Q,'Investor Exit List'!$AB:$AB,B563)</f>
        <v>0</v>
      </c>
      <c r="E563" s="26" t="str">
        <f t="shared" ref="E563:E593" si="26">LEFT(B563,6)</f>
        <v/>
      </c>
      <c r="F563" s="12">
        <f t="shared" si="24"/>
        <v>0</v>
      </c>
      <c r="AF563" s="14"/>
    </row>
    <row r="564" spans="1:32" ht="29" hidden="1" x14ac:dyDescent="0.35">
      <c r="A564" s="15" t="str">
        <f t="shared" si="25"/>
        <v/>
      </c>
      <c r="B564" s="12"/>
      <c r="C564" s="16">
        <f>SUMIFS('Investor Exit List'!$AC:$AC,'Investor Exit List'!$AB:$AB,B564)</f>
        <v>0</v>
      </c>
      <c r="D564" s="12">
        <f>SUMIFS('Investor Exit List'!$Q:$Q,'Investor Exit List'!$AB:$AB,B564)</f>
        <v>0</v>
      </c>
      <c r="E564" s="26" t="str">
        <f t="shared" si="26"/>
        <v/>
      </c>
      <c r="F564" s="12">
        <f t="shared" ref="F564:F627" si="27">IF(SUMIFS($E$117:$E$149,$D$117:$D$149,E564)&lt;&gt;0,E564,0)</f>
        <v>0</v>
      </c>
      <c r="AF564" s="14"/>
    </row>
    <row r="565" spans="1:32" ht="29" hidden="1" x14ac:dyDescent="0.35">
      <c r="A565" s="15" t="str">
        <f t="shared" si="25"/>
        <v/>
      </c>
      <c r="B565" s="12"/>
      <c r="C565" s="16">
        <f>SUMIFS('Investor Exit List'!$AC:$AC,'Investor Exit List'!$AB:$AB,B565)</f>
        <v>0</v>
      </c>
      <c r="D565" s="12">
        <f>SUMIFS('Investor Exit List'!$Q:$Q,'Investor Exit List'!$AB:$AB,B565)</f>
        <v>0</v>
      </c>
      <c r="E565" s="26" t="str">
        <f t="shared" si="26"/>
        <v/>
      </c>
      <c r="F565" s="12">
        <f t="shared" si="27"/>
        <v>0</v>
      </c>
      <c r="AF565" s="14"/>
    </row>
    <row r="566" spans="1:32" ht="29" hidden="1" x14ac:dyDescent="0.35">
      <c r="A566" s="15" t="str">
        <f t="shared" si="25"/>
        <v/>
      </c>
      <c r="B566" s="12"/>
      <c r="C566" s="16">
        <f>SUMIFS('Investor Exit List'!$AC:$AC,'Investor Exit List'!$AB:$AB,B566)</f>
        <v>0</v>
      </c>
      <c r="D566" s="12">
        <f>SUMIFS('Investor Exit List'!$Q:$Q,'Investor Exit List'!$AB:$AB,B566)</f>
        <v>0</v>
      </c>
      <c r="E566" s="26" t="str">
        <f t="shared" si="26"/>
        <v/>
      </c>
      <c r="F566" s="12">
        <f t="shared" si="27"/>
        <v>0</v>
      </c>
      <c r="AF566" s="14"/>
    </row>
    <row r="567" spans="1:32" ht="29" hidden="1" x14ac:dyDescent="0.35">
      <c r="A567" s="15" t="str">
        <f t="shared" si="25"/>
        <v/>
      </c>
      <c r="B567" s="12"/>
      <c r="C567" s="16">
        <f>SUMIFS('Investor Exit List'!$AC:$AC,'Investor Exit List'!$AB:$AB,B567)</f>
        <v>0</v>
      </c>
      <c r="D567" s="12">
        <f>SUMIFS('Investor Exit List'!$Q:$Q,'Investor Exit List'!$AB:$AB,B567)</f>
        <v>0</v>
      </c>
      <c r="E567" s="26" t="str">
        <f t="shared" si="26"/>
        <v/>
      </c>
      <c r="F567" s="12">
        <f t="shared" si="27"/>
        <v>0</v>
      </c>
      <c r="AF567" s="14"/>
    </row>
    <row r="568" spans="1:32" ht="29" hidden="1" x14ac:dyDescent="0.35">
      <c r="A568" s="15" t="str">
        <f t="shared" si="25"/>
        <v/>
      </c>
      <c r="B568" s="12"/>
      <c r="C568" s="16">
        <f>SUMIFS('Investor Exit List'!$AC:$AC,'Investor Exit List'!$AB:$AB,B568)</f>
        <v>0</v>
      </c>
      <c r="D568" s="12">
        <f>SUMIFS('Investor Exit List'!$Q:$Q,'Investor Exit List'!$AB:$AB,B568)</f>
        <v>0</v>
      </c>
      <c r="E568" s="26" t="str">
        <f t="shared" si="26"/>
        <v/>
      </c>
      <c r="F568" s="12">
        <f t="shared" si="27"/>
        <v>0</v>
      </c>
      <c r="AF568" s="14"/>
    </row>
    <row r="569" spans="1:32" ht="29" hidden="1" x14ac:dyDescent="0.35">
      <c r="A569" s="15" t="str">
        <f t="shared" si="25"/>
        <v/>
      </c>
      <c r="B569" s="12"/>
      <c r="C569" s="16">
        <f>SUMIFS('Investor Exit List'!$AC:$AC,'Investor Exit List'!$AB:$AB,B569)</f>
        <v>0</v>
      </c>
      <c r="D569" s="12">
        <f>SUMIFS('Investor Exit List'!$Q:$Q,'Investor Exit List'!$AB:$AB,B569)</f>
        <v>0</v>
      </c>
      <c r="E569" s="26" t="str">
        <f t="shared" si="26"/>
        <v/>
      </c>
      <c r="F569" s="12">
        <f t="shared" si="27"/>
        <v>0</v>
      </c>
      <c r="AF569" s="14"/>
    </row>
    <row r="570" spans="1:32" ht="29" hidden="1" x14ac:dyDescent="0.35">
      <c r="A570" s="15" t="str">
        <f t="shared" si="25"/>
        <v/>
      </c>
      <c r="B570" s="12"/>
      <c r="C570" s="16">
        <f>SUMIFS('Investor Exit List'!$AC:$AC,'Investor Exit List'!$AB:$AB,B570)</f>
        <v>0</v>
      </c>
      <c r="D570" s="12">
        <f>SUMIFS('Investor Exit List'!$Q:$Q,'Investor Exit List'!$AB:$AB,B570)</f>
        <v>0</v>
      </c>
      <c r="E570" s="26" t="str">
        <f t="shared" si="26"/>
        <v/>
      </c>
      <c r="F570" s="12">
        <f t="shared" si="27"/>
        <v>0</v>
      </c>
      <c r="AF570" s="14"/>
    </row>
    <row r="571" spans="1:32" ht="29" hidden="1" x14ac:dyDescent="0.35">
      <c r="A571" s="15" t="str">
        <f t="shared" si="25"/>
        <v/>
      </c>
      <c r="B571" s="12"/>
      <c r="C571" s="16">
        <f>SUMIFS('Investor Exit List'!$AC:$AC,'Investor Exit List'!$AB:$AB,B571)</f>
        <v>0</v>
      </c>
      <c r="D571" s="12">
        <f>SUMIFS('Investor Exit List'!$Q:$Q,'Investor Exit List'!$AB:$AB,B571)</f>
        <v>0</v>
      </c>
      <c r="E571" s="26" t="str">
        <f t="shared" si="26"/>
        <v/>
      </c>
      <c r="F571" s="12">
        <f t="shared" si="27"/>
        <v>0</v>
      </c>
      <c r="AF571" s="14"/>
    </row>
    <row r="572" spans="1:32" ht="29" hidden="1" x14ac:dyDescent="0.35">
      <c r="A572" s="15" t="str">
        <f t="shared" si="25"/>
        <v/>
      </c>
      <c r="B572" s="12"/>
      <c r="C572" s="16">
        <f>SUMIFS('Investor Exit List'!$AC:$AC,'Investor Exit List'!$AB:$AB,B572)</f>
        <v>0</v>
      </c>
      <c r="D572" s="12">
        <f>SUMIFS('Investor Exit List'!$Q:$Q,'Investor Exit List'!$AB:$AB,B572)</f>
        <v>0</v>
      </c>
      <c r="E572" s="26" t="str">
        <f t="shared" si="26"/>
        <v/>
      </c>
      <c r="F572" s="12">
        <f t="shared" si="27"/>
        <v>0</v>
      </c>
      <c r="AF572" s="14"/>
    </row>
    <row r="573" spans="1:32" ht="29" hidden="1" x14ac:dyDescent="0.35">
      <c r="A573" s="15" t="str">
        <f t="shared" si="25"/>
        <v/>
      </c>
      <c r="B573" s="12"/>
      <c r="C573" s="16">
        <f>SUMIFS('Investor Exit List'!$AC:$AC,'Investor Exit List'!$AB:$AB,B573)</f>
        <v>0</v>
      </c>
      <c r="D573" s="12">
        <f>SUMIFS('Investor Exit List'!$Q:$Q,'Investor Exit List'!$AB:$AB,B573)</f>
        <v>0</v>
      </c>
      <c r="E573" s="26" t="str">
        <f t="shared" si="26"/>
        <v/>
      </c>
      <c r="F573" s="12">
        <f t="shared" si="27"/>
        <v>0</v>
      </c>
      <c r="AF573" s="14"/>
    </row>
    <row r="574" spans="1:32" ht="29" hidden="1" x14ac:dyDescent="0.35">
      <c r="A574" s="15" t="str">
        <f t="shared" si="25"/>
        <v/>
      </c>
      <c r="B574" s="12"/>
      <c r="C574" s="16">
        <f>SUMIFS('Investor Exit List'!$AC:$AC,'Investor Exit List'!$AB:$AB,B574)</f>
        <v>0</v>
      </c>
      <c r="D574" s="12">
        <f>SUMIFS('Investor Exit List'!$Q:$Q,'Investor Exit List'!$AB:$AB,B574)</f>
        <v>0</v>
      </c>
      <c r="E574" s="26" t="str">
        <f t="shared" si="26"/>
        <v/>
      </c>
      <c r="F574" s="12">
        <f t="shared" si="27"/>
        <v>0</v>
      </c>
      <c r="AF574" s="14"/>
    </row>
    <row r="575" spans="1:32" ht="29" hidden="1" x14ac:dyDescent="0.35">
      <c r="A575" s="15" t="str">
        <f t="shared" si="25"/>
        <v/>
      </c>
      <c r="B575" s="12"/>
      <c r="C575" s="16">
        <f>SUMIFS('Investor Exit List'!$AC:$AC,'Investor Exit List'!$AB:$AB,B575)</f>
        <v>0</v>
      </c>
      <c r="D575" s="12">
        <f>SUMIFS('Investor Exit List'!$Q:$Q,'Investor Exit List'!$AB:$AB,B575)</f>
        <v>0</v>
      </c>
      <c r="E575" s="26" t="str">
        <f t="shared" si="26"/>
        <v/>
      </c>
      <c r="F575" s="12">
        <f t="shared" si="27"/>
        <v>0</v>
      </c>
      <c r="AF575" s="14"/>
    </row>
    <row r="576" spans="1:32" ht="29" hidden="1" x14ac:dyDescent="0.35">
      <c r="A576" s="15" t="str">
        <f t="shared" si="25"/>
        <v/>
      </c>
      <c r="B576" s="12"/>
      <c r="C576" s="16">
        <f>SUMIFS('Investor Exit List'!$AC:$AC,'Investor Exit List'!$AB:$AB,B576)</f>
        <v>0</v>
      </c>
      <c r="D576" s="12">
        <f>SUMIFS('Investor Exit List'!$Q:$Q,'Investor Exit List'!$AB:$AB,B576)</f>
        <v>0</v>
      </c>
      <c r="E576" s="26" t="str">
        <f t="shared" si="26"/>
        <v/>
      </c>
      <c r="F576" s="12">
        <f t="shared" si="27"/>
        <v>0</v>
      </c>
      <c r="AF576" s="14"/>
    </row>
    <row r="577" spans="1:32" ht="29" hidden="1" x14ac:dyDescent="0.35">
      <c r="A577" s="15" t="str">
        <f t="shared" si="25"/>
        <v/>
      </c>
      <c r="B577" s="12"/>
      <c r="C577" s="16">
        <f>SUMIFS('Investor Exit List'!$AC:$AC,'Investor Exit List'!$AB:$AB,B577)</f>
        <v>0</v>
      </c>
      <c r="D577" s="12">
        <f>SUMIFS('Investor Exit List'!$Q:$Q,'Investor Exit List'!$AB:$AB,B577)</f>
        <v>0</v>
      </c>
      <c r="E577" s="26" t="str">
        <f t="shared" si="26"/>
        <v/>
      </c>
      <c r="F577" s="12">
        <f t="shared" si="27"/>
        <v>0</v>
      </c>
      <c r="AF577" s="14"/>
    </row>
    <row r="578" spans="1:32" ht="29" hidden="1" x14ac:dyDescent="0.35">
      <c r="A578" s="15" t="str">
        <f t="shared" si="25"/>
        <v/>
      </c>
      <c r="B578" s="12"/>
      <c r="C578" s="16">
        <f>SUMIFS('Investor Exit List'!$AC:$AC,'Investor Exit List'!$AB:$AB,B578)</f>
        <v>0</v>
      </c>
      <c r="D578" s="12">
        <f>SUMIFS('Investor Exit List'!$Q:$Q,'Investor Exit List'!$AB:$AB,B578)</f>
        <v>0</v>
      </c>
      <c r="E578" s="26" t="str">
        <f t="shared" si="26"/>
        <v/>
      </c>
      <c r="F578" s="12">
        <f t="shared" si="27"/>
        <v>0</v>
      </c>
      <c r="AF578" s="14"/>
    </row>
    <row r="579" spans="1:32" ht="29" hidden="1" x14ac:dyDescent="0.35">
      <c r="A579" s="15" t="str">
        <f t="shared" si="25"/>
        <v/>
      </c>
      <c r="B579" s="12"/>
      <c r="C579" s="16">
        <f>SUMIFS('Investor Exit List'!$AC:$AC,'Investor Exit List'!$AB:$AB,B579)</f>
        <v>0</v>
      </c>
      <c r="D579" s="12">
        <f>SUMIFS('Investor Exit List'!$Q:$Q,'Investor Exit List'!$AB:$AB,B579)</f>
        <v>0</v>
      </c>
      <c r="E579" s="26" t="str">
        <f t="shared" si="26"/>
        <v/>
      </c>
      <c r="F579" s="12">
        <f t="shared" si="27"/>
        <v>0</v>
      </c>
      <c r="AF579" s="14"/>
    </row>
    <row r="580" spans="1:32" ht="29" hidden="1" x14ac:dyDescent="0.35">
      <c r="A580" s="15" t="str">
        <f t="shared" si="25"/>
        <v/>
      </c>
      <c r="B580" s="12"/>
      <c r="C580" s="16">
        <f>SUMIFS('Investor Exit List'!$AC:$AC,'Investor Exit List'!$AB:$AB,B580)</f>
        <v>0</v>
      </c>
      <c r="D580" s="12">
        <f>SUMIFS('Investor Exit List'!$Q:$Q,'Investor Exit List'!$AB:$AB,B580)</f>
        <v>0</v>
      </c>
      <c r="E580" s="26" t="str">
        <f t="shared" si="26"/>
        <v/>
      </c>
      <c r="F580" s="12">
        <f t="shared" si="27"/>
        <v>0</v>
      </c>
      <c r="AF580" s="14"/>
    </row>
    <row r="581" spans="1:32" ht="29" hidden="1" x14ac:dyDescent="0.35">
      <c r="A581" s="15" t="str">
        <f t="shared" si="25"/>
        <v/>
      </c>
      <c r="B581" s="12"/>
      <c r="C581" s="16">
        <f>SUMIFS('Investor Exit List'!$AC:$AC,'Investor Exit List'!$AB:$AB,B581)</f>
        <v>0</v>
      </c>
      <c r="D581" s="12">
        <f>SUMIFS('Investor Exit List'!$Q:$Q,'Investor Exit List'!$AB:$AB,B581)</f>
        <v>0</v>
      </c>
      <c r="E581" s="26" t="str">
        <f t="shared" si="26"/>
        <v/>
      </c>
      <c r="F581" s="12">
        <f t="shared" si="27"/>
        <v>0</v>
      </c>
      <c r="AF581" s="14"/>
    </row>
    <row r="582" spans="1:32" ht="29" hidden="1" x14ac:dyDescent="0.35">
      <c r="A582" s="15" t="str">
        <f t="shared" si="25"/>
        <v/>
      </c>
      <c r="B582" s="12"/>
      <c r="C582" s="16">
        <f>SUMIFS('Investor Exit List'!$AC:$AC,'Investor Exit List'!$AB:$AB,B582)</f>
        <v>0</v>
      </c>
      <c r="D582" s="12">
        <f>SUMIFS('Investor Exit List'!$Q:$Q,'Investor Exit List'!$AB:$AB,B582)</f>
        <v>0</v>
      </c>
      <c r="E582" s="26" t="str">
        <f t="shared" si="26"/>
        <v/>
      </c>
      <c r="F582" s="12">
        <f t="shared" si="27"/>
        <v>0</v>
      </c>
      <c r="AF582" s="14"/>
    </row>
    <row r="583" spans="1:32" ht="29" hidden="1" x14ac:dyDescent="0.35">
      <c r="A583" s="15" t="str">
        <f t="shared" si="25"/>
        <v/>
      </c>
      <c r="B583" s="12"/>
      <c r="C583" s="16">
        <f>SUMIFS('Investor Exit List'!$AC:$AC,'Investor Exit List'!$AB:$AB,B583)</f>
        <v>0</v>
      </c>
      <c r="D583" s="12">
        <f>SUMIFS('Investor Exit List'!$Q:$Q,'Investor Exit List'!$AB:$AB,B583)</f>
        <v>0</v>
      </c>
      <c r="E583" s="26" t="str">
        <f t="shared" si="26"/>
        <v/>
      </c>
      <c r="F583" s="12">
        <f t="shared" si="27"/>
        <v>0</v>
      </c>
      <c r="AF583" s="14"/>
    </row>
    <row r="584" spans="1:32" ht="29" hidden="1" x14ac:dyDescent="0.35">
      <c r="A584" s="15" t="str">
        <f t="shared" si="25"/>
        <v/>
      </c>
      <c r="B584" s="12"/>
      <c r="C584" s="16">
        <f>SUMIFS('Investor Exit List'!$AC:$AC,'Investor Exit List'!$AB:$AB,B584)</f>
        <v>0</v>
      </c>
      <c r="D584" s="12">
        <f>SUMIFS('Investor Exit List'!$Q:$Q,'Investor Exit List'!$AB:$AB,B584)</f>
        <v>0</v>
      </c>
      <c r="E584" s="26" t="str">
        <f t="shared" si="26"/>
        <v/>
      </c>
      <c r="F584" s="12">
        <f t="shared" si="27"/>
        <v>0</v>
      </c>
      <c r="AF584" s="14"/>
    </row>
    <row r="585" spans="1:32" ht="29" hidden="1" x14ac:dyDescent="0.35">
      <c r="A585" s="15" t="str">
        <f t="shared" si="25"/>
        <v/>
      </c>
      <c r="B585" s="12"/>
      <c r="C585" s="16">
        <f>SUMIFS('Investor Exit List'!$AC:$AC,'Investor Exit List'!$AB:$AB,B585)</f>
        <v>0</v>
      </c>
      <c r="D585" s="12">
        <f>SUMIFS('Investor Exit List'!$Q:$Q,'Investor Exit List'!$AB:$AB,B585)</f>
        <v>0</v>
      </c>
      <c r="E585" s="26" t="str">
        <f t="shared" si="26"/>
        <v/>
      </c>
      <c r="F585" s="12">
        <f t="shared" si="27"/>
        <v>0</v>
      </c>
      <c r="AF585" s="14"/>
    </row>
    <row r="586" spans="1:32" ht="29" hidden="1" x14ac:dyDescent="0.35">
      <c r="A586" s="15" t="str">
        <f t="shared" si="25"/>
        <v/>
      </c>
      <c r="B586" s="12"/>
      <c r="C586" s="16">
        <f>SUMIFS('Investor Exit List'!$AC:$AC,'Investor Exit List'!$AB:$AB,B586)</f>
        <v>0</v>
      </c>
      <c r="D586" s="12">
        <f>SUMIFS('Investor Exit List'!$Q:$Q,'Investor Exit List'!$AB:$AB,B586)</f>
        <v>0</v>
      </c>
      <c r="E586" s="26" t="str">
        <f t="shared" si="26"/>
        <v/>
      </c>
      <c r="F586" s="12">
        <f t="shared" si="27"/>
        <v>0</v>
      </c>
      <c r="AF586" s="14"/>
    </row>
    <row r="587" spans="1:32" ht="29" hidden="1" x14ac:dyDescent="0.35">
      <c r="A587" s="15" t="str">
        <f t="shared" si="25"/>
        <v/>
      </c>
      <c r="B587" s="12"/>
      <c r="C587" s="16">
        <f>SUMIFS('Investor Exit List'!$AC:$AC,'Investor Exit List'!$AB:$AB,B587)</f>
        <v>0</v>
      </c>
      <c r="D587" s="12">
        <f>SUMIFS('Investor Exit List'!$Q:$Q,'Investor Exit List'!$AB:$AB,B587)</f>
        <v>0</v>
      </c>
      <c r="E587" s="26" t="str">
        <f t="shared" si="26"/>
        <v/>
      </c>
      <c r="F587" s="12">
        <f t="shared" si="27"/>
        <v>0</v>
      </c>
      <c r="AF587" s="14"/>
    </row>
    <row r="588" spans="1:32" ht="29" hidden="1" x14ac:dyDescent="0.35">
      <c r="A588" s="15" t="str">
        <f t="shared" si="25"/>
        <v/>
      </c>
      <c r="B588" s="12"/>
      <c r="C588" s="16">
        <f>SUMIFS('Investor Exit List'!$AC:$AC,'Investor Exit List'!$AB:$AB,B588)</f>
        <v>0</v>
      </c>
      <c r="D588" s="12">
        <f>SUMIFS('Investor Exit List'!$Q:$Q,'Investor Exit List'!$AB:$AB,B588)</f>
        <v>0</v>
      </c>
      <c r="E588" s="26" t="str">
        <f t="shared" si="26"/>
        <v/>
      </c>
      <c r="F588" s="12">
        <f t="shared" si="27"/>
        <v>0</v>
      </c>
      <c r="AF588" s="14"/>
    </row>
    <row r="589" spans="1:32" ht="29" hidden="1" x14ac:dyDescent="0.35">
      <c r="A589" s="15" t="str">
        <f t="shared" si="25"/>
        <v/>
      </c>
      <c r="B589" s="12"/>
      <c r="C589" s="16">
        <f>SUMIFS('Investor Exit List'!$AC:$AC,'Investor Exit List'!$AB:$AB,B589)</f>
        <v>0</v>
      </c>
      <c r="D589" s="12">
        <f>SUMIFS('Investor Exit List'!$Q:$Q,'Investor Exit List'!$AB:$AB,B589)</f>
        <v>0</v>
      </c>
      <c r="E589" s="26" t="str">
        <f t="shared" si="26"/>
        <v/>
      </c>
      <c r="F589" s="12">
        <f t="shared" si="27"/>
        <v>0</v>
      </c>
      <c r="AF589" s="14"/>
    </row>
    <row r="590" spans="1:32" ht="29" hidden="1" x14ac:dyDescent="0.35">
      <c r="A590" s="15" t="str">
        <f t="shared" si="25"/>
        <v/>
      </c>
      <c r="B590" s="12"/>
      <c r="C590" s="16">
        <f>SUMIFS('Investor Exit List'!$AC:$AC,'Investor Exit List'!$AB:$AB,B590)</f>
        <v>0</v>
      </c>
      <c r="D590" s="12">
        <f>SUMIFS('Investor Exit List'!$Q:$Q,'Investor Exit List'!$AB:$AB,B590)</f>
        <v>0</v>
      </c>
      <c r="E590" s="26" t="str">
        <f t="shared" si="26"/>
        <v/>
      </c>
      <c r="F590" s="12">
        <f t="shared" si="27"/>
        <v>0</v>
      </c>
      <c r="AF590" s="14"/>
    </row>
    <row r="591" spans="1:32" ht="29" hidden="1" x14ac:dyDescent="0.35">
      <c r="A591" s="15" t="str">
        <f t="shared" si="25"/>
        <v/>
      </c>
      <c r="B591" s="12"/>
      <c r="C591" s="16">
        <f>SUMIFS('Investor Exit List'!$AC:$AC,'Investor Exit List'!$AB:$AB,B591)</f>
        <v>0</v>
      </c>
      <c r="D591" s="12">
        <f>SUMIFS('Investor Exit List'!$Q:$Q,'Investor Exit List'!$AB:$AB,B591)</f>
        <v>0</v>
      </c>
      <c r="E591" s="26" t="str">
        <f t="shared" si="26"/>
        <v/>
      </c>
      <c r="F591" s="12">
        <f t="shared" si="27"/>
        <v>0</v>
      </c>
      <c r="AF591" s="14"/>
    </row>
    <row r="592" spans="1:32" ht="29" hidden="1" x14ac:dyDescent="0.35">
      <c r="A592" s="15" t="str">
        <f t="shared" si="25"/>
        <v/>
      </c>
      <c r="B592" s="12"/>
      <c r="C592" s="16">
        <f>SUMIFS('Investor Exit List'!$AC:$AC,'Investor Exit List'!$AB:$AB,B592)</f>
        <v>0</v>
      </c>
      <c r="D592" s="12">
        <f>SUMIFS('Investor Exit List'!$Q:$Q,'Investor Exit List'!$AB:$AB,B592)</f>
        <v>0</v>
      </c>
      <c r="E592" s="26" t="str">
        <f t="shared" si="26"/>
        <v/>
      </c>
      <c r="F592" s="12">
        <f t="shared" si="27"/>
        <v>0</v>
      </c>
      <c r="AF592" s="14"/>
    </row>
    <row r="593" spans="1:32" ht="29" hidden="1" x14ac:dyDescent="0.35">
      <c r="A593" s="15" t="str">
        <f t="shared" si="25"/>
        <v/>
      </c>
      <c r="B593" s="12"/>
      <c r="C593" s="16">
        <f>SUMIFS('Investor Exit List'!$AC:$AC,'Investor Exit List'!$AB:$AB,B593)</f>
        <v>0</v>
      </c>
      <c r="D593" s="12">
        <f>SUMIFS('Investor Exit List'!$Q:$Q,'Investor Exit List'!$AB:$AB,B593)</f>
        <v>0</v>
      </c>
      <c r="E593" s="26" t="str">
        <f t="shared" si="26"/>
        <v/>
      </c>
      <c r="F593" s="12">
        <f t="shared" si="27"/>
        <v>0</v>
      </c>
      <c r="AF593" s="14"/>
    </row>
    <row r="594" spans="1:32" x14ac:dyDescent="0.2">
      <c r="A594" s="13"/>
      <c r="AF594" s="14"/>
    </row>
    <row r="595" spans="1:32" x14ac:dyDescent="0.2">
      <c r="A595" s="13"/>
      <c r="AF595" s="14"/>
    </row>
    <row r="596" spans="1:32" x14ac:dyDescent="0.2">
      <c r="A596" s="80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2"/>
    </row>
  </sheetData>
  <autoFilter ref="A242:G593" xr:uid="{00000000-0001-0000-0800-000000000000}">
    <filterColumn colId="2">
      <filters>
        <dateGroupItem year="2024" month="7" dateTimeGrouping="month"/>
      </filters>
    </filterColumn>
  </autoFilter>
  <mergeCells count="3">
    <mergeCell ref="A1:B1"/>
    <mergeCell ref="A3:AF3"/>
    <mergeCell ref="A63:B63"/>
  </mergeCells>
  <conditionalFormatting sqref="D66">
    <cfRule type="cellIs" dxfId="302" priority="1" operator="lessThan">
      <formula>0</formula>
    </cfRule>
    <cfRule type="cellIs" dxfId="301" priority="2" operator="greaterThan">
      <formula>0</formula>
    </cfRule>
    <cfRule type="cellIs" dxfId="300" priority="3" operator="equal">
      <formula>0</formula>
    </cfRule>
  </conditionalFormatting>
  <conditionalFormatting sqref="D68">
    <cfRule type="cellIs" dxfId="299" priority="4" operator="lessThan">
      <formula>0</formula>
    </cfRule>
    <cfRule type="cellIs" dxfId="298" priority="5" operator="greaterThan">
      <formula>0</formula>
    </cfRule>
    <cfRule type="cellIs" dxfId="297" priority="6" operator="equal">
      <formula>0</formula>
    </cfRule>
  </conditionalFormatting>
  <conditionalFormatting sqref="D70">
    <cfRule type="cellIs" dxfId="296" priority="7" operator="lessThan">
      <formula>0</formula>
    </cfRule>
    <cfRule type="cellIs" dxfId="295" priority="8" operator="greaterThan">
      <formula>0</formula>
    </cfRule>
    <cfRule type="cellIs" dxfId="294" priority="9" operator="equal">
      <formula>0</formula>
    </cfRule>
  </conditionalFormatting>
  <conditionalFormatting sqref="D72">
    <cfRule type="cellIs" dxfId="293" priority="10" operator="lessThan">
      <formula>0</formula>
    </cfRule>
    <cfRule type="cellIs" dxfId="292" priority="11" operator="greaterThan">
      <formula>0</formula>
    </cfRule>
    <cfRule type="cellIs" dxfId="291" priority="12" operator="equal">
      <formula>0</formula>
    </cfRule>
  </conditionalFormatting>
  <conditionalFormatting sqref="D74">
    <cfRule type="cellIs" dxfId="290" priority="13" operator="lessThan">
      <formula>0</formula>
    </cfRule>
    <cfRule type="cellIs" dxfId="289" priority="14" operator="greaterThan">
      <formula>0</formula>
    </cfRule>
    <cfRule type="cellIs" dxfId="288" priority="15" operator="equal">
      <formula>0</formula>
    </cfRule>
  </conditionalFormatting>
  <conditionalFormatting sqref="I33">
    <cfRule type="cellIs" dxfId="287" priority="16" operator="lessThan">
      <formula>0</formula>
    </cfRule>
    <cfRule type="cellIs" dxfId="286" priority="17" operator="greaterThan">
      <formula>0</formula>
    </cfRule>
    <cfRule type="cellIs" dxfId="285" priority="18" operator="equal">
      <formula>0</formula>
    </cfRule>
  </conditionalFormatting>
  <conditionalFormatting sqref="I35">
    <cfRule type="cellIs" dxfId="284" priority="665" operator="greaterThan">
      <formula>0</formula>
    </cfRule>
    <cfRule type="cellIs" dxfId="283" priority="664" operator="lessThan">
      <formula>0</formula>
    </cfRule>
    <cfRule type="cellIs" dxfId="282" priority="666" operator="equal">
      <formula>0</formula>
    </cfRule>
  </conditionalFormatting>
  <conditionalFormatting sqref="I46">
    <cfRule type="cellIs" dxfId="281" priority="667" operator="lessThan">
      <formula>0</formula>
    </cfRule>
    <cfRule type="cellIs" dxfId="280" priority="668" operator="greaterThan">
      <formula>0</formula>
    </cfRule>
    <cfRule type="cellIs" dxfId="279" priority="669" operator="equal">
      <formula>0</formula>
    </cfRule>
  </conditionalFormatting>
  <conditionalFormatting sqref="I70">
    <cfRule type="cellIs" dxfId="278" priority="20" operator="greaterThan">
      <formula>0</formula>
    </cfRule>
    <cfRule type="cellIs" dxfId="277" priority="21" operator="equal">
      <formula>0</formula>
    </cfRule>
    <cfRule type="cellIs" dxfId="276" priority="19" operator="lessThan">
      <formula>0</formula>
    </cfRule>
  </conditionalFormatting>
  <conditionalFormatting sqref="I72">
    <cfRule type="cellIs" dxfId="275" priority="23" operator="greaterThan">
      <formula>0</formula>
    </cfRule>
    <cfRule type="cellIs" dxfId="274" priority="24" operator="equal">
      <formula>0</formula>
    </cfRule>
    <cfRule type="cellIs" dxfId="273" priority="22" operator="lessThan">
      <formula>0</formula>
    </cfRule>
  </conditionalFormatting>
  <conditionalFormatting sqref="I74">
    <cfRule type="cellIs" dxfId="272" priority="27" operator="equal">
      <formula>0</formula>
    </cfRule>
    <cfRule type="cellIs" dxfId="271" priority="26" operator="greaterThan">
      <formula>0</formula>
    </cfRule>
    <cfRule type="cellIs" dxfId="270" priority="25" operator="lessThan">
      <formula>0</formula>
    </cfRule>
  </conditionalFormatting>
  <conditionalFormatting sqref="I98">
    <cfRule type="cellIs" dxfId="269" priority="29" operator="greaterThan">
      <formula>0</formula>
    </cfRule>
    <cfRule type="cellIs" dxfId="268" priority="30" operator="equal">
      <formula>0</formula>
    </cfRule>
    <cfRule type="cellIs" dxfId="267" priority="28" operator="lessThan">
      <formula>0</formula>
    </cfRule>
  </conditionalFormatting>
  <conditionalFormatting sqref="I101:I113">
    <cfRule type="cellIs" dxfId="266" priority="31" operator="lessThan">
      <formula>0</formula>
    </cfRule>
    <cfRule type="cellIs" dxfId="265" priority="32" operator="greaterThan">
      <formula>0</formula>
    </cfRule>
    <cfRule type="cellIs" dxfId="264" priority="33" operator="equal">
      <formula>0</formula>
    </cfRule>
  </conditionalFormatting>
  <conditionalFormatting sqref="K33">
    <cfRule type="cellIs" dxfId="263" priority="72" operator="equal">
      <formula>0</formula>
    </cfRule>
    <cfRule type="cellIs" dxfId="262" priority="71" operator="greaterThan">
      <formula>0</formula>
    </cfRule>
    <cfRule type="cellIs" dxfId="261" priority="70" operator="lessThan">
      <formula>0</formula>
    </cfRule>
  </conditionalFormatting>
  <conditionalFormatting sqref="K35">
    <cfRule type="cellIs" dxfId="260" priority="672" operator="equal">
      <formula>0</formula>
    </cfRule>
    <cfRule type="cellIs" dxfId="259" priority="671" operator="greaterThan">
      <formula>0</formula>
    </cfRule>
    <cfRule type="cellIs" dxfId="258" priority="670" operator="lessThan">
      <formula>0</formula>
    </cfRule>
  </conditionalFormatting>
  <conditionalFormatting sqref="K46">
    <cfRule type="cellIs" dxfId="257" priority="675" operator="equal">
      <formula>0</formula>
    </cfRule>
    <cfRule type="cellIs" dxfId="256" priority="673" operator="lessThan">
      <formula>0</formula>
    </cfRule>
    <cfRule type="cellIs" dxfId="255" priority="674" operator="greaterThan">
      <formula>0</formula>
    </cfRule>
  </conditionalFormatting>
  <conditionalFormatting sqref="K70">
    <cfRule type="cellIs" dxfId="254" priority="73" operator="lessThan">
      <formula>0</formula>
    </cfRule>
    <cfRule type="cellIs" dxfId="253" priority="74" operator="greaterThan">
      <formula>0</formula>
    </cfRule>
    <cfRule type="cellIs" dxfId="252" priority="75" operator="equal">
      <formula>0</formula>
    </cfRule>
  </conditionalFormatting>
  <conditionalFormatting sqref="K72">
    <cfRule type="cellIs" dxfId="251" priority="78" operator="equal">
      <formula>0</formula>
    </cfRule>
    <cfRule type="cellIs" dxfId="250" priority="76" operator="lessThan">
      <formula>0</formula>
    </cfRule>
    <cfRule type="cellIs" dxfId="249" priority="77" operator="greaterThan">
      <formula>0</formula>
    </cfRule>
  </conditionalFormatting>
  <conditionalFormatting sqref="K74">
    <cfRule type="cellIs" dxfId="248" priority="79" operator="lessThan">
      <formula>0</formula>
    </cfRule>
    <cfRule type="cellIs" dxfId="247" priority="81" operator="equal">
      <formula>0</formula>
    </cfRule>
    <cfRule type="cellIs" dxfId="246" priority="80" operator="greaterThan">
      <formula>0</formula>
    </cfRule>
  </conditionalFormatting>
  <conditionalFormatting sqref="K98">
    <cfRule type="cellIs" dxfId="245" priority="84" operator="equal">
      <formula>0</formula>
    </cfRule>
    <cfRule type="cellIs" dxfId="244" priority="83" operator="greaterThan">
      <formula>0</formula>
    </cfRule>
    <cfRule type="cellIs" dxfId="243" priority="82" operator="lessThan">
      <formula>0</formula>
    </cfRule>
  </conditionalFormatting>
  <conditionalFormatting sqref="K101:K113">
    <cfRule type="cellIs" dxfId="242" priority="87" operator="equal">
      <formula>0</formula>
    </cfRule>
    <cfRule type="cellIs" dxfId="241" priority="86" operator="greaterThan">
      <formula>0</formula>
    </cfRule>
    <cfRule type="cellIs" dxfId="240" priority="85" operator="lessThan">
      <formula>0</formula>
    </cfRule>
  </conditionalFormatting>
  <conditionalFormatting sqref="M33">
    <cfRule type="cellIs" dxfId="239" priority="124" operator="lessThan">
      <formula>0</formula>
    </cfRule>
    <cfRule type="cellIs" dxfId="238" priority="125" operator="greaterThan">
      <formula>0</formula>
    </cfRule>
    <cfRule type="cellIs" dxfId="237" priority="126" operator="equal">
      <formula>0</formula>
    </cfRule>
  </conditionalFormatting>
  <conditionalFormatting sqref="M35">
    <cfRule type="cellIs" dxfId="236" priority="676" operator="lessThan">
      <formula>0</formula>
    </cfRule>
    <cfRule type="cellIs" dxfId="235" priority="677" operator="greaterThan">
      <formula>0</formula>
    </cfRule>
    <cfRule type="cellIs" dxfId="234" priority="678" operator="equal">
      <formula>0</formula>
    </cfRule>
  </conditionalFormatting>
  <conditionalFormatting sqref="M46">
    <cfRule type="cellIs" dxfId="233" priority="679" operator="lessThan">
      <formula>0</formula>
    </cfRule>
    <cfRule type="cellIs" dxfId="232" priority="680" operator="greaterThan">
      <formula>0</formula>
    </cfRule>
    <cfRule type="cellIs" dxfId="231" priority="681" operator="equal">
      <formula>0</formula>
    </cfRule>
  </conditionalFormatting>
  <conditionalFormatting sqref="M70">
    <cfRule type="cellIs" dxfId="230" priority="128" operator="greaterThan">
      <formula>0</formula>
    </cfRule>
    <cfRule type="cellIs" dxfId="229" priority="129" operator="equal">
      <formula>0</formula>
    </cfRule>
    <cfRule type="cellIs" dxfId="228" priority="127" operator="lessThan">
      <formula>0</formula>
    </cfRule>
  </conditionalFormatting>
  <conditionalFormatting sqref="M72">
    <cfRule type="cellIs" dxfId="227" priority="130" operator="lessThan">
      <formula>0</formula>
    </cfRule>
    <cfRule type="cellIs" dxfId="226" priority="131" operator="greaterThan">
      <formula>0</formula>
    </cfRule>
    <cfRule type="cellIs" dxfId="225" priority="132" operator="equal">
      <formula>0</formula>
    </cfRule>
  </conditionalFormatting>
  <conditionalFormatting sqref="M74">
    <cfRule type="cellIs" dxfId="224" priority="133" operator="lessThan">
      <formula>0</formula>
    </cfRule>
    <cfRule type="cellIs" dxfId="223" priority="135" operator="equal">
      <formula>0</formula>
    </cfRule>
    <cfRule type="cellIs" dxfId="222" priority="134" operator="greaterThan">
      <formula>0</formula>
    </cfRule>
  </conditionalFormatting>
  <conditionalFormatting sqref="M98">
    <cfRule type="cellIs" dxfId="221" priority="137" operator="greaterThan">
      <formula>0</formula>
    </cfRule>
    <cfRule type="cellIs" dxfId="220" priority="138" operator="equal">
      <formula>0</formula>
    </cfRule>
    <cfRule type="cellIs" dxfId="219" priority="136" operator="lessThan">
      <formula>0</formula>
    </cfRule>
  </conditionalFormatting>
  <conditionalFormatting sqref="M101:M113">
    <cfRule type="cellIs" dxfId="218" priority="141" operator="equal">
      <formula>0</formula>
    </cfRule>
    <cfRule type="cellIs" dxfId="217" priority="139" operator="lessThan">
      <formula>0</formula>
    </cfRule>
    <cfRule type="cellIs" dxfId="216" priority="140" operator="greaterThan">
      <formula>0</formula>
    </cfRule>
  </conditionalFormatting>
  <conditionalFormatting sqref="O33">
    <cfRule type="cellIs" dxfId="215" priority="180" operator="equal">
      <formula>0</formula>
    </cfRule>
    <cfRule type="cellIs" dxfId="214" priority="179" operator="greaterThan">
      <formula>0</formula>
    </cfRule>
    <cfRule type="cellIs" dxfId="213" priority="178" operator="lessThan">
      <formula>0</formula>
    </cfRule>
  </conditionalFormatting>
  <conditionalFormatting sqref="O35">
    <cfRule type="cellIs" dxfId="212" priority="684" operator="equal">
      <formula>0</formula>
    </cfRule>
    <cfRule type="cellIs" dxfId="211" priority="683" operator="greaterThan">
      <formula>0</formula>
    </cfRule>
    <cfRule type="cellIs" dxfId="210" priority="682" operator="lessThan">
      <formula>0</formula>
    </cfRule>
  </conditionalFormatting>
  <conditionalFormatting sqref="O46">
    <cfRule type="cellIs" dxfId="209" priority="687" operator="equal">
      <formula>0</formula>
    </cfRule>
    <cfRule type="cellIs" dxfId="208" priority="686" operator="greaterThan">
      <formula>0</formula>
    </cfRule>
    <cfRule type="cellIs" dxfId="207" priority="685" operator="lessThan">
      <formula>0</formula>
    </cfRule>
  </conditionalFormatting>
  <conditionalFormatting sqref="O70">
    <cfRule type="cellIs" dxfId="206" priority="181" operator="lessThan">
      <formula>0</formula>
    </cfRule>
    <cfRule type="cellIs" dxfId="205" priority="182" operator="greaterThan">
      <formula>0</formula>
    </cfRule>
    <cfRule type="cellIs" dxfId="204" priority="183" operator="equal">
      <formula>0</formula>
    </cfRule>
  </conditionalFormatting>
  <conditionalFormatting sqref="O72">
    <cfRule type="cellIs" dxfId="203" priority="185" operator="greaterThan">
      <formula>0</formula>
    </cfRule>
    <cfRule type="cellIs" dxfId="202" priority="186" operator="equal">
      <formula>0</formula>
    </cfRule>
    <cfRule type="cellIs" dxfId="201" priority="184" operator="lessThan">
      <formula>0</formula>
    </cfRule>
  </conditionalFormatting>
  <conditionalFormatting sqref="O74">
    <cfRule type="cellIs" dxfId="200" priority="187" operator="lessThan">
      <formula>0</formula>
    </cfRule>
    <cfRule type="cellIs" dxfId="199" priority="188" operator="greaterThan">
      <formula>0</formula>
    </cfRule>
    <cfRule type="cellIs" dxfId="198" priority="189" operator="equal">
      <formula>0</formula>
    </cfRule>
  </conditionalFormatting>
  <conditionalFormatting sqref="O98">
    <cfRule type="cellIs" dxfId="197" priority="192" operator="equal">
      <formula>0</formula>
    </cfRule>
    <cfRule type="cellIs" dxfId="196" priority="191" operator="greaterThan">
      <formula>0</formula>
    </cfRule>
    <cfRule type="cellIs" dxfId="195" priority="190" operator="lessThan">
      <formula>0</formula>
    </cfRule>
  </conditionalFormatting>
  <conditionalFormatting sqref="O101:O113">
    <cfRule type="cellIs" dxfId="194" priority="193" operator="lessThan">
      <formula>0</formula>
    </cfRule>
    <cfRule type="cellIs" dxfId="193" priority="194" operator="greaterThan">
      <formula>0</formula>
    </cfRule>
    <cfRule type="cellIs" dxfId="192" priority="195" operator="equal">
      <formula>0</formula>
    </cfRule>
  </conditionalFormatting>
  <conditionalFormatting sqref="Q33">
    <cfRule type="cellIs" dxfId="191" priority="232" operator="lessThan">
      <formula>0</formula>
    </cfRule>
    <cfRule type="cellIs" dxfId="190" priority="233" operator="greaterThan">
      <formula>0</formula>
    </cfRule>
    <cfRule type="cellIs" dxfId="189" priority="234" operator="equal">
      <formula>0</formula>
    </cfRule>
  </conditionalFormatting>
  <conditionalFormatting sqref="Q35">
    <cfRule type="cellIs" dxfId="188" priority="688" operator="lessThan">
      <formula>0</formula>
    </cfRule>
    <cfRule type="cellIs" dxfId="187" priority="690" operator="equal">
      <formula>0</formula>
    </cfRule>
    <cfRule type="cellIs" dxfId="186" priority="689" operator="greaterThan">
      <formula>0</formula>
    </cfRule>
  </conditionalFormatting>
  <conditionalFormatting sqref="Q46">
    <cfRule type="cellIs" dxfId="185" priority="691" operator="lessThan">
      <formula>0</formula>
    </cfRule>
    <cfRule type="cellIs" dxfId="184" priority="692" operator="greaterThan">
      <formula>0</formula>
    </cfRule>
    <cfRule type="cellIs" dxfId="183" priority="693" operator="equal">
      <formula>0</formula>
    </cfRule>
  </conditionalFormatting>
  <conditionalFormatting sqref="Q70">
    <cfRule type="cellIs" dxfId="182" priority="235" operator="lessThan">
      <formula>0</formula>
    </cfRule>
    <cfRule type="cellIs" dxfId="181" priority="236" operator="greaterThan">
      <formula>0</formula>
    </cfRule>
    <cfRule type="cellIs" dxfId="180" priority="237" operator="equal">
      <formula>0</formula>
    </cfRule>
  </conditionalFormatting>
  <conditionalFormatting sqref="Q72">
    <cfRule type="cellIs" dxfId="179" priority="238" operator="lessThan">
      <formula>0</formula>
    </cfRule>
    <cfRule type="cellIs" dxfId="178" priority="239" operator="greaterThan">
      <formula>0</formula>
    </cfRule>
    <cfRule type="cellIs" dxfId="177" priority="240" operator="equal">
      <formula>0</formula>
    </cfRule>
  </conditionalFormatting>
  <conditionalFormatting sqref="Q74">
    <cfRule type="cellIs" dxfId="176" priority="241" operator="lessThan">
      <formula>0</formula>
    </cfRule>
    <cfRule type="cellIs" dxfId="175" priority="242" operator="greaterThan">
      <formula>0</formula>
    </cfRule>
    <cfRule type="cellIs" dxfId="174" priority="243" operator="equal">
      <formula>0</formula>
    </cfRule>
  </conditionalFormatting>
  <conditionalFormatting sqref="Q98">
    <cfRule type="cellIs" dxfId="173" priority="244" operator="lessThan">
      <formula>0</formula>
    </cfRule>
    <cfRule type="cellIs" dxfId="172" priority="245" operator="greaterThan">
      <formula>0</formula>
    </cfRule>
    <cfRule type="cellIs" dxfId="171" priority="246" operator="equal">
      <formula>0</formula>
    </cfRule>
  </conditionalFormatting>
  <conditionalFormatting sqref="Q101:Q113">
    <cfRule type="cellIs" dxfId="170" priority="247" operator="lessThan">
      <formula>0</formula>
    </cfRule>
    <cfRule type="cellIs" dxfId="169" priority="248" operator="greaterThan">
      <formula>0</formula>
    </cfRule>
    <cfRule type="cellIs" dxfId="168" priority="249" operator="equal">
      <formula>0</formula>
    </cfRule>
  </conditionalFormatting>
  <conditionalFormatting sqref="S33">
    <cfRule type="cellIs" dxfId="167" priority="287" operator="greaterThan">
      <formula>0</formula>
    </cfRule>
    <cfRule type="cellIs" dxfId="166" priority="288" operator="equal">
      <formula>0</formula>
    </cfRule>
    <cfRule type="cellIs" dxfId="165" priority="286" operator="lessThan">
      <formula>0</formula>
    </cfRule>
  </conditionalFormatting>
  <conditionalFormatting sqref="S35">
    <cfRule type="cellIs" dxfId="164" priority="694" operator="lessThan">
      <formula>0</formula>
    </cfRule>
    <cfRule type="cellIs" dxfId="163" priority="695" operator="greaterThan">
      <formula>0</formula>
    </cfRule>
    <cfRule type="cellIs" dxfId="162" priority="696" operator="equal">
      <formula>0</formula>
    </cfRule>
  </conditionalFormatting>
  <conditionalFormatting sqref="S46">
    <cfRule type="cellIs" dxfId="161" priority="699" operator="equal">
      <formula>0</formula>
    </cfRule>
    <cfRule type="cellIs" dxfId="160" priority="698" operator="greaterThan">
      <formula>0</formula>
    </cfRule>
    <cfRule type="cellIs" dxfId="159" priority="697" operator="lessThan">
      <formula>0</formula>
    </cfRule>
  </conditionalFormatting>
  <conditionalFormatting sqref="S70">
    <cfRule type="cellIs" dxfId="158" priority="291" operator="equal">
      <formula>0</formula>
    </cfRule>
    <cfRule type="cellIs" dxfId="157" priority="289" operator="lessThan">
      <formula>0</formula>
    </cfRule>
    <cfRule type="cellIs" dxfId="156" priority="290" operator="greaterThan">
      <formula>0</formula>
    </cfRule>
  </conditionalFormatting>
  <conditionalFormatting sqref="S72">
    <cfRule type="cellIs" dxfId="155" priority="294" operator="equal">
      <formula>0</formula>
    </cfRule>
    <cfRule type="cellIs" dxfId="154" priority="292" operator="lessThan">
      <formula>0</formula>
    </cfRule>
    <cfRule type="cellIs" dxfId="153" priority="293" operator="greaterThan">
      <formula>0</formula>
    </cfRule>
  </conditionalFormatting>
  <conditionalFormatting sqref="S74">
    <cfRule type="cellIs" dxfId="152" priority="295" operator="lessThan">
      <formula>0</formula>
    </cfRule>
    <cfRule type="cellIs" dxfId="151" priority="296" operator="greaterThan">
      <formula>0</formula>
    </cfRule>
    <cfRule type="cellIs" dxfId="150" priority="297" operator="equal">
      <formula>0</formula>
    </cfRule>
  </conditionalFormatting>
  <conditionalFormatting sqref="S98">
    <cfRule type="cellIs" dxfId="149" priority="298" operator="lessThan">
      <formula>0</formula>
    </cfRule>
    <cfRule type="cellIs" dxfId="148" priority="299" operator="greaterThan">
      <formula>0</formula>
    </cfRule>
    <cfRule type="cellIs" dxfId="147" priority="300" operator="equal">
      <formula>0</formula>
    </cfRule>
  </conditionalFormatting>
  <conditionalFormatting sqref="S101:S113">
    <cfRule type="cellIs" dxfId="146" priority="303" operator="equal">
      <formula>0</formula>
    </cfRule>
    <cfRule type="cellIs" dxfId="145" priority="301" operator="lessThan">
      <formula>0</formula>
    </cfRule>
    <cfRule type="cellIs" dxfId="144" priority="302" operator="greaterThan">
      <formula>0</formula>
    </cfRule>
  </conditionalFormatting>
  <conditionalFormatting sqref="U33">
    <cfRule type="cellIs" dxfId="143" priority="342" operator="equal">
      <formula>0</formula>
    </cfRule>
    <cfRule type="cellIs" dxfId="142" priority="341" operator="greaterThan">
      <formula>0</formula>
    </cfRule>
    <cfRule type="cellIs" dxfId="141" priority="340" operator="lessThan">
      <formula>0</formula>
    </cfRule>
  </conditionalFormatting>
  <conditionalFormatting sqref="U35">
    <cfRule type="cellIs" dxfId="140" priority="702" operator="equal">
      <formula>0</formula>
    </cfRule>
    <cfRule type="cellIs" dxfId="139" priority="701" operator="greaterThan">
      <formula>0</formula>
    </cfRule>
    <cfRule type="cellIs" dxfId="138" priority="700" operator="lessThan">
      <formula>0</formula>
    </cfRule>
  </conditionalFormatting>
  <conditionalFormatting sqref="U46">
    <cfRule type="cellIs" dxfId="137" priority="705" operator="equal">
      <formula>0</formula>
    </cfRule>
    <cfRule type="cellIs" dxfId="136" priority="704" operator="greaterThan">
      <formula>0</formula>
    </cfRule>
    <cfRule type="cellIs" dxfId="135" priority="703" operator="lessThan">
      <formula>0</formula>
    </cfRule>
  </conditionalFormatting>
  <conditionalFormatting sqref="U70">
    <cfRule type="cellIs" dxfId="134" priority="343" operator="lessThan">
      <formula>0</formula>
    </cfRule>
    <cfRule type="cellIs" dxfId="133" priority="344" operator="greaterThan">
      <formula>0</formula>
    </cfRule>
    <cfRule type="cellIs" dxfId="132" priority="345" operator="equal">
      <formula>0</formula>
    </cfRule>
  </conditionalFormatting>
  <conditionalFormatting sqref="U72">
    <cfRule type="cellIs" dxfId="131" priority="348" operator="equal">
      <formula>0</formula>
    </cfRule>
    <cfRule type="cellIs" dxfId="130" priority="346" operator="lessThan">
      <formula>0</formula>
    </cfRule>
    <cfRule type="cellIs" dxfId="129" priority="347" operator="greaterThan">
      <formula>0</formula>
    </cfRule>
  </conditionalFormatting>
  <conditionalFormatting sqref="U74">
    <cfRule type="cellIs" dxfId="128" priority="351" operator="equal">
      <formula>0</formula>
    </cfRule>
    <cfRule type="cellIs" dxfId="127" priority="349" operator="lessThan">
      <formula>0</formula>
    </cfRule>
    <cfRule type="cellIs" dxfId="126" priority="350" operator="greaterThan">
      <formula>0</formula>
    </cfRule>
  </conditionalFormatting>
  <conditionalFormatting sqref="U98">
    <cfRule type="cellIs" dxfId="125" priority="352" operator="lessThan">
      <formula>0</formula>
    </cfRule>
    <cfRule type="cellIs" dxfId="124" priority="353" operator="greaterThan">
      <formula>0</formula>
    </cfRule>
    <cfRule type="cellIs" dxfId="123" priority="354" operator="equal">
      <formula>0</formula>
    </cfRule>
  </conditionalFormatting>
  <conditionalFormatting sqref="U101:U113">
    <cfRule type="cellIs" dxfId="122" priority="357" operator="equal">
      <formula>0</formula>
    </cfRule>
    <cfRule type="cellIs" dxfId="121" priority="356" operator="greaterThan">
      <formula>0</formula>
    </cfRule>
    <cfRule type="cellIs" dxfId="120" priority="355" operator="lessThan">
      <formula>0</formula>
    </cfRule>
  </conditionalFormatting>
  <conditionalFormatting sqref="W33">
    <cfRule type="cellIs" dxfId="119" priority="395" operator="greaterThan">
      <formula>0</formula>
    </cfRule>
    <cfRule type="cellIs" dxfId="118" priority="396" operator="equal">
      <formula>0</formula>
    </cfRule>
    <cfRule type="cellIs" dxfId="117" priority="394" operator="lessThan">
      <formula>0</formula>
    </cfRule>
  </conditionalFormatting>
  <conditionalFormatting sqref="W35">
    <cfRule type="cellIs" dxfId="116" priority="708" operator="equal">
      <formula>0</formula>
    </cfRule>
    <cfRule type="cellIs" dxfId="115" priority="706" operator="lessThan">
      <formula>0</formula>
    </cfRule>
    <cfRule type="cellIs" dxfId="114" priority="707" operator="greaterThan">
      <formula>0</formula>
    </cfRule>
  </conditionalFormatting>
  <conditionalFormatting sqref="W46">
    <cfRule type="cellIs" dxfId="113" priority="710" operator="greaterThan">
      <formula>0</formula>
    </cfRule>
    <cfRule type="cellIs" dxfId="112" priority="709" operator="lessThan">
      <formula>0</formula>
    </cfRule>
    <cfRule type="cellIs" dxfId="111" priority="711" operator="equal">
      <formula>0</formula>
    </cfRule>
  </conditionalFormatting>
  <conditionalFormatting sqref="W70">
    <cfRule type="cellIs" dxfId="110" priority="397" operator="lessThan">
      <formula>0</formula>
    </cfRule>
    <cfRule type="cellIs" dxfId="109" priority="398" operator="greaterThan">
      <formula>0</formula>
    </cfRule>
    <cfRule type="cellIs" dxfId="108" priority="399" operator="equal">
      <formula>0</formula>
    </cfRule>
  </conditionalFormatting>
  <conditionalFormatting sqref="W72">
    <cfRule type="cellIs" dxfId="107" priority="401" operator="greaterThan">
      <formula>0</formula>
    </cfRule>
    <cfRule type="cellIs" dxfId="106" priority="402" operator="equal">
      <formula>0</formula>
    </cfRule>
    <cfRule type="cellIs" dxfId="105" priority="400" operator="lessThan">
      <formula>0</formula>
    </cfRule>
  </conditionalFormatting>
  <conditionalFormatting sqref="W74">
    <cfRule type="cellIs" dxfId="104" priority="403" operator="lessThan">
      <formula>0</formula>
    </cfRule>
    <cfRule type="cellIs" dxfId="103" priority="404" operator="greaterThan">
      <formula>0</formula>
    </cfRule>
    <cfRule type="cellIs" dxfId="102" priority="405" operator="equal">
      <formula>0</formula>
    </cfRule>
  </conditionalFormatting>
  <conditionalFormatting sqref="W98">
    <cfRule type="cellIs" dxfId="101" priority="406" operator="lessThan">
      <formula>0</formula>
    </cfRule>
    <cfRule type="cellIs" dxfId="100" priority="407" operator="greaterThan">
      <formula>0</formula>
    </cfRule>
    <cfRule type="cellIs" dxfId="99" priority="408" operator="equal">
      <formula>0</formula>
    </cfRule>
  </conditionalFormatting>
  <conditionalFormatting sqref="W101:W113">
    <cfRule type="cellIs" dxfId="98" priority="409" operator="lessThan">
      <formula>0</formula>
    </cfRule>
    <cfRule type="cellIs" dxfId="97" priority="410" operator="greaterThan">
      <formula>0</formula>
    </cfRule>
    <cfRule type="cellIs" dxfId="96" priority="411" operator="equal">
      <formula>0</formula>
    </cfRule>
  </conditionalFormatting>
  <conditionalFormatting sqref="Y33">
    <cfRule type="cellIs" dxfId="95" priority="449" operator="greaterThan">
      <formula>0</formula>
    </cfRule>
    <cfRule type="cellIs" dxfId="94" priority="450" operator="equal">
      <formula>0</formula>
    </cfRule>
    <cfRule type="cellIs" dxfId="93" priority="448" operator="lessThan">
      <formula>0</formula>
    </cfRule>
  </conditionalFormatting>
  <conditionalFormatting sqref="Y35">
    <cfRule type="cellIs" dxfId="92" priority="713" operator="greaterThan">
      <formula>0</formula>
    </cfRule>
    <cfRule type="cellIs" dxfId="91" priority="714" operator="equal">
      <formula>0</formula>
    </cfRule>
    <cfRule type="cellIs" dxfId="90" priority="712" operator="lessThan">
      <formula>0</formula>
    </cfRule>
  </conditionalFormatting>
  <conditionalFormatting sqref="Y46">
    <cfRule type="cellIs" dxfId="89" priority="717" operator="equal">
      <formula>0</formula>
    </cfRule>
    <cfRule type="cellIs" dxfId="88" priority="716" operator="greaterThan">
      <formula>0</formula>
    </cfRule>
    <cfRule type="cellIs" dxfId="87" priority="715" operator="lessThan">
      <formula>0</formula>
    </cfRule>
  </conditionalFormatting>
  <conditionalFormatting sqref="Y70">
    <cfRule type="cellIs" dxfId="86" priority="451" operator="lessThan">
      <formula>0</formula>
    </cfRule>
    <cfRule type="cellIs" dxfId="85" priority="453" operator="equal">
      <formula>0</formula>
    </cfRule>
    <cfRule type="cellIs" dxfId="84" priority="452" operator="greaterThan">
      <formula>0</formula>
    </cfRule>
  </conditionalFormatting>
  <conditionalFormatting sqref="Y72">
    <cfRule type="cellIs" dxfId="83" priority="454" operator="lessThan">
      <formula>0</formula>
    </cfRule>
    <cfRule type="cellIs" dxfId="82" priority="455" operator="greaterThan">
      <formula>0</formula>
    </cfRule>
    <cfRule type="cellIs" dxfId="81" priority="456" operator="equal">
      <formula>0</formula>
    </cfRule>
  </conditionalFormatting>
  <conditionalFormatting sqref="Y74">
    <cfRule type="cellIs" dxfId="80" priority="459" operator="equal">
      <formula>0</formula>
    </cfRule>
    <cfRule type="cellIs" dxfId="79" priority="458" operator="greaterThan">
      <formula>0</formula>
    </cfRule>
    <cfRule type="cellIs" dxfId="78" priority="457" operator="lessThan">
      <formula>0</formula>
    </cfRule>
  </conditionalFormatting>
  <conditionalFormatting sqref="Y98">
    <cfRule type="cellIs" dxfId="77" priority="462" operator="equal">
      <formula>0</formula>
    </cfRule>
    <cfRule type="cellIs" dxfId="76" priority="461" operator="greaterThan">
      <formula>0</formula>
    </cfRule>
    <cfRule type="cellIs" dxfId="75" priority="460" operator="lessThan">
      <formula>0</formula>
    </cfRule>
  </conditionalFormatting>
  <conditionalFormatting sqref="Y101:Y113">
    <cfRule type="cellIs" dxfId="74" priority="464" operator="greaterThan">
      <formula>0</formula>
    </cfRule>
    <cfRule type="cellIs" dxfId="73" priority="465" operator="equal">
      <formula>0</formula>
    </cfRule>
    <cfRule type="cellIs" dxfId="72" priority="463" operator="lessThan">
      <formula>0</formula>
    </cfRule>
  </conditionalFormatting>
  <conditionalFormatting sqref="AA33">
    <cfRule type="cellIs" dxfId="71" priority="502" operator="lessThan">
      <formula>0</formula>
    </cfRule>
    <cfRule type="cellIs" dxfId="70" priority="503" operator="greaterThan">
      <formula>0</formula>
    </cfRule>
    <cfRule type="cellIs" dxfId="69" priority="504" operator="equal">
      <formula>0</formula>
    </cfRule>
  </conditionalFormatting>
  <conditionalFormatting sqref="AA35">
    <cfRule type="cellIs" dxfId="68" priority="718" operator="lessThan">
      <formula>0</formula>
    </cfRule>
    <cfRule type="cellIs" dxfId="67" priority="719" operator="greaterThan">
      <formula>0</formula>
    </cfRule>
    <cfRule type="cellIs" dxfId="66" priority="720" operator="equal">
      <formula>0</formula>
    </cfRule>
  </conditionalFormatting>
  <conditionalFormatting sqref="AA46">
    <cfRule type="cellIs" dxfId="65" priority="721" operator="lessThan">
      <formula>0</formula>
    </cfRule>
    <cfRule type="cellIs" dxfId="64" priority="722" operator="greaterThan">
      <formula>0</formula>
    </cfRule>
    <cfRule type="cellIs" dxfId="63" priority="723" operator="equal">
      <formula>0</formula>
    </cfRule>
  </conditionalFormatting>
  <conditionalFormatting sqref="AA70">
    <cfRule type="cellIs" dxfId="62" priority="505" operator="lessThan">
      <formula>0</formula>
    </cfRule>
    <cfRule type="cellIs" dxfId="61" priority="506" operator="greaterThan">
      <formula>0</formula>
    </cfRule>
    <cfRule type="cellIs" dxfId="60" priority="507" operator="equal">
      <formula>0</formula>
    </cfRule>
  </conditionalFormatting>
  <conditionalFormatting sqref="AA72">
    <cfRule type="cellIs" dxfId="59" priority="510" operator="equal">
      <formula>0</formula>
    </cfRule>
    <cfRule type="cellIs" dxfId="58" priority="508" operator="lessThan">
      <formula>0</formula>
    </cfRule>
    <cfRule type="cellIs" dxfId="57" priority="509" operator="greaterThan">
      <formula>0</formula>
    </cfRule>
  </conditionalFormatting>
  <conditionalFormatting sqref="AA74">
    <cfRule type="cellIs" dxfId="56" priority="511" operator="lessThan">
      <formula>0</formula>
    </cfRule>
    <cfRule type="cellIs" dxfId="55" priority="512" operator="greaterThan">
      <formula>0</formula>
    </cfRule>
    <cfRule type="cellIs" dxfId="54" priority="513" operator="equal">
      <formula>0</formula>
    </cfRule>
  </conditionalFormatting>
  <conditionalFormatting sqref="AA98">
    <cfRule type="cellIs" dxfId="53" priority="514" operator="lessThan">
      <formula>0</formula>
    </cfRule>
    <cfRule type="cellIs" dxfId="52" priority="515" operator="greaterThan">
      <formula>0</formula>
    </cfRule>
    <cfRule type="cellIs" dxfId="51" priority="516" operator="equal">
      <formula>0</formula>
    </cfRule>
  </conditionalFormatting>
  <conditionalFormatting sqref="AA101:AA113">
    <cfRule type="cellIs" dxfId="50" priority="517" operator="lessThan">
      <formula>0</formula>
    </cfRule>
    <cfRule type="cellIs" dxfId="49" priority="518" operator="greaterThan">
      <formula>0</formula>
    </cfRule>
    <cfRule type="cellIs" dxfId="48" priority="519" operator="equal">
      <formula>0</formula>
    </cfRule>
  </conditionalFormatting>
  <conditionalFormatting sqref="AC33">
    <cfRule type="cellIs" dxfId="47" priority="556" operator="lessThan">
      <formula>0</formula>
    </cfRule>
    <cfRule type="cellIs" dxfId="46" priority="558" operator="equal">
      <formula>0</formula>
    </cfRule>
    <cfRule type="cellIs" dxfId="45" priority="557" operator="greaterThan">
      <formula>0</formula>
    </cfRule>
  </conditionalFormatting>
  <conditionalFormatting sqref="AC35">
    <cfRule type="cellIs" dxfId="44" priority="725" operator="greaterThan">
      <formula>0</formula>
    </cfRule>
    <cfRule type="cellIs" dxfId="43" priority="726" operator="equal">
      <formula>0</formula>
    </cfRule>
    <cfRule type="cellIs" dxfId="42" priority="724" operator="lessThan">
      <formula>0</formula>
    </cfRule>
  </conditionalFormatting>
  <conditionalFormatting sqref="AC46">
    <cfRule type="cellIs" dxfId="41" priority="729" operator="equal">
      <formula>0</formula>
    </cfRule>
    <cfRule type="cellIs" dxfId="40" priority="728" operator="greaterThan">
      <formula>0</formula>
    </cfRule>
    <cfRule type="cellIs" dxfId="39" priority="727" operator="lessThan">
      <formula>0</formula>
    </cfRule>
  </conditionalFormatting>
  <conditionalFormatting sqref="AC70">
    <cfRule type="cellIs" dxfId="38" priority="559" operator="lessThan">
      <formula>0</formula>
    </cfRule>
    <cfRule type="cellIs" dxfId="37" priority="560" operator="greaterThan">
      <formula>0</formula>
    </cfRule>
    <cfRule type="cellIs" dxfId="36" priority="561" operator="equal">
      <formula>0</formula>
    </cfRule>
  </conditionalFormatting>
  <conditionalFormatting sqref="AC72">
    <cfRule type="cellIs" dxfId="35" priority="562" operator="lessThan">
      <formula>0</formula>
    </cfRule>
    <cfRule type="cellIs" dxfId="34" priority="563" operator="greaterThan">
      <formula>0</formula>
    </cfRule>
    <cfRule type="cellIs" dxfId="33" priority="564" operator="equal">
      <formula>0</formula>
    </cfRule>
  </conditionalFormatting>
  <conditionalFormatting sqref="AC74">
    <cfRule type="cellIs" dxfId="32" priority="565" operator="lessThan">
      <formula>0</formula>
    </cfRule>
    <cfRule type="cellIs" dxfId="31" priority="566" operator="greaterThan">
      <formula>0</formula>
    </cfRule>
    <cfRule type="cellIs" dxfId="30" priority="567" operator="equal">
      <formula>0</formula>
    </cfRule>
  </conditionalFormatting>
  <conditionalFormatting sqref="AC98">
    <cfRule type="cellIs" dxfId="29" priority="568" operator="lessThan">
      <formula>0</formula>
    </cfRule>
    <cfRule type="cellIs" dxfId="28" priority="569" operator="greaterThan">
      <formula>0</formula>
    </cfRule>
    <cfRule type="cellIs" dxfId="27" priority="570" operator="equal">
      <formula>0</formula>
    </cfRule>
  </conditionalFormatting>
  <conditionalFormatting sqref="AC101:AC113">
    <cfRule type="cellIs" dxfId="26" priority="572" operator="greaterThan">
      <formula>0</formula>
    </cfRule>
    <cfRule type="cellIs" dxfId="25" priority="571" operator="lessThan">
      <formula>0</formula>
    </cfRule>
    <cfRule type="cellIs" dxfId="24" priority="573" operator="equal">
      <formula>0</formula>
    </cfRule>
  </conditionalFormatting>
  <conditionalFormatting sqref="AE33">
    <cfRule type="cellIs" dxfId="23" priority="612" operator="equal">
      <formula>0</formula>
    </cfRule>
    <cfRule type="cellIs" dxfId="22" priority="611" operator="greaterThan">
      <formula>0</formula>
    </cfRule>
    <cfRule type="cellIs" dxfId="21" priority="610" operator="lessThan">
      <formula>0</formula>
    </cfRule>
  </conditionalFormatting>
  <conditionalFormatting sqref="AE35">
    <cfRule type="cellIs" dxfId="20" priority="732" operator="equal">
      <formula>0</formula>
    </cfRule>
    <cfRule type="cellIs" dxfId="19" priority="731" operator="greaterThan">
      <formula>0</formula>
    </cfRule>
    <cfRule type="cellIs" dxfId="18" priority="730" operator="lessThan">
      <formula>0</formula>
    </cfRule>
  </conditionalFormatting>
  <conditionalFormatting sqref="AE46">
    <cfRule type="cellIs" dxfId="17" priority="735" operator="equal">
      <formula>0</formula>
    </cfRule>
    <cfRule type="cellIs" dxfId="16" priority="734" operator="greaterThan">
      <formula>0</formula>
    </cfRule>
    <cfRule type="cellIs" dxfId="15" priority="733" operator="lessThan">
      <formula>0</formula>
    </cfRule>
  </conditionalFormatting>
  <conditionalFormatting sqref="AE70">
    <cfRule type="cellIs" dxfId="14" priority="615" operator="equal">
      <formula>0</formula>
    </cfRule>
    <cfRule type="cellIs" dxfId="13" priority="614" operator="greaterThan">
      <formula>0</formula>
    </cfRule>
    <cfRule type="cellIs" dxfId="12" priority="613" operator="lessThan">
      <formula>0</formula>
    </cfRule>
  </conditionalFormatting>
  <conditionalFormatting sqref="AE72">
    <cfRule type="cellIs" dxfId="11" priority="618" operator="equal">
      <formula>0</formula>
    </cfRule>
    <cfRule type="cellIs" dxfId="10" priority="617" operator="greaterThan">
      <formula>0</formula>
    </cfRule>
    <cfRule type="cellIs" dxfId="9" priority="616" operator="lessThan">
      <formula>0</formula>
    </cfRule>
  </conditionalFormatting>
  <conditionalFormatting sqref="AE74">
    <cfRule type="cellIs" dxfId="8" priority="621" operator="equal">
      <formula>0</formula>
    </cfRule>
    <cfRule type="cellIs" dxfId="7" priority="620" operator="greaterThan">
      <formula>0</formula>
    </cfRule>
    <cfRule type="cellIs" dxfId="6" priority="619" operator="lessThan">
      <formula>0</formula>
    </cfRule>
  </conditionalFormatting>
  <conditionalFormatting sqref="AE98">
    <cfRule type="cellIs" dxfId="5" priority="624" operator="equal">
      <formula>0</formula>
    </cfRule>
    <cfRule type="cellIs" dxfId="4" priority="623" operator="greaterThan">
      <formula>0</formula>
    </cfRule>
    <cfRule type="cellIs" dxfId="3" priority="622" operator="lessThan">
      <formula>0</formula>
    </cfRule>
  </conditionalFormatting>
  <conditionalFormatting sqref="AE101:AE113">
    <cfRule type="cellIs" dxfId="2" priority="627" operator="equal">
      <formula>0</formula>
    </cfRule>
    <cfRule type="cellIs" dxfId="1" priority="626" operator="greaterThan">
      <formula>0</formula>
    </cfRule>
    <cfRule type="cellIs" dxfId="0" priority="625" operator="lessThan">
      <formula>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204E"/>
  </sheetPr>
  <dimension ref="A1:C33"/>
  <sheetViews>
    <sheetView workbookViewId="0"/>
  </sheetViews>
  <sheetFormatPr baseColWidth="10" defaultColWidth="8.83203125" defaultRowHeight="15" x14ac:dyDescent="0.2"/>
  <cols>
    <col min="1" max="1" width="77.5" customWidth="1"/>
    <col min="2" max="2" width="26" customWidth="1"/>
    <col min="3" max="3" width="25" hidden="1" customWidth="1"/>
  </cols>
  <sheetData>
    <row r="1" spans="1:3" ht="29" x14ac:dyDescent="0.2">
      <c r="B1" s="83" t="s">
        <v>1905</v>
      </c>
    </row>
    <row r="2" spans="1:3" ht="29" x14ac:dyDescent="0.2">
      <c r="A2" s="140" t="s">
        <v>1906</v>
      </c>
      <c r="B2" s="141"/>
      <c r="C2" s="84"/>
    </row>
    <row r="3" spans="1:3" ht="24" x14ac:dyDescent="0.2">
      <c r="A3" s="85"/>
      <c r="B3" s="86" t="s">
        <v>1907</v>
      </c>
      <c r="C3" s="87" t="s">
        <v>966</v>
      </c>
    </row>
    <row r="4" spans="1:3" x14ac:dyDescent="0.2">
      <c r="A4" s="13"/>
      <c r="B4" s="14"/>
    </row>
    <row r="5" spans="1:3" ht="24" hidden="1" x14ac:dyDescent="0.3">
      <c r="A5" s="88" t="s">
        <v>1908</v>
      </c>
      <c r="B5" s="89">
        <f>SUMIFS(Sales!$S:$S,Sales!$A:$A,"="&amp;"Endulini",Sales!$D:$D,TRUE,Sales!$E:$E,FALSE)</f>
        <v>0</v>
      </c>
      <c r="C5" s="90">
        <f>SUMIFS(Sales!$S:$S,Sales!$A:$A,"="&amp;"Endulini",Sales!$D:$D,TRUE,Sales!$E:$E,FALSE)</f>
        <v>0</v>
      </c>
    </row>
    <row r="6" spans="1:3" ht="24" x14ac:dyDescent="0.3">
      <c r="A6" s="88" t="s">
        <v>1909</v>
      </c>
      <c r="B6" s="89">
        <f>SUMIFS(Sales!$S:$S,Sales!$A:$A,"&lt;&gt;"&amp;"Endulini",Sales!$D:$D,TRUE,Sales!$E:$E,FALSE)</f>
        <v>27043510.509148777</v>
      </c>
      <c r="C6" s="90">
        <f>SUMIFS(Sales!$S:$S,Sales!$A:$A,"&lt;&gt;"&amp;"Endulini",Sales!$D:$D,TRUE,Sales!$E:$E,FALSE)</f>
        <v>27043510.509148777</v>
      </c>
    </row>
    <row r="7" spans="1:3" ht="24" x14ac:dyDescent="0.3">
      <c r="A7" s="88" t="s">
        <v>1910</v>
      </c>
      <c r="B7" s="89">
        <f>SUMIFS(Sales!$S:$S,Sales!$A:$A,"="&amp;"Endulini",Sales!$D:$D,FALSE,Sales!$E:$E,FALSE)</f>
        <v>8118900</v>
      </c>
      <c r="C7" s="90"/>
    </row>
    <row r="8" spans="1:3" ht="24" x14ac:dyDescent="0.3">
      <c r="A8" s="88" t="s">
        <v>1911</v>
      </c>
      <c r="B8" s="89">
        <f>SUMIFS(Sales!$S:$S,Sales!$A:$A,"&lt;&gt;"&amp;"Endulini",Sales!$D:$D,FALSE,Sales!$E:$E,FALSE,Sales!$F:$F,1)</f>
        <v>13310831.486433769</v>
      </c>
      <c r="C8" s="90"/>
    </row>
    <row r="9" spans="1:3" ht="24" hidden="1" x14ac:dyDescent="0.3">
      <c r="A9" s="88" t="s">
        <v>1912</v>
      </c>
      <c r="B9" s="89">
        <f>'Cashflow Projection'!D33-Dashboard!B5-Dashboard!B6-Dashboard!B7-Dashboard!B8</f>
        <v>-27719900.750000007</v>
      </c>
      <c r="C9" s="90"/>
    </row>
    <row r="10" spans="1:3" ht="24" x14ac:dyDescent="0.3">
      <c r="A10" s="88"/>
      <c r="B10" s="89"/>
      <c r="C10" s="90"/>
    </row>
    <row r="11" spans="1:3" ht="24" x14ac:dyDescent="0.3">
      <c r="A11" s="91" t="s">
        <v>1913</v>
      </c>
      <c r="B11" s="92">
        <f>SUM(B5:B9)</f>
        <v>20753341.245582536</v>
      </c>
      <c r="C11" s="93">
        <f>SUM(C5:C9)</f>
        <v>27043510.509148777</v>
      </c>
    </row>
    <row r="12" spans="1:3" ht="24" x14ac:dyDescent="0.3">
      <c r="A12" s="88"/>
      <c r="B12" s="89"/>
      <c r="C12" s="90"/>
    </row>
    <row r="13" spans="1:3" ht="24" x14ac:dyDescent="0.3">
      <c r="A13" s="88" t="s">
        <v>1914</v>
      </c>
      <c r="B13" s="89">
        <f>SUMIFS(Xero!$G:$G,Xero!$E:$E,"Momentum Investors Account RU502229930",Xero!$B:$B,'Cashflow Projection'!$B$2)</f>
        <v>159799.14000000001</v>
      </c>
      <c r="C13" s="90">
        <f>SUMIFS(Xero!$G:$G,Xero!$E:$E,"Momentum Investors Account RU502229930",Xero!$B:$B,'Cashflow Projection'!$B$2)</f>
        <v>159799.14000000001</v>
      </c>
    </row>
    <row r="14" spans="1:3" ht="24" x14ac:dyDescent="0.3">
      <c r="A14" s="88" t="s">
        <v>1915</v>
      </c>
      <c r="B14" s="89">
        <f>SUMIFS(Xero!$G:$G, Xero!$B:$B, 'Cashflow Projection'!$B$2, Xero!$D:$D, "84*")-B13</f>
        <v>7949619.2399999984</v>
      </c>
      <c r="C14" s="90">
        <f>SUMIFS(Xero!$G:$G, Xero!$B:$B, 'Cashflow Projection'!$B$2, Xero!$D:$D, "84*")-B13</f>
        <v>7949619.2399999984</v>
      </c>
    </row>
    <row r="15" spans="1:3" ht="24" x14ac:dyDescent="0.3">
      <c r="A15" s="88" t="s">
        <v>1916</v>
      </c>
      <c r="B15" s="89">
        <v>5598623.8700000001</v>
      </c>
      <c r="C15" s="90">
        <v>5598623.8700000001</v>
      </c>
    </row>
    <row r="16" spans="1:3" ht="24" x14ac:dyDescent="0.3">
      <c r="A16" s="88" t="s">
        <v>1917</v>
      </c>
      <c r="B16" s="89">
        <v>3143782</v>
      </c>
      <c r="C16" s="90">
        <v>0</v>
      </c>
    </row>
    <row r="17" spans="1:3" ht="24" hidden="1" x14ac:dyDescent="0.3">
      <c r="A17" s="88" t="s">
        <v>1918</v>
      </c>
      <c r="B17" s="89">
        <v>0</v>
      </c>
      <c r="C17" s="90">
        <v>0</v>
      </c>
    </row>
    <row r="18" spans="1:3" ht="24" hidden="1" x14ac:dyDescent="0.3">
      <c r="A18" s="88" t="s">
        <v>1919</v>
      </c>
      <c r="B18" s="89">
        <v>0</v>
      </c>
      <c r="C18" s="90">
        <v>0</v>
      </c>
    </row>
    <row r="19" spans="1:3" ht="24" x14ac:dyDescent="0.3">
      <c r="A19" s="88"/>
      <c r="B19" s="89"/>
      <c r="C19" s="90"/>
    </row>
    <row r="20" spans="1:3" ht="24" x14ac:dyDescent="0.3">
      <c r="A20" s="91" t="s">
        <v>1920</v>
      </c>
      <c r="B20" s="92">
        <f>SUM(B13:B18)</f>
        <v>16851824.25</v>
      </c>
      <c r="C20" s="93">
        <f>SUM(B13:B18)</f>
        <v>16851824.25</v>
      </c>
    </row>
    <row r="21" spans="1:3" ht="24" x14ac:dyDescent="0.3">
      <c r="A21" s="88"/>
      <c r="B21" s="89"/>
      <c r="C21" s="90"/>
    </row>
    <row r="22" spans="1:3" ht="24" x14ac:dyDescent="0.3">
      <c r="A22" s="91" t="s">
        <v>1921</v>
      </c>
      <c r="B22" s="92">
        <f>B20+B11</f>
        <v>37605165.495582536</v>
      </c>
      <c r="C22" s="93">
        <f>C20+C11</f>
        <v>43895334.759148777</v>
      </c>
    </row>
    <row r="23" spans="1:3" ht="24" x14ac:dyDescent="0.3">
      <c r="A23" s="88"/>
      <c r="B23" s="89"/>
      <c r="C23" s="90"/>
    </row>
    <row r="24" spans="1:3" ht="24" x14ac:dyDescent="0.3">
      <c r="A24" s="88" t="s">
        <v>1922</v>
      </c>
      <c r="B24" s="89">
        <f>'Cashflow Projection'!D49</f>
        <v>-6105314.557</v>
      </c>
      <c r="C24" s="90">
        <f>'Cashflow Projection'!D49</f>
        <v>-6105314.557</v>
      </c>
    </row>
    <row r="25" spans="1:3" ht="24" x14ac:dyDescent="0.3">
      <c r="A25" s="88" t="s">
        <v>1923</v>
      </c>
      <c r="B25" s="89">
        <f>'Cashflow Projection'!D68</f>
        <v>-20784728.039999992</v>
      </c>
      <c r="C25" s="90">
        <f>'Cashflow Projection'!D68</f>
        <v>-20784728.039999992</v>
      </c>
    </row>
    <row r="26" spans="1:3" ht="24" x14ac:dyDescent="0.3">
      <c r="A26" s="88" t="s">
        <v>1924</v>
      </c>
      <c r="B26" s="89">
        <f>'Cashflow Projection'!D26+'Cashflow Projection'!D55</f>
        <v>19261202.595082536</v>
      </c>
      <c r="C26" s="90">
        <f>'Cashflow Projection'!D26+'Cashflow Projection'!D55</f>
        <v>19261202.595082536</v>
      </c>
    </row>
    <row r="27" spans="1:3" ht="24" x14ac:dyDescent="0.3">
      <c r="A27" s="88"/>
      <c r="B27" s="89"/>
      <c r="C27" s="90"/>
    </row>
    <row r="28" spans="1:3" ht="24" x14ac:dyDescent="0.3">
      <c r="A28" s="91" t="s">
        <v>1925</v>
      </c>
      <c r="B28" s="92">
        <f>B24+B25+B26</f>
        <v>-7628840.0019174553</v>
      </c>
      <c r="C28" s="93">
        <f>C24+C25+C26</f>
        <v>-7628840.0019174553</v>
      </c>
    </row>
    <row r="29" spans="1:3" ht="24" x14ac:dyDescent="0.3">
      <c r="A29" s="88"/>
      <c r="B29" s="89"/>
      <c r="C29" s="90"/>
    </row>
    <row r="30" spans="1:3" ht="24" x14ac:dyDescent="0.3">
      <c r="A30" s="91" t="s">
        <v>1926</v>
      </c>
      <c r="B30" s="92">
        <f>B22+B28</f>
        <v>29976325.493665081</v>
      </c>
      <c r="C30" s="93">
        <f>C22+C28</f>
        <v>36266494.757231325</v>
      </c>
    </row>
    <row r="31" spans="1:3" x14ac:dyDescent="0.2">
      <c r="A31" s="13"/>
      <c r="B31" s="14"/>
    </row>
    <row r="32" spans="1:3" x14ac:dyDescent="0.2">
      <c r="A32" s="13"/>
      <c r="B32" s="14"/>
    </row>
    <row r="33" spans="1:2" x14ac:dyDescent="0.2">
      <c r="A33" s="80"/>
      <c r="B33" s="82"/>
    </row>
  </sheetData>
  <mergeCells count="1">
    <mergeCell ref="A2:B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BL120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5" customWidth="1"/>
    <col min="4" max="64" width="18" customWidth="1"/>
  </cols>
  <sheetData>
    <row r="1" spans="1:64" ht="19" x14ac:dyDescent="0.25">
      <c r="A1" s="94" t="s">
        <v>1927</v>
      </c>
    </row>
    <row r="4" spans="1:64" x14ac:dyDescent="0.2">
      <c r="A4" t="s">
        <v>1069</v>
      </c>
      <c r="B4" t="s">
        <v>24</v>
      </c>
    </row>
    <row r="5" spans="1:64" x14ac:dyDescent="0.2">
      <c r="A5" t="s">
        <v>1074</v>
      </c>
      <c r="B5" t="s">
        <v>386</v>
      </c>
    </row>
    <row r="6" spans="1:64" x14ac:dyDescent="0.2">
      <c r="A6" t="s">
        <v>1072</v>
      </c>
    </row>
    <row r="9" spans="1:64" ht="19" x14ac:dyDescent="0.2">
      <c r="A9" s="95" t="s">
        <v>1928</v>
      </c>
      <c r="B9" s="95"/>
      <c r="C9" s="95"/>
      <c r="D9" s="96">
        <v>44286</v>
      </c>
      <c r="E9" s="96">
        <v>44316</v>
      </c>
      <c r="F9" s="96">
        <v>44347</v>
      </c>
      <c r="G9" s="96">
        <v>44377</v>
      </c>
      <c r="H9" s="96">
        <v>44408</v>
      </c>
      <c r="I9" s="96">
        <v>44439</v>
      </c>
      <c r="J9" s="96">
        <v>44469</v>
      </c>
      <c r="K9" s="96">
        <v>44500</v>
      </c>
      <c r="L9" s="96">
        <v>44530</v>
      </c>
      <c r="M9" s="96">
        <v>44561</v>
      </c>
      <c r="N9" s="96">
        <v>44592</v>
      </c>
      <c r="O9" s="96">
        <v>44620</v>
      </c>
      <c r="P9" s="96">
        <v>44651</v>
      </c>
      <c r="Q9" s="96">
        <v>44681</v>
      </c>
      <c r="R9" s="96">
        <v>44712</v>
      </c>
      <c r="S9" s="96">
        <v>44742</v>
      </c>
      <c r="T9" s="96">
        <v>44773</v>
      </c>
      <c r="U9" s="96">
        <v>44804</v>
      </c>
      <c r="V9" s="96">
        <v>44834</v>
      </c>
      <c r="W9" s="96">
        <v>44865</v>
      </c>
      <c r="X9" s="96">
        <v>44895</v>
      </c>
      <c r="Y9" s="96">
        <v>44926</v>
      </c>
      <c r="Z9" s="96">
        <v>44957</v>
      </c>
      <c r="AA9" s="96">
        <v>44985</v>
      </c>
      <c r="AB9" s="96">
        <v>45016</v>
      </c>
      <c r="AC9" s="96">
        <v>45046</v>
      </c>
      <c r="AD9" s="96">
        <v>45077</v>
      </c>
      <c r="AE9" s="96">
        <v>45107</v>
      </c>
      <c r="AF9" s="96">
        <v>45138</v>
      </c>
      <c r="AG9" s="96">
        <v>45169</v>
      </c>
      <c r="AH9" s="96">
        <v>45199</v>
      </c>
      <c r="AI9" s="96">
        <v>45230</v>
      </c>
      <c r="AJ9" s="96">
        <v>45260</v>
      </c>
      <c r="AK9" s="96">
        <v>45291</v>
      </c>
      <c r="AL9" s="96">
        <v>45322</v>
      </c>
      <c r="AM9" s="96">
        <v>45323</v>
      </c>
      <c r="AN9" s="96">
        <v>45351</v>
      </c>
      <c r="AO9" s="96">
        <v>45352</v>
      </c>
      <c r="AP9" s="96">
        <v>45382</v>
      </c>
      <c r="AQ9" s="96">
        <v>45412</v>
      </c>
      <c r="AR9" s="96">
        <v>45443</v>
      </c>
      <c r="AS9" s="96">
        <f t="shared" ref="AS9:BJ9" si="0">EOMONTH(EDATE(AR9, 0),1)</f>
        <v>45473</v>
      </c>
      <c r="AT9" s="96">
        <f t="shared" si="0"/>
        <v>45504</v>
      </c>
      <c r="AU9" s="96">
        <f t="shared" si="0"/>
        <v>45535</v>
      </c>
      <c r="AV9" s="96">
        <f t="shared" si="0"/>
        <v>45565</v>
      </c>
      <c r="AW9" s="96">
        <f t="shared" si="0"/>
        <v>45596</v>
      </c>
      <c r="AX9" s="96">
        <f t="shared" si="0"/>
        <v>45626</v>
      </c>
      <c r="AY9" s="96">
        <f t="shared" si="0"/>
        <v>45657</v>
      </c>
      <c r="AZ9" s="96">
        <f t="shared" si="0"/>
        <v>45688</v>
      </c>
      <c r="BA9" s="96">
        <f t="shared" si="0"/>
        <v>45716</v>
      </c>
      <c r="BB9" s="96">
        <f t="shared" si="0"/>
        <v>45747</v>
      </c>
      <c r="BC9" s="96">
        <f t="shared" si="0"/>
        <v>45777</v>
      </c>
      <c r="BD9" s="96">
        <f t="shared" si="0"/>
        <v>45808</v>
      </c>
      <c r="BE9" s="96">
        <f t="shared" si="0"/>
        <v>45838</v>
      </c>
      <c r="BF9" s="96">
        <f t="shared" si="0"/>
        <v>45869</v>
      </c>
      <c r="BG9" s="96">
        <f t="shared" si="0"/>
        <v>45900</v>
      </c>
      <c r="BH9" s="96">
        <f t="shared" si="0"/>
        <v>45930</v>
      </c>
      <c r="BI9" s="96">
        <f t="shared" si="0"/>
        <v>45961</v>
      </c>
      <c r="BJ9" s="96">
        <f t="shared" si="0"/>
        <v>45991</v>
      </c>
      <c r="BK9" s="95" t="s">
        <v>1882</v>
      </c>
      <c r="BL9" s="95" t="s">
        <v>1929</v>
      </c>
    </row>
    <row r="11" spans="1:64" ht="19" x14ac:dyDescent="0.25">
      <c r="A11" s="97" t="s">
        <v>1884</v>
      </c>
    </row>
    <row r="13" spans="1:64" ht="16" x14ac:dyDescent="0.2">
      <c r="A13" s="98" t="s">
        <v>1619</v>
      </c>
      <c r="D13" s="99">
        <f>-SUMIFS(Xero!$F:$F,Xero!$B:$B,Heron!D$9,Xero!$A:$A,Heron!$A$4,Xero!$E:$E,Heron!$A13)-SUMIFS(Xero!$F:$F,Xero!$B:$B,Heron!D$9,Xero!$A:$A,Heron!$A$5,Xero!$E:$E,Heron!$A13)</f>
        <v>0</v>
      </c>
      <c r="E13" s="99">
        <f>-SUMIFS(Xero!$F:$F,Xero!$B:$B,Heron!E$9,Xero!$A:$A,Heron!$A$4,Xero!$E:$E,Heron!$A13)-SUMIFS(Xero!$F:$F,Xero!$B:$B,Heron!E$9,Xero!$A:$A,Heron!$A$5,Xero!$E:$E,Heron!$A13)</f>
        <v>0</v>
      </c>
      <c r="F13" s="99">
        <f>-SUMIFS(Xero!$F:$F,Xero!$B:$B,Heron!F$9,Xero!$A:$A,Heron!$A$4,Xero!$E:$E,Heron!$A13)-SUMIFS(Xero!$F:$F,Xero!$B:$B,Heron!F$9,Xero!$A:$A,Heron!$A$5,Xero!$E:$E,Heron!$A13)</f>
        <v>0</v>
      </c>
      <c r="G13" s="99">
        <f>-SUMIFS(Xero!$F:$F,Xero!$B:$B,Heron!G$9,Xero!$A:$A,Heron!$A$4,Xero!$E:$E,Heron!$A13)-SUMIFS(Xero!$F:$F,Xero!$B:$B,Heron!G$9,Xero!$A:$A,Heron!$A$5,Xero!$E:$E,Heron!$A13)</f>
        <v>0</v>
      </c>
      <c r="H13" s="99">
        <f>-SUMIFS(Xero!$F:$F,Xero!$B:$B,Heron!H$9,Xero!$A:$A,Heron!$A$4,Xero!$E:$E,Heron!$A13)-SUMIFS(Xero!$F:$F,Xero!$B:$B,Heron!H$9,Xero!$A:$A,Heron!$A$5,Xero!$E:$E,Heron!$A13)</f>
        <v>0</v>
      </c>
      <c r="I13" s="99">
        <f>-SUMIFS(Xero!$F:$F,Xero!$B:$B,Heron!I$9,Xero!$A:$A,Heron!$A$4,Xero!$E:$E,Heron!$A13)-SUMIFS(Xero!$F:$F,Xero!$B:$B,Heron!I$9,Xero!$A:$A,Heron!$A$5,Xero!$E:$E,Heron!$A13)</f>
        <v>0</v>
      </c>
      <c r="J13" s="99">
        <f>-SUMIFS(Xero!$F:$F,Xero!$B:$B,Heron!J$9,Xero!$A:$A,Heron!$A$4,Xero!$E:$E,Heron!$A13)-SUMIFS(Xero!$F:$F,Xero!$B:$B,Heron!J$9,Xero!$A:$A,Heron!$A$5,Xero!$E:$E,Heron!$A13)</f>
        <v>0</v>
      </c>
      <c r="K13" s="99">
        <f>-SUMIFS(Xero!$F:$F,Xero!$B:$B,Heron!K$9,Xero!$A:$A,Heron!$A$4,Xero!$E:$E,Heron!$A13)-SUMIFS(Xero!$F:$F,Xero!$B:$B,Heron!K$9,Xero!$A:$A,Heron!$A$5,Xero!$E:$E,Heron!$A13)</f>
        <v>0</v>
      </c>
      <c r="L13" s="99">
        <f>-SUMIFS(Xero!$F:$F,Xero!$B:$B,Heron!L$9,Xero!$A:$A,Heron!$A$4,Xero!$E:$E,Heron!$A13)-SUMIFS(Xero!$F:$F,Xero!$B:$B,Heron!L$9,Xero!$A:$A,Heron!$A$5,Xero!$E:$E,Heron!$A13)</f>
        <v>0</v>
      </c>
      <c r="M13" s="99">
        <f>-SUMIFS(Xero!$F:$F,Xero!$B:$B,Heron!M$9,Xero!$A:$A,Heron!$A$4,Xero!$E:$E,Heron!$A13)-SUMIFS(Xero!$F:$F,Xero!$B:$B,Heron!M$9,Xero!$A:$A,Heron!$A$5,Xero!$E:$E,Heron!$A13)</f>
        <v>0</v>
      </c>
      <c r="N13" s="99">
        <f>-SUMIFS(Xero!$F:$F,Xero!$B:$B,Heron!N$9,Xero!$A:$A,Heron!$A$4,Xero!$E:$E,Heron!$A13)-SUMIFS(Xero!$F:$F,Xero!$B:$B,Heron!N$9,Xero!$A:$A,Heron!$A$5,Xero!$E:$E,Heron!$A13)</f>
        <v>0</v>
      </c>
      <c r="O13" s="99">
        <f>-SUMIFS(Xero!$F:$F,Xero!$B:$B,Heron!O$9,Xero!$A:$A,Heron!$A$4,Xero!$E:$E,Heron!$A13)-SUMIFS(Xero!$F:$F,Xero!$B:$B,Heron!O$9,Xero!$A:$A,Heron!$A$5,Xero!$E:$E,Heron!$A13)</f>
        <v>0</v>
      </c>
      <c r="P13" s="99">
        <f>-SUMIFS(Xero!$F:$F,Xero!$B:$B,Heron!P$9,Xero!$A:$A,Heron!$A$4,Xero!$E:$E,Heron!$A13)-SUMIFS(Xero!$F:$F,Xero!$B:$B,Heron!P$9,Xero!$A:$A,Heron!$A$5,Xero!$E:$E,Heron!$A13)</f>
        <v>0</v>
      </c>
      <c r="Q13" s="99">
        <f>-SUMIFS(Xero!$F:$F,Xero!$B:$B,Heron!Q$9,Xero!$A:$A,Heron!$A$4,Xero!$E:$E,Heron!$A13)-SUMIFS(Xero!$F:$F,Xero!$B:$B,Heron!Q$9,Xero!$A:$A,Heron!$A$5,Xero!$E:$E,Heron!$A13)</f>
        <v>0</v>
      </c>
      <c r="R13" s="99">
        <f>-SUMIFS(Xero!$F:$F,Xero!$B:$B,Heron!R$9,Xero!$A:$A,Heron!$A$4,Xero!$E:$E,Heron!$A13)-SUMIFS(Xero!$F:$F,Xero!$B:$B,Heron!R$9,Xero!$A:$A,Heron!$A$5,Xero!$E:$E,Heron!$A13)</f>
        <v>0</v>
      </c>
      <c r="S13" s="99">
        <f>-SUMIFS(Xero!$F:$F,Xero!$B:$B,Heron!S$9,Xero!$A:$A,Heron!$A$4,Xero!$E:$E,Heron!$A13)-SUMIFS(Xero!$F:$F,Xero!$B:$B,Heron!S$9,Xero!$A:$A,Heron!$A$5,Xero!$E:$E,Heron!$A13)</f>
        <v>0</v>
      </c>
      <c r="T13" s="99">
        <f>-SUMIFS(Xero!$F:$F,Xero!$B:$B,Heron!T$9,Xero!$A:$A,Heron!$A$4,Xero!$E:$E,Heron!$A13)-SUMIFS(Xero!$F:$F,Xero!$B:$B,Heron!T$9,Xero!$A:$A,Heron!$A$5,Xero!$E:$E,Heron!$A13)</f>
        <v>0</v>
      </c>
      <c r="U13" s="99">
        <f>-SUMIFS(Xero!$F:$F,Xero!$B:$B,Heron!U$9,Xero!$A:$A,Heron!$A$4,Xero!$E:$E,Heron!$A13)-SUMIFS(Xero!$F:$F,Xero!$B:$B,Heron!U$9,Xero!$A:$A,Heron!$A$5,Xero!$E:$E,Heron!$A13)</f>
        <v>0</v>
      </c>
      <c r="V13" s="99">
        <f>-SUMIFS(Xero!$F:$F,Xero!$B:$B,Heron!V$9,Xero!$A:$A,Heron!$A$4,Xero!$E:$E,Heron!$A13)-SUMIFS(Xero!$F:$F,Xero!$B:$B,Heron!V$9,Xero!$A:$A,Heron!$A$5,Xero!$E:$E,Heron!$A13)</f>
        <v>0</v>
      </c>
      <c r="W13" s="99">
        <f>-SUMIFS(Xero!$F:$F,Xero!$B:$B,Heron!W$9,Xero!$A:$A,Heron!$A$4,Xero!$E:$E,Heron!$A13)-SUMIFS(Xero!$F:$F,Xero!$B:$B,Heron!W$9,Xero!$A:$A,Heron!$A$5,Xero!$E:$E,Heron!$A13)</f>
        <v>0</v>
      </c>
      <c r="X13" s="99">
        <f>-SUMIFS(Xero!$F:$F,Xero!$B:$B,Heron!X$9,Xero!$A:$A,Heron!$A$4,Xero!$E:$E,Heron!$A13)-SUMIFS(Xero!$F:$F,Xero!$B:$B,Heron!X$9,Xero!$A:$A,Heron!$A$5,Xero!$E:$E,Heron!$A13)</f>
        <v>0</v>
      </c>
      <c r="Y13" s="99">
        <f>-SUMIFS(Xero!$F:$F,Xero!$B:$B,Heron!Y$9,Xero!$A:$A,Heron!$A$4,Xero!$E:$E,Heron!$A13)-SUMIFS(Xero!$F:$F,Xero!$B:$B,Heron!Y$9,Xero!$A:$A,Heron!$A$5,Xero!$E:$E,Heron!$A13)</f>
        <v>0</v>
      </c>
      <c r="Z13" s="99">
        <f>-SUMIFS(Xero!$F:$F,Xero!$B:$B,Heron!Z$9,Xero!$A:$A,Heron!$A$4,Xero!$E:$E,Heron!$A13)-SUMIFS(Xero!$F:$F,Xero!$B:$B,Heron!Z$9,Xero!$A:$A,Heron!$A$5,Xero!$E:$E,Heron!$A13)</f>
        <v>35916.78</v>
      </c>
      <c r="AA13" s="99">
        <f>-SUMIFS(Xero!$F:$F,Xero!$B:$B,Heron!AA$9,Xero!$A:$A,Heron!$A$4,Xero!$E:$E,Heron!$A13)-SUMIFS(Xero!$F:$F,Xero!$B:$B,Heron!AA$9,Xero!$A:$A,Heron!$A$5,Xero!$E:$E,Heron!$A13)</f>
        <v>-35916.78</v>
      </c>
      <c r="AB13" s="99">
        <f>-SUMIFS(Xero!$F:$F,Xero!$B:$B,Heron!AB$9,Xero!$A:$A,Heron!$A$4,Xero!$E:$E,Heron!$A13)-SUMIFS(Xero!$F:$F,Xero!$B:$B,Heron!AB$9,Xero!$A:$A,Heron!$A$5,Xero!$E:$E,Heron!$A13)</f>
        <v>0</v>
      </c>
      <c r="AC13" s="99">
        <f>-SUMIFS(Xero!$F:$F,Xero!$B:$B,Heron!AC$9,Xero!$A:$A,Heron!$A$4,Xero!$E:$E,Heron!$A13)-SUMIFS(Xero!$F:$F,Xero!$B:$B,Heron!AC$9,Xero!$A:$A,Heron!$A$5,Xero!$E:$E,Heron!$A13)</f>
        <v>0</v>
      </c>
      <c r="AD13" s="99">
        <f>-SUMIFS(Xero!$F:$F,Xero!$B:$B,Heron!AD$9,Xero!$A:$A,Heron!$A$4,Xero!$E:$E,Heron!$A13)-SUMIFS(Xero!$F:$F,Xero!$B:$B,Heron!AD$9,Xero!$A:$A,Heron!$A$5,Xero!$E:$E,Heron!$A13)</f>
        <v>0</v>
      </c>
      <c r="AE13" s="99">
        <f>-SUMIFS(Xero!$F:$F,Xero!$B:$B,Heron!AE$9,Xero!$A:$A,Heron!$A$4,Xero!$E:$E,Heron!$A13)-SUMIFS(Xero!$F:$F,Xero!$B:$B,Heron!AE$9,Xero!$A:$A,Heron!$A$5,Xero!$E:$E,Heron!$A13)</f>
        <v>0</v>
      </c>
      <c r="AF13" s="99">
        <f>-SUMIFS(Xero!$F:$F,Xero!$B:$B,Heron!AF$9,Xero!$A:$A,Heron!$A$4,Xero!$E:$E,Heron!$A13)-SUMIFS(Xero!$F:$F,Xero!$B:$B,Heron!AF$9,Xero!$A:$A,Heron!$A$5,Xero!$E:$E,Heron!$A13)</f>
        <v>0</v>
      </c>
      <c r="AG13" s="99">
        <f>-SUMIFS(Xero!$F:$F,Xero!$B:$B,Heron!AG$9,Xero!$A:$A,Heron!$A$4,Xero!$E:$E,Heron!$A13)-SUMIFS(Xero!$F:$F,Xero!$B:$B,Heron!AG$9,Xero!$A:$A,Heron!$A$5,Xero!$E:$E,Heron!$A13)</f>
        <v>0</v>
      </c>
      <c r="AH13" s="99">
        <f>-SUMIFS(Xero!$F:$F,Xero!$B:$B,Heron!AH$9,Xero!$A:$A,Heron!$A$4,Xero!$E:$E,Heron!$A13)-SUMIFS(Xero!$F:$F,Xero!$B:$B,Heron!AH$9,Xero!$A:$A,Heron!$A$5,Xero!$E:$E,Heron!$A13)</f>
        <v>0</v>
      </c>
      <c r="AI13" s="99">
        <f>-SUMIFS(Xero!$F:$F,Xero!$B:$B,Heron!AI$9,Xero!$A:$A,Heron!$A$4,Xero!$E:$E,Heron!$A13)-SUMIFS(Xero!$F:$F,Xero!$B:$B,Heron!AI$9,Xero!$A:$A,Heron!$A$5,Xero!$E:$E,Heron!$A13)</f>
        <v>0</v>
      </c>
      <c r="AJ13" s="99">
        <f>-SUMIFS(Xero!$F:$F,Xero!$B:$B,Heron!AJ$9,Xero!$A:$A,Heron!$A$4,Xero!$E:$E,Heron!$A13)-SUMIFS(Xero!$F:$F,Xero!$B:$B,Heron!AJ$9,Xero!$A:$A,Heron!$A$5,Xero!$E:$E,Heron!$A13)</f>
        <v>0</v>
      </c>
      <c r="AK13" s="99">
        <f>-SUMIFS(Xero!$F:$F,Xero!$B:$B,Heron!AK$9,Xero!$A:$A,Heron!$A$4,Xero!$E:$E,Heron!$A13)-SUMIFS(Xero!$F:$F,Xero!$B:$B,Heron!AK$9,Xero!$A:$A,Heron!$A$5,Xero!$E:$E,Heron!$A13)</f>
        <v>0</v>
      </c>
      <c r="AL13" s="99">
        <f>-SUMIFS(Xero!$F:$F,Xero!$B:$B,Heron!AL$9,Xero!$A:$A,Heron!$A$4,Xero!$E:$E,Heron!$A13)-SUMIFS(Xero!$F:$F,Xero!$B:$B,Heron!AL$9,Xero!$A:$A,Heron!$A$5,Xero!$E:$E,Heron!$A13)</f>
        <v>0</v>
      </c>
      <c r="AM13" s="99">
        <f>-SUMIFS(Xero!$F:$F,Xero!$B:$B,Heron!AM$9,Xero!$A:$A,Heron!$A$4,Xero!$E:$E,Heron!$A13)-SUMIFS(Xero!$F:$F,Xero!$B:$B,Heron!AM$9,Xero!$A:$A,Heron!$A$5,Xero!$E:$E,Heron!$A13)</f>
        <v>0</v>
      </c>
      <c r="AN13" s="99">
        <f>-SUMIFS(Xero!$F:$F,Xero!$B:$B,Heron!AN$9,Xero!$A:$A,Heron!$A$4,Xero!$E:$E,Heron!$A13)-SUMIFS(Xero!$F:$F,Xero!$B:$B,Heron!AN$9,Xero!$A:$A,Heron!$A$5,Xero!$E:$E,Heron!$A13)</f>
        <v>0</v>
      </c>
      <c r="AO13" s="99">
        <f>-SUMIFS(Xero!$F:$F,Xero!$B:$B,Heron!AO$9,Xero!$A:$A,Heron!$A$4,Xero!$E:$E,Heron!$A13)-SUMIFS(Xero!$F:$F,Xero!$B:$B,Heron!AO$9,Xero!$A:$A,Heron!$A$5,Xero!$E:$E,Heron!$A13)</f>
        <v>0</v>
      </c>
      <c r="AP13" s="99">
        <f>-SUMIFS(Xero!$F:$F,Xero!$B:$B,Heron!AP$9,Xero!$A:$A,Heron!$A$4,Xero!$E:$E,Heron!$A13)-SUMIFS(Xero!$F:$F,Xero!$B:$B,Heron!AP$9,Xero!$A:$A,Heron!$A$5,Xero!$E:$E,Heron!$A13)</f>
        <v>0</v>
      </c>
      <c r="AQ13" s="99">
        <f>-SUMIFS(Xero!$F:$F,Xero!$B:$B,Heron!AQ$9,Xero!$A:$A,Heron!$A$4,Xero!$E:$E,Heron!$A13)-SUMIFS(Xero!$F:$F,Xero!$B:$B,Heron!AQ$9,Xero!$A:$A,Heron!$A$5,Xero!$E:$E,Heron!$A13)</f>
        <v>0</v>
      </c>
      <c r="AR13" s="99">
        <f>-SUMIFS(Xero!$F:$F,Xero!$B:$B,Heron!AR$9,Xero!$A:$A,Heron!$A$4,Xero!$E:$E,Heron!$A13)-SUMIFS(Xero!$F:$F,Xero!$B:$B,Heron!AR$9,Xero!$A:$A,Heron!$A$5,Xero!$E:$E,Heron!$A13)</f>
        <v>0</v>
      </c>
      <c r="AS13" s="99">
        <f>-SUMIFS(Xero!$F:$F,Xero!$B:$B,Heron!AS$9,Xero!$A:$A,Heron!$A$4,Xero!$E:$E,Heron!$A13)-SUMIFS(Xero!$F:$F,Xero!$B:$B,Heron!AS$9,Xero!$A:$A,Heron!$A$5,Xero!$E:$E,Heron!$A13)</f>
        <v>0</v>
      </c>
      <c r="AT13" s="99">
        <f>-SUMIFS(Xero!$F:$F,Xero!$B:$B,Heron!AT$9,Xero!$A:$A,Heron!$A$4,Xero!$E:$E,Heron!$A13)-SUMIFS(Xero!$F:$F,Xero!$B:$B,Heron!AT$9,Xero!$A:$A,Heron!$A$5,Xero!$E:$E,Heron!$A13)</f>
        <v>0</v>
      </c>
      <c r="AU13" s="99">
        <f>-SUMIFS(Xero!$F:$F,Xero!$B:$B,Heron!AU$9,Xero!$A:$A,Heron!$A$4,Xero!$E:$E,Heron!$A13)-SUMIFS(Xero!$F:$F,Xero!$B:$B,Heron!AU$9,Xero!$A:$A,Heron!$A$5,Xero!$E:$E,Heron!$A13)</f>
        <v>0</v>
      </c>
      <c r="AV13" s="99">
        <f>-SUMIFS(Xero!$F:$F,Xero!$B:$B,Heron!AV$9,Xero!$A:$A,Heron!$A$4,Xero!$E:$E,Heron!$A13)-SUMIFS(Xero!$F:$F,Xero!$B:$B,Heron!AV$9,Xero!$A:$A,Heron!$A$5,Xero!$E:$E,Heron!$A13)</f>
        <v>0</v>
      </c>
      <c r="AW13" s="99">
        <f>-SUMIFS(Xero!$F:$F,Xero!$B:$B,Heron!AW$9,Xero!$A:$A,Heron!$A$4,Xero!$E:$E,Heron!$A13)-SUMIFS(Xero!$F:$F,Xero!$B:$B,Heron!AW$9,Xero!$A:$A,Heron!$A$5,Xero!$E:$E,Heron!$A13)</f>
        <v>0</v>
      </c>
      <c r="AX13" s="99">
        <f>-SUMIFS(Xero!$F:$F,Xero!$B:$B,Heron!AX$9,Xero!$A:$A,Heron!$A$4,Xero!$E:$E,Heron!$A13)-SUMIFS(Xero!$F:$F,Xero!$B:$B,Heron!AX$9,Xero!$A:$A,Heron!$A$5,Xero!$E:$E,Heron!$A13)</f>
        <v>0</v>
      </c>
      <c r="AY13" s="99">
        <f>-SUMIFS(Xero!$F:$F,Xero!$B:$B,Heron!AY$9,Xero!$A:$A,Heron!$A$4,Xero!$E:$E,Heron!$A13)-SUMIFS(Xero!$F:$F,Xero!$B:$B,Heron!AY$9,Xero!$A:$A,Heron!$A$5,Xero!$E:$E,Heron!$A13)</f>
        <v>0</v>
      </c>
      <c r="AZ13" s="99">
        <f>-SUMIFS(Xero!$F:$F,Xero!$B:$B,Heron!AZ$9,Xero!$A:$A,Heron!$A$4,Xero!$E:$E,Heron!$A13)-SUMIFS(Xero!$F:$F,Xero!$B:$B,Heron!AZ$9,Xero!$A:$A,Heron!$A$5,Xero!$E:$E,Heron!$A13)</f>
        <v>0</v>
      </c>
      <c r="BA13" s="99">
        <f>-SUMIFS(Xero!$F:$F,Xero!$B:$B,Heron!BA$9,Xero!$A:$A,Heron!$A$4,Xero!$E:$E,Heron!$A13)-SUMIFS(Xero!$F:$F,Xero!$B:$B,Heron!BA$9,Xero!$A:$A,Heron!$A$5,Xero!$E:$E,Heron!$A13)</f>
        <v>0</v>
      </c>
      <c r="BB13" s="99">
        <f>-SUMIFS(Xero!$F:$F,Xero!$B:$B,Heron!BB$9,Xero!$A:$A,Heron!$A$4,Xero!$E:$E,Heron!$A13)-SUMIFS(Xero!$F:$F,Xero!$B:$B,Heron!BB$9,Xero!$A:$A,Heron!$A$5,Xero!$E:$E,Heron!$A13)</f>
        <v>0</v>
      </c>
      <c r="BC13" s="99">
        <f>-SUMIFS(Xero!$F:$F,Xero!$B:$B,Heron!BC$9,Xero!$A:$A,Heron!$A$4,Xero!$E:$E,Heron!$A13)-SUMIFS(Xero!$F:$F,Xero!$B:$B,Heron!BC$9,Xero!$A:$A,Heron!$A$5,Xero!$E:$E,Heron!$A13)</f>
        <v>0</v>
      </c>
      <c r="BD13" s="99">
        <f>-SUMIFS(Xero!$F:$F,Xero!$B:$B,Heron!BD$9,Xero!$A:$A,Heron!$A$4,Xero!$E:$E,Heron!$A13)-SUMIFS(Xero!$F:$F,Xero!$B:$B,Heron!BD$9,Xero!$A:$A,Heron!$A$5,Xero!$E:$E,Heron!$A13)</f>
        <v>0</v>
      </c>
      <c r="BE13" s="99">
        <f>-SUMIFS(Xero!$F:$F,Xero!$B:$B,Heron!BE$9,Xero!$A:$A,Heron!$A$4,Xero!$E:$E,Heron!$A13)-SUMIFS(Xero!$F:$F,Xero!$B:$B,Heron!BE$9,Xero!$A:$A,Heron!$A$5,Xero!$E:$E,Heron!$A13)</f>
        <v>0</v>
      </c>
      <c r="BF13" s="99">
        <f>-SUMIFS(Xero!$F:$F,Xero!$B:$B,Heron!BF$9,Xero!$A:$A,Heron!$A$4,Xero!$E:$E,Heron!$A13)-SUMIFS(Xero!$F:$F,Xero!$B:$B,Heron!BF$9,Xero!$A:$A,Heron!$A$5,Xero!$E:$E,Heron!$A13)</f>
        <v>0</v>
      </c>
      <c r="BG13" s="99">
        <f>-SUMIFS(Xero!$F:$F,Xero!$B:$B,Heron!BG$9,Xero!$A:$A,Heron!$A$4,Xero!$E:$E,Heron!$A13)-SUMIFS(Xero!$F:$F,Xero!$B:$B,Heron!BG$9,Xero!$A:$A,Heron!$A$5,Xero!$E:$E,Heron!$A13)</f>
        <v>0</v>
      </c>
      <c r="BH13" s="99">
        <f>-SUMIFS(Xero!$F:$F,Xero!$B:$B,Heron!BH$9,Xero!$A:$A,Heron!$A$4,Xero!$E:$E,Heron!$A13)-SUMIFS(Xero!$F:$F,Xero!$B:$B,Heron!BH$9,Xero!$A:$A,Heron!$A$5,Xero!$E:$E,Heron!$A13)</f>
        <v>0</v>
      </c>
      <c r="BI13" s="99">
        <f>-SUMIFS(Xero!$F:$F,Xero!$B:$B,Heron!BI$9,Xero!$A:$A,Heron!$A$4,Xero!$E:$E,Heron!$A13)-SUMIFS(Xero!$F:$F,Xero!$B:$B,Heron!BI$9,Xero!$A:$A,Heron!$A$5,Xero!$E:$E,Heron!$A13)</f>
        <v>0</v>
      </c>
      <c r="BJ13" s="99">
        <f>-SUMIFS(Xero!$F:$F,Xero!$B:$B,Heron!BJ$9,Xero!$A:$A,Heron!$A$4,Xero!$E:$E,Heron!$A13)-SUMIFS(Xero!$F:$F,Xero!$B:$B,Heron!BJ$9,Xero!$A:$A,Heron!$A$5,Xero!$E:$E,Heron!$A13)</f>
        <v>0</v>
      </c>
      <c r="BK13" s="99">
        <f t="shared" ref="BK13:BK27" si="1">SUM(D13:BJ13)</f>
        <v>0</v>
      </c>
    </row>
    <row r="14" spans="1:64" ht="16" x14ac:dyDescent="0.2">
      <c r="A14" s="98" t="s">
        <v>1776</v>
      </c>
      <c r="D14" s="99">
        <f>-SUMIFS(Xero!$F:$F,Xero!$B:$B,Heron!D$9,Xero!$A:$A,Heron!$A$4,Xero!$E:$E,Heron!$A14)-SUMIFS(Xero!$F:$F,Xero!$B:$B,Heron!D$9,Xero!$A:$A,Heron!$A$5,Xero!$E:$E,Heron!$A14)</f>
        <v>0</v>
      </c>
      <c r="E14" s="99">
        <f>-SUMIFS(Xero!$F:$F,Xero!$B:$B,Heron!E$9,Xero!$A:$A,Heron!$A$4,Xero!$E:$E,Heron!$A14)-SUMIFS(Xero!$F:$F,Xero!$B:$B,Heron!E$9,Xero!$A:$A,Heron!$A$5,Xero!$E:$E,Heron!$A14)</f>
        <v>0</v>
      </c>
      <c r="F14" s="99">
        <f>-SUMIFS(Xero!$F:$F,Xero!$B:$B,Heron!F$9,Xero!$A:$A,Heron!$A$4,Xero!$E:$E,Heron!$A14)-SUMIFS(Xero!$F:$F,Xero!$B:$B,Heron!F$9,Xero!$A:$A,Heron!$A$5,Xero!$E:$E,Heron!$A14)</f>
        <v>0</v>
      </c>
      <c r="G14" s="99">
        <f>-SUMIFS(Xero!$F:$F,Xero!$B:$B,Heron!G$9,Xero!$A:$A,Heron!$A$4,Xero!$E:$E,Heron!$A14)-SUMIFS(Xero!$F:$F,Xero!$B:$B,Heron!G$9,Xero!$A:$A,Heron!$A$5,Xero!$E:$E,Heron!$A14)</f>
        <v>0</v>
      </c>
      <c r="H14" s="99">
        <f>-SUMIFS(Xero!$F:$F,Xero!$B:$B,Heron!H$9,Xero!$A:$A,Heron!$A$4,Xero!$E:$E,Heron!$A14)-SUMIFS(Xero!$F:$F,Xero!$B:$B,Heron!H$9,Xero!$A:$A,Heron!$A$5,Xero!$E:$E,Heron!$A14)</f>
        <v>0</v>
      </c>
      <c r="I14" s="99">
        <f>-SUMIFS(Xero!$F:$F,Xero!$B:$B,Heron!I$9,Xero!$A:$A,Heron!$A$4,Xero!$E:$E,Heron!$A14)-SUMIFS(Xero!$F:$F,Xero!$B:$B,Heron!I$9,Xero!$A:$A,Heron!$A$5,Xero!$E:$E,Heron!$A14)</f>
        <v>0</v>
      </c>
      <c r="J14" s="99">
        <f>-SUMIFS(Xero!$F:$F,Xero!$B:$B,Heron!J$9,Xero!$A:$A,Heron!$A$4,Xero!$E:$E,Heron!$A14)-SUMIFS(Xero!$F:$F,Xero!$B:$B,Heron!J$9,Xero!$A:$A,Heron!$A$5,Xero!$E:$E,Heron!$A14)</f>
        <v>0</v>
      </c>
      <c r="K14" s="99">
        <f>-SUMIFS(Xero!$F:$F,Xero!$B:$B,Heron!K$9,Xero!$A:$A,Heron!$A$4,Xero!$E:$E,Heron!$A14)-SUMIFS(Xero!$F:$F,Xero!$B:$B,Heron!K$9,Xero!$A:$A,Heron!$A$5,Xero!$E:$E,Heron!$A14)</f>
        <v>0</v>
      </c>
      <c r="L14" s="99">
        <f>-SUMIFS(Xero!$F:$F,Xero!$B:$B,Heron!L$9,Xero!$A:$A,Heron!$A$4,Xero!$E:$E,Heron!$A14)-SUMIFS(Xero!$F:$F,Xero!$B:$B,Heron!L$9,Xero!$A:$A,Heron!$A$5,Xero!$E:$E,Heron!$A14)</f>
        <v>0</v>
      </c>
      <c r="M14" s="99">
        <f>-SUMIFS(Xero!$F:$F,Xero!$B:$B,Heron!M$9,Xero!$A:$A,Heron!$A$4,Xero!$E:$E,Heron!$A14)-SUMIFS(Xero!$F:$F,Xero!$B:$B,Heron!M$9,Xero!$A:$A,Heron!$A$5,Xero!$E:$E,Heron!$A14)</f>
        <v>0</v>
      </c>
      <c r="N14" s="99">
        <f>-SUMIFS(Xero!$F:$F,Xero!$B:$B,Heron!N$9,Xero!$A:$A,Heron!$A$4,Xero!$E:$E,Heron!$A14)-SUMIFS(Xero!$F:$F,Xero!$B:$B,Heron!N$9,Xero!$A:$A,Heron!$A$5,Xero!$E:$E,Heron!$A14)</f>
        <v>0</v>
      </c>
      <c r="O14" s="99">
        <f>-SUMIFS(Xero!$F:$F,Xero!$B:$B,Heron!O$9,Xero!$A:$A,Heron!$A$4,Xero!$E:$E,Heron!$A14)-SUMIFS(Xero!$F:$F,Xero!$B:$B,Heron!O$9,Xero!$A:$A,Heron!$A$5,Xero!$E:$E,Heron!$A14)</f>
        <v>0</v>
      </c>
      <c r="P14" s="99">
        <f>-SUMIFS(Xero!$F:$F,Xero!$B:$B,Heron!P$9,Xero!$A:$A,Heron!$A$4,Xero!$E:$E,Heron!$A14)-SUMIFS(Xero!$F:$F,Xero!$B:$B,Heron!P$9,Xero!$A:$A,Heron!$A$5,Xero!$E:$E,Heron!$A14)</f>
        <v>0</v>
      </c>
      <c r="Q14" s="99">
        <f>-SUMIFS(Xero!$F:$F,Xero!$B:$B,Heron!Q$9,Xero!$A:$A,Heron!$A$4,Xero!$E:$E,Heron!$A14)-SUMIFS(Xero!$F:$F,Xero!$B:$B,Heron!Q$9,Xero!$A:$A,Heron!$A$5,Xero!$E:$E,Heron!$A14)</f>
        <v>0</v>
      </c>
      <c r="R14" s="99">
        <f>-SUMIFS(Xero!$F:$F,Xero!$B:$B,Heron!R$9,Xero!$A:$A,Heron!$A$4,Xero!$E:$E,Heron!$A14)-SUMIFS(Xero!$F:$F,Xero!$B:$B,Heron!R$9,Xero!$A:$A,Heron!$A$5,Xero!$E:$E,Heron!$A14)</f>
        <v>0</v>
      </c>
      <c r="S14" s="99">
        <f>-SUMIFS(Xero!$F:$F,Xero!$B:$B,Heron!S$9,Xero!$A:$A,Heron!$A$4,Xero!$E:$E,Heron!$A14)-SUMIFS(Xero!$F:$F,Xero!$B:$B,Heron!S$9,Xero!$A:$A,Heron!$A$5,Xero!$E:$E,Heron!$A14)</f>
        <v>0</v>
      </c>
      <c r="T14" s="99">
        <f>-SUMIFS(Xero!$F:$F,Xero!$B:$B,Heron!T$9,Xero!$A:$A,Heron!$A$4,Xero!$E:$E,Heron!$A14)-SUMIFS(Xero!$F:$F,Xero!$B:$B,Heron!T$9,Xero!$A:$A,Heron!$A$5,Xero!$E:$E,Heron!$A14)</f>
        <v>0</v>
      </c>
      <c r="U14" s="99">
        <f>-SUMIFS(Xero!$F:$F,Xero!$B:$B,Heron!U$9,Xero!$A:$A,Heron!$A$4,Xero!$E:$E,Heron!$A14)-SUMIFS(Xero!$F:$F,Xero!$B:$B,Heron!U$9,Xero!$A:$A,Heron!$A$5,Xero!$E:$E,Heron!$A14)</f>
        <v>0</v>
      </c>
      <c r="V14" s="99">
        <f>-SUMIFS(Xero!$F:$F,Xero!$B:$B,Heron!V$9,Xero!$A:$A,Heron!$A$4,Xero!$E:$E,Heron!$A14)-SUMIFS(Xero!$F:$F,Xero!$B:$B,Heron!V$9,Xero!$A:$A,Heron!$A$5,Xero!$E:$E,Heron!$A14)</f>
        <v>0</v>
      </c>
      <c r="W14" s="99">
        <f>-SUMIFS(Xero!$F:$F,Xero!$B:$B,Heron!W$9,Xero!$A:$A,Heron!$A$4,Xero!$E:$E,Heron!$A14)-SUMIFS(Xero!$F:$F,Xero!$B:$B,Heron!W$9,Xero!$A:$A,Heron!$A$5,Xero!$E:$E,Heron!$A14)</f>
        <v>0</v>
      </c>
      <c r="X14" s="99">
        <f>-SUMIFS(Xero!$F:$F,Xero!$B:$B,Heron!X$9,Xero!$A:$A,Heron!$A$4,Xero!$E:$E,Heron!$A14)-SUMIFS(Xero!$F:$F,Xero!$B:$B,Heron!X$9,Xero!$A:$A,Heron!$A$5,Xero!$E:$E,Heron!$A14)</f>
        <v>0</v>
      </c>
      <c r="Y14" s="99">
        <f>-SUMIFS(Xero!$F:$F,Xero!$B:$B,Heron!Y$9,Xero!$A:$A,Heron!$A$4,Xero!$E:$E,Heron!$A14)-SUMIFS(Xero!$F:$F,Xero!$B:$B,Heron!Y$9,Xero!$A:$A,Heron!$A$5,Xero!$E:$E,Heron!$A14)</f>
        <v>0</v>
      </c>
      <c r="Z14" s="99">
        <f>-SUMIFS(Xero!$F:$F,Xero!$B:$B,Heron!Z$9,Xero!$A:$A,Heron!$A$4,Xero!$E:$E,Heron!$A14)-SUMIFS(Xero!$F:$F,Xero!$B:$B,Heron!Z$9,Xero!$A:$A,Heron!$A$5,Xero!$E:$E,Heron!$A14)</f>
        <v>0</v>
      </c>
      <c r="AA14" s="99">
        <f>-SUMIFS(Xero!$F:$F,Xero!$B:$B,Heron!AA$9,Xero!$A:$A,Heron!$A$4,Xero!$E:$E,Heron!$A14)-SUMIFS(Xero!$F:$F,Xero!$B:$B,Heron!AA$9,Xero!$A:$A,Heron!$A$5,Xero!$E:$E,Heron!$A14)</f>
        <v>0</v>
      </c>
      <c r="AB14" s="99">
        <f>-SUMIFS(Xero!$F:$F,Xero!$B:$B,Heron!AB$9,Xero!$A:$A,Heron!$A$4,Xero!$E:$E,Heron!$A14)-SUMIFS(Xero!$F:$F,Xero!$B:$B,Heron!AB$9,Xero!$A:$A,Heron!$A$5,Xero!$E:$E,Heron!$A14)</f>
        <v>0</v>
      </c>
      <c r="AC14" s="99">
        <f>-SUMIFS(Xero!$F:$F,Xero!$B:$B,Heron!AC$9,Xero!$A:$A,Heron!$A$4,Xero!$E:$E,Heron!$A14)-SUMIFS(Xero!$F:$F,Xero!$B:$B,Heron!AC$9,Xero!$A:$A,Heron!$A$5,Xero!$E:$E,Heron!$A14)</f>
        <v>0</v>
      </c>
      <c r="AD14" s="99">
        <f>-SUMIFS(Xero!$F:$F,Xero!$B:$B,Heron!AD$9,Xero!$A:$A,Heron!$A$4,Xero!$E:$E,Heron!$A14)-SUMIFS(Xero!$F:$F,Xero!$B:$B,Heron!AD$9,Xero!$A:$A,Heron!$A$5,Xero!$E:$E,Heron!$A14)</f>
        <v>0</v>
      </c>
      <c r="AE14" s="99">
        <f>-SUMIFS(Xero!$F:$F,Xero!$B:$B,Heron!AE$9,Xero!$A:$A,Heron!$A$4,Xero!$E:$E,Heron!$A14)-SUMIFS(Xero!$F:$F,Xero!$B:$B,Heron!AE$9,Xero!$A:$A,Heron!$A$5,Xero!$E:$E,Heron!$A14)</f>
        <v>0</v>
      </c>
      <c r="AF14" s="99">
        <f>-SUMIFS(Xero!$F:$F,Xero!$B:$B,Heron!AF$9,Xero!$A:$A,Heron!$A$4,Xero!$E:$E,Heron!$A14)-SUMIFS(Xero!$F:$F,Xero!$B:$B,Heron!AF$9,Xero!$A:$A,Heron!$A$5,Xero!$E:$E,Heron!$A14)</f>
        <v>0</v>
      </c>
      <c r="AG14" s="99">
        <f>-SUMIFS(Xero!$F:$F,Xero!$B:$B,Heron!AG$9,Xero!$A:$A,Heron!$A$4,Xero!$E:$E,Heron!$A14)-SUMIFS(Xero!$F:$F,Xero!$B:$B,Heron!AG$9,Xero!$A:$A,Heron!$A$5,Xero!$E:$E,Heron!$A14)</f>
        <v>0</v>
      </c>
      <c r="AH14" s="99">
        <f>-SUMIFS(Xero!$F:$F,Xero!$B:$B,Heron!AH$9,Xero!$A:$A,Heron!$A$4,Xero!$E:$E,Heron!$A14)-SUMIFS(Xero!$F:$F,Xero!$B:$B,Heron!AH$9,Xero!$A:$A,Heron!$A$5,Xero!$E:$E,Heron!$A14)</f>
        <v>0</v>
      </c>
      <c r="AI14" s="99">
        <f>-SUMIFS(Xero!$F:$F,Xero!$B:$B,Heron!AI$9,Xero!$A:$A,Heron!$A$4,Xero!$E:$E,Heron!$A14)-SUMIFS(Xero!$F:$F,Xero!$B:$B,Heron!AI$9,Xero!$A:$A,Heron!$A$5,Xero!$E:$E,Heron!$A14)</f>
        <v>0</v>
      </c>
      <c r="AJ14" s="99">
        <f>-SUMIFS(Xero!$F:$F,Xero!$B:$B,Heron!AJ$9,Xero!$A:$A,Heron!$A$4,Xero!$E:$E,Heron!$A14)-SUMIFS(Xero!$F:$F,Xero!$B:$B,Heron!AJ$9,Xero!$A:$A,Heron!$A$5,Xero!$E:$E,Heron!$A14)</f>
        <v>0</v>
      </c>
      <c r="AK14" s="99">
        <f>-SUMIFS(Xero!$F:$F,Xero!$B:$B,Heron!AK$9,Xero!$A:$A,Heron!$A$4,Xero!$E:$E,Heron!$A14)-SUMIFS(Xero!$F:$F,Xero!$B:$B,Heron!AK$9,Xero!$A:$A,Heron!$A$5,Xero!$E:$E,Heron!$A14)</f>
        <v>0</v>
      </c>
      <c r="AL14" s="99">
        <f>-SUMIFS(Xero!$F:$F,Xero!$B:$B,Heron!AL$9,Xero!$A:$A,Heron!$A$4,Xero!$E:$E,Heron!$A14)-SUMIFS(Xero!$F:$F,Xero!$B:$B,Heron!AL$9,Xero!$A:$A,Heron!$A$5,Xero!$E:$E,Heron!$A14)</f>
        <v>0</v>
      </c>
      <c r="AM14" s="99">
        <f>-SUMIFS(Xero!$F:$F,Xero!$B:$B,Heron!AM$9,Xero!$A:$A,Heron!$A$4,Xero!$E:$E,Heron!$A14)-SUMIFS(Xero!$F:$F,Xero!$B:$B,Heron!AM$9,Xero!$A:$A,Heron!$A$5,Xero!$E:$E,Heron!$A14)</f>
        <v>0</v>
      </c>
      <c r="AN14" s="99">
        <f>-SUMIFS(Xero!$F:$F,Xero!$B:$B,Heron!AN$9,Xero!$A:$A,Heron!$A$4,Xero!$E:$E,Heron!$A14)-SUMIFS(Xero!$F:$F,Xero!$B:$B,Heron!AN$9,Xero!$A:$A,Heron!$A$5,Xero!$E:$E,Heron!$A14)</f>
        <v>0</v>
      </c>
      <c r="AO14" s="99">
        <f>-SUMIFS(Xero!$F:$F,Xero!$B:$B,Heron!AO$9,Xero!$A:$A,Heron!$A$4,Xero!$E:$E,Heron!$A14)-SUMIFS(Xero!$F:$F,Xero!$B:$B,Heron!AO$9,Xero!$A:$A,Heron!$A$5,Xero!$E:$E,Heron!$A14)</f>
        <v>0</v>
      </c>
      <c r="AP14" s="99">
        <f>-SUMIFS(Xero!$F:$F,Xero!$B:$B,Heron!AP$9,Xero!$A:$A,Heron!$A$4,Xero!$E:$E,Heron!$A14)-SUMIFS(Xero!$F:$F,Xero!$B:$B,Heron!AP$9,Xero!$A:$A,Heron!$A$5,Xero!$E:$E,Heron!$A14)</f>
        <v>0</v>
      </c>
      <c r="AQ14" s="99">
        <f>-SUMIFS(Xero!$F:$F,Xero!$B:$B,Heron!AQ$9,Xero!$A:$A,Heron!$A$4,Xero!$E:$E,Heron!$A14)-SUMIFS(Xero!$F:$F,Xero!$B:$B,Heron!AQ$9,Xero!$A:$A,Heron!$A$5,Xero!$E:$E,Heron!$A14)</f>
        <v>0</v>
      </c>
      <c r="AR14" s="99">
        <f>-SUMIFS(Xero!$F:$F,Xero!$B:$B,Heron!AR$9,Xero!$A:$A,Heron!$A$4,Xero!$E:$E,Heron!$A14)-SUMIFS(Xero!$F:$F,Xero!$B:$B,Heron!AR$9,Xero!$A:$A,Heron!$A$5,Xero!$E:$E,Heron!$A14)</f>
        <v>0</v>
      </c>
      <c r="AS14" s="99">
        <f>-SUMIFS(Xero!$F:$F,Xero!$B:$B,Heron!AS$9,Xero!$A:$A,Heron!$A$4,Xero!$E:$E,Heron!$A14)-SUMIFS(Xero!$F:$F,Xero!$B:$B,Heron!AS$9,Xero!$A:$A,Heron!$A$5,Xero!$E:$E,Heron!$A14)</f>
        <v>0</v>
      </c>
      <c r="AT14" s="99">
        <f>-SUMIFS(Xero!$F:$F,Xero!$B:$B,Heron!AT$9,Xero!$A:$A,Heron!$A$4,Xero!$E:$E,Heron!$A14)-SUMIFS(Xero!$F:$F,Xero!$B:$B,Heron!AT$9,Xero!$A:$A,Heron!$A$5,Xero!$E:$E,Heron!$A14)</f>
        <v>0</v>
      </c>
      <c r="AU14" s="99">
        <f>-SUMIFS(Xero!$F:$F,Xero!$B:$B,Heron!AU$9,Xero!$A:$A,Heron!$A$4,Xero!$E:$E,Heron!$A14)-SUMIFS(Xero!$F:$F,Xero!$B:$B,Heron!AU$9,Xero!$A:$A,Heron!$A$5,Xero!$E:$E,Heron!$A14)</f>
        <v>0</v>
      </c>
      <c r="AV14" s="99">
        <f>-SUMIFS(Xero!$F:$F,Xero!$B:$B,Heron!AV$9,Xero!$A:$A,Heron!$A$4,Xero!$E:$E,Heron!$A14)-SUMIFS(Xero!$F:$F,Xero!$B:$B,Heron!AV$9,Xero!$A:$A,Heron!$A$5,Xero!$E:$E,Heron!$A14)</f>
        <v>0</v>
      </c>
      <c r="AW14" s="99">
        <f>-SUMIFS(Xero!$F:$F,Xero!$B:$B,Heron!AW$9,Xero!$A:$A,Heron!$A$4,Xero!$E:$E,Heron!$A14)-SUMIFS(Xero!$F:$F,Xero!$B:$B,Heron!AW$9,Xero!$A:$A,Heron!$A$5,Xero!$E:$E,Heron!$A14)</f>
        <v>0</v>
      </c>
      <c r="AX14" s="99">
        <f>-SUMIFS(Xero!$F:$F,Xero!$B:$B,Heron!AX$9,Xero!$A:$A,Heron!$A$4,Xero!$E:$E,Heron!$A14)-SUMIFS(Xero!$F:$F,Xero!$B:$B,Heron!AX$9,Xero!$A:$A,Heron!$A$5,Xero!$E:$E,Heron!$A14)</f>
        <v>0</v>
      </c>
      <c r="AY14" s="99">
        <f>-SUMIFS(Xero!$F:$F,Xero!$B:$B,Heron!AY$9,Xero!$A:$A,Heron!$A$4,Xero!$E:$E,Heron!$A14)-SUMIFS(Xero!$F:$F,Xero!$B:$B,Heron!AY$9,Xero!$A:$A,Heron!$A$5,Xero!$E:$E,Heron!$A14)</f>
        <v>0</v>
      </c>
      <c r="AZ14" s="99">
        <f>-SUMIFS(Xero!$F:$F,Xero!$B:$B,Heron!AZ$9,Xero!$A:$A,Heron!$A$4,Xero!$E:$E,Heron!$A14)-SUMIFS(Xero!$F:$F,Xero!$B:$B,Heron!AZ$9,Xero!$A:$A,Heron!$A$5,Xero!$E:$E,Heron!$A14)</f>
        <v>0</v>
      </c>
      <c r="BA14" s="99">
        <f>-SUMIFS(Xero!$F:$F,Xero!$B:$B,Heron!BA$9,Xero!$A:$A,Heron!$A$4,Xero!$E:$E,Heron!$A14)-SUMIFS(Xero!$F:$F,Xero!$B:$B,Heron!BA$9,Xero!$A:$A,Heron!$A$5,Xero!$E:$E,Heron!$A14)</f>
        <v>0</v>
      </c>
      <c r="BB14" s="99">
        <f>-SUMIFS(Xero!$F:$F,Xero!$B:$B,Heron!BB$9,Xero!$A:$A,Heron!$A$4,Xero!$E:$E,Heron!$A14)-SUMIFS(Xero!$F:$F,Xero!$B:$B,Heron!BB$9,Xero!$A:$A,Heron!$A$5,Xero!$E:$E,Heron!$A14)</f>
        <v>0</v>
      </c>
      <c r="BC14" s="99">
        <f>-SUMIFS(Xero!$F:$F,Xero!$B:$B,Heron!BC$9,Xero!$A:$A,Heron!$A$4,Xero!$E:$E,Heron!$A14)-SUMIFS(Xero!$F:$F,Xero!$B:$B,Heron!BC$9,Xero!$A:$A,Heron!$A$5,Xero!$E:$E,Heron!$A14)</f>
        <v>0</v>
      </c>
      <c r="BD14" s="99">
        <f>-SUMIFS(Xero!$F:$F,Xero!$B:$B,Heron!BD$9,Xero!$A:$A,Heron!$A$4,Xero!$E:$E,Heron!$A14)-SUMIFS(Xero!$F:$F,Xero!$B:$B,Heron!BD$9,Xero!$A:$A,Heron!$A$5,Xero!$E:$E,Heron!$A14)</f>
        <v>0</v>
      </c>
      <c r="BE14" s="99">
        <f>-SUMIFS(Xero!$F:$F,Xero!$B:$B,Heron!BE$9,Xero!$A:$A,Heron!$A$4,Xero!$E:$E,Heron!$A14)-SUMIFS(Xero!$F:$F,Xero!$B:$B,Heron!BE$9,Xero!$A:$A,Heron!$A$5,Xero!$E:$E,Heron!$A14)</f>
        <v>0</v>
      </c>
      <c r="BF14" s="99">
        <f>-SUMIFS(Xero!$F:$F,Xero!$B:$B,Heron!BF$9,Xero!$A:$A,Heron!$A$4,Xero!$E:$E,Heron!$A14)-SUMIFS(Xero!$F:$F,Xero!$B:$B,Heron!BF$9,Xero!$A:$A,Heron!$A$5,Xero!$E:$E,Heron!$A14)</f>
        <v>0</v>
      </c>
      <c r="BG14" s="99">
        <f>-SUMIFS(Xero!$F:$F,Xero!$B:$B,Heron!BG$9,Xero!$A:$A,Heron!$A$4,Xero!$E:$E,Heron!$A14)-SUMIFS(Xero!$F:$F,Xero!$B:$B,Heron!BG$9,Xero!$A:$A,Heron!$A$5,Xero!$E:$E,Heron!$A14)</f>
        <v>0</v>
      </c>
      <c r="BH14" s="99">
        <f>-SUMIFS(Xero!$F:$F,Xero!$B:$B,Heron!BH$9,Xero!$A:$A,Heron!$A$4,Xero!$E:$E,Heron!$A14)-SUMIFS(Xero!$F:$F,Xero!$B:$B,Heron!BH$9,Xero!$A:$A,Heron!$A$5,Xero!$E:$E,Heron!$A14)</f>
        <v>0</v>
      </c>
      <c r="BI14" s="99">
        <f>-SUMIFS(Xero!$F:$F,Xero!$B:$B,Heron!BI$9,Xero!$A:$A,Heron!$A$4,Xero!$E:$E,Heron!$A14)-SUMIFS(Xero!$F:$F,Xero!$B:$B,Heron!BI$9,Xero!$A:$A,Heron!$A$5,Xero!$E:$E,Heron!$A14)</f>
        <v>0</v>
      </c>
      <c r="BJ14" s="99">
        <f>-SUMIFS(Xero!$F:$F,Xero!$B:$B,Heron!BJ$9,Xero!$A:$A,Heron!$A$4,Xero!$E:$E,Heron!$A14)-SUMIFS(Xero!$F:$F,Xero!$B:$B,Heron!BJ$9,Xero!$A:$A,Heron!$A$5,Xero!$E:$E,Heron!$A14)</f>
        <v>0</v>
      </c>
      <c r="BK14" s="99">
        <f t="shared" si="1"/>
        <v>0</v>
      </c>
    </row>
    <row r="15" spans="1:64" ht="16" x14ac:dyDescent="0.2">
      <c r="A15" s="98" t="s">
        <v>1212</v>
      </c>
      <c r="D15" s="99">
        <f>-SUMIFS(Xero!$F:$F,Xero!$B:$B,Heron!D$9,Xero!$A:$A,Heron!$A$4,Xero!$E:$E,Heron!$A15)-SUMIFS(Xero!$F:$F,Xero!$B:$B,Heron!D$9,Xero!$A:$A,Heron!$A$5,Xero!$E:$E,Heron!$A15)</f>
        <v>0</v>
      </c>
      <c r="E15" s="99">
        <f>-SUMIFS(Xero!$F:$F,Xero!$B:$B,Heron!E$9,Xero!$A:$A,Heron!$A$4,Xero!$E:$E,Heron!$A15)-SUMIFS(Xero!$F:$F,Xero!$B:$B,Heron!E$9,Xero!$A:$A,Heron!$A$5,Xero!$E:$E,Heron!$A15)</f>
        <v>0</v>
      </c>
      <c r="F15" s="99">
        <f>-SUMIFS(Xero!$F:$F,Xero!$B:$B,Heron!F$9,Xero!$A:$A,Heron!$A$4,Xero!$E:$E,Heron!$A15)-SUMIFS(Xero!$F:$F,Xero!$B:$B,Heron!F$9,Xero!$A:$A,Heron!$A$5,Xero!$E:$E,Heron!$A15)</f>
        <v>0</v>
      </c>
      <c r="G15" s="99">
        <f>-SUMIFS(Xero!$F:$F,Xero!$B:$B,Heron!G$9,Xero!$A:$A,Heron!$A$4,Xero!$E:$E,Heron!$A15)-SUMIFS(Xero!$F:$F,Xero!$B:$B,Heron!G$9,Xero!$A:$A,Heron!$A$5,Xero!$E:$E,Heron!$A15)</f>
        <v>1245</v>
      </c>
      <c r="H15" s="99">
        <f>-SUMIFS(Xero!$F:$F,Xero!$B:$B,Heron!H$9,Xero!$A:$A,Heron!$A$4,Xero!$E:$E,Heron!$A15)-SUMIFS(Xero!$F:$F,Xero!$B:$B,Heron!H$9,Xero!$A:$A,Heron!$A$5,Xero!$E:$E,Heron!$A15)</f>
        <v>0</v>
      </c>
      <c r="I15" s="99">
        <f>-SUMIFS(Xero!$F:$F,Xero!$B:$B,Heron!I$9,Xero!$A:$A,Heron!$A$4,Xero!$E:$E,Heron!$A15)-SUMIFS(Xero!$F:$F,Xero!$B:$B,Heron!I$9,Xero!$A:$A,Heron!$A$5,Xero!$E:$E,Heron!$A15)</f>
        <v>0</v>
      </c>
      <c r="J15" s="99">
        <f>-SUMIFS(Xero!$F:$F,Xero!$B:$B,Heron!J$9,Xero!$A:$A,Heron!$A$4,Xero!$E:$E,Heron!$A15)-SUMIFS(Xero!$F:$F,Xero!$B:$B,Heron!J$9,Xero!$A:$A,Heron!$A$5,Xero!$E:$E,Heron!$A15)</f>
        <v>0</v>
      </c>
      <c r="K15" s="99">
        <f>-SUMIFS(Xero!$F:$F,Xero!$B:$B,Heron!K$9,Xero!$A:$A,Heron!$A$4,Xero!$E:$E,Heron!$A15)-SUMIFS(Xero!$F:$F,Xero!$B:$B,Heron!K$9,Xero!$A:$A,Heron!$A$5,Xero!$E:$E,Heron!$A15)</f>
        <v>0</v>
      </c>
      <c r="L15" s="99">
        <f>-SUMIFS(Xero!$F:$F,Xero!$B:$B,Heron!L$9,Xero!$A:$A,Heron!$A$4,Xero!$E:$E,Heron!$A15)-SUMIFS(Xero!$F:$F,Xero!$B:$B,Heron!L$9,Xero!$A:$A,Heron!$A$5,Xero!$E:$E,Heron!$A15)</f>
        <v>0</v>
      </c>
      <c r="M15" s="99">
        <f>-SUMIFS(Xero!$F:$F,Xero!$B:$B,Heron!M$9,Xero!$A:$A,Heron!$A$4,Xero!$E:$E,Heron!$A15)-SUMIFS(Xero!$F:$F,Xero!$B:$B,Heron!M$9,Xero!$A:$A,Heron!$A$5,Xero!$E:$E,Heron!$A15)</f>
        <v>0</v>
      </c>
      <c r="N15" s="99">
        <f>-SUMIFS(Xero!$F:$F,Xero!$B:$B,Heron!N$9,Xero!$A:$A,Heron!$A$4,Xero!$E:$E,Heron!$A15)-SUMIFS(Xero!$F:$F,Xero!$B:$B,Heron!N$9,Xero!$A:$A,Heron!$A$5,Xero!$E:$E,Heron!$A15)</f>
        <v>0</v>
      </c>
      <c r="O15" s="99">
        <f>-SUMIFS(Xero!$F:$F,Xero!$B:$B,Heron!O$9,Xero!$A:$A,Heron!$A$4,Xero!$E:$E,Heron!$A15)-SUMIFS(Xero!$F:$F,Xero!$B:$B,Heron!O$9,Xero!$A:$A,Heron!$A$5,Xero!$E:$E,Heron!$A15)</f>
        <v>0</v>
      </c>
      <c r="P15" s="99">
        <f>-SUMIFS(Xero!$F:$F,Xero!$B:$B,Heron!P$9,Xero!$A:$A,Heron!$A$4,Xero!$E:$E,Heron!$A15)-SUMIFS(Xero!$F:$F,Xero!$B:$B,Heron!P$9,Xero!$A:$A,Heron!$A$5,Xero!$E:$E,Heron!$A15)</f>
        <v>0</v>
      </c>
      <c r="Q15" s="99">
        <f>-SUMIFS(Xero!$F:$F,Xero!$B:$B,Heron!Q$9,Xero!$A:$A,Heron!$A$4,Xero!$E:$E,Heron!$A15)-SUMIFS(Xero!$F:$F,Xero!$B:$B,Heron!Q$9,Xero!$A:$A,Heron!$A$5,Xero!$E:$E,Heron!$A15)</f>
        <v>0</v>
      </c>
      <c r="R15" s="99">
        <f>-SUMIFS(Xero!$F:$F,Xero!$B:$B,Heron!R$9,Xero!$A:$A,Heron!$A$4,Xero!$E:$E,Heron!$A15)-SUMIFS(Xero!$F:$F,Xero!$B:$B,Heron!R$9,Xero!$A:$A,Heron!$A$5,Xero!$E:$E,Heron!$A15)</f>
        <v>0</v>
      </c>
      <c r="S15" s="99">
        <f>-SUMIFS(Xero!$F:$F,Xero!$B:$B,Heron!S$9,Xero!$A:$A,Heron!$A$4,Xero!$E:$E,Heron!$A15)-SUMIFS(Xero!$F:$F,Xero!$B:$B,Heron!S$9,Xero!$A:$A,Heron!$A$5,Xero!$E:$E,Heron!$A15)</f>
        <v>0</v>
      </c>
      <c r="T15" s="99">
        <f>-SUMIFS(Xero!$F:$F,Xero!$B:$B,Heron!T$9,Xero!$A:$A,Heron!$A$4,Xero!$E:$E,Heron!$A15)-SUMIFS(Xero!$F:$F,Xero!$B:$B,Heron!T$9,Xero!$A:$A,Heron!$A$5,Xero!$E:$E,Heron!$A15)</f>
        <v>0</v>
      </c>
      <c r="U15" s="99">
        <f>-SUMIFS(Xero!$F:$F,Xero!$B:$B,Heron!U$9,Xero!$A:$A,Heron!$A$4,Xero!$E:$E,Heron!$A15)-SUMIFS(Xero!$F:$F,Xero!$B:$B,Heron!U$9,Xero!$A:$A,Heron!$A$5,Xero!$E:$E,Heron!$A15)</f>
        <v>0</v>
      </c>
      <c r="V15" s="99">
        <f>-SUMIFS(Xero!$F:$F,Xero!$B:$B,Heron!V$9,Xero!$A:$A,Heron!$A$4,Xero!$E:$E,Heron!$A15)-SUMIFS(Xero!$F:$F,Xero!$B:$B,Heron!V$9,Xero!$A:$A,Heron!$A$5,Xero!$E:$E,Heron!$A15)</f>
        <v>0</v>
      </c>
      <c r="W15" s="99">
        <f>-SUMIFS(Xero!$F:$F,Xero!$B:$B,Heron!W$9,Xero!$A:$A,Heron!$A$4,Xero!$E:$E,Heron!$A15)-SUMIFS(Xero!$F:$F,Xero!$B:$B,Heron!W$9,Xero!$A:$A,Heron!$A$5,Xero!$E:$E,Heron!$A15)</f>
        <v>0</v>
      </c>
      <c r="X15" s="99">
        <f>-SUMIFS(Xero!$F:$F,Xero!$B:$B,Heron!X$9,Xero!$A:$A,Heron!$A$4,Xero!$E:$E,Heron!$A15)-SUMIFS(Xero!$F:$F,Xero!$B:$B,Heron!X$9,Xero!$A:$A,Heron!$A$5,Xero!$E:$E,Heron!$A15)</f>
        <v>0</v>
      </c>
      <c r="Y15" s="99">
        <f>-SUMIFS(Xero!$F:$F,Xero!$B:$B,Heron!Y$9,Xero!$A:$A,Heron!$A$4,Xero!$E:$E,Heron!$A15)-SUMIFS(Xero!$F:$F,Xero!$B:$B,Heron!Y$9,Xero!$A:$A,Heron!$A$5,Xero!$E:$E,Heron!$A15)</f>
        <v>0</v>
      </c>
      <c r="Z15" s="99">
        <f>-SUMIFS(Xero!$F:$F,Xero!$B:$B,Heron!Z$9,Xero!$A:$A,Heron!$A$4,Xero!$E:$E,Heron!$A15)-SUMIFS(Xero!$F:$F,Xero!$B:$B,Heron!Z$9,Xero!$A:$A,Heron!$A$5,Xero!$E:$E,Heron!$A15)</f>
        <v>0</v>
      </c>
      <c r="AA15" s="99">
        <f>-SUMIFS(Xero!$F:$F,Xero!$B:$B,Heron!AA$9,Xero!$A:$A,Heron!$A$4,Xero!$E:$E,Heron!$A15)-SUMIFS(Xero!$F:$F,Xero!$B:$B,Heron!AA$9,Xero!$A:$A,Heron!$A$5,Xero!$E:$E,Heron!$A15)</f>
        <v>0</v>
      </c>
      <c r="AB15" s="99">
        <f>-SUMIFS(Xero!$F:$F,Xero!$B:$B,Heron!AB$9,Xero!$A:$A,Heron!$A$4,Xero!$E:$E,Heron!$A15)-SUMIFS(Xero!$F:$F,Xero!$B:$B,Heron!AB$9,Xero!$A:$A,Heron!$A$5,Xero!$E:$E,Heron!$A15)</f>
        <v>0</v>
      </c>
      <c r="AC15" s="99">
        <f>-SUMIFS(Xero!$F:$F,Xero!$B:$B,Heron!AC$9,Xero!$A:$A,Heron!$A$4,Xero!$E:$E,Heron!$A15)-SUMIFS(Xero!$F:$F,Xero!$B:$B,Heron!AC$9,Xero!$A:$A,Heron!$A$5,Xero!$E:$E,Heron!$A15)</f>
        <v>0</v>
      </c>
      <c r="AD15" s="99">
        <f>-SUMIFS(Xero!$F:$F,Xero!$B:$B,Heron!AD$9,Xero!$A:$A,Heron!$A$4,Xero!$E:$E,Heron!$A15)-SUMIFS(Xero!$F:$F,Xero!$B:$B,Heron!AD$9,Xero!$A:$A,Heron!$A$5,Xero!$E:$E,Heron!$A15)</f>
        <v>0</v>
      </c>
      <c r="AE15" s="99">
        <f>-SUMIFS(Xero!$F:$F,Xero!$B:$B,Heron!AE$9,Xero!$A:$A,Heron!$A$4,Xero!$E:$E,Heron!$A15)-SUMIFS(Xero!$F:$F,Xero!$B:$B,Heron!AE$9,Xero!$A:$A,Heron!$A$5,Xero!$E:$E,Heron!$A15)</f>
        <v>0</v>
      </c>
      <c r="AF15" s="99">
        <f>-SUMIFS(Xero!$F:$F,Xero!$B:$B,Heron!AF$9,Xero!$A:$A,Heron!$A$4,Xero!$E:$E,Heron!$A15)-SUMIFS(Xero!$F:$F,Xero!$B:$B,Heron!AF$9,Xero!$A:$A,Heron!$A$5,Xero!$E:$E,Heron!$A15)</f>
        <v>0</v>
      </c>
      <c r="AG15" s="99">
        <f>-SUMIFS(Xero!$F:$F,Xero!$B:$B,Heron!AG$9,Xero!$A:$A,Heron!$A$4,Xero!$E:$E,Heron!$A15)-SUMIFS(Xero!$F:$F,Xero!$B:$B,Heron!AG$9,Xero!$A:$A,Heron!$A$5,Xero!$E:$E,Heron!$A15)</f>
        <v>0</v>
      </c>
      <c r="AH15" s="99">
        <f>-SUMIFS(Xero!$F:$F,Xero!$B:$B,Heron!AH$9,Xero!$A:$A,Heron!$A$4,Xero!$E:$E,Heron!$A15)-SUMIFS(Xero!$F:$F,Xero!$B:$B,Heron!AH$9,Xero!$A:$A,Heron!$A$5,Xero!$E:$E,Heron!$A15)</f>
        <v>0</v>
      </c>
      <c r="AI15" s="99">
        <f>-SUMIFS(Xero!$F:$F,Xero!$B:$B,Heron!AI$9,Xero!$A:$A,Heron!$A$4,Xero!$E:$E,Heron!$A15)-SUMIFS(Xero!$F:$F,Xero!$B:$B,Heron!AI$9,Xero!$A:$A,Heron!$A$5,Xero!$E:$E,Heron!$A15)</f>
        <v>0</v>
      </c>
      <c r="AJ15" s="99">
        <f>-SUMIFS(Xero!$F:$F,Xero!$B:$B,Heron!AJ$9,Xero!$A:$A,Heron!$A$4,Xero!$E:$E,Heron!$A15)-SUMIFS(Xero!$F:$F,Xero!$B:$B,Heron!AJ$9,Xero!$A:$A,Heron!$A$5,Xero!$E:$E,Heron!$A15)</f>
        <v>0</v>
      </c>
      <c r="AK15" s="99">
        <f>-SUMIFS(Xero!$F:$F,Xero!$B:$B,Heron!AK$9,Xero!$A:$A,Heron!$A$4,Xero!$E:$E,Heron!$A15)-SUMIFS(Xero!$F:$F,Xero!$B:$B,Heron!AK$9,Xero!$A:$A,Heron!$A$5,Xero!$E:$E,Heron!$A15)</f>
        <v>0</v>
      </c>
      <c r="AL15" s="99">
        <f>-SUMIFS(Xero!$F:$F,Xero!$B:$B,Heron!AL$9,Xero!$A:$A,Heron!$A$4,Xero!$E:$E,Heron!$A15)-SUMIFS(Xero!$F:$F,Xero!$B:$B,Heron!AL$9,Xero!$A:$A,Heron!$A$5,Xero!$E:$E,Heron!$A15)</f>
        <v>0</v>
      </c>
      <c r="AM15" s="99">
        <f>-SUMIFS(Xero!$F:$F,Xero!$B:$B,Heron!AM$9,Xero!$A:$A,Heron!$A$4,Xero!$E:$E,Heron!$A15)-SUMIFS(Xero!$F:$F,Xero!$B:$B,Heron!AM$9,Xero!$A:$A,Heron!$A$5,Xero!$E:$E,Heron!$A15)</f>
        <v>0</v>
      </c>
      <c r="AN15" s="99">
        <f>-SUMIFS(Xero!$F:$F,Xero!$B:$B,Heron!AN$9,Xero!$A:$A,Heron!$A$4,Xero!$E:$E,Heron!$A15)-SUMIFS(Xero!$F:$F,Xero!$B:$B,Heron!AN$9,Xero!$A:$A,Heron!$A$5,Xero!$E:$E,Heron!$A15)</f>
        <v>0</v>
      </c>
      <c r="AO15" s="99">
        <f>-SUMIFS(Xero!$F:$F,Xero!$B:$B,Heron!AO$9,Xero!$A:$A,Heron!$A$4,Xero!$E:$E,Heron!$A15)-SUMIFS(Xero!$F:$F,Xero!$B:$B,Heron!AO$9,Xero!$A:$A,Heron!$A$5,Xero!$E:$E,Heron!$A15)</f>
        <v>0</v>
      </c>
      <c r="AP15" s="99">
        <f>-SUMIFS(Xero!$F:$F,Xero!$B:$B,Heron!AP$9,Xero!$A:$A,Heron!$A$4,Xero!$E:$E,Heron!$A15)-SUMIFS(Xero!$F:$F,Xero!$B:$B,Heron!AP$9,Xero!$A:$A,Heron!$A$5,Xero!$E:$E,Heron!$A15)</f>
        <v>0</v>
      </c>
      <c r="AQ15" s="99">
        <f>-SUMIFS(Xero!$F:$F,Xero!$B:$B,Heron!AQ$9,Xero!$A:$A,Heron!$A$4,Xero!$E:$E,Heron!$A15)-SUMIFS(Xero!$F:$F,Xero!$B:$B,Heron!AQ$9,Xero!$A:$A,Heron!$A$5,Xero!$E:$E,Heron!$A15)</f>
        <v>0</v>
      </c>
      <c r="AR15" s="99">
        <f>-SUMIFS(Xero!$F:$F,Xero!$B:$B,Heron!AR$9,Xero!$A:$A,Heron!$A$4,Xero!$E:$E,Heron!$A15)-SUMIFS(Xero!$F:$F,Xero!$B:$B,Heron!AR$9,Xero!$A:$A,Heron!$A$5,Xero!$E:$E,Heron!$A15)</f>
        <v>0</v>
      </c>
      <c r="AS15" s="99">
        <f>-SUMIFS(Xero!$F:$F,Xero!$B:$B,Heron!AS$9,Xero!$A:$A,Heron!$A$4,Xero!$E:$E,Heron!$A15)-SUMIFS(Xero!$F:$F,Xero!$B:$B,Heron!AS$9,Xero!$A:$A,Heron!$A$5,Xero!$E:$E,Heron!$A15)</f>
        <v>0</v>
      </c>
      <c r="AT15" s="99">
        <f>-SUMIFS(Xero!$F:$F,Xero!$B:$B,Heron!AT$9,Xero!$A:$A,Heron!$A$4,Xero!$E:$E,Heron!$A15)-SUMIFS(Xero!$F:$F,Xero!$B:$B,Heron!AT$9,Xero!$A:$A,Heron!$A$5,Xero!$E:$E,Heron!$A15)</f>
        <v>0</v>
      </c>
      <c r="AU15" s="99">
        <f>-SUMIFS(Xero!$F:$F,Xero!$B:$B,Heron!AU$9,Xero!$A:$A,Heron!$A$4,Xero!$E:$E,Heron!$A15)-SUMIFS(Xero!$F:$F,Xero!$B:$B,Heron!AU$9,Xero!$A:$A,Heron!$A$5,Xero!$E:$E,Heron!$A15)</f>
        <v>0</v>
      </c>
      <c r="AV15" s="99">
        <f>-SUMIFS(Xero!$F:$F,Xero!$B:$B,Heron!AV$9,Xero!$A:$A,Heron!$A$4,Xero!$E:$E,Heron!$A15)-SUMIFS(Xero!$F:$F,Xero!$B:$B,Heron!AV$9,Xero!$A:$A,Heron!$A$5,Xero!$E:$E,Heron!$A15)</f>
        <v>0</v>
      </c>
      <c r="AW15" s="99">
        <f>-SUMIFS(Xero!$F:$F,Xero!$B:$B,Heron!AW$9,Xero!$A:$A,Heron!$A$4,Xero!$E:$E,Heron!$A15)-SUMIFS(Xero!$F:$F,Xero!$B:$B,Heron!AW$9,Xero!$A:$A,Heron!$A$5,Xero!$E:$E,Heron!$A15)</f>
        <v>0</v>
      </c>
      <c r="AX15" s="99">
        <f>-SUMIFS(Xero!$F:$F,Xero!$B:$B,Heron!AX$9,Xero!$A:$A,Heron!$A$4,Xero!$E:$E,Heron!$A15)-SUMIFS(Xero!$F:$F,Xero!$B:$B,Heron!AX$9,Xero!$A:$A,Heron!$A$5,Xero!$E:$E,Heron!$A15)</f>
        <v>0</v>
      </c>
      <c r="AY15" s="99">
        <f>-SUMIFS(Xero!$F:$F,Xero!$B:$B,Heron!AY$9,Xero!$A:$A,Heron!$A$4,Xero!$E:$E,Heron!$A15)-SUMIFS(Xero!$F:$F,Xero!$B:$B,Heron!AY$9,Xero!$A:$A,Heron!$A$5,Xero!$E:$E,Heron!$A15)</f>
        <v>0</v>
      </c>
      <c r="AZ15" s="99">
        <f>-SUMIFS(Xero!$F:$F,Xero!$B:$B,Heron!AZ$9,Xero!$A:$A,Heron!$A$4,Xero!$E:$E,Heron!$A15)-SUMIFS(Xero!$F:$F,Xero!$B:$B,Heron!AZ$9,Xero!$A:$A,Heron!$A$5,Xero!$E:$E,Heron!$A15)</f>
        <v>0</v>
      </c>
      <c r="BA15" s="99">
        <f>-SUMIFS(Xero!$F:$F,Xero!$B:$B,Heron!BA$9,Xero!$A:$A,Heron!$A$4,Xero!$E:$E,Heron!$A15)-SUMIFS(Xero!$F:$F,Xero!$B:$B,Heron!BA$9,Xero!$A:$A,Heron!$A$5,Xero!$E:$E,Heron!$A15)</f>
        <v>0</v>
      </c>
      <c r="BB15" s="99">
        <f>-SUMIFS(Xero!$F:$F,Xero!$B:$B,Heron!BB$9,Xero!$A:$A,Heron!$A$4,Xero!$E:$E,Heron!$A15)-SUMIFS(Xero!$F:$F,Xero!$B:$B,Heron!BB$9,Xero!$A:$A,Heron!$A$5,Xero!$E:$E,Heron!$A15)</f>
        <v>0</v>
      </c>
      <c r="BC15" s="99">
        <f>-SUMIFS(Xero!$F:$F,Xero!$B:$B,Heron!BC$9,Xero!$A:$A,Heron!$A$4,Xero!$E:$E,Heron!$A15)-SUMIFS(Xero!$F:$F,Xero!$B:$B,Heron!BC$9,Xero!$A:$A,Heron!$A$5,Xero!$E:$E,Heron!$A15)</f>
        <v>0</v>
      </c>
      <c r="BD15" s="99">
        <f>-SUMIFS(Xero!$F:$F,Xero!$B:$B,Heron!BD$9,Xero!$A:$A,Heron!$A$4,Xero!$E:$E,Heron!$A15)-SUMIFS(Xero!$F:$F,Xero!$B:$B,Heron!BD$9,Xero!$A:$A,Heron!$A$5,Xero!$E:$E,Heron!$A15)</f>
        <v>0</v>
      </c>
      <c r="BE15" s="99">
        <f>-SUMIFS(Xero!$F:$F,Xero!$B:$B,Heron!BE$9,Xero!$A:$A,Heron!$A$4,Xero!$E:$E,Heron!$A15)-SUMIFS(Xero!$F:$F,Xero!$B:$B,Heron!BE$9,Xero!$A:$A,Heron!$A$5,Xero!$E:$E,Heron!$A15)</f>
        <v>0</v>
      </c>
      <c r="BF15" s="99">
        <f>-SUMIFS(Xero!$F:$F,Xero!$B:$B,Heron!BF$9,Xero!$A:$A,Heron!$A$4,Xero!$E:$E,Heron!$A15)-SUMIFS(Xero!$F:$F,Xero!$B:$B,Heron!BF$9,Xero!$A:$A,Heron!$A$5,Xero!$E:$E,Heron!$A15)</f>
        <v>0</v>
      </c>
      <c r="BG15" s="99">
        <f>-SUMIFS(Xero!$F:$F,Xero!$B:$B,Heron!BG$9,Xero!$A:$A,Heron!$A$4,Xero!$E:$E,Heron!$A15)-SUMIFS(Xero!$F:$F,Xero!$B:$B,Heron!BG$9,Xero!$A:$A,Heron!$A$5,Xero!$E:$E,Heron!$A15)</f>
        <v>0</v>
      </c>
      <c r="BH15" s="99">
        <f>-SUMIFS(Xero!$F:$F,Xero!$B:$B,Heron!BH$9,Xero!$A:$A,Heron!$A$4,Xero!$E:$E,Heron!$A15)-SUMIFS(Xero!$F:$F,Xero!$B:$B,Heron!BH$9,Xero!$A:$A,Heron!$A$5,Xero!$E:$E,Heron!$A15)</f>
        <v>0</v>
      </c>
      <c r="BI15" s="99">
        <f>-SUMIFS(Xero!$F:$F,Xero!$B:$B,Heron!BI$9,Xero!$A:$A,Heron!$A$4,Xero!$E:$E,Heron!$A15)-SUMIFS(Xero!$F:$F,Xero!$B:$B,Heron!BI$9,Xero!$A:$A,Heron!$A$5,Xero!$E:$E,Heron!$A15)</f>
        <v>0</v>
      </c>
      <c r="BJ15" s="99">
        <f>-SUMIFS(Xero!$F:$F,Xero!$B:$B,Heron!BJ$9,Xero!$A:$A,Heron!$A$4,Xero!$E:$E,Heron!$A15)-SUMIFS(Xero!$F:$F,Xero!$B:$B,Heron!BJ$9,Xero!$A:$A,Heron!$A$5,Xero!$E:$E,Heron!$A15)</f>
        <v>0</v>
      </c>
      <c r="BK15" s="99">
        <f t="shared" si="1"/>
        <v>1245</v>
      </c>
    </row>
    <row r="16" spans="1:64" ht="16" x14ac:dyDescent="0.2">
      <c r="A16" s="98" t="s">
        <v>1745</v>
      </c>
      <c r="D16" s="99">
        <f>-SUMIFS(Xero!$F:$F,Xero!$B:$B,Heron!D$9,Xero!$A:$A,Heron!$A$4,Xero!$E:$E,Heron!$A16)-SUMIFS(Xero!$F:$F,Xero!$B:$B,Heron!D$9,Xero!$A:$A,Heron!$A$5,Xero!$E:$E,Heron!$A16)</f>
        <v>0</v>
      </c>
      <c r="E16" s="99">
        <f>-SUMIFS(Xero!$F:$F,Xero!$B:$B,Heron!E$9,Xero!$A:$A,Heron!$A$4,Xero!$E:$E,Heron!$A16)-SUMIFS(Xero!$F:$F,Xero!$B:$B,Heron!E$9,Xero!$A:$A,Heron!$A$5,Xero!$E:$E,Heron!$A16)</f>
        <v>0</v>
      </c>
      <c r="F16" s="99">
        <f>-SUMIFS(Xero!$F:$F,Xero!$B:$B,Heron!F$9,Xero!$A:$A,Heron!$A$4,Xero!$E:$E,Heron!$A16)-SUMIFS(Xero!$F:$F,Xero!$B:$B,Heron!F$9,Xero!$A:$A,Heron!$A$5,Xero!$E:$E,Heron!$A16)</f>
        <v>0</v>
      </c>
      <c r="G16" s="99">
        <f>-SUMIFS(Xero!$F:$F,Xero!$B:$B,Heron!G$9,Xero!$A:$A,Heron!$A$4,Xero!$E:$E,Heron!$A16)-SUMIFS(Xero!$F:$F,Xero!$B:$B,Heron!G$9,Xero!$A:$A,Heron!$A$5,Xero!$E:$E,Heron!$A16)</f>
        <v>0</v>
      </c>
      <c r="H16" s="99">
        <f>-SUMIFS(Xero!$F:$F,Xero!$B:$B,Heron!H$9,Xero!$A:$A,Heron!$A$4,Xero!$E:$E,Heron!$A16)-SUMIFS(Xero!$F:$F,Xero!$B:$B,Heron!H$9,Xero!$A:$A,Heron!$A$5,Xero!$E:$E,Heron!$A16)</f>
        <v>0</v>
      </c>
      <c r="I16" s="99">
        <f>-SUMIFS(Xero!$F:$F,Xero!$B:$B,Heron!I$9,Xero!$A:$A,Heron!$A$4,Xero!$E:$E,Heron!$A16)-SUMIFS(Xero!$F:$F,Xero!$B:$B,Heron!I$9,Xero!$A:$A,Heron!$A$5,Xero!$E:$E,Heron!$A16)</f>
        <v>0</v>
      </c>
      <c r="J16" s="99">
        <f>-SUMIFS(Xero!$F:$F,Xero!$B:$B,Heron!J$9,Xero!$A:$A,Heron!$A$4,Xero!$E:$E,Heron!$A16)-SUMIFS(Xero!$F:$F,Xero!$B:$B,Heron!J$9,Xero!$A:$A,Heron!$A$5,Xero!$E:$E,Heron!$A16)</f>
        <v>0</v>
      </c>
      <c r="K16" s="99">
        <f>-SUMIFS(Xero!$F:$F,Xero!$B:$B,Heron!K$9,Xero!$A:$A,Heron!$A$4,Xero!$E:$E,Heron!$A16)-SUMIFS(Xero!$F:$F,Xero!$B:$B,Heron!K$9,Xero!$A:$A,Heron!$A$5,Xero!$E:$E,Heron!$A16)</f>
        <v>0</v>
      </c>
      <c r="L16" s="99">
        <f>-SUMIFS(Xero!$F:$F,Xero!$B:$B,Heron!L$9,Xero!$A:$A,Heron!$A$4,Xero!$E:$E,Heron!$A16)-SUMIFS(Xero!$F:$F,Xero!$B:$B,Heron!L$9,Xero!$A:$A,Heron!$A$5,Xero!$E:$E,Heron!$A16)</f>
        <v>0</v>
      </c>
      <c r="M16" s="99">
        <f>-SUMIFS(Xero!$F:$F,Xero!$B:$B,Heron!M$9,Xero!$A:$A,Heron!$A$4,Xero!$E:$E,Heron!$A16)-SUMIFS(Xero!$F:$F,Xero!$B:$B,Heron!M$9,Xero!$A:$A,Heron!$A$5,Xero!$E:$E,Heron!$A16)</f>
        <v>0</v>
      </c>
      <c r="N16" s="99">
        <f>-SUMIFS(Xero!$F:$F,Xero!$B:$B,Heron!N$9,Xero!$A:$A,Heron!$A$4,Xero!$E:$E,Heron!$A16)-SUMIFS(Xero!$F:$F,Xero!$B:$B,Heron!N$9,Xero!$A:$A,Heron!$A$5,Xero!$E:$E,Heron!$A16)</f>
        <v>0</v>
      </c>
      <c r="O16" s="99">
        <f>-SUMIFS(Xero!$F:$F,Xero!$B:$B,Heron!O$9,Xero!$A:$A,Heron!$A$4,Xero!$E:$E,Heron!$A16)-SUMIFS(Xero!$F:$F,Xero!$B:$B,Heron!O$9,Xero!$A:$A,Heron!$A$5,Xero!$E:$E,Heron!$A16)</f>
        <v>0</v>
      </c>
      <c r="P16" s="99">
        <f>-SUMIFS(Xero!$F:$F,Xero!$B:$B,Heron!P$9,Xero!$A:$A,Heron!$A$4,Xero!$E:$E,Heron!$A16)-SUMIFS(Xero!$F:$F,Xero!$B:$B,Heron!P$9,Xero!$A:$A,Heron!$A$5,Xero!$E:$E,Heron!$A16)</f>
        <v>0</v>
      </c>
      <c r="Q16" s="99">
        <f>-SUMIFS(Xero!$F:$F,Xero!$B:$B,Heron!Q$9,Xero!$A:$A,Heron!$A$4,Xero!$E:$E,Heron!$A16)-SUMIFS(Xero!$F:$F,Xero!$B:$B,Heron!Q$9,Xero!$A:$A,Heron!$A$5,Xero!$E:$E,Heron!$A16)</f>
        <v>0</v>
      </c>
      <c r="R16" s="99">
        <f>-SUMIFS(Xero!$F:$F,Xero!$B:$B,Heron!R$9,Xero!$A:$A,Heron!$A$4,Xero!$E:$E,Heron!$A16)-SUMIFS(Xero!$F:$F,Xero!$B:$B,Heron!R$9,Xero!$A:$A,Heron!$A$5,Xero!$E:$E,Heron!$A16)</f>
        <v>0</v>
      </c>
      <c r="S16" s="99">
        <f>-SUMIFS(Xero!$F:$F,Xero!$B:$B,Heron!S$9,Xero!$A:$A,Heron!$A$4,Xero!$E:$E,Heron!$A16)-SUMIFS(Xero!$F:$F,Xero!$B:$B,Heron!S$9,Xero!$A:$A,Heron!$A$5,Xero!$E:$E,Heron!$A16)</f>
        <v>0</v>
      </c>
      <c r="T16" s="99">
        <f>-SUMIFS(Xero!$F:$F,Xero!$B:$B,Heron!T$9,Xero!$A:$A,Heron!$A$4,Xero!$E:$E,Heron!$A16)-SUMIFS(Xero!$F:$F,Xero!$B:$B,Heron!T$9,Xero!$A:$A,Heron!$A$5,Xero!$E:$E,Heron!$A16)</f>
        <v>0</v>
      </c>
      <c r="U16" s="99">
        <f>-SUMIFS(Xero!$F:$F,Xero!$B:$B,Heron!U$9,Xero!$A:$A,Heron!$A$4,Xero!$E:$E,Heron!$A16)-SUMIFS(Xero!$F:$F,Xero!$B:$B,Heron!U$9,Xero!$A:$A,Heron!$A$5,Xero!$E:$E,Heron!$A16)</f>
        <v>0</v>
      </c>
      <c r="V16" s="99">
        <f>-SUMIFS(Xero!$F:$F,Xero!$B:$B,Heron!V$9,Xero!$A:$A,Heron!$A$4,Xero!$E:$E,Heron!$A16)-SUMIFS(Xero!$F:$F,Xero!$B:$B,Heron!V$9,Xero!$A:$A,Heron!$A$5,Xero!$E:$E,Heron!$A16)</f>
        <v>0</v>
      </c>
      <c r="W16" s="99">
        <f>-SUMIFS(Xero!$F:$F,Xero!$B:$B,Heron!W$9,Xero!$A:$A,Heron!$A$4,Xero!$E:$E,Heron!$A16)-SUMIFS(Xero!$F:$F,Xero!$B:$B,Heron!W$9,Xero!$A:$A,Heron!$A$5,Xero!$E:$E,Heron!$A16)</f>
        <v>0</v>
      </c>
      <c r="X16" s="99">
        <f>-SUMIFS(Xero!$F:$F,Xero!$B:$B,Heron!X$9,Xero!$A:$A,Heron!$A$4,Xero!$E:$E,Heron!$A16)-SUMIFS(Xero!$F:$F,Xero!$B:$B,Heron!X$9,Xero!$A:$A,Heron!$A$5,Xero!$E:$E,Heron!$A16)</f>
        <v>0</v>
      </c>
      <c r="Y16" s="99">
        <f>-SUMIFS(Xero!$F:$F,Xero!$B:$B,Heron!Y$9,Xero!$A:$A,Heron!$A$4,Xero!$E:$E,Heron!$A16)-SUMIFS(Xero!$F:$F,Xero!$B:$B,Heron!Y$9,Xero!$A:$A,Heron!$A$5,Xero!$E:$E,Heron!$A16)</f>
        <v>0</v>
      </c>
      <c r="Z16" s="99">
        <f>-SUMIFS(Xero!$F:$F,Xero!$B:$B,Heron!Z$9,Xero!$A:$A,Heron!$A$4,Xero!$E:$E,Heron!$A16)-SUMIFS(Xero!$F:$F,Xero!$B:$B,Heron!Z$9,Xero!$A:$A,Heron!$A$5,Xero!$E:$E,Heron!$A16)</f>
        <v>0</v>
      </c>
      <c r="AA16" s="99">
        <f>-SUMIFS(Xero!$F:$F,Xero!$B:$B,Heron!AA$9,Xero!$A:$A,Heron!$A$4,Xero!$E:$E,Heron!$A16)-SUMIFS(Xero!$F:$F,Xero!$B:$B,Heron!AA$9,Xero!$A:$A,Heron!$A$5,Xero!$E:$E,Heron!$A16)</f>
        <v>0</v>
      </c>
      <c r="AB16" s="99">
        <f>-SUMIFS(Xero!$F:$F,Xero!$B:$B,Heron!AB$9,Xero!$A:$A,Heron!$A$4,Xero!$E:$E,Heron!$A16)-SUMIFS(Xero!$F:$F,Xero!$B:$B,Heron!AB$9,Xero!$A:$A,Heron!$A$5,Xero!$E:$E,Heron!$A16)</f>
        <v>0</v>
      </c>
      <c r="AC16" s="99">
        <f>-SUMIFS(Xero!$F:$F,Xero!$B:$B,Heron!AC$9,Xero!$A:$A,Heron!$A$4,Xero!$E:$E,Heron!$A16)-SUMIFS(Xero!$F:$F,Xero!$B:$B,Heron!AC$9,Xero!$A:$A,Heron!$A$5,Xero!$E:$E,Heron!$A16)</f>
        <v>0</v>
      </c>
      <c r="AD16" s="99">
        <f>-SUMIFS(Xero!$F:$F,Xero!$B:$B,Heron!AD$9,Xero!$A:$A,Heron!$A$4,Xero!$E:$E,Heron!$A16)-SUMIFS(Xero!$F:$F,Xero!$B:$B,Heron!AD$9,Xero!$A:$A,Heron!$A$5,Xero!$E:$E,Heron!$A16)</f>
        <v>0</v>
      </c>
      <c r="AE16" s="99">
        <f>-SUMIFS(Xero!$F:$F,Xero!$B:$B,Heron!AE$9,Xero!$A:$A,Heron!$A$4,Xero!$E:$E,Heron!$A16)-SUMIFS(Xero!$F:$F,Xero!$B:$B,Heron!AE$9,Xero!$A:$A,Heron!$A$5,Xero!$E:$E,Heron!$A16)</f>
        <v>0</v>
      </c>
      <c r="AF16" s="99">
        <f>-SUMIFS(Xero!$F:$F,Xero!$B:$B,Heron!AF$9,Xero!$A:$A,Heron!$A$4,Xero!$E:$E,Heron!$A16)-SUMIFS(Xero!$F:$F,Xero!$B:$B,Heron!AF$9,Xero!$A:$A,Heron!$A$5,Xero!$E:$E,Heron!$A16)</f>
        <v>0</v>
      </c>
      <c r="AG16" s="99">
        <f>-SUMIFS(Xero!$F:$F,Xero!$B:$B,Heron!AG$9,Xero!$A:$A,Heron!$A$4,Xero!$E:$E,Heron!$A16)-SUMIFS(Xero!$F:$F,Xero!$B:$B,Heron!AG$9,Xero!$A:$A,Heron!$A$5,Xero!$E:$E,Heron!$A16)</f>
        <v>0</v>
      </c>
      <c r="AH16" s="99">
        <f>-SUMIFS(Xero!$F:$F,Xero!$B:$B,Heron!AH$9,Xero!$A:$A,Heron!$A$4,Xero!$E:$E,Heron!$A16)-SUMIFS(Xero!$F:$F,Xero!$B:$B,Heron!AH$9,Xero!$A:$A,Heron!$A$5,Xero!$E:$E,Heron!$A16)</f>
        <v>0</v>
      </c>
      <c r="AI16" s="99">
        <f>-SUMIFS(Xero!$F:$F,Xero!$B:$B,Heron!AI$9,Xero!$A:$A,Heron!$A$4,Xero!$E:$E,Heron!$A16)-SUMIFS(Xero!$F:$F,Xero!$B:$B,Heron!AI$9,Xero!$A:$A,Heron!$A$5,Xero!$E:$E,Heron!$A16)</f>
        <v>0</v>
      </c>
      <c r="AJ16" s="99">
        <f>-SUMIFS(Xero!$F:$F,Xero!$B:$B,Heron!AJ$9,Xero!$A:$A,Heron!$A$4,Xero!$E:$E,Heron!$A16)-SUMIFS(Xero!$F:$F,Xero!$B:$B,Heron!AJ$9,Xero!$A:$A,Heron!$A$5,Xero!$E:$E,Heron!$A16)</f>
        <v>0</v>
      </c>
      <c r="AK16" s="99">
        <f>-SUMIFS(Xero!$F:$F,Xero!$B:$B,Heron!AK$9,Xero!$A:$A,Heron!$A$4,Xero!$E:$E,Heron!$A16)-SUMIFS(Xero!$F:$F,Xero!$B:$B,Heron!AK$9,Xero!$A:$A,Heron!$A$5,Xero!$E:$E,Heron!$A16)</f>
        <v>4254.9799999999996</v>
      </c>
      <c r="AL16" s="99">
        <f>-SUMIFS(Xero!$F:$F,Xero!$B:$B,Heron!AL$9,Xero!$A:$A,Heron!$A$4,Xero!$E:$E,Heron!$A16)-SUMIFS(Xero!$F:$F,Xero!$B:$B,Heron!AL$9,Xero!$A:$A,Heron!$A$5,Xero!$E:$E,Heron!$A16)</f>
        <v>1291.18</v>
      </c>
      <c r="AM16" s="99">
        <f>-SUMIFS(Xero!$F:$F,Xero!$B:$B,Heron!AM$9,Xero!$A:$A,Heron!$A$4,Xero!$E:$E,Heron!$A16)-SUMIFS(Xero!$F:$F,Xero!$B:$B,Heron!AM$9,Xero!$A:$A,Heron!$A$5,Xero!$E:$E,Heron!$A16)</f>
        <v>0</v>
      </c>
      <c r="AN16" s="99">
        <f>-SUMIFS(Xero!$F:$F,Xero!$B:$B,Heron!AN$9,Xero!$A:$A,Heron!$A$4,Xero!$E:$E,Heron!$A16)-SUMIFS(Xero!$F:$F,Xero!$B:$B,Heron!AN$9,Xero!$A:$A,Heron!$A$5,Xero!$E:$E,Heron!$A16)</f>
        <v>0</v>
      </c>
      <c r="AO16" s="99">
        <f>-SUMIFS(Xero!$F:$F,Xero!$B:$B,Heron!AO$9,Xero!$A:$A,Heron!$A$4,Xero!$E:$E,Heron!$A16)-SUMIFS(Xero!$F:$F,Xero!$B:$B,Heron!AO$9,Xero!$A:$A,Heron!$A$5,Xero!$E:$E,Heron!$A16)</f>
        <v>0</v>
      </c>
      <c r="AP16" s="99">
        <f>-SUMIFS(Xero!$F:$F,Xero!$B:$B,Heron!AP$9,Xero!$A:$A,Heron!$A$4,Xero!$E:$E,Heron!$A16)-SUMIFS(Xero!$F:$F,Xero!$B:$B,Heron!AP$9,Xero!$A:$A,Heron!$A$5,Xero!$E:$E,Heron!$A16)</f>
        <v>0</v>
      </c>
      <c r="AQ16" s="99">
        <f>-SUMIFS(Xero!$F:$F,Xero!$B:$B,Heron!AQ$9,Xero!$A:$A,Heron!$A$4,Xero!$E:$E,Heron!$A16)-SUMIFS(Xero!$F:$F,Xero!$B:$B,Heron!AQ$9,Xero!$A:$A,Heron!$A$5,Xero!$E:$E,Heron!$A16)</f>
        <v>0</v>
      </c>
      <c r="AR16" s="99">
        <f>-SUMIFS(Xero!$F:$F,Xero!$B:$B,Heron!AR$9,Xero!$A:$A,Heron!$A$4,Xero!$E:$E,Heron!$A16)-SUMIFS(Xero!$F:$F,Xero!$B:$B,Heron!AR$9,Xero!$A:$A,Heron!$A$5,Xero!$E:$E,Heron!$A16)</f>
        <v>0</v>
      </c>
      <c r="AS16" s="99">
        <f>-SUMIFS(Xero!$F:$F,Xero!$B:$B,Heron!AS$9,Xero!$A:$A,Heron!$A$4,Xero!$E:$E,Heron!$A16)-SUMIFS(Xero!$F:$F,Xero!$B:$B,Heron!AS$9,Xero!$A:$A,Heron!$A$5,Xero!$E:$E,Heron!$A16)</f>
        <v>0</v>
      </c>
      <c r="AT16" s="99">
        <f>-SUMIFS(Xero!$F:$F,Xero!$B:$B,Heron!AT$9,Xero!$A:$A,Heron!$A$4,Xero!$E:$E,Heron!$A16)-SUMIFS(Xero!$F:$F,Xero!$B:$B,Heron!AT$9,Xero!$A:$A,Heron!$A$5,Xero!$E:$E,Heron!$A16)</f>
        <v>0</v>
      </c>
      <c r="AU16" s="99">
        <f>-SUMIFS(Xero!$F:$F,Xero!$B:$B,Heron!AU$9,Xero!$A:$A,Heron!$A$4,Xero!$E:$E,Heron!$A16)-SUMIFS(Xero!$F:$F,Xero!$B:$B,Heron!AU$9,Xero!$A:$A,Heron!$A$5,Xero!$E:$E,Heron!$A16)</f>
        <v>0</v>
      </c>
      <c r="AV16" s="99">
        <f>-SUMIFS(Xero!$F:$F,Xero!$B:$B,Heron!AV$9,Xero!$A:$A,Heron!$A$4,Xero!$E:$E,Heron!$A16)-SUMIFS(Xero!$F:$F,Xero!$B:$B,Heron!AV$9,Xero!$A:$A,Heron!$A$5,Xero!$E:$E,Heron!$A16)</f>
        <v>0</v>
      </c>
      <c r="AW16" s="99">
        <f>-SUMIFS(Xero!$F:$F,Xero!$B:$B,Heron!AW$9,Xero!$A:$A,Heron!$A$4,Xero!$E:$E,Heron!$A16)-SUMIFS(Xero!$F:$F,Xero!$B:$B,Heron!AW$9,Xero!$A:$A,Heron!$A$5,Xero!$E:$E,Heron!$A16)</f>
        <v>0</v>
      </c>
      <c r="AX16" s="99">
        <f>-SUMIFS(Xero!$F:$F,Xero!$B:$B,Heron!AX$9,Xero!$A:$A,Heron!$A$4,Xero!$E:$E,Heron!$A16)-SUMIFS(Xero!$F:$F,Xero!$B:$B,Heron!AX$9,Xero!$A:$A,Heron!$A$5,Xero!$E:$E,Heron!$A16)</f>
        <v>0</v>
      </c>
      <c r="AY16" s="99">
        <f>-SUMIFS(Xero!$F:$F,Xero!$B:$B,Heron!AY$9,Xero!$A:$A,Heron!$A$4,Xero!$E:$E,Heron!$A16)-SUMIFS(Xero!$F:$F,Xero!$B:$B,Heron!AY$9,Xero!$A:$A,Heron!$A$5,Xero!$E:$E,Heron!$A16)</f>
        <v>0</v>
      </c>
      <c r="AZ16" s="99">
        <f>-SUMIFS(Xero!$F:$F,Xero!$B:$B,Heron!AZ$9,Xero!$A:$A,Heron!$A$4,Xero!$E:$E,Heron!$A16)-SUMIFS(Xero!$F:$F,Xero!$B:$B,Heron!AZ$9,Xero!$A:$A,Heron!$A$5,Xero!$E:$E,Heron!$A16)</f>
        <v>0</v>
      </c>
      <c r="BA16" s="99">
        <f>-SUMIFS(Xero!$F:$F,Xero!$B:$B,Heron!BA$9,Xero!$A:$A,Heron!$A$4,Xero!$E:$E,Heron!$A16)-SUMIFS(Xero!$F:$F,Xero!$B:$B,Heron!BA$9,Xero!$A:$A,Heron!$A$5,Xero!$E:$E,Heron!$A16)</f>
        <v>0</v>
      </c>
      <c r="BB16" s="99">
        <f>-SUMIFS(Xero!$F:$F,Xero!$B:$B,Heron!BB$9,Xero!$A:$A,Heron!$A$4,Xero!$E:$E,Heron!$A16)-SUMIFS(Xero!$F:$F,Xero!$B:$B,Heron!BB$9,Xero!$A:$A,Heron!$A$5,Xero!$E:$E,Heron!$A16)</f>
        <v>0</v>
      </c>
      <c r="BC16" s="99">
        <f>-SUMIFS(Xero!$F:$F,Xero!$B:$B,Heron!BC$9,Xero!$A:$A,Heron!$A$4,Xero!$E:$E,Heron!$A16)-SUMIFS(Xero!$F:$F,Xero!$B:$B,Heron!BC$9,Xero!$A:$A,Heron!$A$5,Xero!$E:$E,Heron!$A16)</f>
        <v>0</v>
      </c>
      <c r="BD16" s="99">
        <f>-SUMIFS(Xero!$F:$F,Xero!$B:$B,Heron!BD$9,Xero!$A:$A,Heron!$A$4,Xero!$E:$E,Heron!$A16)-SUMIFS(Xero!$F:$F,Xero!$B:$B,Heron!BD$9,Xero!$A:$A,Heron!$A$5,Xero!$E:$E,Heron!$A16)</f>
        <v>0</v>
      </c>
      <c r="BE16" s="99">
        <f>-SUMIFS(Xero!$F:$F,Xero!$B:$B,Heron!BE$9,Xero!$A:$A,Heron!$A$4,Xero!$E:$E,Heron!$A16)-SUMIFS(Xero!$F:$F,Xero!$B:$B,Heron!BE$9,Xero!$A:$A,Heron!$A$5,Xero!$E:$E,Heron!$A16)</f>
        <v>0</v>
      </c>
      <c r="BF16" s="99">
        <f>-SUMIFS(Xero!$F:$F,Xero!$B:$B,Heron!BF$9,Xero!$A:$A,Heron!$A$4,Xero!$E:$E,Heron!$A16)-SUMIFS(Xero!$F:$F,Xero!$B:$B,Heron!BF$9,Xero!$A:$A,Heron!$A$5,Xero!$E:$E,Heron!$A16)</f>
        <v>0</v>
      </c>
      <c r="BG16" s="99">
        <f>-SUMIFS(Xero!$F:$F,Xero!$B:$B,Heron!BG$9,Xero!$A:$A,Heron!$A$4,Xero!$E:$E,Heron!$A16)-SUMIFS(Xero!$F:$F,Xero!$B:$B,Heron!BG$9,Xero!$A:$A,Heron!$A$5,Xero!$E:$E,Heron!$A16)</f>
        <v>0</v>
      </c>
      <c r="BH16" s="99">
        <f>-SUMIFS(Xero!$F:$F,Xero!$B:$B,Heron!BH$9,Xero!$A:$A,Heron!$A$4,Xero!$E:$E,Heron!$A16)-SUMIFS(Xero!$F:$F,Xero!$B:$B,Heron!BH$9,Xero!$A:$A,Heron!$A$5,Xero!$E:$E,Heron!$A16)</f>
        <v>0</v>
      </c>
      <c r="BI16" s="99">
        <f>-SUMIFS(Xero!$F:$F,Xero!$B:$B,Heron!BI$9,Xero!$A:$A,Heron!$A$4,Xero!$E:$E,Heron!$A16)-SUMIFS(Xero!$F:$F,Xero!$B:$B,Heron!BI$9,Xero!$A:$A,Heron!$A$5,Xero!$E:$E,Heron!$A16)</f>
        <v>0</v>
      </c>
      <c r="BJ16" s="99">
        <f>-SUMIFS(Xero!$F:$F,Xero!$B:$B,Heron!BJ$9,Xero!$A:$A,Heron!$A$4,Xero!$E:$E,Heron!$A16)-SUMIFS(Xero!$F:$F,Xero!$B:$B,Heron!BJ$9,Xero!$A:$A,Heron!$A$5,Xero!$E:$E,Heron!$A16)</f>
        <v>0</v>
      </c>
      <c r="BK16" s="99">
        <f t="shared" si="1"/>
        <v>5546.16</v>
      </c>
    </row>
    <row r="17" spans="1:64" ht="16" x14ac:dyDescent="0.2">
      <c r="A17" s="98" t="s">
        <v>1250</v>
      </c>
      <c r="D17" s="99">
        <f>-SUMIFS(Xero!$F:$F,Xero!$B:$B,Heron!D$9,Xero!$A:$A,Heron!$A$4,Xero!$E:$E,Heron!$A17)-SUMIFS(Xero!$F:$F,Xero!$B:$B,Heron!D$9,Xero!$A:$A,Heron!$A$5,Xero!$E:$E,Heron!$A17)</f>
        <v>0</v>
      </c>
      <c r="E17" s="99">
        <f>-SUMIFS(Xero!$F:$F,Xero!$B:$B,Heron!E$9,Xero!$A:$A,Heron!$A$4,Xero!$E:$E,Heron!$A17)-SUMIFS(Xero!$F:$F,Xero!$B:$B,Heron!E$9,Xero!$A:$A,Heron!$A$5,Xero!$E:$E,Heron!$A17)</f>
        <v>0</v>
      </c>
      <c r="F17" s="99">
        <f>-SUMIFS(Xero!$F:$F,Xero!$B:$B,Heron!F$9,Xero!$A:$A,Heron!$A$4,Xero!$E:$E,Heron!$A17)-SUMIFS(Xero!$F:$F,Xero!$B:$B,Heron!F$9,Xero!$A:$A,Heron!$A$5,Xero!$E:$E,Heron!$A17)</f>
        <v>0</v>
      </c>
      <c r="G17" s="99">
        <f>-SUMIFS(Xero!$F:$F,Xero!$B:$B,Heron!G$9,Xero!$A:$A,Heron!$A$4,Xero!$E:$E,Heron!$A17)-SUMIFS(Xero!$F:$F,Xero!$B:$B,Heron!G$9,Xero!$A:$A,Heron!$A$5,Xero!$E:$E,Heron!$A17)</f>
        <v>0</v>
      </c>
      <c r="H17" s="99">
        <f>-SUMIFS(Xero!$F:$F,Xero!$B:$B,Heron!H$9,Xero!$A:$A,Heron!$A$4,Xero!$E:$E,Heron!$A17)-SUMIFS(Xero!$F:$F,Xero!$B:$B,Heron!H$9,Xero!$A:$A,Heron!$A$5,Xero!$E:$E,Heron!$A17)</f>
        <v>0</v>
      </c>
      <c r="I17" s="99">
        <f>-SUMIFS(Xero!$F:$F,Xero!$B:$B,Heron!I$9,Xero!$A:$A,Heron!$A$4,Xero!$E:$E,Heron!$A17)-SUMIFS(Xero!$F:$F,Xero!$B:$B,Heron!I$9,Xero!$A:$A,Heron!$A$5,Xero!$E:$E,Heron!$A17)</f>
        <v>0</v>
      </c>
      <c r="J17" s="99">
        <f>-SUMIFS(Xero!$F:$F,Xero!$B:$B,Heron!J$9,Xero!$A:$A,Heron!$A$4,Xero!$E:$E,Heron!$A17)-SUMIFS(Xero!$F:$F,Xero!$B:$B,Heron!J$9,Xero!$A:$A,Heron!$A$5,Xero!$E:$E,Heron!$A17)</f>
        <v>6154.84</v>
      </c>
      <c r="K17" s="99">
        <f>-SUMIFS(Xero!$F:$F,Xero!$B:$B,Heron!K$9,Xero!$A:$A,Heron!$A$4,Xero!$E:$E,Heron!$A17)-SUMIFS(Xero!$F:$F,Xero!$B:$B,Heron!K$9,Xero!$A:$A,Heron!$A$5,Xero!$E:$E,Heron!$A17)</f>
        <v>34679.269999999997</v>
      </c>
      <c r="L17" s="99">
        <f>-SUMIFS(Xero!$F:$F,Xero!$B:$B,Heron!L$9,Xero!$A:$A,Heron!$A$4,Xero!$E:$E,Heron!$A17)-SUMIFS(Xero!$F:$F,Xero!$B:$B,Heron!L$9,Xero!$A:$A,Heron!$A$5,Xero!$E:$E,Heron!$A17)</f>
        <v>39490.480000000003</v>
      </c>
      <c r="M17" s="99">
        <f>-SUMIFS(Xero!$F:$F,Xero!$B:$B,Heron!M$9,Xero!$A:$A,Heron!$A$4,Xero!$E:$E,Heron!$A17)-SUMIFS(Xero!$F:$F,Xero!$B:$B,Heron!M$9,Xero!$A:$A,Heron!$A$5,Xero!$E:$E,Heron!$A17)</f>
        <v>35000.800000000003</v>
      </c>
      <c r="N17" s="99">
        <f>-SUMIFS(Xero!$F:$F,Xero!$B:$B,Heron!N$9,Xero!$A:$A,Heron!$A$4,Xero!$E:$E,Heron!$A17)-SUMIFS(Xero!$F:$F,Xero!$B:$B,Heron!N$9,Xero!$A:$A,Heron!$A$5,Xero!$E:$E,Heron!$A17)</f>
        <v>25737.439999999999</v>
      </c>
      <c r="O17" s="99">
        <f>-SUMIFS(Xero!$F:$F,Xero!$B:$B,Heron!O$9,Xero!$A:$A,Heron!$A$4,Xero!$E:$E,Heron!$A17)-SUMIFS(Xero!$F:$F,Xero!$B:$B,Heron!O$9,Xero!$A:$A,Heron!$A$5,Xero!$E:$E,Heron!$A17)</f>
        <v>17929.61</v>
      </c>
      <c r="P17" s="99">
        <f>-SUMIFS(Xero!$F:$F,Xero!$B:$B,Heron!P$9,Xero!$A:$A,Heron!$A$4,Xero!$E:$E,Heron!$A17)-SUMIFS(Xero!$F:$F,Xero!$B:$B,Heron!P$9,Xero!$A:$A,Heron!$A$5,Xero!$E:$E,Heron!$A17)</f>
        <v>7698.07</v>
      </c>
      <c r="Q17" s="99">
        <f>-SUMIFS(Xero!$F:$F,Xero!$B:$B,Heron!Q$9,Xero!$A:$A,Heron!$A$4,Xero!$E:$E,Heron!$A17)-SUMIFS(Xero!$F:$F,Xero!$B:$B,Heron!Q$9,Xero!$A:$A,Heron!$A$5,Xero!$E:$E,Heron!$A17)</f>
        <v>33568.160000000003</v>
      </c>
      <c r="R17" s="99">
        <f>-SUMIFS(Xero!$F:$F,Xero!$B:$B,Heron!R$9,Xero!$A:$A,Heron!$A$4,Xero!$E:$E,Heron!$A17)-SUMIFS(Xero!$F:$F,Xero!$B:$B,Heron!R$9,Xero!$A:$A,Heron!$A$5,Xero!$E:$E,Heron!$A17)</f>
        <v>19914.54</v>
      </c>
      <c r="S17" s="99">
        <f>-SUMIFS(Xero!$F:$F,Xero!$B:$B,Heron!S$9,Xero!$A:$A,Heron!$A$4,Xero!$E:$E,Heron!$A17)-SUMIFS(Xero!$F:$F,Xero!$B:$B,Heron!S$9,Xero!$A:$A,Heron!$A$5,Xero!$E:$E,Heron!$A17)</f>
        <v>59954.34</v>
      </c>
      <c r="T17" s="99">
        <f>-SUMIFS(Xero!$F:$F,Xero!$B:$B,Heron!T$9,Xero!$A:$A,Heron!$A$4,Xero!$E:$E,Heron!$A17)-SUMIFS(Xero!$F:$F,Xero!$B:$B,Heron!T$9,Xero!$A:$A,Heron!$A$5,Xero!$E:$E,Heron!$A17)</f>
        <v>50001.11</v>
      </c>
      <c r="U17" s="99">
        <f>-SUMIFS(Xero!$F:$F,Xero!$B:$B,Heron!U$9,Xero!$A:$A,Heron!$A$4,Xero!$E:$E,Heron!$A17)-SUMIFS(Xero!$F:$F,Xero!$B:$B,Heron!U$9,Xero!$A:$A,Heron!$A$5,Xero!$E:$E,Heron!$A17)</f>
        <v>49013.7</v>
      </c>
      <c r="V17" s="99">
        <f>-SUMIFS(Xero!$F:$F,Xero!$B:$B,Heron!V$9,Xero!$A:$A,Heron!$A$4,Xero!$E:$E,Heron!$A17)-SUMIFS(Xero!$F:$F,Xero!$B:$B,Heron!V$9,Xero!$A:$A,Heron!$A$5,Xero!$E:$E,Heron!$A17)</f>
        <v>30938.77</v>
      </c>
      <c r="W17" s="99">
        <f>-SUMIFS(Xero!$F:$F,Xero!$B:$B,Heron!W$9,Xero!$A:$A,Heron!$A$4,Xero!$E:$E,Heron!$A17)-SUMIFS(Xero!$F:$F,Xero!$B:$B,Heron!W$9,Xero!$A:$A,Heron!$A$5,Xero!$E:$E,Heron!$A17)</f>
        <v>31863.87</v>
      </c>
      <c r="X17" s="99">
        <f>-SUMIFS(Xero!$F:$F,Xero!$B:$B,Heron!X$9,Xero!$A:$A,Heron!$A$4,Xero!$E:$E,Heron!$A17)-SUMIFS(Xero!$F:$F,Xero!$B:$B,Heron!X$9,Xero!$A:$A,Heron!$A$5,Xero!$E:$E,Heron!$A17)</f>
        <v>58002.69</v>
      </c>
      <c r="Y17" s="99">
        <f>-SUMIFS(Xero!$F:$F,Xero!$B:$B,Heron!Y$9,Xero!$A:$A,Heron!$A$4,Xero!$E:$E,Heron!$A17)-SUMIFS(Xero!$F:$F,Xero!$B:$B,Heron!Y$9,Xero!$A:$A,Heron!$A$5,Xero!$E:$E,Heron!$A17)</f>
        <v>49646.57</v>
      </c>
      <c r="Z17" s="99">
        <f>-SUMIFS(Xero!$F:$F,Xero!$B:$B,Heron!Z$9,Xero!$A:$A,Heron!$A$4,Xero!$E:$E,Heron!$A17)-SUMIFS(Xero!$F:$F,Xero!$B:$B,Heron!Z$9,Xero!$A:$A,Heron!$A$5,Xero!$E:$E,Heron!$A17)</f>
        <v>71924.81</v>
      </c>
      <c r="AA17" s="99">
        <f>-SUMIFS(Xero!$F:$F,Xero!$B:$B,Heron!AA$9,Xero!$A:$A,Heron!$A$4,Xero!$E:$E,Heron!$A17)-SUMIFS(Xero!$F:$F,Xero!$B:$B,Heron!AA$9,Xero!$A:$A,Heron!$A$5,Xero!$E:$E,Heron!$A17)</f>
        <v>116845.7</v>
      </c>
      <c r="AB17" s="99">
        <f>-SUMIFS(Xero!$F:$F,Xero!$B:$B,Heron!AB$9,Xero!$A:$A,Heron!$A$4,Xero!$E:$E,Heron!$A17)-SUMIFS(Xero!$F:$F,Xero!$B:$B,Heron!AB$9,Xero!$A:$A,Heron!$A$5,Xero!$E:$E,Heron!$A17)</f>
        <v>224306.87</v>
      </c>
      <c r="AC17" s="99">
        <f>-SUMIFS(Xero!$F:$F,Xero!$B:$B,Heron!AC$9,Xero!$A:$A,Heron!$A$4,Xero!$E:$E,Heron!$A17)-SUMIFS(Xero!$F:$F,Xero!$B:$B,Heron!AC$9,Xero!$A:$A,Heron!$A$5,Xero!$E:$E,Heron!$A17)</f>
        <v>106209.22</v>
      </c>
      <c r="AD17" s="99">
        <f>-SUMIFS(Xero!$F:$F,Xero!$B:$B,Heron!AD$9,Xero!$A:$A,Heron!$A$4,Xero!$E:$E,Heron!$A17)-SUMIFS(Xero!$F:$F,Xero!$B:$B,Heron!AD$9,Xero!$A:$A,Heron!$A$5,Xero!$E:$E,Heron!$A17)</f>
        <v>222525.45</v>
      </c>
      <c r="AE17" s="99">
        <f>-SUMIFS(Xero!$F:$F,Xero!$B:$B,Heron!AE$9,Xero!$A:$A,Heron!$A$4,Xero!$E:$E,Heron!$A17)-SUMIFS(Xero!$F:$F,Xero!$B:$B,Heron!AE$9,Xero!$A:$A,Heron!$A$5,Xero!$E:$E,Heron!$A17)</f>
        <v>393902.07</v>
      </c>
      <c r="AF17" s="99">
        <f>-SUMIFS(Xero!$F:$F,Xero!$B:$B,Heron!AF$9,Xero!$A:$A,Heron!$A$4,Xero!$E:$E,Heron!$A17)-SUMIFS(Xero!$F:$F,Xero!$B:$B,Heron!AF$9,Xero!$A:$A,Heron!$A$5,Xero!$E:$E,Heron!$A17)</f>
        <v>259590.93</v>
      </c>
      <c r="AG17" s="99">
        <f>-SUMIFS(Xero!$F:$F,Xero!$B:$B,Heron!AG$9,Xero!$A:$A,Heron!$A$4,Xero!$E:$E,Heron!$A17)-SUMIFS(Xero!$F:$F,Xero!$B:$B,Heron!AG$9,Xero!$A:$A,Heron!$A$5,Xero!$E:$E,Heron!$A17)</f>
        <v>241364.67</v>
      </c>
      <c r="AH17" s="99">
        <f>-SUMIFS(Xero!$F:$F,Xero!$B:$B,Heron!AH$9,Xero!$A:$A,Heron!$A$4,Xero!$E:$E,Heron!$A17)-SUMIFS(Xero!$F:$F,Xero!$B:$B,Heron!AH$9,Xero!$A:$A,Heron!$A$5,Xero!$E:$E,Heron!$A17)</f>
        <v>291385.94</v>
      </c>
      <c r="AI17" s="99">
        <f>-SUMIFS(Xero!$F:$F,Xero!$B:$B,Heron!AI$9,Xero!$A:$A,Heron!$A$4,Xero!$E:$E,Heron!$A17)-SUMIFS(Xero!$F:$F,Xero!$B:$B,Heron!AI$9,Xero!$A:$A,Heron!$A$5,Xero!$E:$E,Heron!$A17)</f>
        <v>342091.9</v>
      </c>
      <c r="AJ17" s="99">
        <f>-SUMIFS(Xero!$F:$F,Xero!$B:$B,Heron!AJ$9,Xero!$A:$A,Heron!$A$4,Xero!$E:$E,Heron!$A17)-SUMIFS(Xero!$F:$F,Xero!$B:$B,Heron!AJ$9,Xero!$A:$A,Heron!$A$5,Xero!$E:$E,Heron!$A17)</f>
        <v>289283.88</v>
      </c>
      <c r="AK17" s="99">
        <f>-SUMIFS(Xero!$F:$F,Xero!$B:$B,Heron!AK$9,Xero!$A:$A,Heron!$A$4,Xero!$E:$E,Heron!$A17)-SUMIFS(Xero!$F:$F,Xero!$B:$B,Heron!AK$9,Xero!$A:$A,Heron!$A$5,Xero!$E:$E,Heron!$A17)</f>
        <v>158795.4</v>
      </c>
      <c r="AL17" s="99">
        <f>-SUMIFS(Xero!$F:$F,Xero!$B:$B,Heron!AL$9,Xero!$A:$A,Heron!$A$4,Xero!$E:$E,Heron!$A17)-SUMIFS(Xero!$F:$F,Xero!$B:$B,Heron!AL$9,Xero!$A:$A,Heron!$A$5,Xero!$E:$E,Heron!$A17)</f>
        <v>125751.22</v>
      </c>
      <c r="AM17" s="99">
        <f>-SUMIFS(Xero!$F:$F,Xero!$B:$B,Heron!AM$9,Xero!$A:$A,Heron!$A$4,Xero!$E:$E,Heron!$A17)-SUMIFS(Xero!$F:$F,Xero!$B:$B,Heron!AM$9,Xero!$A:$A,Heron!$A$5,Xero!$E:$E,Heron!$A17)</f>
        <v>0</v>
      </c>
      <c r="AN17" s="99">
        <f>-SUMIFS(Xero!$F:$F,Xero!$B:$B,Heron!AN$9,Xero!$A:$A,Heron!$A$4,Xero!$E:$E,Heron!$A17)-SUMIFS(Xero!$F:$F,Xero!$B:$B,Heron!AN$9,Xero!$A:$A,Heron!$A$5,Xero!$E:$E,Heron!$A17)</f>
        <v>98307.51</v>
      </c>
      <c r="AO17" s="99">
        <f>-SUMIFS(Xero!$F:$F,Xero!$B:$B,Heron!AO$9,Xero!$A:$A,Heron!$A$4,Xero!$E:$E,Heron!$A17)-SUMIFS(Xero!$F:$F,Xero!$B:$B,Heron!AO$9,Xero!$A:$A,Heron!$A$5,Xero!$E:$E,Heron!$A17)</f>
        <v>0</v>
      </c>
      <c r="AP17" s="99">
        <f>-SUMIFS(Xero!$F:$F,Xero!$B:$B,Heron!AP$9,Xero!$A:$A,Heron!$A$4,Xero!$E:$E,Heron!$A17)-SUMIFS(Xero!$F:$F,Xero!$B:$B,Heron!AP$9,Xero!$A:$A,Heron!$A$5,Xero!$E:$E,Heron!$A17)</f>
        <v>69493.67</v>
      </c>
      <c r="AQ17" s="99">
        <f>-SUMIFS(Xero!$F:$F,Xero!$B:$B,Heron!AQ$9,Xero!$A:$A,Heron!$A$4,Xero!$E:$E,Heron!$A17)-SUMIFS(Xero!$F:$F,Xero!$B:$B,Heron!AQ$9,Xero!$A:$A,Heron!$A$5,Xero!$E:$E,Heron!$A17)</f>
        <v>34734.9</v>
      </c>
      <c r="AR17" s="99">
        <f>-SUMIFS(Xero!$F:$F,Xero!$B:$B,Heron!AR$9,Xero!$A:$A,Heron!$A$4,Xero!$E:$E,Heron!$A17)-SUMIFS(Xero!$F:$F,Xero!$B:$B,Heron!AR$9,Xero!$A:$A,Heron!$A$5,Xero!$E:$E,Heron!$A17)</f>
        <v>1373.09</v>
      </c>
      <c r="AS17" s="99">
        <f>-SUMIFS(Xero!$F:$F,Xero!$B:$B,Heron!AS$9,Xero!$A:$A,Heron!$A$4,Xero!$E:$E,Heron!$A17)-SUMIFS(Xero!$F:$F,Xero!$B:$B,Heron!AS$9,Xero!$A:$A,Heron!$A$5,Xero!$E:$E,Heron!$A17)</f>
        <v>0</v>
      </c>
      <c r="AT17" s="99">
        <f>-SUMIFS(Xero!$F:$F,Xero!$B:$B,Heron!AT$9,Xero!$A:$A,Heron!$A$4,Xero!$E:$E,Heron!$A17)-SUMIFS(Xero!$F:$F,Xero!$B:$B,Heron!AT$9,Xero!$A:$A,Heron!$A$5,Xero!$E:$E,Heron!$A17)</f>
        <v>0</v>
      </c>
      <c r="AU17" s="99">
        <f>-SUMIFS(Xero!$F:$F,Xero!$B:$B,Heron!AU$9,Xero!$A:$A,Heron!$A$4,Xero!$E:$E,Heron!$A17)-SUMIFS(Xero!$F:$F,Xero!$B:$B,Heron!AU$9,Xero!$A:$A,Heron!$A$5,Xero!$E:$E,Heron!$A17)</f>
        <v>0</v>
      </c>
      <c r="AV17" s="99">
        <f>-SUMIFS(Xero!$F:$F,Xero!$B:$B,Heron!AV$9,Xero!$A:$A,Heron!$A$4,Xero!$E:$E,Heron!$A17)-SUMIFS(Xero!$F:$F,Xero!$B:$B,Heron!AV$9,Xero!$A:$A,Heron!$A$5,Xero!$E:$E,Heron!$A17)</f>
        <v>0</v>
      </c>
      <c r="AW17" s="99">
        <f>-SUMIFS(Xero!$F:$F,Xero!$B:$B,Heron!AW$9,Xero!$A:$A,Heron!$A$4,Xero!$E:$E,Heron!$A17)-SUMIFS(Xero!$F:$F,Xero!$B:$B,Heron!AW$9,Xero!$A:$A,Heron!$A$5,Xero!$E:$E,Heron!$A17)</f>
        <v>0</v>
      </c>
      <c r="AX17" s="99">
        <f>-SUMIFS(Xero!$F:$F,Xero!$B:$B,Heron!AX$9,Xero!$A:$A,Heron!$A$4,Xero!$E:$E,Heron!$A17)-SUMIFS(Xero!$F:$F,Xero!$B:$B,Heron!AX$9,Xero!$A:$A,Heron!$A$5,Xero!$E:$E,Heron!$A17)</f>
        <v>0</v>
      </c>
      <c r="AY17" s="99">
        <f>-SUMIFS(Xero!$F:$F,Xero!$B:$B,Heron!AY$9,Xero!$A:$A,Heron!$A$4,Xero!$E:$E,Heron!$A17)-SUMIFS(Xero!$F:$F,Xero!$B:$B,Heron!AY$9,Xero!$A:$A,Heron!$A$5,Xero!$E:$E,Heron!$A17)</f>
        <v>0</v>
      </c>
      <c r="AZ17" s="99">
        <f>-SUMIFS(Xero!$F:$F,Xero!$B:$B,Heron!AZ$9,Xero!$A:$A,Heron!$A$4,Xero!$E:$E,Heron!$A17)-SUMIFS(Xero!$F:$F,Xero!$B:$B,Heron!AZ$9,Xero!$A:$A,Heron!$A$5,Xero!$E:$E,Heron!$A17)</f>
        <v>0</v>
      </c>
      <c r="BA17" s="99">
        <f>-SUMIFS(Xero!$F:$F,Xero!$B:$B,Heron!BA$9,Xero!$A:$A,Heron!$A$4,Xero!$E:$E,Heron!$A17)-SUMIFS(Xero!$F:$F,Xero!$B:$B,Heron!BA$9,Xero!$A:$A,Heron!$A$5,Xero!$E:$E,Heron!$A17)</f>
        <v>0</v>
      </c>
      <c r="BB17" s="99">
        <f>-SUMIFS(Xero!$F:$F,Xero!$B:$B,Heron!BB$9,Xero!$A:$A,Heron!$A$4,Xero!$E:$E,Heron!$A17)-SUMIFS(Xero!$F:$F,Xero!$B:$B,Heron!BB$9,Xero!$A:$A,Heron!$A$5,Xero!$E:$E,Heron!$A17)</f>
        <v>0</v>
      </c>
      <c r="BC17" s="99">
        <f>-SUMIFS(Xero!$F:$F,Xero!$B:$B,Heron!BC$9,Xero!$A:$A,Heron!$A$4,Xero!$E:$E,Heron!$A17)-SUMIFS(Xero!$F:$F,Xero!$B:$B,Heron!BC$9,Xero!$A:$A,Heron!$A$5,Xero!$E:$E,Heron!$A17)</f>
        <v>0</v>
      </c>
      <c r="BD17" s="99">
        <f>-SUMIFS(Xero!$F:$F,Xero!$B:$B,Heron!BD$9,Xero!$A:$A,Heron!$A$4,Xero!$E:$E,Heron!$A17)-SUMIFS(Xero!$F:$F,Xero!$B:$B,Heron!BD$9,Xero!$A:$A,Heron!$A$5,Xero!$E:$E,Heron!$A17)</f>
        <v>0</v>
      </c>
      <c r="BE17" s="99">
        <f>-SUMIFS(Xero!$F:$F,Xero!$B:$B,Heron!BE$9,Xero!$A:$A,Heron!$A$4,Xero!$E:$E,Heron!$A17)-SUMIFS(Xero!$F:$F,Xero!$B:$B,Heron!BE$9,Xero!$A:$A,Heron!$A$5,Xero!$E:$E,Heron!$A17)</f>
        <v>0</v>
      </c>
      <c r="BF17" s="99">
        <f>-SUMIFS(Xero!$F:$F,Xero!$B:$B,Heron!BF$9,Xero!$A:$A,Heron!$A$4,Xero!$E:$E,Heron!$A17)-SUMIFS(Xero!$F:$F,Xero!$B:$B,Heron!BF$9,Xero!$A:$A,Heron!$A$5,Xero!$E:$E,Heron!$A17)</f>
        <v>0</v>
      </c>
      <c r="BG17" s="99">
        <f>-SUMIFS(Xero!$F:$F,Xero!$B:$B,Heron!BG$9,Xero!$A:$A,Heron!$A$4,Xero!$E:$E,Heron!$A17)-SUMIFS(Xero!$F:$F,Xero!$B:$B,Heron!BG$9,Xero!$A:$A,Heron!$A$5,Xero!$E:$E,Heron!$A17)</f>
        <v>0</v>
      </c>
      <c r="BH17" s="99">
        <f>-SUMIFS(Xero!$F:$F,Xero!$B:$B,Heron!BH$9,Xero!$A:$A,Heron!$A$4,Xero!$E:$E,Heron!$A17)-SUMIFS(Xero!$F:$F,Xero!$B:$B,Heron!BH$9,Xero!$A:$A,Heron!$A$5,Xero!$E:$E,Heron!$A17)</f>
        <v>0</v>
      </c>
      <c r="BI17" s="99">
        <f>-SUMIFS(Xero!$F:$F,Xero!$B:$B,Heron!BI$9,Xero!$A:$A,Heron!$A$4,Xero!$E:$E,Heron!$A17)-SUMIFS(Xero!$F:$F,Xero!$B:$B,Heron!BI$9,Xero!$A:$A,Heron!$A$5,Xero!$E:$E,Heron!$A17)</f>
        <v>0</v>
      </c>
      <c r="BJ17" s="99">
        <f>-SUMIFS(Xero!$F:$F,Xero!$B:$B,Heron!BJ$9,Xero!$A:$A,Heron!$A$4,Xero!$E:$E,Heron!$A17)-SUMIFS(Xero!$F:$F,Xero!$B:$B,Heron!BJ$9,Xero!$A:$A,Heron!$A$5,Xero!$E:$E,Heron!$A17)</f>
        <v>0</v>
      </c>
      <c r="BK17" s="99">
        <f t="shared" si="1"/>
        <v>3597481.4899999993</v>
      </c>
    </row>
    <row r="18" spans="1:64" ht="16" x14ac:dyDescent="0.2">
      <c r="A18" s="98" t="s">
        <v>1225</v>
      </c>
      <c r="D18" s="99">
        <f>-SUMIFS(Xero!$F:$F,Xero!$B:$B,Heron!D$9,Xero!$A:$A,Heron!$A$4,Xero!$E:$E,Heron!$A18)-SUMIFS(Xero!$F:$F,Xero!$B:$B,Heron!D$9,Xero!$A:$A,Heron!$A$5,Xero!$E:$E,Heron!$A18)</f>
        <v>0</v>
      </c>
      <c r="E18" s="99">
        <f>-SUMIFS(Xero!$F:$F,Xero!$B:$B,Heron!E$9,Xero!$A:$A,Heron!$A$4,Xero!$E:$E,Heron!$A18)-SUMIFS(Xero!$F:$F,Xero!$B:$B,Heron!E$9,Xero!$A:$A,Heron!$A$5,Xero!$E:$E,Heron!$A18)</f>
        <v>0</v>
      </c>
      <c r="F18" s="99">
        <f>-SUMIFS(Xero!$F:$F,Xero!$B:$B,Heron!F$9,Xero!$A:$A,Heron!$A$4,Xero!$E:$E,Heron!$A18)-SUMIFS(Xero!$F:$F,Xero!$B:$B,Heron!F$9,Xero!$A:$A,Heron!$A$5,Xero!$E:$E,Heron!$A18)</f>
        <v>0</v>
      </c>
      <c r="G18" s="99">
        <f>-SUMIFS(Xero!$F:$F,Xero!$B:$B,Heron!G$9,Xero!$A:$A,Heron!$A$4,Xero!$E:$E,Heron!$A18)-SUMIFS(Xero!$F:$F,Xero!$B:$B,Heron!G$9,Xero!$A:$A,Heron!$A$5,Xero!$E:$E,Heron!$A18)</f>
        <v>0</v>
      </c>
      <c r="H18" s="99">
        <f>-SUMIFS(Xero!$F:$F,Xero!$B:$B,Heron!H$9,Xero!$A:$A,Heron!$A$4,Xero!$E:$E,Heron!$A18)-SUMIFS(Xero!$F:$F,Xero!$B:$B,Heron!H$9,Xero!$A:$A,Heron!$A$5,Xero!$E:$E,Heron!$A18)</f>
        <v>149149.4</v>
      </c>
      <c r="I18" s="99">
        <f>-SUMIFS(Xero!$F:$F,Xero!$B:$B,Heron!I$9,Xero!$A:$A,Heron!$A$4,Xero!$E:$E,Heron!$A18)-SUMIFS(Xero!$F:$F,Xero!$B:$B,Heron!I$9,Xero!$A:$A,Heron!$A$5,Xero!$E:$E,Heron!$A18)</f>
        <v>0</v>
      </c>
      <c r="J18" s="99">
        <f>-SUMIFS(Xero!$F:$F,Xero!$B:$B,Heron!J$9,Xero!$A:$A,Heron!$A$4,Xero!$E:$E,Heron!$A18)-SUMIFS(Xero!$F:$F,Xero!$B:$B,Heron!J$9,Xero!$A:$A,Heron!$A$5,Xero!$E:$E,Heron!$A18)</f>
        <v>0</v>
      </c>
      <c r="K18" s="99">
        <f>-SUMIFS(Xero!$F:$F,Xero!$B:$B,Heron!K$9,Xero!$A:$A,Heron!$A$4,Xero!$E:$E,Heron!$A18)-SUMIFS(Xero!$F:$F,Xero!$B:$B,Heron!K$9,Xero!$A:$A,Heron!$A$5,Xero!$E:$E,Heron!$A18)</f>
        <v>0</v>
      </c>
      <c r="L18" s="99">
        <f>-SUMIFS(Xero!$F:$F,Xero!$B:$B,Heron!L$9,Xero!$A:$A,Heron!$A$4,Xero!$E:$E,Heron!$A18)-SUMIFS(Xero!$F:$F,Xero!$B:$B,Heron!L$9,Xero!$A:$A,Heron!$A$5,Xero!$E:$E,Heron!$A18)</f>
        <v>0</v>
      </c>
      <c r="M18" s="99">
        <f>-SUMIFS(Xero!$F:$F,Xero!$B:$B,Heron!M$9,Xero!$A:$A,Heron!$A$4,Xero!$E:$E,Heron!$A18)-SUMIFS(Xero!$F:$F,Xero!$B:$B,Heron!M$9,Xero!$A:$A,Heron!$A$5,Xero!$E:$E,Heron!$A18)</f>
        <v>0</v>
      </c>
      <c r="N18" s="99">
        <f>-SUMIFS(Xero!$F:$F,Xero!$B:$B,Heron!N$9,Xero!$A:$A,Heron!$A$4,Xero!$E:$E,Heron!$A18)-SUMIFS(Xero!$F:$F,Xero!$B:$B,Heron!N$9,Xero!$A:$A,Heron!$A$5,Xero!$E:$E,Heron!$A18)</f>
        <v>0</v>
      </c>
      <c r="O18" s="99">
        <f>-SUMIFS(Xero!$F:$F,Xero!$B:$B,Heron!O$9,Xero!$A:$A,Heron!$A$4,Xero!$E:$E,Heron!$A18)-SUMIFS(Xero!$F:$F,Xero!$B:$B,Heron!O$9,Xero!$A:$A,Heron!$A$5,Xero!$E:$E,Heron!$A18)</f>
        <v>0</v>
      </c>
      <c r="P18" s="99">
        <f>-SUMIFS(Xero!$F:$F,Xero!$B:$B,Heron!P$9,Xero!$A:$A,Heron!$A$4,Xero!$E:$E,Heron!$A18)-SUMIFS(Xero!$F:$F,Xero!$B:$B,Heron!P$9,Xero!$A:$A,Heron!$A$5,Xero!$E:$E,Heron!$A18)</f>
        <v>0</v>
      </c>
      <c r="Q18" s="99">
        <f>-SUMIFS(Xero!$F:$F,Xero!$B:$B,Heron!Q$9,Xero!$A:$A,Heron!$A$4,Xero!$E:$E,Heron!$A18)-SUMIFS(Xero!$F:$F,Xero!$B:$B,Heron!Q$9,Xero!$A:$A,Heron!$A$5,Xero!$E:$E,Heron!$A18)</f>
        <v>0</v>
      </c>
      <c r="R18" s="99">
        <f>-SUMIFS(Xero!$F:$F,Xero!$B:$B,Heron!R$9,Xero!$A:$A,Heron!$A$4,Xero!$E:$E,Heron!$A18)-SUMIFS(Xero!$F:$F,Xero!$B:$B,Heron!R$9,Xero!$A:$A,Heron!$A$5,Xero!$E:$E,Heron!$A18)</f>
        <v>0</v>
      </c>
      <c r="S18" s="99">
        <f>-SUMIFS(Xero!$F:$F,Xero!$B:$B,Heron!S$9,Xero!$A:$A,Heron!$A$4,Xero!$E:$E,Heron!$A18)-SUMIFS(Xero!$F:$F,Xero!$B:$B,Heron!S$9,Xero!$A:$A,Heron!$A$5,Xero!$E:$E,Heron!$A18)</f>
        <v>0</v>
      </c>
      <c r="T18" s="99">
        <f>-SUMIFS(Xero!$F:$F,Xero!$B:$B,Heron!T$9,Xero!$A:$A,Heron!$A$4,Xero!$E:$E,Heron!$A18)-SUMIFS(Xero!$F:$F,Xero!$B:$B,Heron!T$9,Xero!$A:$A,Heron!$A$5,Xero!$E:$E,Heron!$A18)</f>
        <v>0</v>
      </c>
      <c r="U18" s="99">
        <f>-SUMIFS(Xero!$F:$F,Xero!$B:$B,Heron!U$9,Xero!$A:$A,Heron!$A$4,Xero!$E:$E,Heron!$A18)-SUMIFS(Xero!$F:$F,Xero!$B:$B,Heron!U$9,Xero!$A:$A,Heron!$A$5,Xero!$E:$E,Heron!$A18)</f>
        <v>0</v>
      </c>
      <c r="V18" s="99">
        <f>-SUMIFS(Xero!$F:$F,Xero!$B:$B,Heron!V$9,Xero!$A:$A,Heron!$A$4,Xero!$E:$E,Heron!$A18)-SUMIFS(Xero!$F:$F,Xero!$B:$B,Heron!V$9,Xero!$A:$A,Heron!$A$5,Xero!$E:$E,Heron!$A18)</f>
        <v>0</v>
      </c>
      <c r="W18" s="99">
        <f>-SUMIFS(Xero!$F:$F,Xero!$B:$B,Heron!W$9,Xero!$A:$A,Heron!$A$4,Xero!$E:$E,Heron!$A18)-SUMIFS(Xero!$F:$F,Xero!$B:$B,Heron!W$9,Xero!$A:$A,Heron!$A$5,Xero!$E:$E,Heron!$A18)</f>
        <v>0</v>
      </c>
      <c r="X18" s="99">
        <f>-SUMIFS(Xero!$F:$F,Xero!$B:$B,Heron!X$9,Xero!$A:$A,Heron!$A$4,Xero!$E:$E,Heron!$A18)-SUMIFS(Xero!$F:$F,Xero!$B:$B,Heron!X$9,Xero!$A:$A,Heron!$A$5,Xero!$E:$E,Heron!$A18)</f>
        <v>0</v>
      </c>
      <c r="Y18" s="99">
        <f>-SUMIFS(Xero!$F:$F,Xero!$B:$B,Heron!Y$9,Xero!$A:$A,Heron!$A$4,Xero!$E:$E,Heron!$A18)-SUMIFS(Xero!$F:$F,Xero!$B:$B,Heron!Y$9,Xero!$A:$A,Heron!$A$5,Xero!$E:$E,Heron!$A18)</f>
        <v>0</v>
      </c>
      <c r="Z18" s="99">
        <f>-SUMIFS(Xero!$F:$F,Xero!$B:$B,Heron!Z$9,Xero!$A:$A,Heron!$A$4,Xero!$E:$E,Heron!$A18)-SUMIFS(Xero!$F:$F,Xero!$B:$B,Heron!Z$9,Xero!$A:$A,Heron!$A$5,Xero!$E:$E,Heron!$A18)</f>
        <v>0</v>
      </c>
      <c r="AA18" s="99">
        <f>-SUMIFS(Xero!$F:$F,Xero!$B:$B,Heron!AA$9,Xero!$A:$A,Heron!$A$4,Xero!$E:$E,Heron!$A18)-SUMIFS(Xero!$F:$F,Xero!$B:$B,Heron!AA$9,Xero!$A:$A,Heron!$A$5,Xero!$E:$E,Heron!$A18)</f>
        <v>0</v>
      </c>
      <c r="AB18" s="99">
        <f>-SUMIFS(Xero!$F:$F,Xero!$B:$B,Heron!AB$9,Xero!$A:$A,Heron!$A$4,Xero!$E:$E,Heron!$A18)-SUMIFS(Xero!$F:$F,Xero!$B:$B,Heron!AB$9,Xero!$A:$A,Heron!$A$5,Xero!$E:$E,Heron!$A18)</f>
        <v>0</v>
      </c>
      <c r="AC18" s="99">
        <f>-SUMIFS(Xero!$F:$F,Xero!$B:$B,Heron!AC$9,Xero!$A:$A,Heron!$A$4,Xero!$E:$E,Heron!$A18)-SUMIFS(Xero!$F:$F,Xero!$B:$B,Heron!AC$9,Xero!$A:$A,Heron!$A$5,Xero!$E:$E,Heron!$A18)</f>
        <v>0</v>
      </c>
      <c r="AD18" s="99">
        <f>-SUMIFS(Xero!$F:$F,Xero!$B:$B,Heron!AD$9,Xero!$A:$A,Heron!$A$4,Xero!$E:$E,Heron!$A18)-SUMIFS(Xero!$F:$F,Xero!$B:$B,Heron!AD$9,Xero!$A:$A,Heron!$A$5,Xero!$E:$E,Heron!$A18)</f>
        <v>0</v>
      </c>
      <c r="AE18" s="99">
        <f>-SUMIFS(Xero!$F:$F,Xero!$B:$B,Heron!AE$9,Xero!$A:$A,Heron!$A$4,Xero!$E:$E,Heron!$A18)-SUMIFS(Xero!$F:$F,Xero!$B:$B,Heron!AE$9,Xero!$A:$A,Heron!$A$5,Xero!$E:$E,Heron!$A18)</f>
        <v>0</v>
      </c>
      <c r="AF18" s="99">
        <f>-SUMIFS(Xero!$F:$F,Xero!$B:$B,Heron!AF$9,Xero!$A:$A,Heron!$A$4,Xero!$E:$E,Heron!$A18)-SUMIFS(Xero!$F:$F,Xero!$B:$B,Heron!AF$9,Xero!$A:$A,Heron!$A$5,Xero!$E:$E,Heron!$A18)</f>
        <v>0</v>
      </c>
      <c r="AG18" s="99">
        <f>-SUMIFS(Xero!$F:$F,Xero!$B:$B,Heron!AG$9,Xero!$A:$A,Heron!$A$4,Xero!$E:$E,Heron!$A18)-SUMIFS(Xero!$F:$F,Xero!$B:$B,Heron!AG$9,Xero!$A:$A,Heron!$A$5,Xero!$E:$E,Heron!$A18)</f>
        <v>0</v>
      </c>
      <c r="AH18" s="99">
        <f>-SUMIFS(Xero!$F:$F,Xero!$B:$B,Heron!AH$9,Xero!$A:$A,Heron!$A$4,Xero!$E:$E,Heron!$A18)-SUMIFS(Xero!$F:$F,Xero!$B:$B,Heron!AH$9,Xero!$A:$A,Heron!$A$5,Xero!$E:$E,Heron!$A18)</f>
        <v>0</v>
      </c>
      <c r="AI18" s="99">
        <f>-SUMIFS(Xero!$F:$F,Xero!$B:$B,Heron!AI$9,Xero!$A:$A,Heron!$A$4,Xero!$E:$E,Heron!$A18)-SUMIFS(Xero!$F:$F,Xero!$B:$B,Heron!AI$9,Xero!$A:$A,Heron!$A$5,Xero!$E:$E,Heron!$A18)</f>
        <v>0</v>
      </c>
      <c r="AJ18" s="99">
        <f>-SUMIFS(Xero!$F:$F,Xero!$B:$B,Heron!AJ$9,Xero!$A:$A,Heron!$A$4,Xero!$E:$E,Heron!$A18)-SUMIFS(Xero!$F:$F,Xero!$B:$B,Heron!AJ$9,Xero!$A:$A,Heron!$A$5,Xero!$E:$E,Heron!$A18)</f>
        <v>0</v>
      </c>
      <c r="AK18" s="99">
        <f>-SUMIFS(Xero!$F:$F,Xero!$B:$B,Heron!AK$9,Xero!$A:$A,Heron!$A$4,Xero!$E:$E,Heron!$A18)-SUMIFS(Xero!$F:$F,Xero!$B:$B,Heron!AK$9,Xero!$A:$A,Heron!$A$5,Xero!$E:$E,Heron!$A18)</f>
        <v>0</v>
      </c>
      <c r="AL18" s="99">
        <f>-SUMIFS(Xero!$F:$F,Xero!$B:$B,Heron!AL$9,Xero!$A:$A,Heron!$A$4,Xero!$E:$E,Heron!$A18)-SUMIFS(Xero!$F:$F,Xero!$B:$B,Heron!AL$9,Xero!$A:$A,Heron!$A$5,Xero!$E:$E,Heron!$A18)</f>
        <v>0</v>
      </c>
      <c r="AM18" s="99">
        <f>-SUMIFS(Xero!$F:$F,Xero!$B:$B,Heron!AM$9,Xero!$A:$A,Heron!$A$4,Xero!$E:$E,Heron!$A18)-SUMIFS(Xero!$F:$F,Xero!$B:$B,Heron!AM$9,Xero!$A:$A,Heron!$A$5,Xero!$E:$E,Heron!$A18)</f>
        <v>0</v>
      </c>
      <c r="AN18" s="99">
        <f>-SUMIFS(Xero!$F:$F,Xero!$B:$B,Heron!AN$9,Xero!$A:$A,Heron!$A$4,Xero!$E:$E,Heron!$A18)-SUMIFS(Xero!$F:$F,Xero!$B:$B,Heron!AN$9,Xero!$A:$A,Heron!$A$5,Xero!$E:$E,Heron!$A18)</f>
        <v>0</v>
      </c>
      <c r="AO18" s="99">
        <f>-SUMIFS(Xero!$F:$F,Xero!$B:$B,Heron!AO$9,Xero!$A:$A,Heron!$A$4,Xero!$E:$E,Heron!$A18)-SUMIFS(Xero!$F:$F,Xero!$B:$B,Heron!AO$9,Xero!$A:$A,Heron!$A$5,Xero!$E:$E,Heron!$A18)</f>
        <v>0</v>
      </c>
      <c r="AP18" s="99">
        <f>-SUMIFS(Xero!$F:$F,Xero!$B:$B,Heron!AP$9,Xero!$A:$A,Heron!$A$4,Xero!$E:$E,Heron!$A18)-SUMIFS(Xero!$F:$F,Xero!$B:$B,Heron!AP$9,Xero!$A:$A,Heron!$A$5,Xero!$E:$E,Heron!$A18)</f>
        <v>0</v>
      </c>
      <c r="AQ18" s="99">
        <f>-SUMIFS(Xero!$F:$F,Xero!$B:$B,Heron!AQ$9,Xero!$A:$A,Heron!$A$4,Xero!$E:$E,Heron!$A18)-SUMIFS(Xero!$F:$F,Xero!$B:$B,Heron!AQ$9,Xero!$A:$A,Heron!$A$5,Xero!$E:$E,Heron!$A18)</f>
        <v>0</v>
      </c>
      <c r="AR18" s="99">
        <f>-SUMIFS(Xero!$F:$F,Xero!$B:$B,Heron!AR$9,Xero!$A:$A,Heron!$A$4,Xero!$E:$E,Heron!$A18)-SUMIFS(Xero!$F:$F,Xero!$B:$B,Heron!AR$9,Xero!$A:$A,Heron!$A$5,Xero!$E:$E,Heron!$A18)</f>
        <v>0</v>
      </c>
      <c r="AS18" s="99">
        <f>-SUMIFS(Xero!$F:$F,Xero!$B:$B,Heron!AS$9,Xero!$A:$A,Heron!$A$4,Xero!$E:$E,Heron!$A18)-SUMIFS(Xero!$F:$F,Xero!$B:$B,Heron!AS$9,Xero!$A:$A,Heron!$A$5,Xero!$E:$E,Heron!$A18)</f>
        <v>0</v>
      </c>
      <c r="AT18" s="99">
        <f>-SUMIFS(Xero!$F:$F,Xero!$B:$B,Heron!AT$9,Xero!$A:$A,Heron!$A$4,Xero!$E:$E,Heron!$A18)-SUMIFS(Xero!$F:$F,Xero!$B:$B,Heron!AT$9,Xero!$A:$A,Heron!$A$5,Xero!$E:$E,Heron!$A18)</f>
        <v>0</v>
      </c>
      <c r="AU18" s="99">
        <f>-SUMIFS(Xero!$F:$F,Xero!$B:$B,Heron!AU$9,Xero!$A:$A,Heron!$A$4,Xero!$E:$E,Heron!$A18)-SUMIFS(Xero!$F:$F,Xero!$B:$B,Heron!AU$9,Xero!$A:$A,Heron!$A$5,Xero!$E:$E,Heron!$A18)</f>
        <v>0</v>
      </c>
      <c r="AV18" s="99">
        <f>-SUMIFS(Xero!$F:$F,Xero!$B:$B,Heron!AV$9,Xero!$A:$A,Heron!$A$4,Xero!$E:$E,Heron!$A18)-SUMIFS(Xero!$F:$F,Xero!$B:$B,Heron!AV$9,Xero!$A:$A,Heron!$A$5,Xero!$E:$E,Heron!$A18)</f>
        <v>0</v>
      </c>
      <c r="AW18" s="99">
        <f>-SUMIFS(Xero!$F:$F,Xero!$B:$B,Heron!AW$9,Xero!$A:$A,Heron!$A$4,Xero!$E:$E,Heron!$A18)-SUMIFS(Xero!$F:$F,Xero!$B:$B,Heron!AW$9,Xero!$A:$A,Heron!$A$5,Xero!$E:$E,Heron!$A18)</f>
        <v>0</v>
      </c>
      <c r="AX18" s="99">
        <f>-SUMIFS(Xero!$F:$F,Xero!$B:$B,Heron!AX$9,Xero!$A:$A,Heron!$A$4,Xero!$E:$E,Heron!$A18)-SUMIFS(Xero!$F:$F,Xero!$B:$B,Heron!AX$9,Xero!$A:$A,Heron!$A$5,Xero!$E:$E,Heron!$A18)</f>
        <v>0</v>
      </c>
      <c r="AY18" s="99">
        <f>-SUMIFS(Xero!$F:$F,Xero!$B:$B,Heron!AY$9,Xero!$A:$A,Heron!$A$4,Xero!$E:$E,Heron!$A18)-SUMIFS(Xero!$F:$F,Xero!$B:$B,Heron!AY$9,Xero!$A:$A,Heron!$A$5,Xero!$E:$E,Heron!$A18)</f>
        <v>0</v>
      </c>
      <c r="AZ18" s="99">
        <f>-SUMIFS(Xero!$F:$F,Xero!$B:$B,Heron!AZ$9,Xero!$A:$A,Heron!$A$4,Xero!$E:$E,Heron!$A18)-SUMIFS(Xero!$F:$F,Xero!$B:$B,Heron!AZ$9,Xero!$A:$A,Heron!$A$5,Xero!$E:$E,Heron!$A18)</f>
        <v>0</v>
      </c>
      <c r="BA18" s="99">
        <f>-SUMIFS(Xero!$F:$F,Xero!$B:$B,Heron!BA$9,Xero!$A:$A,Heron!$A$4,Xero!$E:$E,Heron!$A18)-SUMIFS(Xero!$F:$F,Xero!$B:$B,Heron!BA$9,Xero!$A:$A,Heron!$A$5,Xero!$E:$E,Heron!$A18)</f>
        <v>0</v>
      </c>
      <c r="BB18" s="99">
        <f>-SUMIFS(Xero!$F:$F,Xero!$B:$B,Heron!BB$9,Xero!$A:$A,Heron!$A$4,Xero!$E:$E,Heron!$A18)-SUMIFS(Xero!$F:$F,Xero!$B:$B,Heron!BB$9,Xero!$A:$A,Heron!$A$5,Xero!$E:$E,Heron!$A18)</f>
        <v>0</v>
      </c>
      <c r="BC18" s="99">
        <f>-SUMIFS(Xero!$F:$F,Xero!$B:$B,Heron!BC$9,Xero!$A:$A,Heron!$A$4,Xero!$E:$E,Heron!$A18)-SUMIFS(Xero!$F:$F,Xero!$B:$B,Heron!BC$9,Xero!$A:$A,Heron!$A$5,Xero!$E:$E,Heron!$A18)</f>
        <v>0</v>
      </c>
      <c r="BD18" s="99">
        <f>-SUMIFS(Xero!$F:$F,Xero!$B:$B,Heron!BD$9,Xero!$A:$A,Heron!$A$4,Xero!$E:$E,Heron!$A18)-SUMIFS(Xero!$F:$F,Xero!$B:$B,Heron!BD$9,Xero!$A:$A,Heron!$A$5,Xero!$E:$E,Heron!$A18)</f>
        <v>0</v>
      </c>
      <c r="BE18" s="99">
        <f>-SUMIFS(Xero!$F:$F,Xero!$B:$B,Heron!BE$9,Xero!$A:$A,Heron!$A$4,Xero!$E:$E,Heron!$A18)-SUMIFS(Xero!$F:$F,Xero!$B:$B,Heron!BE$9,Xero!$A:$A,Heron!$A$5,Xero!$E:$E,Heron!$A18)</f>
        <v>0</v>
      </c>
      <c r="BF18" s="99">
        <f>-SUMIFS(Xero!$F:$F,Xero!$B:$B,Heron!BF$9,Xero!$A:$A,Heron!$A$4,Xero!$E:$E,Heron!$A18)-SUMIFS(Xero!$F:$F,Xero!$B:$B,Heron!BF$9,Xero!$A:$A,Heron!$A$5,Xero!$E:$E,Heron!$A18)</f>
        <v>0</v>
      </c>
      <c r="BG18" s="99">
        <f>-SUMIFS(Xero!$F:$F,Xero!$B:$B,Heron!BG$9,Xero!$A:$A,Heron!$A$4,Xero!$E:$E,Heron!$A18)-SUMIFS(Xero!$F:$F,Xero!$B:$B,Heron!BG$9,Xero!$A:$A,Heron!$A$5,Xero!$E:$E,Heron!$A18)</f>
        <v>0</v>
      </c>
      <c r="BH18" s="99">
        <f>-SUMIFS(Xero!$F:$F,Xero!$B:$B,Heron!BH$9,Xero!$A:$A,Heron!$A$4,Xero!$E:$E,Heron!$A18)-SUMIFS(Xero!$F:$F,Xero!$B:$B,Heron!BH$9,Xero!$A:$A,Heron!$A$5,Xero!$E:$E,Heron!$A18)</f>
        <v>0</v>
      </c>
      <c r="BI18" s="99">
        <f>-SUMIFS(Xero!$F:$F,Xero!$B:$B,Heron!BI$9,Xero!$A:$A,Heron!$A$4,Xero!$E:$E,Heron!$A18)-SUMIFS(Xero!$F:$F,Xero!$B:$B,Heron!BI$9,Xero!$A:$A,Heron!$A$5,Xero!$E:$E,Heron!$A18)</f>
        <v>0</v>
      </c>
      <c r="BJ18" s="99">
        <f>-SUMIFS(Xero!$F:$F,Xero!$B:$B,Heron!BJ$9,Xero!$A:$A,Heron!$A$4,Xero!$E:$E,Heron!$A18)-SUMIFS(Xero!$F:$F,Xero!$B:$B,Heron!BJ$9,Xero!$A:$A,Heron!$A$5,Xero!$E:$E,Heron!$A18)</f>
        <v>0</v>
      </c>
      <c r="BK18" s="99">
        <f t="shared" si="1"/>
        <v>149149.4</v>
      </c>
    </row>
    <row r="19" spans="1:64" ht="16" x14ac:dyDescent="0.2">
      <c r="A19" s="98" t="s">
        <v>1774</v>
      </c>
      <c r="D19" s="99">
        <f>-SUMIFS(Xero!$F:$F,Xero!$B:$B,Heron!D$9,Xero!$A:$A,Heron!$A$4,Xero!$E:$E,Heron!$A19)-SUMIFS(Xero!$F:$F,Xero!$B:$B,Heron!D$9,Xero!$A:$A,Heron!$A$5,Xero!$E:$E,Heron!$A19)</f>
        <v>0</v>
      </c>
      <c r="E19" s="99">
        <f>-SUMIFS(Xero!$F:$F,Xero!$B:$B,Heron!E$9,Xero!$A:$A,Heron!$A$4,Xero!$E:$E,Heron!$A19)-SUMIFS(Xero!$F:$F,Xero!$B:$B,Heron!E$9,Xero!$A:$A,Heron!$A$5,Xero!$E:$E,Heron!$A19)</f>
        <v>0</v>
      </c>
      <c r="F19" s="99">
        <f>-SUMIFS(Xero!$F:$F,Xero!$B:$B,Heron!F$9,Xero!$A:$A,Heron!$A$4,Xero!$E:$E,Heron!$A19)-SUMIFS(Xero!$F:$F,Xero!$B:$B,Heron!F$9,Xero!$A:$A,Heron!$A$5,Xero!$E:$E,Heron!$A19)</f>
        <v>0</v>
      </c>
      <c r="G19" s="99">
        <f>-SUMIFS(Xero!$F:$F,Xero!$B:$B,Heron!G$9,Xero!$A:$A,Heron!$A$4,Xero!$E:$E,Heron!$A19)-SUMIFS(Xero!$F:$F,Xero!$B:$B,Heron!G$9,Xero!$A:$A,Heron!$A$5,Xero!$E:$E,Heron!$A19)</f>
        <v>0</v>
      </c>
      <c r="H19" s="99">
        <f>-SUMIFS(Xero!$F:$F,Xero!$B:$B,Heron!H$9,Xero!$A:$A,Heron!$A$4,Xero!$E:$E,Heron!$A19)-SUMIFS(Xero!$F:$F,Xero!$B:$B,Heron!H$9,Xero!$A:$A,Heron!$A$5,Xero!$E:$E,Heron!$A19)</f>
        <v>0</v>
      </c>
      <c r="I19" s="99">
        <f>-SUMIFS(Xero!$F:$F,Xero!$B:$B,Heron!I$9,Xero!$A:$A,Heron!$A$4,Xero!$E:$E,Heron!$A19)-SUMIFS(Xero!$F:$F,Xero!$B:$B,Heron!I$9,Xero!$A:$A,Heron!$A$5,Xero!$E:$E,Heron!$A19)</f>
        <v>0</v>
      </c>
      <c r="J19" s="99">
        <f>-SUMIFS(Xero!$F:$F,Xero!$B:$B,Heron!J$9,Xero!$A:$A,Heron!$A$4,Xero!$E:$E,Heron!$A19)-SUMIFS(Xero!$F:$F,Xero!$B:$B,Heron!J$9,Xero!$A:$A,Heron!$A$5,Xero!$E:$E,Heron!$A19)</f>
        <v>0</v>
      </c>
      <c r="K19" s="99">
        <f>-SUMIFS(Xero!$F:$F,Xero!$B:$B,Heron!K$9,Xero!$A:$A,Heron!$A$4,Xero!$E:$E,Heron!$A19)-SUMIFS(Xero!$F:$F,Xero!$B:$B,Heron!K$9,Xero!$A:$A,Heron!$A$5,Xero!$E:$E,Heron!$A19)</f>
        <v>0</v>
      </c>
      <c r="L19" s="99">
        <f>-SUMIFS(Xero!$F:$F,Xero!$B:$B,Heron!L$9,Xero!$A:$A,Heron!$A$4,Xero!$E:$E,Heron!$A19)-SUMIFS(Xero!$F:$F,Xero!$B:$B,Heron!L$9,Xero!$A:$A,Heron!$A$5,Xero!$E:$E,Heron!$A19)</f>
        <v>0</v>
      </c>
      <c r="M19" s="99">
        <f>-SUMIFS(Xero!$F:$F,Xero!$B:$B,Heron!M$9,Xero!$A:$A,Heron!$A$4,Xero!$E:$E,Heron!$A19)-SUMIFS(Xero!$F:$F,Xero!$B:$B,Heron!M$9,Xero!$A:$A,Heron!$A$5,Xero!$E:$E,Heron!$A19)</f>
        <v>0</v>
      </c>
      <c r="N19" s="99">
        <f>-SUMIFS(Xero!$F:$F,Xero!$B:$B,Heron!N$9,Xero!$A:$A,Heron!$A$4,Xero!$E:$E,Heron!$A19)-SUMIFS(Xero!$F:$F,Xero!$B:$B,Heron!N$9,Xero!$A:$A,Heron!$A$5,Xero!$E:$E,Heron!$A19)</f>
        <v>0</v>
      </c>
      <c r="O19" s="99">
        <f>-SUMIFS(Xero!$F:$F,Xero!$B:$B,Heron!O$9,Xero!$A:$A,Heron!$A$4,Xero!$E:$E,Heron!$A19)-SUMIFS(Xero!$F:$F,Xero!$B:$B,Heron!O$9,Xero!$A:$A,Heron!$A$5,Xero!$E:$E,Heron!$A19)</f>
        <v>0</v>
      </c>
      <c r="P19" s="99">
        <f>-SUMIFS(Xero!$F:$F,Xero!$B:$B,Heron!P$9,Xero!$A:$A,Heron!$A$4,Xero!$E:$E,Heron!$A19)-SUMIFS(Xero!$F:$F,Xero!$B:$B,Heron!P$9,Xero!$A:$A,Heron!$A$5,Xero!$E:$E,Heron!$A19)</f>
        <v>0</v>
      </c>
      <c r="Q19" s="99">
        <f>-SUMIFS(Xero!$F:$F,Xero!$B:$B,Heron!Q$9,Xero!$A:$A,Heron!$A$4,Xero!$E:$E,Heron!$A19)-SUMIFS(Xero!$F:$F,Xero!$B:$B,Heron!Q$9,Xero!$A:$A,Heron!$A$5,Xero!$E:$E,Heron!$A19)</f>
        <v>0</v>
      </c>
      <c r="R19" s="99">
        <f>-SUMIFS(Xero!$F:$F,Xero!$B:$B,Heron!R$9,Xero!$A:$A,Heron!$A$4,Xero!$E:$E,Heron!$A19)-SUMIFS(Xero!$F:$F,Xero!$B:$B,Heron!R$9,Xero!$A:$A,Heron!$A$5,Xero!$E:$E,Heron!$A19)</f>
        <v>0</v>
      </c>
      <c r="S19" s="99">
        <f>-SUMIFS(Xero!$F:$F,Xero!$B:$B,Heron!S$9,Xero!$A:$A,Heron!$A$4,Xero!$E:$E,Heron!$A19)-SUMIFS(Xero!$F:$F,Xero!$B:$B,Heron!S$9,Xero!$A:$A,Heron!$A$5,Xero!$E:$E,Heron!$A19)</f>
        <v>0</v>
      </c>
      <c r="T19" s="99">
        <f>-SUMIFS(Xero!$F:$F,Xero!$B:$B,Heron!T$9,Xero!$A:$A,Heron!$A$4,Xero!$E:$E,Heron!$A19)-SUMIFS(Xero!$F:$F,Xero!$B:$B,Heron!T$9,Xero!$A:$A,Heron!$A$5,Xero!$E:$E,Heron!$A19)</f>
        <v>0</v>
      </c>
      <c r="U19" s="99">
        <f>-SUMIFS(Xero!$F:$F,Xero!$B:$B,Heron!U$9,Xero!$A:$A,Heron!$A$4,Xero!$E:$E,Heron!$A19)-SUMIFS(Xero!$F:$F,Xero!$B:$B,Heron!U$9,Xero!$A:$A,Heron!$A$5,Xero!$E:$E,Heron!$A19)</f>
        <v>0</v>
      </c>
      <c r="V19" s="99">
        <f>-SUMIFS(Xero!$F:$F,Xero!$B:$B,Heron!V$9,Xero!$A:$A,Heron!$A$4,Xero!$E:$E,Heron!$A19)-SUMIFS(Xero!$F:$F,Xero!$B:$B,Heron!V$9,Xero!$A:$A,Heron!$A$5,Xero!$E:$E,Heron!$A19)</f>
        <v>0</v>
      </c>
      <c r="W19" s="99">
        <f>-SUMIFS(Xero!$F:$F,Xero!$B:$B,Heron!W$9,Xero!$A:$A,Heron!$A$4,Xero!$E:$E,Heron!$A19)-SUMIFS(Xero!$F:$F,Xero!$B:$B,Heron!W$9,Xero!$A:$A,Heron!$A$5,Xero!$E:$E,Heron!$A19)</f>
        <v>0</v>
      </c>
      <c r="X19" s="99">
        <f>-SUMIFS(Xero!$F:$F,Xero!$B:$B,Heron!X$9,Xero!$A:$A,Heron!$A$4,Xero!$E:$E,Heron!$A19)-SUMIFS(Xero!$F:$F,Xero!$B:$B,Heron!X$9,Xero!$A:$A,Heron!$A$5,Xero!$E:$E,Heron!$A19)</f>
        <v>0</v>
      </c>
      <c r="Y19" s="99">
        <f>-SUMIFS(Xero!$F:$F,Xero!$B:$B,Heron!Y$9,Xero!$A:$A,Heron!$A$4,Xero!$E:$E,Heron!$A19)-SUMIFS(Xero!$F:$F,Xero!$B:$B,Heron!Y$9,Xero!$A:$A,Heron!$A$5,Xero!$E:$E,Heron!$A19)</f>
        <v>0</v>
      </c>
      <c r="Z19" s="99">
        <f>-SUMIFS(Xero!$F:$F,Xero!$B:$B,Heron!Z$9,Xero!$A:$A,Heron!$A$4,Xero!$E:$E,Heron!$A19)-SUMIFS(Xero!$F:$F,Xero!$B:$B,Heron!Z$9,Xero!$A:$A,Heron!$A$5,Xero!$E:$E,Heron!$A19)</f>
        <v>0</v>
      </c>
      <c r="AA19" s="99">
        <f>-SUMIFS(Xero!$F:$F,Xero!$B:$B,Heron!AA$9,Xero!$A:$A,Heron!$A$4,Xero!$E:$E,Heron!$A19)-SUMIFS(Xero!$F:$F,Xero!$B:$B,Heron!AA$9,Xero!$A:$A,Heron!$A$5,Xero!$E:$E,Heron!$A19)</f>
        <v>0</v>
      </c>
      <c r="AB19" s="99">
        <f>-SUMIFS(Xero!$F:$F,Xero!$B:$B,Heron!AB$9,Xero!$A:$A,Heron!$A$4,Xero!$E:$E,Heron!$A19)-SUMIFS(Xero!$F:$F,Xero!$B:$B,Heron!AB$9,Xero!$A:$A,Heron!$A$5,Xero!$E:$E,Heron!$A19)</f>
        <v>0</v>
      </c>
      <c r="AC19" s="99">
        <f>-SUMIFS(Xero!$F:$F,Xero!$B:$B,Heron!AC$9,Xero!$A:$A,Heron!$A$4,Xero!$E:$E,Heron!$A19)-SUMIFS(Xero!$F:$F,Xero!$B:$B,Heron!AC$9,Xero!$A:$A,Heron!$A$5,Xero!$E:$E,Heron!$A19)</f>
        <v>0</v>
      </c>
      <c r="AD19" s="99">
        <f>-SUMIFS(Xero!$F:$F,Xero!$B:$B,Heron!AD$9,Xero!$A:$A,Heron!$A$4,Xero!$E:$E,Heron!$A19)-SUMIFS(Xero!$F:$F,Xero!$B:$B,Heron!AD$9,Xero!$A:$A,Heron!$A$5,Xero!$E:$E,Heron!$A19)</f>
        <v>0</v>
      </c>
      <c r="AE19" s="99">
        <f>-SUMIFS(Xero!$F:$F,Xero!$B:$B,Heron!AE$9,Xero!$A:$A,Heron!$A$4,Xero!$E:$E,Heron!$A19)-SUMIFS(Xero!$F:$F,Xero!$B:$B,Heron!AE$9,Xero!$A:$A,Heron!$A$5,Xero!$E:$E,Heron!$A19)</f>
        <v>0</v>
      </c>
      <c r="AF19" s="99">
        <f>-SUMIFS(Xero!$F:$F,Xero!$B:$B,Heron!AF$9,Xero!$A:$A,Heron!$A$4,Xero!$E:$E,Heron!$A19)-SUMIFS(Xero!$F:$F,Xero!$B:$B,Heron!AF$9,Xero!$A:$A,Heron!$A$5,Xero!$E:$E,Heron!$A19)</f>
        <v>0</v>
      </c>
      <c r="AG19" s="99">
        <f>-SUMIFS(Xero!$F:$F,Xero!$B:$B,Heron!AG$9,Xero!$A:$A,Heron!$A$4,Xero!$E:$E,Heron!$A19)-SUMIFS(Xero!$F:$F,Xero!$B:$B,Heron!AG$9,Xero!$A:$A,Heron!$A$5,Xero!$E:$E,Heron!$A19)</f>
        <v>0</v>
      </c>
      <c r="AH19" s="99">
        <f>-SUMIFS(Xero!$F:$F,Xero!$B:$B,Heron!AH$9,Xero!$A:$A,Heron!$A$4,Xero!$E:$E,Heron!$A19)-SUMIFS(Xero!$F:$F,Xero!$B:$B,Heron!AH$9,Xero!$A:$A,Heron!$A$5,Xero!$E:$E,Heron!$A19)</f>
        <v>0</v>
      </c>
      <c r="AI19" s="99">
        <f>-SUMIFS(Xero!$F:$F,Xero!$B:$B,Heron!AI$9,Xero!$A:$A,Heron!$A$4,Xero!$E:$E,Heron!$A19)-SUMIFS(Xero!$F:$F,Xero!$B:$B,Heron!AI$9,Xero!$A:$A,Heron!$A$5,Xero!$E:$E,Heron!$A19)</f>
        <v>0</v>
      </c>
      <c r="AJ19" s="99">
        <f>-SUMIFS(Xero!$F:$F,Xero!$B:$B,Heron!AJ$9,Xero!$A:$A,Heron!$A$4,Xero!$E:$E,Heron!$A19)-SUMIFS(Xero!$F:$F,Xero!$B:$B,Heron!AJ$9,Xero!$A:$A,Heron!$A$5,Xero!$E:$E,Heron!$A19)</f>
        <v>0</v>
      </c>
      <c r="AK19" s="99">
        <f>-SUMIFS(Xero!$F:$F,Xero!$B:$B,Heron!AK$9,Xero!$A:$A,Heron!$A$4,Xero!$E:$E,Heron!$A19)-SUMIFS(Xero!$F:$F,Xero!$B:$B,Heron!AK$9,Xero!$A:$A,Heron!$A$5,Xero!$E:$E,Heron!$A19)</f>
        <v>0</v>
      </c>
      <c r="AL19" s="99">
        <f>-SUMIFS(Xero!$F:$F,Xero!$B:$B,Heron!AL$9,Xero!$A:$A,Heron!$A$4,Xero!$E:$E,Heron!$A19)-SUMIFS(Xero!$F:$F,Xero!$B:$B,Heron!AL$9,Xero!$A:$A,Heron!$A$5,Xero!$E:$E,Heron!$A19)</f>
        <v>0</v>
      </c>
      <c r="AM19" s="99">
        <f>-SUMIFS(Xero!$F:$F,Xero!$B:$B,Heron!AM$9,Xero!$A:$A,Heron!$A$4,Xero!$E:$E,Heron!$A19)-SUMIFS(Xero!$F:$F,Xero!$B:$B,Heron!AM$9,Xero!$A:$A,Heron!$A$5,Xero!$E:$E,Heron!$A19)</f>
        <v>0</v>
      </c>
      <c r="AN19" s="99">
        <f>-SUMIFS(Xero!$F:$F,Xero!$B:$B,Heron!AN$9,Xero!$A:$A,Heron!$A$4,Xero!$E:$E,Heron!$A19)-SUMIFS(Xero!$F:$F,Xero!$B:$B,Heron!AN$9,Xero!$A:$A,Heron!$A$5,Xero!$E:$E,Heron!$A19)</f>
        <v>0</v>
      </c>
      <c r="AO19" s="99">
        <f>-SUMIFS(Xero!$F:$F,Xero!$B:$B,Heron!AO$9,Xero!$A:$A,Heron!$A$4,Xero!$E:$E,Heron!$A19)-SUMIFS(Xero!$F:$F,Xero!$B:$B,Heron!AO$9,Xero!$A:$A,Heron!$A$5,Xero!$E:$E,Heron!$A19)</f>
        <v>0</v>
      </c>
      <c r="AP19" s="99">
        <f>-SUMIFS(Xero!$F:$F,Xero!$B:$B,Heron!AP$9,Xero!$A:$A,Heron!$A$4,Xero!$E:$E,Heron!$A19)-SUMIFS(Xero!$F:$F,Xero!$B:$B,Heron!AP$9,Xero!$A:$A,Heron!$A$5,Xero!$E:$E,Heron!$A19)</f>
        <v>0</v>
      </c>
      <c r="AQ19" s="99">
        <f>-SUMIFS(Xero!$F:$F,Xero!$B:$B,Heron!AQ$9,Xero!$A:$A,Heron!$A$4,Xero!$E:$E,Heron!$A19)-SUMIFS(Xero!$F:$F,Xero!$B:$B,Heron!AQ$9,Xero!$A:$A,Heron!$A$5,Xero!$E:$E,Heron!$A19)</f>
        <v>0</v>
      </c>
      <c r="AR19" s="99">
        <f>-SUMIFS(Xero!$F:$F,Xero!$B:$B,Heron!AR$9,Xero!$A:$A,Heron!$A$4,Xero!$E:$E,Heron!$A19)-SUMIFS(Xero!$F:$F,Xero!$B:$B,Heron!AR$9,Xero!$A:$A,Heron!$A$5,Xero!$E:$E,Heron!$A19)</f>
        <v>0</v>
      </c>
      <c r="AS19" s="99">
        <f>-SUMIFS(Xero!$F:$F,Xero!$B:$B,Heron!AS$9,Xero!$A:$A,Heron!$A$4,Xero!$E:$E,Heron!$A19)-SUMIFS(Xero!$F:$F,Xero!$B:$B,Heron!AS$9,Xero!$A:$A,Heron!$A$5,Xero!$E:$E,Heron!$A19)</f>
        <v>0</v>
      </c>
      <c r="AT19" s="99">
        <f>-SUMIFS(Xero!$F:$F,Xero!$B:$B,Heron!AT$9,Xero!$A:$A,Heron!$A$4,Xero!$E:$E,Heron!$A19)-SUMIFS(Xero!$F:$F,Xero!$B:$B,Heron!AT$9,Xero!$A:$A,Heron!$A$5,Xero!$E:$E,Heron!$A19)</f>
        <v>0</v>
      </c>
      <c r="AU19" s="99">
        <f>-SUMIFS(Xero!$F:$F,Xero!$B:$B,Heron!AU$9,Xero!$A:$A,Heron!$A$4,Xero!$E:$E,Heron!$A19)-SUMIFS(Xero!$F:$F,Xero!$B:$B,Heron!AU$9,Xero!$A:$A,Heron!$A$5,Xero!$E:$E,Heron!$A19)</f>
        <v>0</v>
      </c>
      <c r="AV19" s="99">
        <f>-SUMIFS(Xero!$F:$F,Xero!$B:$B,Heron!AV$9,Xero!$A:$A,Heron!$A$4,Xero!$E:$E,Heron!$A19)-SUMIFS(Xero!$F:$F,Xero!$B:$B,Heron!AV$9,Xero!$A:$A,Heron!$A$5,Xero!$E:$E,Heron!$A19)</f>
        <v>0</v>
      </c>
      <c r="AW19" s="99">
        <f>-SUMIFS(Xero!$F:$F,Xero!$B:$B,Heron!AW$9,Xero!$A:$A,Heron!$A$4,Xero!$E:$E,Heron!$A19)-SUMIFS(Xero!$F:$F,Xero!$B:$B,Heron!AW$9,Xero!$A:$A,Heron!$A$5,Xero!$E:$E,Heron!$A19)</f>
        <v>0</v>
      </c>
      <c r="AX19" s="99">
        <f>-SUMIFS(Xero!$F:$F,Xero!$B:$B,Heron!AX$9,Xero!$A:$A,Heron!$A$4,Xero!$E:$E,Heron!$A19)-SUMIFS(Xero!$F:$F,Xero!$B:$B,Heron!AX$9,Xero!$A:$A,Heron!$A$5,Xero!$E:$E,Heron!$A19)</f>
        <v>0</v>
      </c>
      <c r="AY19" s="99">
        <f>-SUMIFS(Xero!$F:$F,Xero!$B:$B,Heron!AY$9,Xero!$A:$A,Heron!$A$4,Xero!$E:$E,Heron!$A19)-SUMIFS(Xero!$F:$F,Xero!$B:$B,Heron!AY$9,Xero!$A:$A,Heron!$A$5,Xero!$E:$E,Heron!$A19)</f>
        <v>0</v>
      </c>
      <c r="AZ19" s="99">
        <f>-SUMIFS(Xero!$F:$F,Xero!$B:$B,Heron!AZ$9,Xero!$A:$A,Heron!$A$4,Xero!$E:$E,Heron!$A19)-SUMIFS(Xero!$F:$F,Xero!$B:$B,Heron!AZ$9,Xero!$A:$A,Heron!$A$5,Xero!$E:$E,Heron!$A19)</f>
        <v>0</v>
      </c>
      <c r="BA19" s="99">
        <f>-SUMIFS(Xero!$F:$F,Xero!$B:$B,Heron!BA$9,Xero!$A:$A,Heron!$A$4,Xero!$E:$E,Heron!$A19)-SUMIFS(Xero!$F:$F,Xero!$B:$B,Heron!BA$9,Xero!$A:$A,Heron!$A$5,Xero!$E:$E,Heron!$A19)</f>
        <v>0</v>
      </c>
      <c r="BB19" s="99">
        <f>-SUMIFS(Xero!$F:$F,Xero!$B:$B,Heron!BB$9,Xero!$A:$A,Heron!$A$4,Xero!$E:$E,Heron!$A19)-SUMIFS(Xero!$F:$F,Xero!$B:$B,Heron!BB$9,Xero!$A:$A,Heron!$A$5,Xero!$E:$E,Heron!$A19)</f>
        <v>0</v>
      </c>
      <c r="BC19" s="99">
        <f>-SUMIFS(Xero!$F:$F,Xero!$B:$B,Heron!BC$9,Xero!$A:$A,Heron!$A$4,Xero!$E:$E,Heron!$A19)-SUMIFS(Xero!$F:$F,Xero!$B:$B,Heron!BC$9,Xero!$A:$A,Heron!$A$5,Xero!$E:$E,Heron!$A19)</f>
        <v>0</v>
      </c>
      <c r="BD19" s="99">
        <f>-SUMIFS(Xero!$F:$F,Xero!$B:$B,Heron!BD$9,Xero!$A:$A,Heron!$A$4,Xero!$E:$E,Heron!$A19)-SUMIFS(Xero!$F:$F,Xero!$B:$B,Heron!BD$9,Xero!$A:$A,Heron!$A$5,Xero!$E:$E,Heron!$A19)</f>
        <v>0</v>
      </c>
      <c r="BE19" s="99">
        <f>-SUMIFS(Xero!$F:$F,Xero!$B:$B,Heron!BE$9,Xero!$A:$A,Heron!$A$4,Xero!$E:$E,Heron!$A19)-SUMIFS(Xero!$F:$F,Xero!$B:$B,Heron!BE$9,Xero!$A:$A,Heron!$A$5,Xero!$E:$E,Heron!$A19)</f>
        <v>0</v>
      </c>
      <c r="BF19" s="99">
        <f>-SUMIFS(Xero!$F:$F,Xero!$B:$B,Heron!BF$9,Xero!$A:$A,Heron!$A$4,Xero!$E:$E,Heron!$A19)-SUMIFS(Xero!$F:$F,Xero!$B:$B,Heron!BF$9,Xero!$A:$A,Heron!$A$5,Xero!$E:$E,Heron!$A19)</f>
        <v>0</v>
      </c>
      <c r="BG19" s="99">
        <f>-SUMIFS(Xero!$F:$F,Xero!$B:$B,Heron!BG$9,Xero!$A:$A,Heron!$A$4,Xero!$E:$E,Heron!$A19)-SUMIFS(Xero!$F:$F,Xero!$B:$B,Heron!BG$9,Xero!$A:$A,Heron!$A$5,Xero!$E:$E,Heron!$A19)</f>
        <v>0</v>
      </c>
      <c r="BH19" s="99">
        <f>-SUMIFS(Xero!$F:$F,Xero!$B:$B,Heron!BH$9,Xero!$A:$A,Heron!$A$4,Xero!$E:$E,Heron!$A19)-SUMIFS(Xero!$F:$F,Xero!$B:$B,Heron!BH$9,Xero!$A:$A,Heron!$A$5,Xero!$E:$E,Heron!$A19)</f>
        <v>0</v>
      </c>
      <c r="BI19" s="99">
        <f>-SUMIFS(Xero!$F:$F,Xero!$B:$B,Heron!BI$9,Xero!$A:$A,Heron!$A$4,Xero!$E:$E,Heron!$A19)-SUMIFS(Xero!$F:$F,Xero!$B:$B,Heron!BI$9,Xero!$A:$A,Heron!$A$5,Xero!$E:$E,Heron!$A19)</f>
        <v>0</v>
      </c>
      <c r="BJ19" s="99">
        <f>-SUMIFS(Xero!$F:$F,Xero!$B:$B,Heron!BJ$9,Xero!$A:$A,Heron!$A$4,Xero!$E:$E,Heron!$A19)-SUMIFS(Xero!$F:$F,Xero!$B:$B,Heron!BJ$9,Xero!$A:$A,Heron!$A$5,Xero!$E:$E,Heron!$A19)</f>
        <v>0</v>
      </c>
      <c r="BK19" s="99">
        <f t="shared" si="1"/>
        <v>0</v>
      </c>
    </row>
    <row r="20" spans="1:64" ht="16" x14ac:dyDescent="0.2">
      <c r="A20" s="98" t="s">
        <v>1786</v>
      </c>
      <c r="D20" s="99">
        <f>-SUMIFS(Xero!$F:$F,Xero!$B:$B,Heron!D$9,Xero!$A:$A,Heron!$A$4,Xero!$E:$E,Heron!$A20)-SUMIFS(Xero!$F:$F,Xero!$B:$B,Heron!D$9,Xero!$A:$A,Heron!$A$5,Xero!$E:$E,Heron!$A20)</f>
        <v>0</v>
      </c>
      <c r="E20" s="99">
        <f>-SUMIFS(Xero!$F:$F,Xero!$B:$B,Heron!E$9,Xero!$A:$A,Heron!$A$4,Xero!$E:$E,Heron!$A20)-SUMIFS(Xero!$F:$F,Xero!$B:$B,Heron!E$9,Xero!$A:$A,Heron!$A$5,Xero!$E:$E,Heron!$A20)</f>
        <v>0</v>
      </c>
      <c r="F20" s="99">
        <f>-SUMIFS(Xero!$F:$F,Xero!$B:$B,Heron!F$9,Xero!$A:$A,Heron!$A$4,Xero!$E:$E,Heron!$A20)-SUMIFS(Xero!$F:$F,Xero!$B:$B,Heron!F$9,Xero!$A:$A,Heron!$A$5,Xero!$E:$E,Heron!$A20)</f>
        <v>0</v>
      </c>
      <c r="G20" s="99">
        <f>-SUMIFS(Xero!$F:$F,Xero!$B:$B,Heron!G$9,Xero!$A:$A,Heron!$A$4,Xero!$E:$E,Heron!$A20)-SUMIFS(Xero!$F:$F,Xero!$B:$B,Heron!G$9,Xero!$A:$A,Heron!$A$5,Xero!$E:$E,Heron!$A20)</f>
        <v>0</v>
      </c>
      <c r="H20" s="99">
        <f>-SUMIFS(Xero!$F:$F,Xero!$B:$B,Heron!H$9,Xero!$A:$A,Heron!$A$4,Xero!$E:$E,Heron!$A20)-SUMIFS(Xero!$F:$F,Xero!$B:$B,Heron!H$9,Xero!$A:$A,Heron!$A$5,Xero!$E:$E,Heron!$A20)</f>
        <v>0</v>
      </c>
      <c r="I20" s="99">
        <f>-SUMIFS(Xero!$F:$F,Xero!$B:$B,Heron!I$9,Xero!$A:$A,Heron!$A$4,Xero!$E:$E,Heron!$A20)-SUMIFS(Xero!$F:$F,Xero!$B:$B,Heron!I$9,Xero!$A:$A,Heron!$A$5,Xero!$E:$E,Heron!$A20)</f>
        <v>0</v>
      </c>
      <c r="J20" s="99">
        <f>-SUMIFS(Xero!$F:$F,Xero!$B:$B,Heron!J$9,Xero!$A:$A,Heron!$A$4,Xero!$E:$E,Heron!$A20)-SUMIFS(Xero!$F:$F,Xero!$B:$B,Heron!J$9,Xero!$A:$A,Heron!$A$5,Xero!$E:$E,Heron!$A20)</f>
        <v>0</v>
      </c>
      <c r="K20" s="99">
        <f>-SUMIFS(Xero!$F:$F,Xero!$B:$B,Heron!K$9,Xero!$A:$A,Heron!$A$4,Xero!$E:$E,Heron!$A20)-SUMIFS(Xero!$F:$F,Xero!$B:$B,Heron!K$9,Xero!$A:$A,Heron!$A$5,Xero!$E:$E,Heron!$A20)</f>
        <v>0</v>
      </c>
      <c r="L20" s="99">
        <f>-SUMIFS(Xero!$F:$F,Xero!$B:$B,Heron!L$9,Xero!$A:$A,Heron!$A$4,Xero!$E:$E,Heron!$A20)-SUMIFS(Xero!$F:$F,Xero!$B:$B,Heron!L$9,Xero!$A:$A,Heron!$A$5,Xero!$E:$E,Heron!$A20)</f>
        <v>0</v>
      </c>
      <c r="M20" s="99">
        <f>-SUMIFS(Xero!$F:$F,Xero!$B:$B,Heron!M$9,Xero!$A:$A,Heron!$A$4,Xero!$E:$E,Heron!$A20)-SUMIFS(Xero!$F:$F,Xero!$B:$B,Heron!M$9,Xero!$A:$A,Heron!$A$5,Xero!$E:$E,Heron!$A20)</f>
        <v>0</v>
      </c>
      <c r="N20" s="99">
        <f>-SUMIFS(Xero!$F:$F,Xero!$B:$B,Heron!N$9,Xero!$A:$A,Heron!$A$4,Xero!$E:$E,Heron!$A20)-SUMIFS(Xero!$F:$F,Xero!$B:$B,Heron!N$9,Xero!$A:$A,Heron!$A$5,Xero!$E:$E,Heron!$A20)</f>
        <v>0</v>
      </c>
      <c r="O20" s="99">
        <f>-SUMIFS(Xero!$F:$F,Xero!$B:$B,Heron!O$9,Xero!$A:$A,Heron!$A$4,Xero!$E:$E,Heron!$A20)-SUMIFS(Xero!$F:$F,Xero!$B:$B,Heron!O$9,Xero!$A:$A,Heron!$A$5,Xero!$E:$E,Heron!$A20)</f>
        <v>0</v>
      </c>
      <c r="P20" s="99">
        <f>-SUMIFS(Xero!$F:$F,Xero!$B:$B,Heron!P$9,Xero!$A:$A,Heron!$A$4,Xero!$E:$E,Heron!$A20)-SUMIFS(Xero!$F:$F,Xero!$B:$B,Heron!P$9,Xero!$A:$A,Heron!$A$5,Xero!$E:$E,Heron!$A20)</f>
        <v>0</v>
      </c>
      <c r="Q20" s="99">
        <f>-SUMIFS(Xero!$F:$F,Xero!$B:$B,Heron!Q$9,Xero!$A:$A,Heron!$A$4,Xero!$E:$E,Heron!$A20)-SUMIFS(Xero!$F:$F,Xero!$B:$B,Heron!Q$9,Xero!$A:$A,Heron!$A$5,Xero!$E:$E,Heron!$A20)</f>
        <v>0</v>
      </c>
      <c r="R20" s="99">
        <f>-SUMIFS(Xero!$F:$F,Xero!$B:$B,Heron!R$9,Xero!$A:$A,Heron!$A$4,Xero!$E:$E,Heron!$A20)-SUMIFS(Xero!$F:$F,Xero!$B:$B,Heron!R$9,Xero!$A:$A,Heron!$A$5,Xero!$E:$E,Heron!$A20)</f>
        <v>0</v>
      </c>
      <c r="S20" s="99">
        <f>-SUMIFS(Xero!$F:$F,Xero!$B:$B,Heron!S$9,Xero!$A:$A,Heron!$A$4,Xero!$E:$E,Heron!$A20)-SUMIFS(Xero!$F:$F,Xero!$B:$B,Heron!S$9,Xero!$A:$A,Heron!$A$5,Xero!$E:$E,Heron!$A20)</f>
        <v>0</v>
      </c>
      <c r="T20" s="99">
        <f>-SUMIFS(Xero!$F:$F,Xero!$B:$B,Heron!T$9,Xero!$A:$A,Heron!$A$4,Xero!$E:$E,Heron!$A20)-SUMIFS(Xero!$F:$F,Xero!$B:$B,Heron!T$9,Xero!$A:$A,Heron!$A$5,Xero!$E:$E,Heron!$A20)</f>
        <v>0</v>
      </c>
      <c r="U20" s="99">
        <f>-SUMIFS(Xero!$F:$F,Xero!$B:$B,Heron!U$9,Xero!$A:$A,Heron!$A$4,Xero!$E:$E,Heron!$A20)-SUMIFS(Xero!$F:$F,Xero!$B:$B,Heron!U$9,Xero!$A:$A,Heron!$A$5,Xero!$E:$E,Heron!$A20)</f>
        <v>0</v>
      </c>
      <c r="V20" s="99">
        <f>-SUMIFS(Xero!$F:$F,Xero!$B:$B,Heron!V$9,Xero!$A:$A,Heron!$A$4,Xero!$E:$E,Heron!$A20)-SUMIFS(Xero!$F:$F,Xero!$B:$B,Heron!V$9,Xero!$A:$A,Heron!$A$5,Xero!$E:$E,Heron!$A20)</f>
        <v>0</v>
      </c>
      <c r="W20" s="99">
        <f>-SUMIFS(Xero!$F:$F,Xero!$B:$B,Heron!W$9,Xero!$A:$A,Heron!$A$4,Xero!$E:$E,Heron!$A20)-SUMIFS(Xero!$F:$F,Xero!$B:$B,Heron!W$9,Xero!$A:$A,Heron!$A$5,Xero!$E:$E,Heron!$A20)</f>
        <v>0</v>
      </c>
      <c r="X20" s="99">
        <f>-SUMIFS(Xero!$F:$F,Xero!$B:$B,Heron!X$9,Xero!$A:$A,Heron!$A$4,Xero!$E:$E,Heron!$A20)-SUMIFS(Xero!$F:$F,Xero!$B:$B,Heron!X$9,Xero!$A:$A,Heron!$A$5,Xero!$E:$E,Heron!$A20)</f>
        <v>0</v>
      </c>
      <c r="Y20" s="99">
        <f>-SUMIFS(Xero!$F:$F,Xero!$B:$B,Heron!Y$9,Xero!$A:$A,Heron!$A$4,Xero!$E:$E,Heron!$A20)-SUMIFS(Xero!$F:$F,Xero!$B:$B,Heron!Y$9,Xero!$A:$A,Heron!$A$5,Xero!$E:$E,Heron!$A20)</f>
        <v>0</v>
      </c>
      <c r="Z20" s="99">
        <f>-SUMIFS(Xero!$F:$F,Xero!$B:$B,Heron!Z$9,Xero!$A:$A,Heron!$A$4,Xero!$E:$E,Heron!$A20)-SUMIFS(Xero!$F:$F,Xero!$B:$B,Heron!Z$9,Xero!$A:$A,Heron!$A$5,Xero!$E:$E,Heron!$A20)</f>
        <v>0</v>
      </c>
      <c r="AA20" s="99">
        <f>-SUMIFS(Xero!$F:$F,Xero!$B:$B,Heron!AA$9,Xero!$A:$A,Heron!$A$4,Xero!$E:$E,Heron!$A20)-SUMIFS(Xero!$F:$F,Xero!$B:$B,Heron!AA$9,Xero!$A:$A,Heron!$A$5,Xero!$E:$E,Heron!$A20)</f>
        <v>0</v>
      </c>
      <c r="AB20" s="99">
        <f>-SUMIFS(Xero!$F:$F,Xero!$B:$B,Heron!AB$9,Xero!$A:$A,Heron!$A$4,Xero!$E:$E,Heron!$A20)-SUMIFS(Xero!$F:$F,Xero!$B:$B,Heron!AB$9,Xero!$A:$A,Heron!$A$5,Xero!$E:$E,Heron!$A20)</f>
        <v>0</v>
      </c>
      <c r="AC20" s="99">
        <f>-SUMIFS(Xero!$F:$F,Xero!$B:$B,Heron!AC$9,Xero!$A:$A,Heron!$A$4,Xero!$E:$E,Heron!$A20)-SUMIFS(Xero!$F:$F,Xero!$B:$B,Heron!AC$9,Xero!$A:$A,Heron!$A$5,Xero!$E:$E,Heron!$A20)</f>
        <v>0</v>
      </c>
      <c r="AD20" s="99">
        <f>-SUMIFS(Xero!$F:$F,Xero!$B:$B,Heron!AD$9,Xero!$A:$A,Heron!$A$4,Xero!$E:$E,Heron!$A20)-SUMIFS(Xero!$F:$F,Xero!$B:$B,Heron!AD$9,Xero!$A:$A,Heron!$A$5,Xero!$E:$E,Heron!$A20)</f>
        <v>0</v>
      </c>
      <c r="AE20" s="99">
        <f>-SUMIFS(Xero!$F:$F,Xero!$B:$B,Heron!AE$9,Xero!$A:$A,Heron!$A$4,Xero!$E:$E,Heron!$A20)-SUMIFS(Xero!$F:$F,Xero!$B:$B,Heron!AE$9,Xero!$A:$A,Heron!$A$5,Xero!$E:$E,Heron!$A20)</f>
        <v>0</v>
      </c>
      <c r="AF20" s="99">
        <f>-SUMIFS(Xero!$F:$F,Xero!$B:$B,Heron!AF$9,Xero!$A:$A,Heron!$A$4,Xero!$E:$E,Heron!$A20)-SUMIFS(Xero!$F:$F,Xero!$B:$B,Heron!AF$9,Xero!$A:$A,Heron!$A$5,Xero!$E:$E,Heron!$A20)</f>
        <v>0</v>
      </c>
      <c r="AG20" s="99">
        <f>-SUMIFS(Xero!$F:$F,Xero!$B:$B,Heron!AG$9,Xero!$A:$A,Heron!$A$4,Xero!$E:$E,Heron!$A20)-SUMIFS(Xero!$F:$F,Xero!$B:$B,Heron!AG$9,Xero!$A:$A,Heron!$A$5,Xero!$E:$E,Heron!$A20)</f>
        <v>0</v>
      </c>
      <c r="AH20" s="99">
        <f>-SUMIFS(Xero!$F:$F,Xero!$B:$B,Heron!AH$9,Xero!$A:$A,Heron!$A$4,Xero!$E:$E,Heron!$A20)-SUMIFS(Xero!$F:$F,Xero!$B:$B,Heron!AH$9,Xero!$A:$A,Heron!$A$5,Xero!$E:$E,Heron!$A20)</f>
        <v>0</v>
      </c>
      <c r="AI20" s="99">
        <f>-SUMIFS(Xero!$F:$F,Xero!$B:$B,Heron!AI$9,Xero!$A:$A,Heron!$A$4,Xero!$E:$E,Heron!$A20)-SUMIFS(Xero!$F:$F,Xero!$B:$B,Heron!AI$9,Xero!$A:$A,Heron!$A$5,Xero!$E:$E,Heron!$A20)</f>
        <v>0</v>
      </c>
      <c r="AJ20" s="99">
        <f>-SUMIFS(Xero!$F:$F,Xero!$B:$B,Heron!AJ$9,Xero!$A:$A,Heron!$A$4,Xero!$E:$E,Heron!$A20)-SUMIFS(Xero!$F:$F,Xero!$B:$B,Heron!AJ$9,Xero!$A:$A,Heron!$A$5,Xero!$E:$E,Heron!$A20)</f>
        <v>0</v>
      </c>
      <c r="AK20" s="99">
        <f>-SUMIFS(Xero!$F:$F,Xero!$B:$B,Heron!AK$9,Xero!$A:$A,Heron!$A$4,Xero!$E:$E,Heron!$A20)-SUMIFS(Xero!$F:$F,Xero!$B:$B,Heron!AK$9,Xero!$A:$A,Heron!$A$5,Xero!$E:$E,Heron!$A20)</f>
        <v>0</v>
      </c>
      <c r="AL20" s="99">
        <f>-SUMIFS(Xero!$F:$F,Xero!$B:$B,Heron!AL$9,Xero!$A:$A,Heron!$A$4,Xero!$E:$E,Heron!$A20)-SUMIFS(Xero!$F:$F,Xero!$B:$B,Heron!AL$9,Xero!$A:$A,Heron!$A$5,Xero!$E:$E,Heron!$A20)</f>
        <v>0</v>
      </c>
      <c r="AM20" s="99">
        <f>-SUMIFS(Xero!$F:$F,Xero!$B:$B,Heron!AM$9,Xero!$A:$A,Heron!$A$4,Xero!$E:$E,Heron!$A20)-SUMIFS(Xero!$F:$F,Xero!$B:$B,Heron!AM$9,Xero!$A:$A,Heron!$A$5,Xero!$E:$E,Heron!$A20)</f>
        <v>0</v>
      </c>
      <c r="AN20" s="99">
        <f>-SUMIFS(Xero!$F:$F,Xero!$B:$B,Heron!AN$9,Xero!$A:$A,Heron!$A$4,Xero!$E:$E,Heron!$A20)-SUMIFS(Xero!$F:$F,Xero!$B:$B,Heron!AN$9,Xero!$A:$A,Heron!$A$5,Xero!$E:$E,Heron!$A20)</f>
        <v>0</v>
      </c>
      <c r="AO20" s="99">
        <f>-SUMIFS(Xero!$F:$F,Xero!$B:$B,Heron!AO$9,Xero!$A:$A,Heron!$A$4,Xero!$E:$E,Heron!$A20)-SUMIFS(Xero!$F:$F,Xero!$B:$B,Heron!AO$9,Xero!$A:$A,Heron!$A$5,Xero!$E:$E,Heron!$A20)</f>
        <v>0</v>
      </c>
      <c r="AP20" s="99">
        <f>-SUMIFS(Xero!$F:$F,Xero!$B:$B,Heron!AP$9,Xero!$A:$A,Heron!$A$4,Xero!$E:$E,Heron!$A20)-SUMIFS(Xero!$F:$F,Xero!$B:$B,Heron!AP$9,Xero!$A:$A,Heron!$A$5,Xero!$E:$E,Heron!$A20)</f>
        <v>0</v>
      </c>
      <c r="AQ20" s="99">
        <f>-SUMIFS(Xero!$F:$F,Xero!$B:$B,Heron!AQ$9,Xero!$A:$A,Heron!$A$4,Xero!$E:$E,Heron!$A20)-SUMIFS(Xero!$F:$F,Xero!$B:$B,Heron!AQ$9,Xero!$A:$A,Heron!$A$5,Xero!$E:$E,Heron!$A20)</f>
        <v>0</v>
      </c>
      <c r="AR20" s="99">
        <f>-SUMIFS(Xero!$F:$F,Xero!$B:$B,Heron!AR$9,Xero!$A:$A,Heron!$A$4,Xero!$E:$E,Heron!$A20)-SUMIFS(Xero!$F:$F,Xero!$B:$B,Heron!AR$9,Xero!$A:$A,Heron!$A$5,Xero!$E:$E,Heron!$A20)</f>
        <v>32173.91</v>
      </c>
      <c r="AS20" s="99">
        <f>-SUMIFS(Xero!$F:$F,Xero!$B:$B,Heron!AS$9,Xero!$A:$A,Heron!$A$4,Xero!$E:$E,Heron!$A20)-SUMIFS(Xero!$F:$F,Xero!$B:$B,Heron!AS$9,Xero!$A:$A,Heron!$A$5,Xero!$E:$E,Heron!$A20)</f>
        <v>0</v>
      </c>
      <c r="AT20" s="99">
        <f>-SUMIFS(Xero!$F:$F,Xero!$B:$B,Heron!AT$9,Xero!$A:$A,Heron!$A$4,Xero!$E:$E,Heron!$A20)-SUMIFS(Xero!$F:$F,Xero!$B:$B,Heron!AT$9,Xero!$A:$A,Heron!$A$5,Xero!$E:$E,Heron!$A20)</f>
        <v>0</v>
      </c>
      <c r="AU20" s="99">
        <f>-SUMIFS(Xero!$F:$F,Xero!$B:$B,Heron!AU$9,Xero!$A:$A,Heron!$A$4,Xero!$E:$E,Heron!$A20)-SUMIFS(Xero!$F:$F,Xero!$B:$B,Heron!AU$9,Xero!$A:$A,Heron!$A$5,Xero!$E:$E,Heron!$A20)</f>
        <v>0</v>
      </c>
      <c r="AV20" s="99">
        <f>-SUMIFS(Xero!$F:$F,Xero!$B:$B,Heron!AV$9,Xero!$A:$A,Heron!$A$4,Xero!$E:$E,Heron!$A20)-SUMIFS(Xero!$F:$F,Xero!$B:$B,Heron!AV$9,Xero!$A:$A,Heron!$A$5,Xero!$E:$E,Heron!$A20)</f>
        <v>0</v>
      </c>
      <c r="AW20" s="99">
        <f>-SUMIFS(Xero!$F:$F,Xero!$B:$B,Heron!AW$9,Xero!$A:$A,Heron!$A$4,Xero!$E:$E,Heron!$A20)-SUMIFS(Xero!$F:$F,Xero!$B:$B,Heron!AW$9,Xero!$A:$A,Heron!$A$5,Xero!$E:$E,Heron!$A20)</f>
        <v>0</v>
      </c>
      <c r="AX20" s="99">
        <f>-SUMIFS(Xero!$F:$F,Xero!$B:$B,Heron!AX$9,Xero!$A:$A,Heron!$A$4,Xero!$E:$E,Heron!$A20)-SUMIFS(Xero!$F:$F,Xero!$B:$B,Heron!AX$9,Xero!$A:$A,Heron!$A$5,Xero!$E:$E,Heron!$A20)</f>
        <v>0</v>
      </c>
      <c r="AY20" s="99">
        <f>-SUMIFS(Xero!$F:$F,Xero!$B:$B,Heron!AY$9,Xero!$A:$A,Heron!$A$4,Xero!$E:$E,Heron!$A20)-SUMIFS(Xero!$F:$F,Xero!$B:$B,Heron!AY$9,Xero!$A:$A,Heron!$A$5,Xero!$E:$E,Heron!$A20)</f>
        <v>0</v>
      </c>
      <c r="AZ20" s="99">
        <f>-SUMIFS(Xero!$F:$F,Xero!$B:$B,Heron!AZ$9,Xero!$A:$A,Heron!$A$4,Xero!$E:$E,Heron!$A20)-SUMIFS(Xero!$F:$F,Xero!$B:$B,Heron!AZ$9,Xero!$A:$A,Heron!$A$5,Xero!$E:$E,Heron!$A20)</f>
        <v>0</v>
      </c>
      <c r="BA20" s="99">
        <f>-SUMIFS(Xero!$F:$F,Xero!$B:$B,Heron!BA$9,Xero!$A:$A,Heron!$A$4,Xero!$E:$E,Heron!$A20)-SUMIFS(Xero!$F:$F,Xero!$B:$B,Heron!BA$9,Xero!$A:$A,Heron!$A$5,Xero!$E:$E,Heron!$A20)</f>
        <v>0</v>
      </c>
      <c r="BB20" s="99">
        <f>-SUMIFS(Xero!$F:$F,Xero!$B:$B,Heron!BB$9,Xero!$A:$A,Heron!$A$4,Xero!$E:$E,Heron!$A20)-SUMIFS(Xero!$F:$F,Xero!$B:$B,Heron!BB$9,Xero!$A:$A,Heron!$A$5,Xero!$E:$E,Heron!$A20)</f>
        <v>0</v>
      </c>
      <c r="BC20" s="99">
        <f>-SUMIFS(Xero!$F:$F,Xero!$B:$B,Heron!BC$9,Xero!$A:$A,Heron!$A$4,Xero!$E:$E,Heron!$A20)-SUMIFS(Xero!$F:$F,Xero!$B:$B,Heron!BC$9,Xero!$A:$A,Heron!$A$5,Xero!$E:$E,Heron!$A20)</f>
        <v>0</v>
      </c>
      <c r="BD20" s="99">
        <f>-SUMIFS(Xero!$F:$F,Xero!$B:$B,Heron!BD$9,Xero!$A:$A,Heron!$A$4,Xero!$E:$E,Heron!$A20)-SUMIFS(Xero!$F:$F,Xero!$B:$B,Heron!BD$9,Xero!$A:$A,Heron!$A$5,Xero!$E:$E,Heron!$A20)</f>
        <v>0</v>
      </c>
      <c r="BE20" s="99">
        <f>-SUMIFS(Xero!$F:$F,Xero!$B:$B,Heron!BE$9,Xero!$A:$A,Heron!$A$4,Xero!$E:$E,Heron!$A20)-SUMIFS(Xero!$F:$F,Xero!$B:$B,Heron!BE$9,Xero!$A:$A,Heron!$A$5,Xero!$E:$E,Heron!$A20)</f>
        <v>0</v>
      </c>
      <c r="BF20" s="99">
        <f>-SUMIFS(Xero!$F:$F,Xero!$B:$B,Heron!BF$9,Xero!$A:$A,Heron!$A$4,Xero!$E:$E,Heron!$A20)-SUMIFS(Xero!$F:$F,Xero!$B:$B,Heron!BF$9,Xero!$A:$A,Heron!$A$5,Xero!$E:$E,Heron!$A20)</f>
        <v>0</v>
      </c>
      <c r="BG20" s="99">
        <f>-SUMIFS(Xero!$F:$F,Xero!$B:$B,Heron!BG$9,Xero!$A:$A,Heron!$A$4,Xero!$E:$E,Heron!$A20)-SUMIFS(Xero!$F:$F,Xero!$B:$B,Heron!BG$9,Xero!$A:$A,Heron!$A$5,Xero!$E:$E,Heron!$A20)</f>
        <v>0</v>
      </c>
      <c r="BH20" s="99">
        <f>-SUMIFS(Xero!$F:$F,Xero!$B:$B,Heron!BH$9,Xero!$A:$A,Heron!$A$4,Xero!$E:$E,Heron!$A20)-SUMIFS(Xero!$F:$F,Xero!$B:$B,Heron!BH$9,Xero!$A:$A,Heron!$A$5,Xero!$E:$E,Heron!$A20)</f>
        <v>0</v>
      </c>
      <c r="BI20" s="99">
        <f>-SUMIFS(Xero!$F:$F,Xero!$B:$B,Heron!BI$9,Xero!$A:$A,Heron!$A$4,Xero!$E:$E,Heron!$A20)-SUMIFS(Xero!$F:$F,Xero!$B:$B,Heron!BI$9,Xero!$A:$A,Heron!$A$5,Xero!$E:$E,Heron!$A20)</f>
        <v>0</v>
      </c>
      <c r="BJ20" s="99">
        <f>-SUMIFS(Xero!$F:$F,Xero!$B:$B,Heron!BJ$9,Xero!$A:$A,Heron!$A$4,Xero!$E:$E,Heron!$A20)-SUMIFS(Xero!$F:$F,Xero!$B:$B,Heron!BJ$9,Xero!$A:$A,Heron!$A$5,Xero!$E:$E,Heron!$A20)</f>
        <v>0</v>
      </c>
      <c r="BK20" s="99">
        <f t="shared" si="1"/>
        <v>32173.91</v>
      </c>
    </row>
    <row r="21" spans="1:64" ht="16" x14ac:dyDescent="0.2">
      <c r="A21" s="98" t="s">
        <v>1686</v>
      </c>
      <c r="D21" s="99">
        <f>-SUMIFS(Xero!$F:$F,Xero!$B:$B,Heron!D$9,Xero!$A:$A,Heron!$A$4,Xero!$E:$E,Heron!$A21)-SUMIFS(Xero!$F:$F,Xero!$B:$B,Heron!D$9,Xero!$A:$A,Heron!$A$5,Xero!$E:$E,Heron!$A21)</f>
        <v>0</v>
      </c>
      <c r="E21" s="99">
        <f>-SUMIFS(Xero!$F:$F,Xero!$B:$B,Heron!E$9,Xero!$A:$A,Heron!$A$4,Xero!$E:$E,Heron!$A21)-SUMIFS(Xero!$F:$F,Xero!$B:$B,Heron!E$9,Xero!$A:$A,Heron!$A$5,Xero!$E:$E,Heron!$A21)</f>
        <v>0</v>
      </c>
      <c r="F21" s="99">
        <f>-SUMIFS(Xero!$F:$F,Xero!$B:$B,Heron!F$9,Xero!$A:$A,Heron!$A$4,Xero!$E:$E,Heron!$A21)-SUMIFS(Xero!$F:$F,Xero!$B:$B,Heron!F$9,Xero!$A:$A,Heron!$A$5,Xero!$E:$E,Heron!$A21)</f>
        <v>0</v>
      </c>
      <c r="G21" s="99">
        <f>-SUMIFS(Xero!$F:$F,Xero!$B:$B,Heron!G$9,Xero!$A:$A,Heron!$A$4,Xero!$E:$E,Heron!$A21)-SUMIFS(Xero!$F:$F,Xero!$B:$B,Heron!G$9,Xero!$A:$A,Heron!$A$5,Xero!$E:$E,Heron!$A21)</f>
        <v>0</v>
      </c>
      <c r="H21" s="99">
        <f>-SUMIFS(Xero!$F:$F,Xero!$B:$B,Heron!H$9,Xero!$A:$A,Heron!$A$4,Xero!$E:$E,Heron!$A21)-SUMIFS(Xero!$F:$F,Xero!$B:$B,Heron!H$9,Xero!$A:$A,Heron!$A$5,Xero!$E:$E,Heron!$A21)</f>
        <v>0</v>
      </c>
      <c r="I21" s="99">
        <f>-SUMIFS(Xero!$F:$F,Xero!$B:$B,Heron!I$9,Xero!$A:$A,Heron!$A$4,Xero!$E:$E,Heron!$A21)-SUMIFS(Xero!$F:$F,Xero!$B:$B,Heron!I$9,Xero!$A:$A,Heron!$A$5,Xero!$E:$E,Heron!$A21)</f>
        <v>0</v>
      </c>
      <c r="J21" s="99">
        <f>-SUMIFS(Xero!$F:$F,Xero!$B:$B,Heron!J$9,Xero!$A:$A,Heron!$A$4,Xero!$E:$E,Heron!$A21)-SUMIFS(Xero!$F:$F,Xero!$B:$B,Heron!J$9,Xero!$A:$A,Heron!$A$5,Xero!$E:$E,Heron!$A21)</f>
        <v>0</v>
      </c>
      <c r="K21" s="99">
        <f>-SUMIFS(Xero!$F:$F,Xero!$B:$B,Heron!K$9,Xero!$A:$A,Heron!$A$4,Xero!$E:$E,Heron!$A21)-SUMIFS(Xero!$F:$F,Xero!$B:$B,Heron!K$9,Xero!$A:$A,Heron!$A$5,Xero!$E:$E,Heron!$A21)</f>
        <v>0</v>
      </c>
      <c r="L21" s="99">
        <f>-SUMIFS(Xero!$F:$F,Xero!$B:$B,Heron!L$9,Xero!$A:$A,Heron!$A$4,Xero!$E:$E,Heron!$A21)-SUMIFS(Xero!$F:$F,Xero!$B:$B,Heron!L$9,Xero!$A:$A,Heron!$A$5,Xero!$E:$E,Heron!$A21)</f>
        <v>0</v>
      </c>
      <c r="M21" s="99">
        <f>-SUMIFS(Xero!$F:$F,Xero!$B:$B,Heron!M$9,Xero!$A:$A,Heron!$A$4,Xero!$E:$E,Heron!$A21)-SUMIFS(Xero!$F:$F,Xero!$B:$B,Heron!M$9,Xero!$A:$A,Heron!$A$5,Xero!$E:$E,Heron!$A21)</f>
        <v>0</v>
      </c>
      <c r="N21" s="99">
        <f>-SUMIFS(Xero!$F:$F,Xero!$B:$B,Heron!N$9,Xero!$A:$A,Heron!$A$4,Xero!$E:$E,Heron!$A21)-SUMIFS(Xero!$F:$F,Xero!$B:$B,Heron!N$9,Xero!$A:$A,Heron!$A$5,Xero!$E:$E,Heron!$A21)</f>
        <v>0</v>
      </c>
      <c r="O21" s="99">
        <f>-SUMIFS(Xero!$F:$F,Xero!$B:$B,Heron!O$9,Xero!$A:$A,Heron!$A$4,Xero!$E:$E,Heron!$A21)-SUMIFS(Xero!$F:$F,Xero!$B:$B,Heron!O$9,Xero!$A:$A,Heron!$A$5,Xero!$E:$E,Heron!$A21)</f>
        <v>0</v>
      </c>
      <c r="P21" s="99">
        <f>-SUMIFS(Xero!$F:$F,Xero!$B:$B,Heron!P$9,Xero!$A:$A,Heron!$A$4,Xero!$E:$E,Heron!$A21)-SUMIFS(Xero!$F:$F,Xero!$B:$B,Heron!P$9,Xero!$A:$A,Heron!$A$5,Xero!$E:$E,Heron!$A21)</f>
        <v>0</v>
      </c>
      <c r="Q21" s="99">
        <f>-SUMIFS(Xero!$F:$F,Xero!$B:$B,Heron!Q$9,Xero!$A:$A,Heron!$A$4,Xero!$E:$E,Heron!$A21)-SUMIFS(Xero!$F:$F,Xero!$B:$B,Heron!Q$9,Xero!$A:$A,Heron!$A$5,Xero!$E:$E,Heron!$A21)</f>
        <v>0</v>
      </c>
      <c r="R21" s="99">
        <f>-SUMIFS(Xero!$F:$F,Xero!$B:$B,Heron!R$9,Xero!$A:$A,Heron!$A$4,Xero!$E:$E,Heron!$A21)-SUMIFS(Xero!$F:$F,Xero!$B:$B,Heron!R$9,Xero!$A:$A,Heron!$A$5,Xero!$E:$E,Heron!$A21)</f>
        <v>0</v>
      </c>
      <c r="S21" s="99">
        <f>-SUMIFS(Xero!$F:$F,Xero!$B:$B,Heron!S$9,Xero!$A:$A,Heron!$A$4,Xero!$E:$E,Heron!$A21)-SUMIFS(Xero!$F:$F,Xero!$B:$B,Heron!S$9,Xero!$A:$A,Heron!$A$5,Xero!$E:$E,Heron!$A21)</f>
        <v>0</v>
      </c>
      <c r="T21" s="99">
        <f>-SUMIFS(Xero!$F:$F,Xero!$B:$B,Heron!T$9,Xero!$A:$A,Heron!$A$4,Xero!$E:$E,Heron!$A21)-SUMIFS(Xero!$F:$F,Xero!$B:$B,Heron!T$9,Xero!$A:$A,Heron!$A$5,Xero!$E:$E,Heron!$A21)</f>
        <v>0</v>
      </c>
      <c r="U21" s="99">
        <f>-SUMIFS(Xero!$F:$F,Xero!$B:$B,Heron!U$9,Xero!$A:$A,Heron!$A$4,Xero!$E:$E,Heron!$A21)-SUMIFS(Xero!$F:$F,Xero!$B:$B,Heron!U$9,Xero!$A:$A,Heron!$A$5,Xero!$E:$E,Heron!$A21)</f>
        <v>0</v>
      </c>
      <c r="V21" s="99">
        <f>-SUMIFS(Xero!$F:$F,Xero!$B:$B,Heron!V$9,Xero!$A:$A,Heron!$A$4,Xero!$E:$E,Heron!$A21)-SUMIFS(Xero!$F:$F,Xero!$B:$B,Heron!V$9,Xero!$A:$A,Heron!$A$5,Xero!$E:$E,Heron!$A21)</f>
        <v>0</v>
      </c>
      <c r="W21" s="99">
        <f>-SUMIFS(Xero!$F:$F,Xero!$B:$B,Heron!W$9,Xero!$A:$A,Heron!$A$4,Xero!$E:$E,Heron!$A21)-SUMIFS(Xero!$F:$F,Xero!$B:$B,Heron!W$9,Xero!$A:$A,Heron!$A$5,Xero!$E:$E,Heron!$A21)</f>
        <v>0</v>
      </c>
      <c r="X21" s="99">
        <f>-SUMIFS(Xero!$F:$F,Xero!$B:$B,Heron!X$9,Xero!$A:$A,Heron!$A$4,Xero!$E:$E,Heron!$A21)-SUMIFS(Xero!$F:$F,Xero!$B:$B,Heron!X$9,Xero!$A:$A,Heron!$A$5,Xero!$E:$E,Heron!$A21)</f>
        <v>0</v>
      </c>
      <c r="Y21" s="99">
        <f>-SUMIFS(Xero!$F:$F,Xero!$B:$B,Heron!Y$9,Xero!$A:$A,Heron!$A$4,Xero!$E:$E,Heron!$A21)-SUMIFS(Xero!$F:$F,Xero!$B:$B,Heron!Y$9,Xero!$A:$A,Heron!$A$5,Xero!$E:$E,Heron!$A21)</f>
        <v>0</v>
      </c>
      <c r="Z21" s="99">
        <f>-SUMIFS(Xero!$F:$F,Xero!$B:$B,Heron!Z$9,Xero!$A:$A,Heron!$A$4,Xero!$E:$E,Heron!$A21)-SUMIFS(Xero!$F:$F,Xero!$B:$B,Heron!Z$9,Xero!$A:$A,Heron!$A$5,Xero!$E:$E,Heron!$A21)</f>
        <v>0</v>
      </c>
      <c r="AA21" s="99">
        <f>-SUMIFS(Xero!$F:$F,Xero!$B:$B,Heron!AA$9,Xero!$A:$A,Heron!$A$4,Xero!$E:$E,Heron!$A21)-SUMIFS(Xero!$F:$F,Xero!$B:$B,Heron!AA$9,Xero!$A:$A,Heron!$A$5,Xero!$E:$E,Heron!$A21)</f>
        <v>0</v>
      </c>
      <c r="AB21" s="99">
        <f>-SUMIFS(Xero!$F:$F,Xero!$B:$B,Heron!AB$9,Xero!$A:$A,Heron!$A$4,Xero!$E:$E,Heron!$A21)-SUMIFS(Xero!$F:$F,Xero!$B:$B,Heron!AB$9,Xero!$A:$A,Heron!$A$5,Xero!$E:$E,Heron!$A21)</f>
        <v>0</v>
      </c>
      <c r="AC21" s="99">
        <f>-SUMIFS(Xero!$F:$F,Xero!$B:$B,Heron!AC$9,Xero!$A:$A,Heron!$A$4,Xero!$E:$E,Heron!$A21)-SUMIFS(Xero!$F:$F,Xero!$B:$B,Heron!AC$9,Xero!$A:$A,Heron!$A$5,Xero!$E:$E,Heron!$A21)</f>
        <v>0</v>
      </c>
      <c r="AD21" s="99">
        <f>-SUMIFS(Xero!$F:$F,Xero!$B:$B,Heron!AD$9,Xero!$A:$A,Heron!$A$4,Xero!$E:$E,Heron!$A21)-SUMIFS(Xero!$F:$F,Xero!$B:$B,Heron!AD$9,Xero!$A:$A,Heron!$A$5,Xero!$E:$E,Heron!$A21)</f>
        <v>0</v>
      </c>
      <c r="AE21" s="99">
        <f>-SUMIFS(Xero!$F:$F,Xero!$B:$B,Heron!AE$9,Xero!$A:$A,Heron!$A$4,Xero!$E:$E,Heron!$A21)-SUMIFS(Xero!$F:$F,Xero!$B:$B,Heron!AE$9,Xero!$A:$A,Heron!$A$5,Xero!$E:$E,Heron!$A21)</f>
        <v>0</v>
      </c>
      <c r="AF21" s="99">
        <f>-SUMIFS(Xero!$F:$F,Xero!$B:$B,Heron!AF$9,Xero!$A:$A,Heron!$A$4,Xero!$E:$E,Heron!$A21)-SUMIFS(Xero!$F:$F,Xero!$B:$B,Heron!AF$9,Xero!$A:$A,Heron!$A$5,Xero!$E:$E,Heron!$A21)</f>
        <v>37500</v>
      </c>
      <c r="AG21" s="99">
        <f>-SUMIFS(Xero!$F:$F,Xero!$B:$B,Heron!AG$9,Xero!$A:$A,Heron!$A$4,Xero!$E:$E,Heron!$A21)-SUMIFS(Xero!$F:$F,Xero!$B:$B,Heron!AG$9,Xero!$A:$A,Heron!$A$5,Xero!$E:$E,Heron!$A21)</f>
        <v>30491.94</v>
      </c>
      <c r="AH21" s="99">
        <f>-SUMIFS(Xero!$F:$F,Xero!$B:$B,Heron!AH$9,Xero!$A:$A,Heron!$A$4,Xero!$E:$E,Heron!$A21)-SUMIFS(Xero!$F:$F,Xero!$B:$B,Heron!AH$9,Xero!$A:$A,Heron!$A$5,Xero!$E:$E,Heron!$A21)</f>
        <v>14500</v>
      </c>
      <c r="AI21" s="99">
        <f>-SUMIFS(Xero!$F:$F,Xero!$B:$B,Heron!AI$9,Xero!$A:$A,Heron!$A$4,Xero!$E:$E,Heron!$A21)-SUMIFS(Xero!$F:$F,Xero!$B:$B,Heron!AI$9,Xero!$A:$A,Heron!$A$5,Xero!$E:$E,Heron!$A21)</f>
        <v>46021.130000000005</v>
      </c>
      <c r="AJ21" s="99">
        <f>-SUMIFS(Xero!$F:$F,Xero!$B:$B,Heron!AJ$9,Xero!$A:$A,Heron!$A$4,Xero!$E:$E,Heron!$A21)-SUMIFS(Xero!$F:$F,Xero!$B:$B,Heron!AJ$9,Xero!$A:$A,Heron!$A$5,Xero!$E:$E,Heron!$A21)</f>
        <v>34500</v>
      </c>
      <c r="AK21" s="99">
        <f>-SUMIFS(Xero!$F:$F,Xero!$B:$B,Heron!AK$9,Xero!$A:$A,Heron!$A$4,Xero!$E:$E,Heron!$A21)-SUMIFS(Xero!$F:$F,Xero!$B:$B,Heron!AK$9,Xero!$A:$A,Heron!$A$5,Xero!$E:$E,Heron!$A21)</f>
        <v>43104.84</v>
      </c>
      <c r="AL21" s="99">
        <f>-SUMIFS(Xero!$F:$F,Xero!$B:$B,Heron!AL$9,Xero!$A:$A,Heron!$A$4,Xero!$E:$E,Heron!$A21)-SUMIFS(Xero!$F:$F,Xero!$B:$B,Heron!AL$9,Xero!$A:$A,Heron!$A$5,Xero!$E:$E,Heron!$A21)</f>
        <v>142177.41</v>
      </c>
      <c r="AM21" s="99">
        <f>-SUMIFS(Xero!$F:$F,Xero!$B:$B,Heron!AM$9,Xero!$A:$A,Heron!$A$4,Xero!$E:$E,Heron!$A21)-SUMIFS(Xero!$F:$F,Xero!$B:$B,Heron!AM$9,Xero!$A:$A,Heron!$A$5,Xero!$E:$E,Heron!$A21)</f>
        <v>18500</v>
      </c>
      <c r="AN21" s="99">
        <f>-SUMIFS(Xero!$F:$F,Xero!$B:$B,Heron!AN$9,Xero!$A:$A,Heron!$A$4,Xero!$E:$E,Heron!$A21)-SUMIFS(Xero!$F:$F,Xero!$B:$B,Heron!AN$9,Xero!$A:$A,Heron!$A$5,Xero!$E:$E,Heron!$A21)</f>
        <v>86500</v>
      </c>
      <c r="AO21" s="99">
        <f>-SUMIFS(Xero!$F:$F,Xero!$B:$B,Heron!AO$9,Xero!$A:$A,Heron!$A$4,Xero!$E:$E,Heron!$A21)-SUMIFS(Xero!$F:$F,Xero!$B:$B,Heron!AO$9,Xero!$A:$A,Heron!$A$5,Xero!$E:$E,Heron!$A21)</f>
        <v>20750</v>
      </c>
      <c r="AP21" s="99">
        <f>-SUMIFS(Xero!$F:$F,Xero!$B:$B,Heron!AP$9,Xero!$A:$A,Heron!$A$4,Xero!$E:$E,Heron!$A21)-SUMIFS(Xero!$F:$F,Xero!$B:$B,Heron!AP$9,Xero!$A:$A,Heron!$A$5,Xero!$E:$E,Heron!$A21)</f>
        <v>49758.3</v>
      </c>
      <c r="AQ21" s="99">
        <f>-SUMIFS(Xero!$F:$F,Xero!$B:$B,Heron!AQ$9,Xero!$A:$A,Heron!$A$4,Xero!$E:$E,Heron!$A21)-SUMIFS(Xero!$F:$F,Xero!$B:$B,Heron!AQ$9,Xero!$A:$A,Heron!$A$5,Xero!$E:$E,Heron!$A21)</f>
        <v>152081.29999999999</v>
      </c>
      <c r="AR21" s="99">
        <f>-SUMIFS(Xero!$F:$F,Xero!$B:$B,Heron!AR$9,Xero!$A:$A,Heron!$A$4,Xero!$E:$E,Heron!$A21)-SUMIFS(Xero!$F:$F,Xero!$B:$B,Heron!AR$9,Xero!$A:$A,Heron!$A$5,Xero!$E:$E,Heron!$A21)</f>
        <v>82174</v>
      </c>
      <c r="AS21" s="99">
        <f>-SUMIFS(Xero!$F:$F,Xero!$B:$B,Heron!AS$9,Xero!$A:$A,Heron!$A$4,Xero!$E:$E,Heron!$A21)-SUMIFS(Xero!$F:$F,Xero!$B:$B,Heron!AS$9,Xero!$A:$A,Heron!$A$5,Xero!$E:$E,Heron!$A21)</f>
        <v>0</v>
      </c>
      <c r="AT21" s="99">
        <f>-SUMIFS(Xero!$F:$F,Xero!$B:$B,Heron!AT$9,Xero!$A:$A,Heron!$A$4,Xero!$E:$E,Heron!$A21)-SUMIFS(Xero!$F:$F,Xero!$B:$B,Heron!AT$9,Xero!$A:$A,Heron!$A$5,Xero!$E:$E,Heron!$A21)</f>
        <v>0</v>
      </c>
      <c r="AU21" s="99">
        <f>-SUMIFS(Xero!$F:$F,Xero!$B:$B,Heron!AU$9,Xero!$A:$A,Heron!$A$4,Xero!$E:$E,Heron!$A21)-SUMIFS(Xero!$F:$F,Xero!$B:$B,Heron!AU$9,Xero!$A:$A,Heron!$A$5,Xero!$E:$E,Heron!$A21)</f>
        <v>0</v>
      </c>
      <c r="AV21" s="99">
        <f>-SUMIFS(Xero!$F:$F,Xero!$B:$B,Heron!AV$9,Xero!$A:$A,Heron!$A$4,Xero!$E:$E,Heron!$A21)-SUMIFS(Xero!$F:$F,Xero!$B:$B,Heron!AV$9,Xero!$A:$A,Heron!$A$5,Xero!$E:$E,Heron!$A21)</f>
        <v>0</v>
      </c>
      <c r="AW21" s="99">
        <f>-SUMIFS(Xero!$F:$F,Xero!$B:$B,Heron!AW$9,Xero!$A:$A,Heron!$A$4,Xero!$E:$E,Heron!$A21)-SUMIFS(Xero!$F:$F,Xero!$B:$B,Heron!AW$9,Xero!$A:$A,Heron!$A$5,Xero!$E:$E,Heron!$A21)</f>
        <v>0</v>
      </c>
      <c r="AX21" s="99">
        <f>-SUMIFS(Xero!$F:$F,Xero!$B:$B,Heron!AX$9,Xero!$A:$A,Heron!$A$4,Xero!$E:$E,Heron!$A21)-SUMIFS(Xero!$F:$F,Xero!$B:$B,Heron!AX$9,Xero!$A:$A,Heron!$A$5,Xero!$E:$E,Heron!$A21)</f>
        <v>0</v>
      </c>
      <c r="AY21" s="99">
        <f>-SUMIFS(Xero!$F:$F,Xero!$B:$B,Heron!AY$9,Xero!$A:$A,Heron!$A$4,Xero!$E:$E,Heron!$A21)-SUMIFS(Xero!$F:$F,Xero!$B:$B,Heron!AY$9,Xero!$A:$A,Heron!$A$5,Xero!$E:$E,Heron!$A21)</f>
        <v>0</v>
      </c>
      <c r="AZ21" s="99">
        <f>-SUMIFS(Xero!$F:$F,Xero!$B:$B,Heron!AZ$9,Xero!$A:$A,Heron!$A$4,Xero!$E:$E,Heron!$A21)-SUMIFS(Xero!$F:$F,Xero!$B:$B,Heron!AZ$9,Xero!$A:$A,Heron!$A$5,Xero!$E:$E,Heron!$A21)</f>
        <v>0</v>
      </c>
      <c r="BA21" s="99">
        <f>-SUMIFS(Xero!$F:$F,Xero!$B:$B,Heron!BA$9,Xero!$A:$A,Heron!$A$4,Xero!$E:$E,Heron!$A21)-SUMIFS(Xero!$F:$F,Xero!$B:$B,Heron!BA$9,Xero!$A:$A,Heron!$A$5,Xero!$E:$E,Heron!$A21)</f>
        <v>0</v>
      </c>
      <c r="BB21" s="99">
        <f>-SUMIFS(Xero!$F:$F,Xero!$B:$B,Heron!BB$9,Xero!$A:$A,Heron!$A$4,Xero!$E:$E,Heron!$A21)-SUMIFS(Xero!$F:$F,Xero!$B:$B,Heron!BB$9,Xero!$A:$A,Heron!$A$5,Xero!$E:$E,Heron!$A21)</f>
        <v>0</v>
      </c>
      <c r="BC21" s="99">
        <f>-SUMIFS(Xero!$F:$F,Xero!$B:$B,Heron!BC$9,Xero!$A:$A,Heron!$A$4,Xero!$E:$E,Heron!$A21)-SUMIFS(Xero!$F:$F,Xero!$B:$B,Heron!BC$9,Xero!$A:$A,Heron!$A$5,Xero!$E:$E,Heron!$A21)</f>
        <v>0</v>
      </c>
      <c r="BD21" s="99">
        <f>-SUMIFS(Xero!$F:$F,Xero!$B:$B,Heron!BD$9,Xero!$A:$A,Heron!$A$4,Xero!$E:$E,Heron!$A21)-SUMIFS(Xero!$F:$F,Xero!$B:$B,Heron!BD$9,Xero!$A:$A,Heron!$A$5,Xero!$E:$E,Heron!$A21)</f>
        <v>0</v>
      </c>
      <c r="BE21" s="99">
        <f>-SUMIFS(Xero!$F:$F,Xero!$B:$B,Heron!BE$9,Xero!$A:$A,Heron!$A$4,Xero!$E:$E,Heron!$A21)-SUMIFS(Xero!$F:$F,Xero!$B:$B,Heron!BE$9,Xero!$A:$A,Heron!$A$5,Xero!$E:$E,Heron!$A21)</f>
        <v>0</v>
      </c>
      <c r="BF21" s="99">
        <f>-SUMIFS(Xero!$F:$F,Xero!$B:$B,Heron!BF$9,Xero!$A:$A,Heron!$A$4,Xero!$E:$E,Heron!$A21)-SUMIFS(Xero!$F:$F,Xero!$B:$B,Heron!BF$9,Xero!$A:$A,Heron!$A$5,Xero!$E:$E,Heron!$A21)</f>
        <v>0</v>
      </c>
      <c r="BG21" s="99">
        <f>-SUMIFS(Xero!$F:$F,Xero!$B:$B,Heron!BG$9,Xero!$A:$A,Heron!$A$4,Xero!$E:$E,Heron!$A21)-SUMIFS(Xero!$F:$F,Xero!$B:$B,Heron!BG$9,Xero!$A:$A,Heron!$A$5,Xero!$E:$E,Heron!$A21)</f>
        <v>0</v>
      </c>
      <c r="BH21" s="99">
        <f>-SUMIFS(Xero!$F:$F,Xero!$B:$B,Heron!BH$9,Xero!$A:$A,Heron!$A$4,Xero!$E:$E,Heron!$A21)-SUMIFS(Xero!$F:$F,Xero!$B:$B,Heron!BH$9,Xero!$A:$A,Heron!$A$5,Xero!$E:$E,Heron!$A21)</f>
        <v>0</v>
      </c>
      <c r="BI21" s="99">
        <f>-SUMIFS(Xero!$F:$F,Xero!$B:$B,Heron!BI$9,Xero!$A:$A,Heron!$A$4,Xero!$E:$E,Heron!$A21)-SUMIFS(Xero!$F:$F,Xero!$B:$B,Heron!BI$9,Xero!$A:$A,Heron!$A$5,Xero!$E:$E,Heron!$A21)</f>
        <v>0</v>
      </c>
      <c r="BJ21" s="99">
        <f>-SUMIFS(Xero!$F:$F,Xero!$B:$B,Heron!BJ$9,Xero!$A:$A,Heron!$A$4,Xero!$E:$E,Heron!$A21)-SUMIFS(Xero!$F:$F,Xero!$B:$B,Heron!BJ$9,Xero!$A:$A,Heron!$A$5,Xero!$E:$E,Heron!$A21)</f>
        <v>0</v>
      </c>
      <c r="BK21" s="99">
        <f t="shared" si="1"/>
        <v>758058.91999999993</v>
      </c>
    </row>
    <row r="22" spans="1:64" ht="16" x14ac:dyDescent="0.2">
      <c r="A22" s="98" t="s">
        <v>1778</v>
      </c>
      <c r="D22" s="99">
        <f>-SUMIFS(Xero!$F:$F,Xero!$B:$B,Heron!D$9,Xero!$A:$A,Heron!$A$4,Xero!$E:$E,Heron!$A22)-SUMIFS(Xero!$F:$F,Xero!$B:$B,Heron!D$9,Xero!$A:$A,Heron!$A$5,Xero!$E:$E,Heron!$A22)</f>
        <v>0</v>
      </c>
      <c r="E22" s="99">
        <f>-SUMIFS(Xero!$F:$F,Xero!$B:$B,Heron!E$9,Xero!$A:$A,Heron!$A$4,Xero!$E:$E,Heron!$A22)-SUMIFS(Xero!$F:$F,Xero!$B:$B,Heron!E$9,Xero!$A:$A,Heron!$A$5,Xero!$E:$E,Heron!$A22)</f>
        <v>0</v>
      </c>
      <c r="F22" s="99">
        <f>-SUMIFS(Xero!$F:$F,Xero!$B:$B,Heron!F$9,Xero!$A:$A,Heron!$A$4,Xero!$E:$E,Heron!$A22)-SUMIFS(Xero!$F:$F,Xero!$B:$B,Heron!F$9,Xero!$A:$A,Heron!$A$5,Xero!$E:$E,Heron!$A22)</f>
        <v>0</v>
      </c>
      <c r="G22" s="99">
        <f>-SUMIFS(Xero!$F:$F,Xero!$B:$B,Heron!G$9,Xero!$A:$A,Heron!$A$4,Xero!$E:$E,Heron!$A22)-SUMIFS(Xero!$F:$F,Xero!$B:$B,Heron!G$9,Xero!$A:$A,Heron!$A$5,Xero!$E:$E,Heron!$A22)</f>
        <v>0</v>
      </c>
      <c r="H22" s="99">
        <f>-SUMIFS(Xero!$F:$F,Xero!$B:$B,Heron!H$9,Xero!$A:$A,Heron!$A$4,Xero!$E:$E,Heron!$A22)-SUMIFS(Xero!$F:$F,Xero!$B:$B,Heron!H$9,Xero!$A:$A,Heron!$A$5,Xero!$E:$E,Heron!$A22)</f>
        <v>0</v>
      </c>
      <c r="I22" s="99">
        <f>-SUMIFS(Xero!$F:$F,Xero!$B:$B,Heron!I$9,Xero!$A:$A,Heron!$A$4,Xero!$E:$E,Heron!$A22)-SUMIFS(Xero!$F:$F,Xero!$B:$B,Heron!I$9,Xero!$A:$A,Heron!$A$5,Xero!$E:$E,Heron!$A22)</f>
        <v>0</v>
      </c>
      <c r="J22" s="99">
        <f>-SUMIFS(Xero!$F:$F,Xero!$B:$B,Heron!J$9,Xero!$A:$A,Heron!$A$4,Xero!$E:$E,Heron!$A22)-SUMIFS(Xero!$F:$F,Xero!$B:$B,Heron!J$9,Xero!$A:$A,Heron!$A$5,Xero!$E:$E,Heron!$A22)</f>
        <v>0</v>
      </c>
      <c r="K22" s="99">
        <f>-SUMIFS(Xero!$F:$F,Xero!$B:$B,Heron!K$9,Xero!$A:$A,Heron!$A$4,Xero!$E:$E,Heron!$A22)-SUMIFS(Xero!$F:$F,Xero!$B:$B,Heron!K$9,Xero!$A:$A,Heron!$A$5,Xero!$E:$E,Heron!$A22)</f>
        <v>0</v>
      </c>
      <c r="L22" s="99">
        <f>-SUMIFS(Xero!$F:$F,Xero!$B:$B,Heron!L$9,Xero!$A:$A,Heron!$A$4,Xero!$E:$E,Heron!$A22)-SUMIFS(Xero!$F:$F,Xero!$B:$B,Heron!L$9,Xero!$A:$A,Heron!$A$5,Xero!$E:$E,Heron!$A22)</f>
        <v>0</v>
      </c>
      <c r="M22" s="99">
        <f>-SUMIFS(Xero!$F:$F,Xero!$B:$B,Heron!M$9,Xero!$A:$A,Heron!$A$4,Xero!$E:$E,Heron!$A22)-SUMIFS(Xero!$F:$F,Xero!$B:$B,Heron!M$9,Xero!$A:$A,Heron!$A$5,Xero!$E:$E,Heron!$A22)</f>
        <v>0</v>
      </c>
      <c r="N22" s="99">
        <f>-SUMIFS(Xero!$F:$F,Xero!$B:$B,Heron!N$9,Xero!$A:$A,Heron!$A$4,Xero!$E:$E,Heron!$A22)-SUMIFS(Xero!$F:$F,Xero!$B:$B,Heron!N$9,Xero!$A:$A,Heron!$A$5,Xero!$E:$E,Heron!$A22)</f>
        <v>0</v>
      </c>
      <c r="O22" s="99">
        <f>-SUMIFS(Xero!$F:$F,Xero!$B:$B,Heron!O$9,Xero!$A:$A,Heron!$A$4,Xero!$E:$E,Heron!$A22)-SUMIFS(Xero!$F:$F,Xero!$B:$B,Heron!O$9,Xero!$A:$A,Heron!$A$5,Xero!$E:$E,Heron!$A22)</f>
        <v>0</v>
      </c>
      <c r="P22" s="99">
        <f>-SUMIFS(Xero!$F:$F,Xero!$B:$B,Heron!P$9,Xero!$A:$A,Heron!$A$4,Xero!$E:$E,Heron!$A22)-SUMIFS(Xero!$F:$F,Xero!$B:$B,Heron!P$9,Xero!$A:$A,Heron!$A$5,Xero!$E:$E,Heron!$A22)</f>
        <v>0</v>
      </c>
      <c r="Q22" s="99">
        <f>-SUMIFS(Xero!$F:$F,Xero!$B:$B,Heron!Q$9,Xero!$A:$A,Heron!$A$4,Xero!$E:$E,Heron!$A22)-SUMIFS(Xero!$F:$F,Xero!$B:$B,Heron!Q$9,Xero!$A:$A,Heron!$A$5,Xero!$E:$E,Heron!$A22)</f>
        <v>0</v>
      </c>
      <c r="R22" s="99">
        <f>-SUMIFS(Xero!$F:$F,Xero!$B:$B,Heron!R$9,Xero!$A:$A,Heron!$A$4,Xero!$E:$E,Heron!$A22)-SUMIFS(Xero!$F:$F,Xero!$B:$B,Heron!R$9,Xero!$A:$A,Heron!$A$5,Xero!$E:$E,Heron!$A22)</f>
        <v>0</v>
      </c>
      <c r="S22" s="99">
        <f>-SUMIFS(Xero!$F:$F,Xero!$B:$B,Heron!S$9,Xero!$A:$A,Heron!$A$4,Xero!$E:$E,Heron!$A22)-SUMIFS(Xero!$F:$F,Xero!$B:$B,Heron!S$9,Xero!$A:$A,Heron!$A$5,Xero!$E:$E,Heron!$A22)</f>
        <v>0</v>
      </c>
      <c r="T22" s="99">
        <f>-SUMIFS(Xero!$F:$F,Xero!$B:$B,Heron!T$9,Xero!$A:$A,Heron!$A$4,Xero!$E:$E,Heron!$A22)-SUMIFS(Xero!$F:$F,Xero!$B:$B,Heron!T$9,Xero!$A:$A,Heron!$A$5,Xero!$E:$E,Heron!$A22)</f>
        <v>0</v>
      </c>
      <c r="U22" s="99">
        <f>-SUMIFS(Xero!$F:$F,Xero!$B:$B,Heron!U$9,Xero!$A:$A,Heron!$A$4,Xero!$E:$E,Heron!$A22)-SUMIFS(Xero!$F:$F,Xero!$B:$B,Heron!U$9,Xero!$A:$A,Heron!$A$5,Xero!$E:$E,Heron!$A22)</f>
        <v>0</v>
      </c>
      <c r="V22" s="99">
        <f>-SUMIFS(Xero!$F:$F,Xero!$B:$B,Heron!V$9,Xero!$A:$A,Heron!$A$4,Xero!$E:$E,Heron!$A22)-SUMIFS(Xero!$F:$F,Xero!$B:$B,Heron!V$9,Xero!$A:$A,Heron!$A$5,Xero!$E:$E,Heron!$A22)</f>
        <v>0</v>
      </c>
      <c r="W22" s="99">
        <f>-SUMIFS(Xero!$F:$F,Xero!$B:$B,Heron!W$9,Xero!$A:$A,Heron!$A$4,Xero!$E:$E,Heron!$A22)-SUMIFS(Xero!$F:$F,Xero!$B:$B,Heron!W$9,Xero!$A:$A,Heron!$A$5,Xero!$E:$E,Heron!$A22)</f>
        <v>0</v>
      </c>
      <c r="X22" s="99">
        <f>-SUMIFS(Xero!$F:$F,Xero!$B:$B,Heron!X$9,Xero!$A:$A,Heron!$A$4,Xero!$E:$E,Heron!$A22)-SUMIFS(Xero!$F:$F,Xero!$B:$B,Heron!X$9,Xero!$A:$A,Heron!$A$5,Xero!$E:$E,Heron!$A22)</f>
        <v>0</v>
      </c>
      <c r="Y22" s="99">
        <f>-SUMIFS(Xero!$F:$F,Xero!$B:$B,Heron!Y$9,Xero!$A:$A,Heron!$A$4,Xero!$E:$E,Heron!$A22)-SUMIFS(Xero!$F:$F,Xero!$B:$B,Heron!Y$9,Xero!$A:$A,Heron!$A$5,Xero!$E:$E,Heron!$A22)</f>
        <v>0</v>
      </c>
      <c r="Z22" s="99">
        <f>-SUMIFS(Xero!$F:$F,Xero!$B:$B,Heron!Z$9,Xero!$A:$A,Heron!$A$4,Xero!$E:$E,Heron!$A22)-SUMIFS(Xero!$F:$F,Xero!$B:$B,Heron!Z$9,Xero!$A:$A,Heron!$A$5,Xero!$E:$E,Heron!$A22)</f>
        <v>0</v>
      </c>
      <c r="AA22" s="99">
        <f>-SUMIFS(Xero!$F:$F,Xero!$B:$B,Heron!AA$9,Xero!$A:$A,Heron!$A$4,Xero!$E:$E,Heron!$A22)-SUMIFS(Xero!$F:$F,Xero!$B:$B,Heron!AA$9,Xero!$A:$A,Heron!$A$5,Xero!$E:$E,Heron!$A22)</f>
        <v>0</v>
      </c>
      <c r="AB22" s="99">
        <f>-SUMIFS(Xero!$F:$F,Xero!$B:$B,Heron!AB$9,Xero!$A:$A,Heron!$A$4,Xero!$E:$E,Heron!$A22)-SUMIFS(Xero!$F:$F,Xero!$B:$B,Heron!AB$9,Xero!$A:$A,Heron!$A$5,Xero!$E:$E,Heron!$A22)</f>
        <v>0</v>
      </c>
      <c r="AC22" s="99">
        <f>-SUMIFS(Xero!$F:$F,Xero!$B:$B,Heron!AC$9,Xero!$A:$A,Heron!$A$4,Xero!$E:$E,Heron!$A22)-SUMIFS(Xero!$F:$F,Xero!$B:$B,Heron!AC$9,Xero!$A:$A,Heron!$A$5,Xero!$E:$E,Heron!$A22)</f>
        <v>0</v>
      </c>
      <c r="AD22" s="99">
        <f>-SUMIFS(Xero!$F:$F,Xero!$B:$B,Heron!AD$9,Xero!$A:$A,Heron!$A$4,Xero!$E:$E,Heron!$A22)-SUMIFS(Xero!$F:$F,Xero!$B:$B,Heron!AD$9,Xero!$A:$A,Heron!$A$5,Xero!$E:$E,Heron!$A22)</f>
        <v>0</v>
      </c>
      <c r="AE22" s="99">
        <f>-SUMIFS(Xero!$F:$F,Xero!$B:$B,Heron!AE$9,Xero!$A:$A,Heron!$A$4,Xero!$E:$E,Heron!$A22)-SUMIFS(Xero!$F:$F,Xero!$B:$B,Heron!AE$9,Xero!$A:$A,Heron!$A$5,Xero!$E:$E,Heron!$A22)</f>
        <v>0</v>
      </c>
      <c r="AF22" s="99">
        <f>-SUMIFS(Xero!$F:$F,Xero!$B:$B,Heron!AF$9,Xero!$A:$A,Heron!$A$4,Xero!$E:$E,Heron!$A22)-SUMIFS(Xero!$F:$F,Xero!$B:$B,Heron!AF$9,Xero!$A:$A,Heron!$A$5,Xero!$E:$E,Heron!$A22)</f>
        <v>0</v>
      </c>
      <c r="AG22" s="99">
        <f>-SUMIFS(Xero!$F:$F,Xero!$B:$B,Heron!AG$9,Xero!$A:$A,Heron!$A$4,Xero!$E:$E,Heron!$A22)-SUMIFS(Xero!$F:$F,Xero!$B:$B,Heron!AG$9,Xero!$A:$A,Heron!$A$5,Xero!$E:$E,Heron!$A22)</f>
        <v>0</v>
      </c>
      <c r="AH22" s="99">
        <f>-SUMIFS(Xero!$F:$F,Xero!$B:$B,Heron!AH$9,Xero!$A:$A,Heron!$A$4,Xero!$E:$E,Heron!$A22)-SUMIFS(Xero!$F:$F,Xero!$B:$B,Heron!AH$9,Xero!$A:$A,Heron!$A$5,Xero!$E:$E,Heron!$A22)</f>
        <v>0</v>
      </c>
      <c r="AI22" s="99">
        <f>-SUMIFS(Xero!$F:$F,Xero!$B:$B,Heron!AI$9,Xero!$A:$A,Heron!$A$4,Xero!$E:$E,Heron!$A22)-SUMIFS(Xero!$F:$F,Xero!$B:$B,Heron!AI$9,Xero!$A:$A,Heron!$A$5,Xero!$E:$E,Heron!$A22)</f>
        <v>0</v>
      </c>
      <c r="AJ22" s="99">
        <f>-SUMIFS(Xero!$F:$F,Xero!$B:$B,Heron!AJ$9,Xero!$A:$A,Heron!$A$4,Xero!$E:$E,Heron!$A22)-SUMIFS(Xero!$F:$F,Xero!$B:$B,Heron!AJ$9,Xero!$A:$A,Heron!$A$5,Xero!$E:$E,Heron!$A22)</f>
        <v>0</v>
      </c>
      <c r="AK22" s="99">
        <f>-SUMIFS(Xero!$F:$F,Xero!$B:$B,Heron!AK$9,Xero!$A:$A,Heron!$A$4,Xero!$E:$E,Heron!$A22)-SUMIFS(Xero!$F:$F,Xero!$B:$B,Heron!AK$9,Xero!$A:$A,Heron!$A$5,Xero!$E:$E,Heron!$A22)</f>
        <v>0</v>
      </c>
      <c r="AL22" s="99">
        <f>-SUMIFS(Xero!$F:$F,Xero!$B:$B,Heron!AL$9,Xero!$A:$A,Heron!$A$4,Xero!$E:$E,Heron!$A22)-SUMIFS(Xero!$F:$F,Xero!$B:$B,Heron!AL$9,Xero!$A:$A,Heron!$A$5,Xero!$E:$E,Heron!$A22)</f>
        <v>0</v>
      </c>
      <c r="AM22" s="99">
        <f>-SUMIFS(Xero!$F:$F,Xero!$B:$B,Heron!AM$9,Xero!$A:$A,Heron!$A$4,Xero!$E:$E,Heron!$A22)-SUMIFS(Xero!$F:$F,Xero!$B:$B,Heron!AM$9,Xero!$A:$A,Heron!$A$5,Xero!$E:$E,Heron!$A22)</f>
        <v>0</v>
      </c>
      <c r="AN22" s="99">
        <f>-SUMIFS(Xero!$F:$F,Xero!$B:$B,Heron!AN$9,Xero!$A:$A,Heron!$A$4,Xero!$E:$E,Heron!$A22)-SUMIFS(Xero!$F:$F,Xero!$B:$B,Heron!AN$9,Xero!$A:$A,Heron!$A$5,Xero!$E:$E,Heron!$A22)</f>
        <v>0</v>
      </c>
      <c r="AO22" s="99">
        <f>-SUMIFS(Xero!$F:$F,Xero!$B:$B,Heron!AO$9,Xero!$A:$A,Heron!$A$4,Xero!$E:$E,Heron!$A22)-SUMIFS(Xero!$F:$F,Xero!$B:$B,Heron!AO$9,Xero!$A:$A,Heron!$A$5,Xero!$E:$E,Heron!$A22)</f>
        <v>0</v>
      </c>
      <c r="AP22" s="99">
        <f>-SUMIFS(Xero!$F:$F,Xero!$B:$B,Heron!AP$9,Xero!$A:$A,Heron!$A$4,Xero!$E:$E,Heron!$A22)-SUMIFS(Xero!$F:$F,Xero!$B:$B,Heron!AP$9,Xero!$A:$A,Heron!$A$5,Xero!$E:$E,Heron!$A22)</f>
        <v>0</v>
      </c>
      <c r="AQ22" s="99">
        <f>-SUMIFS(Xero!$F:$F,Xero!$B:$B,Heron!AQ$9,Xero!$A:$A,Heron!$A$4,Xero!$E:$E,Heron!$A22)-SUMIFS(Xero!$F:$F,Xero!$B:$B,Heron!AQ$9,Xero!$A:$A,Heron!$A$5,Xero!$E:$E,Heron!$A22)</f>
        <v>34027.440000000002</v>
      </c>
      <c r="AR22" s="99">
        <f>-SUMIFS(Xero!$F:$F,Xero!$B:$B,Heron!AR$9,Xero!$A:$A,Heron!$A$4,Xero!$E:$E,Heron!$A22)-SUMIFS(Xero!$F:$F,Xero!$B:$B,Heron!AR$9,Xero!$A:$A,Heron!$A$5,Xero!$E:$E,Heron!$A22)</f>
        <v>40000</v>
      </c>
      <c r="AS22" s="99">
        <f>-SUMIFS(Xero!$F:$F,Xero!$B:$B,Heron!AS$9,Xero!$A:$A,Heron!$A$4,Xero!$E:$E,Heron!$A22)-SUMIFS(Xero!$F:$F,Xero!$B:$B,Heron!AS$9,Xero!$A:$A,Heron!$A$5,Xero!$E:$E,Heron!$A22)</f>
        <v>0</v>
      </c>
      <c r="AT22" s="99">
        <f>-SUMIFS(Xero!$F:$F,Xero!$B:$B,Heron!AT$9,Xero!$A:$A,Heron!$A$4,Xero!$E:$E,Heron!$A22)-SUMIFS(Xero!$F:$F,Xero!$B:$B,Heron!AT$9,Xero!$A:$A,Heron!$A$5,Xero!$E:$E,Heron!$A22)</f>
        <v>0</v>
      </c>
      <c r="AU22" s="99">
        <f>-SUMIFS(Xero!$F:$F,Xero!$B:$B,Heron!AU$9,Xero!$A:$A,Heron!$A$4,Xero!$E:$E,Heron!$A22)-SUMIFS(Xero!$F:$F,Xero!$B:$B,Heron!AU$9,Xero!$A:$A,Heron!$A$5,Xero!$E:$E,Heron!$A22)</f>
        <v>0</v>
      </c>
      <c r="AV22" s="99">
        <f>-SUMIFS(Xero!$F:$F,Xero!$B:$B,Heron!AV$9,Xero!$A:$A,Heron!$A$4,Xero!$E:$E,Heron!$A22)-SUMIFS(Xero!$F:$F,Xero!$B:$B,Heron!AV$9,Xero!$A:$A,Heron!$A$5,Xero!$E:$E,Heron!$A22)</f>
        <v>0</v>
      </c>
      <c r="AW22" s="99">
        <f>-SUMIFS(Xero!$F:$F,Xero!$B:$B,Heron!AW$9,Xero!$A:$A,Heron!$A$4,Xero!$E:$E,Heron!$A22)-SUMIFS(Xero!$F:$F,Xero!$B:$B,Heron!AW$9,Xero!$A:$A,Heron!$A$5,Xero!$E:$E,Heron!$A22)</f>
        <v>0</v>
      </c>
      <c r="AX22" s="99">
        <f>-SUMIFS(Xero!$F:$F,Xero!$B:$B,Heron!AX$9,Xero!$A:$A,Heron!$A$4,Xero!$E:$E,Heron!$A22)-SUMIFS(Xero!$F:$F,Xero!$B:$B,Heron!AX$9,Xero!$A:$A,Heron!$A$5,Xero!$E:$E,Heron!$A22)</f>
        <v>0</v>
      </c>
      <c r="AY22" s="99">
        <f>-SUMIFS(Xero!$F:$F,Xero!$B:$B,Heron!AY$9,Xero!$A:$A,Heron!$A$4,Xero!$E:$E,Heron!$A22)-SUMIFS(Xero!$F:$F,Xero!$B:$B,Heron!AY$9,Xero!$A:$A,Heron!$A$5,Xero!$E:$E,Heron!$A22)</f>
        <v>0</v>
      </c>
      <c r="AZ22" s="99">
        <f>-SUMIFS(Xero!$F:$F,Xero!$B:$B,Heron!AZ$9,Xero!$A:$A,Heron!$A$4,Xero!$E:$E,Heron!$A22)-SUMIFS(Xero!$F:$F,Xero!$B:$B,Heron!AZ$9,Xero!$A:$A,Heron!$A$5,Xero!$E:$E,Heron!$A22)</f>
        <v>0</v>
      </c>
      <c r="BA22" s="99">
        <f>-SUMIFS(Xero!$F:$F,Xero!$B:$B,Heron!BA$9,Xero!$A:$A,Heron!$A$4,Xero!$E:$E,Heron!$A22)-SUMIFS(Xero!$F:$F,Xero!$B:$B,Heron!BA$9,Xero!$A:$A,Heron!$A$5,Xero!$E:$E,Heron!$A22)</f>
        <v>0</v>
      </c>
      <c r="BB22" s="99">
        <f>-SUMIFS(Xero!$F:$F,Xero!$B:$B,Heron!BB$9,Xero!$A:$A,Heron!$A$4,Xero!$E:$E,Heron!$A22)-SUMIFS(Xero!$F:$F,Xero!$B:$B,Heron!BB$9,Xero!$A:$A,Heron!$A$5,Xero!$E:$E,Heron!$A22)</f>
        <v>0</v>
      </c>
      <c r="BC22" s="99">
        <f>-SUMIFS(Xero!$F:$F,Xero!$B:$B,Heron!BC$9,Xero!$A:$A,Heron!$A$4,Xero!$E:$E,Heron!$A22)-SUMIFS(Xero!$F:$F,Xero!$B:$B,Heron!BC$9,Xero!$A:$A,Heron!$A$5,Xero!$E:$E,Heron!$A22)</f>
        <v>0</v>
      </c>
      <c r="BD22" s="99">
        <f>-SUMIFS(Xero!$F:$F,Xero!$B:$B,Heron!BD$9,Xero!$A:$A,Heron!$A$4,Xero!$E:$E,Heron!$A22)-SUMIFS(Xero!$F:$F,Xero!$B:$B,Heron!BD$9,Xero!$A:$A,Heron!$A$5,Xero!$E:$E,Heron!$A22)</f>
        <v>0</v>
      </c>
      <c r="BE22" s="99">
        <f>-SUMIFS(Xero!$F:$F,Xero!$B:$B,Heron!BE$9,Xero!$A:$A,Heron!$A$4,Xero!$E:$E,Heron!$A22)-SUMIFS(Xero!$F:$F,Xero!$B:$B,Heron!BE$9,Xero!$A:$A,Heron!$A$5,Xero!$E:$E,Heron!$A22)</f>
        <v>0</v>
      </c>
      <c r="BF22" s="99">
        <f>-SUMIFS(Xero!$F:$F,Xero!$B:$B,Heron!BF$9,Xero!$A:$A,Heron!$A$4,Xero!$E:$E,Heron!$A22)-SUMIFS(Xero!$F:$F,Xero!$B:$B,Heron!BF$9,Xero!$A:$A,Heron!$A$5,Xero!$E:$E,Heron!$A22)</f>
        <v>0</v>
      </c>
      <c r="BG22" s="99">
        <f>-SUMIFS(Xero!$F:$F,Xero!$B:$B,Heron!BG$9,Xero!$A:$A,Heron!$A$4,Xero!$E:$E,Heron!$A22)-SUMIFS(Xero!$F:$F,Xero!$B:$B,Heron!BG$9,Xero!$A:$A,Heron!$A$5,Xero!$E:$E,Heron!$A22)</f>
        <v>0</v>
      </c>
      <c r="BH22" s="99">
        <f>-SUMIFS(Xero!$F:$F,Xero!$B:$B,Heron!BH$9,Xero!$A:$A,Heron!$A$4,Xero!$E:$E,Heron!$A22)-SUMIFS(Xero!$F:$F,Xero!$B:$B,Heron!BH$9,Xero!$A:$A,Heron!$A$5,Xero!$E:$E,Heron!$A22)</f>
        <v>0</v>
      </c>
      <c r="BI22" s="99">
        <f>-SUMIFS(Xero!$F:$F,Xero!$B:$B,Heron!BI$9,Xero!$A:$A,Heron!$A$4,Xero!$E:$E,Heron!$A22)-SUMIFS(Xero!$F:$F,Xero!$B:$B,Heron!BI$9,Xero!$A:$A,Heron!$A$5,Xero!$E:$E,Heron!$A22)</f>
        <v>0</v>
      </c>
      <c r="BJ22" s="99">
        <f>-SUMIFS(Xero!$F:$F,Xero!$B:$B,Heron!BJ$9,Xero!$A:$A,Heron!$A$4,Xero!$E:$E,Heron!$A22)-SUMIFS(Xero!$F:$F,Xero!$B:$B,Heron!BJ$9,Xero!$A:$A,Heron!$A$5,Xero!$E:$E,Heron!$A22)</f>
        <v>0</v>
      </c>
      <c r="BK22" s="99">
        <f t="shared" si="1"/>
        <v>74027.44</v>
      </c>
    </row>
    <row r="23" spans="1:64" ht="16" x14ac:dyDescent="0.2">
      <c r="A23" s="98" t="s">
        <v>1240</v>
      </c>
      <c r="D23" s="99">
        <f>-SUMIFS(Xero!$F:$F,Xero!$B:$B,Heron!D$9,Xero!$A:$A,Heron!$A$4,Xero!$E:$E,Heron!$A23)-SUMIFS(Xero!$F:$F,Xero!$B:$B,Heron!D$9,Xero!$A:$A,Heron!$A$5,Xero!$E:$E,Heron!$A23)</f>
        <v>0</v>
      </c>
      <c r="E23" s="99">
        <f>-SUMIFS(Xero!$F:$F,Xero!$B:$B,Heron!E$9,Xero!$A:$A,Heron!$A$4,Xero!$E:$E,Heron!$A23)-SUMIFS(Xero!$F:$F,Xero!$B:$B,Heron!E$9,Xero!$A:$A,Heron!$A$5,Xero!$E:$E,Heron!$A23)</f>
        <v>0</v>
      </c>
      <c r="F23" s="99">
        <f>-SUMIFS(Xero!$F:$F,Xero!$B:$B,Heron!F$9,Xero!$A:$A,Heron!$A$4,Xero!$E:$E,Heron!$A23)-SUMIFS(Xero!$F:$F,Xero!$B:$B,Heron!F$9,Xero!$A:$A,Heron!$A$5,Xero!$E:$E,Heron!$A23)</f>
        <v>0</v>
      </c>
      <c r="G23" s="99">
        <f>-SUMIFS(Xero!$F:$F,Xero!$B:$B,Heron!G$9,Xero!$A:$A,Heron!$A$4,Xero!$E:$E,Heron!$A23)-SUMIFS(Xero!$F:$F,Xero!$B:$B,Heron!G$9,Xero!$A:$A,Heron!$A$5,Xero!$E:$E,Heron!$A23)</f>
        <v>0</v>
      </c>
      <c r="H23" s="99">
        <f>-SUMIFS(Xero!$F:$F,Xero!$B:$B,Heron!H$9,Xero!$A:$A,Heron!$A$4,Xero!$E:$E,Heron!$A23)-SUMIFS(Xero!$F:$F,Xero!$B:$B,Heron!H$9,Xero!$A:$A,Heron!$A$5,Xero!$E:$E,Heron!$A23)</f>
        <v>0</v>
      </c>
      <c r="I23" s="99">
        <f>-SUMIFS(Xero!$F:$F,Xero!$B:$B,Heron!I$9,Xero!$A:$A,Heron!$A$4,Xero!$E:$E,Heron!$A23)-SUMIFS(Xero!$F:$F,Xero!$B:$B,Heron!I$9,Xero!$A:$A,Heron!$A$5,Xero!$E:$E,Heron!$A23)</f>
        <v>1000000</v>
      </c>
      <c r="J23" s="99">
        <f>-SUMIFS(Xero!$F:$F,Xero!$B:$B,Heron!J$9,Xero!$A:$A,Heron!$A$4,Xero!$E:$E,Heron!$A23)-SUMIFS(Xero!$F:$F,Xero!$B:$B,Heron!J$9,Xero!$A:$A,Heron!$A$5,Xero!$E:$E,Heron!$A23)</f>
        <v>20976776.449999999</v>
      </c>
      <c r="K23" s="99">
        <f>-SUMIFS(Xero!$F:$F,Xero!$B:$B,Heron!K$9,Xero!$A:$A,Heron!$A$4,Xero!$E:$E,Heron!$A23)-SUMIFS(Xero!$F:$F,Xero!$B:$B,Heron!K$9,Xero!$A:$A,Heron!$A$5,Xero!$E:$E,Heron!$A23)</f>
        <v>-2263732.77</v>
      </c>
      <c r="L23" s="99">
        <f>-SUMIFS(Xero!$F:$F,Xero!$B:$B,Heron!L$9,Xero!$A:$A,Heron!$A$4,Xero!$E:$E,Heron!$A23)-SUMIFS(Xero!$F:$F,Xero!$B:$B,Heron!L$9,Xero!$A:$A,Heron!$A$5,Xero!$E:$E,Heron!$A23)</f>
        <v>0</v>
      </c>
      <c r="M23" s="99">
        <f>-SUMIFS(Xero!$F:$F,Xero!$B:$B,Heron!M$9,Xero!$A:$A,Heron!$A$4,Xero!$E:$E,Heron!$A23)-SUMIFS(Xero!$F:$F,Xero!$B:$B,Heron!M$9,Xero!$A:$A,Heron!$A$5,Xero!$E:$E,Heron!$A23)</f>
        <v>0</v>
      </c>
      <c r="N23" s="99">
        <f>-SUMIFS(Xero!$F:$F,Xero!$B:$B,Heron!N$9,Xero!$A:$A,Heron!$A$4,Xero!$E:$E,Heron!$A23)-SUMIFS(Xero!$F:$F,Xero!$B:$B,Heron!N$9,Xero!$A:$A,Heron!$A$5,Xero!$E:$E,Heron!$A23)</f>
        <v>0</v>
      </c>
      <c r="O23" s="99">
        <f>-SUMIFS(Xero!$F:$F,Xero!$B:$B,Heron!O$9,Xero!$A:$A,Heron!$A$4,Xero!$E:$E,Heron!$A23)-SUMIFS(Xero!$F:$F,Xero!$B:$B,Heron!O$9,Xero!$A:$A,Heron!$A$5,Xero!$E:$E,Heron!$A23)</f>
        <v>-2150682.83</v>
      </c>
      <c r="P23" s="99">
        <f>-SUMIFS(Xero!$F:$F,Xero!$B:$B,Heron!P$9,Xero!$A:$A,Heron!$A$4,Xero!$E:$E,Heron!$A23)-SUMIFS(Xero!$F:$F,Xero!$B:$B,Heron!P$9,Xero!$A:$A,Heron!$A$5,Xero!$E:$E,Heron!$A23)</f>
        <v>0</v>
      </c>
      <c r="Q23" s="99">
        <f>-SUMIFS(Xero!$F:$F,Xero!$B:$B,Heron!Q$9,Xero!$A:$A,Heron!$A$4,Xero!$E:$E,Heron!$A23)-SUMIFS(Xero!$F:$F,Xero!$B:$B,Heron!Q$9,Xero!$A:$A,Heron!$A$5,Xero!$E:$E,Heron!$A23)</f>
        <v>0</v>
      </c>
      <c r="R23" s="99">
        <f>-SUMIFS(Xero!$F:$F,Xero!$B:$B,Heron!R$9,Xero!$A:$A,Heron!$A$4,Xero!$E:$E,Heron!$A23)-SUMIFS(Xero!$F:$F,Xero!$B:$B,Heron!R$9,Xero!$A:$A,Heron!$A$5,Xero!$E:$E,Heron!$A23)</f>
        <v>0</v>
      </c>
      <c r="S23" s="99">
        <f>-SUMIFS(Xero!$F:$F,Xero!$B:$B,Heron!S$9,Xero!$A:$A,Heron!$A$4,Xero!$E:$E,Heron!$A23)-SUMIFS(Xero!$F:$F,Xero!$B:$B,Heron!S$9,Xero!$A:$A,Heron!$A$5,Xero!$E:$E,Heron!$A23)</f>
        <v>0</v>
      </c>
      <c r="T23" s="99">
        <f>-SUMIFS(Xero!$F:$F,Xero!$B:$B,Heron!T$9,Xero!$A:$A,Heron!$A$4,Xero!$E:$E,Heron!$A23)-SUMIFS(Xero!$F:$F,Xero!$B:$B,Heron!T$9,Xero!$A:$A,Heron!$A$5,Xero!$E:$E,Heron!$A23)</f>
        <v>0</v>
      </c>
      <c r="U23" s="99">
        <f>-SUMIFS(Xero!$F:$F,Xero!$B:$B,Heron!U$9,Xero!$A:$A,Heron!$A$4,Xero!$E:$E,Heron!$A23)-SUMIFS(Xero!$F:$F,Xero!$B:$B,Heron!U$9,Xero!$A:$A,Heron!$A$5,Xero!$E:$E,Heron!$A23)</f>
        <v>0</v>
      </c>
      <c r="V23" s="99">
        <f>-SUMIFS(Xero!$F:$F,Xero!$B:$B,Heron!V$9,Xero!$A:$A,Heron!$A$4,Xero!$E:$E,Heron!$A23)-SUMIFS(Xero!$F:$F,Xero!$B:$B,Heron!V$9,Xero!$A:$A,Heron!$A$5,Xero!$E:$E,Heron!$A23)</f>
        <v>0</v>
      </c>
      <c r="W23" s="99">
        <f>-SUMIFS(Xero!$F:$F,Xero!$B:$B,Heron!W$9,Xero!$A:$A,Heron!$A$4,Xero!$E:$E,Heron!$A23)-SUMIFS(Xero!$F:$F,Xero!$B:$B,Heron!W$9,Xero!$A:$A,Heron!$A$5,Xero!$E:$E,Heron!$A23)</f>
        <v>0</v>
      </c>
      <c r="X23" s="99">
        <f>-SUMIFS(Xero!$F:$F,Xero!$B:$B,Heron!X$9,Xero!$A:$A,Heron!$A$4,Xero!$E:$E,Heron!$A23)-SUMIFS(Xero!$F:$F,Xero!$B:$B,Heron!X$9,Xero!$A:$A,Heron!$A$5,Xero!$E:$E,Heron!$A23)</f>
        <v>0</v>
      </c>
      <c r="Y23" s="99">
        <f>-SUMIFS(Xero!$F:$F,Xero!$B:$B,Heron!Y$9,Xero!$A:$A,Heron!$A$4,Xero!$E:$E,Heron!$A23)-SUMIFS(Xero!$F:$F,Xero!$B:$B,Heron!Y$9,Xero!$A:$A,Heron!$A$5,Xero!$E:$E,Heron!$A23)</f>
        <v>0</v>
      </c>
      <c r="Z23" s="99">
        <f>-SUMIFS(Xero!$F:$F,Xero!$B:$B,Heron!Z$9,Xero!$A:$A,Heron!$A$4,Xero!$E:$E,Heron!$A23)-SUMIFS(Xero!$F:$F,Xero!$B:$B,Heron!Z$9,Xero!$A:$A,Heron!$A$5,Xero!$E:$E,Heron!$A23)</f>
        <v>0</v>
      </c>
      <c r="AA23" s="99">
        <f>-SUMIFS(Xero!$F:$F,Xero!$B:$B,Heron!AA$9,Xero!$A:$A,Heron!$A$4,Xero!$E:$E,Heron!$A23)-SUMIFS(Xero!$F:$F,Xero!$B:$B,Heron!AA$9,Xero!$A:$A,Heron!$A$5,Xero!$E:$E,Heron!$A23)</f>
        <v>0</v>
      </c>
      <c r="AB23" s="99">
        <f>-SUMIFS(Xero!$F:$F,Xero!$B:$B,Heron!AB$9,Xero!$A:$A,Heron!$A$4,Xero!$E:$E,Heron!$A23)-SUMIFS(Xero!$F:$F,Xero!$B:$B,Heron!AB$9,Xero!$A:$A,Heron!$A$5,Xero!$E:$E,Heron!$A23)</f>
        <v>0</v>
      </c>
      <c r="AC23" s="99">
        <f>-SUMIFS(Xero!$F:$F,Xero!$B:$B,Heron!AC$9,Xero!$A:$A,Heron!$A$4,Xero!$E:$E,Heron!$A23)-SUMIFS(Xero!$F:$F,Xero!$B:$B,Heron!AC$9,Xero!$A:$A,Heron!$A$5,Xero!$E:$E,Heron!$A23)</f>
        <v>0</v>
      </c>
      <c r="AD23" s="99">
        <f>-SUMIFS(Xero!$F:$F,Xero!$B:$B,Heron!AD$9,Xero!$A:$A,Heron!$A$4,Xero!$E:$E,Heron!$A23)-SUMIFS(Xero!$F:$F,Xero!$B:$B,Heron!AD$9,Xero!$A:$A,Heron!$A$5,Xero!$E:$E,Heron!$A23)</f>
        <v>0</v>
      </c>
      <c r="AE23" s="99">
        <f>-SUMIFS(Xero!$F:$F,Xero!$B:$B,Heron!AE$9,Xero!$A:$A,Heron!$A$4,Xero!$E:$E,Heron!$A23)-SUMIFS(Xero!$F:$F,Xero!$B:$B,Heron!AE$9,Xero!$A:$A,Heron!$A$5,Xero!$E:$E,Heron!$A23)</f>
        <v>0</v>
      </c>
      <c r="AF23" s="99">
        <f>-SUMIFS(Xero!$F:$F,Xero!$B:$B,Heron!AF$9,Xero!$A:$A,Heron!$A$4,Xero!$E:$E,Heron!$A23)-SUMIFS(Xero!$F:$F,Xero!$B:$B,Heron!AF$9,Xero!$A:$A,Heron!$A$5,Xero!$E:$E,Heron!$A23)</f>
        <v>0</v>
      </c>
      <c r="AG23" s="99">
        <f>-SUMIFS(Xero!$F:$F,Xero!$B:$B,Heron!AG$9,Xero!$A:$A,Heron!$A$4,Xero!$E:$E,Heron!$A23)-SUMIFS(Xero!$F:$F,Xero!$B:$B,Heron!AG$9,Xero!$A:$A,Heron!$A$5,Xero!$E:$E,Heron!$A23)</f>
        <v>0</v>
      </c>
      <c r="AH23" s="99">
        <f>-SUMIFS(Xero!$F:$F,Xero!$B:$B,Heron!AH$9,Xero!$A:$A,Heron!$A$4,Xero!$E:$E,Heron!$A23)-SUMIFS(Xero!$F:$F,Xero!$B:$B,Heron!AH$9,Xero!$A:$A,Heron!$A$5,Xero!$E:$E,Heron!$A23)</f>
        <v>0</v>
      </c>
      <c r="AI23" s="99">
        <f>-SUMIFS(Xero!$F:$F,Xero!$B:$B,Heron!AI$9,Xero!$A:$A,Heron!$A$4,Xero!$E:$E,Heron!$A23)-SUMIFS(Xero!$F:$F,Xero!$B:$B,Heron!AI$9,Xero!$A:$A,Heron!$A$5,Xero!$E:$E,Heron!$A23)</f>
        <v>0</v>
      </c>
      <c r="AJ23" s="99">
        <f>-SUMIFS(Xero!$F:$F,Xero!$B:$B,Heron!AJ$9,Xero!$A:$A,Heron!$A$4,Xero!$E:$E,Heron!$A23)-SUMIFS(Xero!$F:$F,Xero!$B:$B,Heron!AJ$9,Xero!$A:$A,Heron!$A$5,Xero!$E:$E,Heron!$A23)</f>
        <v>0</v>
      </c>
      <c r="AK23" s="99">
        <f>-SUMIFS(Xero!$F:$F,Xero!$B:$B,Heron!AK$9,Xero!$A:$A,Heron!$A$4,Xero!$E:$E,Heron!$A23)-SUMIFS(Xero!$F:$F,Xero!$B:$B,Heron!AK$9,Xero!$A:$A,Heron!$A$5,Xero!$E:$E,Heron!$A23)</f>
        <v>0</v>
      </c>
      <c r="AL23" s="99">
        <f>-SUMIFS(Xero!$F:$F,Xero!$B:$B,Heron!AL$9,Xero!$A:$A,Heron!$A$4,Xero!$E:$E,Heron!$A23)-SUMIFS(Xero!$F:$F,Xero!$B:$B,Heron!AL$9,Xero!$A:$A,Heron!$A$5,Xero!$E:$E,Heron!$A23)</f>
        <v>0</v>
      </c>
      <c r="AM23" s="99">
        <f>-SUMIFS(Xero!$F:$F,Xero!$B:$B,Heron!AM$9,Xero!$A:$A,Heron!$A$4,Xero!$E:$E,Heron!$A23)-SUMIFS(Xero!$F:$F,Xero!$B:$B,Heron!AM$9,Xero!$A:$A,Heron!$A$5,Xero!$E:$E,Heron!$A23)</f>
        <v>0</v>
      </c>
      <c r="AN23" s="99">
        <f>-SUMIFS(Xero!$F:$F,Xero!$B:$B,Heron!AN$9,Xero!$A:$A,Heron!$A$4,Xero!$E:$E,Heron!$A23)-SUMIFS(Xero!$F:$F,Xero!$B:$B,Heron!AN$9,Xero!$A:$A,Heron!$A$5,Xero!$E:$E,Heron!$A23)</f>
        <v>0</v>
      </c>
      <c r="AO23" s="99">
        <f>-SUMIFS(Xero!$F:$F,Xero!$B:$B,Heron!AO$9,Xero!$A:$A,Heron!$A$4,Xero!$E:$E,Heron!$A23)-SUMIFS(Xero!$F:$F,Xero!$B:$B,Heron!AO$9,Xero!$A:$A,Heron!$A$5,Xero!$E:$E,Heron!$A23)</f>
        <v>0</v>
      </c>
      <c r="AP23" s="99">
        <f>-SUMIFS(Xero!$F:$F,Xero!$B:$B,Heron!AP$9,Xero!$A:$A,Heron!$A$4,Xero!$E:$E,Heron!$A23)-SUMIFS(Xero!$F:$F,Xero!$B:$B,Heron!AP$9,Xero!$A:$A,Heron!$A$5,Xero!$E:$E,Heron!$A23)</f>
        <v>0</v>
      </c>
      <c r="AQ23" s="99">
        <f>-SUMIFS(Xero!$F:$F,Xero!$B:$B,Heron!AQ$9,Xero!$A:$A,Heron!$A$4,Xero!$E:$E,Heron!$A23)-SUMIFS(Xero!$F:$F,Xero!$B:$B,Heron!AQ$9,Xero!$A:$A,Heron!$A$5,Xero!$E:$E,Heron!$A23)</f>
        <v>0</v>
      </c>
      <c r="AR23" s="99">
        <f>-SUMIFS(Xero!$F:$F,Xero!$B:$B,Heron!AR$9,Xero!$A:$A,Heron!$A$4,Xero!$E:$E,Heron!$A23)-SUMIFS(Xero!$F:$F,Xero!$B:$B,Heron!AR$9,Xero!$A:$A,Heron!$A$5,Xero!$E:$E,Heron!$A23)</f>
        <v>0</v>
      </c>
      <c r="AS23" s="99">
        <f>-SUMIFS(Xero!$F:$F,Xero!$B:$B,Heron!AS$9,Xero!$A:$A,Heron!$A$4,Xero!$E:$E,Heron!$A23)-SUMIFS(Xero!$F:$F,Xero!$B:$B,Heron!AS$9,Xero!$A:$A,Heron!$A$5,Xero!$E:$E,Heron!$A23)</f>
        <v>0</v>
      </c>
      <c r="AT23" s="99">
        <f>-SUMIFS(Xero!$F:$F,Xero!$B:$B,Heron!AT$9,Xero!$A:$A,Heron!$A$4,Xero!$E:$E,Heron!$A23)-SUMIFS(Xero!$F:$F,Xero!$B:$B,Heron!AT$9,Xero!$A:$A,Heron!$A$5,Xero!$E:$E,Heron!$A23)</f>
        <v>0</v>
      </c>
      <c r="AU23" s="99">
        <f>-SUMIFS(Xero!$F:$F,Xero!$B:$B,Heron!AU$9,Xero!$A:$A,Heron!$A$4,Xero!$E:$E,Heron!$A23)-SUMIFS(Xero!$F:$F,Xero!$B:$B,Heron!AU$9,Xero!$A:$A,Heron!$A$5,Xero!$E:$E,Heron!$A23)</f>
        <v>0</v>
      </c>
      <c r="AV23" s="99">
        <f>-SUMIFS(Xero!$F:$F,Xero!$B:$B,Heron!AV$9,Xero!$A:$A,Heron!$A$4,Xero!$E:$E,Heron!$A23)-SUMIFS(Xero!$F:$F,Xero!$B:$B,Heron!AV$9,Xero!$A:$A,Heron!$A$5,Xero!$E:$E,Heron!$A23)</f>
        <v>0</v>
      </c>
      <c r="AW23" s="99">
        <f>-SUMIFS(Xero!$F:$F,Xero!$B:$B,Heron!AW$9,Xero!$A:$A,Heron!$A$4,Xero!$E:$E,Heron!$A23)-SUMIFS(Xero!$F:$F,Xero!$B:$B,Heron!AW$9,Xero!$A:$A,Heron!$A$5,Xero!$E:$E,Heron!$A23)</f>
        <v>0</v>
      </c>
      <c r="AX23" s="99">
        <f>-SUMIFS(Xero!$F:$F,Xero!$B:$B,Heron!AX$9,Xero!$A:$A,Heron!$A$4,Xero!$E:$E,Heron!$A23)-SUMIFS(Xero!$F:$F,Xero!$B:$B,Heron!AX$9,Xero!$A:$A,Heron!$A$5,Xero!$E:$E,Heron!$A23)</f>
        <v>0</v>
      </c>
      <c r="AY23" s="99">
        <f>-SUMIFS(Xero!$F:$F,Xero!$B:$B,Heron!AY$9,Xero!$A:$A,Heron!$A$4,Xero!$E:$E,Heron!$A23)-SUMIFS(Xero!$F:$F,Xero!$B:$B,Heron!AY$9,Xero!$A:$A,Heron!$A$5,Xero!$E:$E,Heron!$A23)</f>
        <v>0</v>
      </c>
      <c r="AZ23" s="99">
        <f>-SUMIFS(Xero!$F:$F,Xero!$B:$B,Heron!AZ$9,Xero!$A:$A,Heron!$A$4,Xero!$E:$E,Heron!$A23)-SUMIFS(Xero!$F:$F,Xero!$B:$B,Heron!AZ$9,Xero!$A:$A,Heron!$A$5,Xero!$E:$E,Heron!$A23)</f>
        <v>0</v>
      </c>
      <c r="BA23" s="99">
        <f>-SUMIFS(Xero!$F:$F,Xero!$B:$B,Heron!BA$9,Xero!$A:$A,Heron!$A$4,Xero!$E:$E,Heron!$A23)-SUMIFS(Xero!$F:$F,Xero!$B:$B,Heron!BA$9,Xero!$A:$A,Heron!$A$5,Xero!$E:$E,Heron!$A23)</f>
        <v>0</v>
      </c>
      <c r="BB23" s="99">
        <f>-SUMIFS(Xero!$F:$F,Xero!$B:$B,Heron!BB$9,Xero!$A:$A,Heron!$A$4,Xero!$E:$E,Heron!$A23)-SUMIFS(Xero!$F:$F,Xero!$B:$B,Heron!BB$9,Xero!$A:$A,Heron!$A$5,Xero!$E:$E,Heron!$A23)</f>
        <v>0</v>
      </c>
      <c r="BC23" s="99">
        <f>-SUMIFS(Xero!$F:$F,Xero!$B:$B,Heron!BC$9,Xero!$A:$A,Heron!$A$4,Xero!$E:$E,Heron!$A23)-SUMIFS(Xero!$F:$F,Xero!$B:$B,Heron!BC$9,Xero!$A:$A,Heron!$A$5,Xero!$E:$E,Heron!$A23)</f>
        <v>0</v>
      </c>
      <c r="BD23" s="99">
        <f>-SUMIFS(Xero!$F:$F,Xero!$B:$B,Heron!BD$9,Xero!$A:$A,Heron!$A$4,Xero!$E:$E,Heron!$A23)-SUMIFS(Xero!$F:$F,Xero!$B:$B,Heron!BD$9,Xero!$A:$A,Heron!$A$5,Xero!$E:$E,Heron!$A23)</f>
        <v>0</v>
      </c>
      <c r="BE23" s="99">
        <f>-SUMIFS(Xero!$F:$F,Xero!$B:$B,Heron!BE$9,Xero!$A:$A,Heron!$A$4,Xero!$E:$E,Heron!$A23)-SUMIFS(Xero!$F:$F,Xero!$B:$B,Heron!BE$9,Xero!$A:$A,Heron!$A$5,Xero!$E:$E,Heron!$A23)</f>
        <v>0</v>
      </c>
      <c r="BF23" s="99">
        <f>-SUMIFS(Xero!$F:$F,Xero!$B:$B,Heron!BF$9,Xero!$A:$A,Heron!$A$4,Xero!$E:$E,Heron!$A23)-SUMIFS(Xero!$F:$F,Xero!$B:$B,Heron!BF$9,Xero!$A:$A,Heron!$A$5,Xero!$E:$E,Heron!$A23)</f>
        <v>0</v>
      </c>
      <c r="BG23" s="99">
        <f>-SUMIFS(Xero!$F:$F,Xero!$B:$B,Heron!BG$9,Xero!$A:$A,Heron!$A$4,Xero!$E:$E,Heron!$A23)-SUMIFS(Xero!$F:$F,Xero!$B:$B,Heron!BG$9,Xero!$A:$A,Heron!$A$5,Xero!$E:$E,Heron!$A23)</f>
        <v>0</v>
      </c>
      <c r="BH23" s="99">
        <f>-SUMIFS(Xero!$F:$F,Xero!$B:$B,Heron!BH$9,Xero!$A:$A,Heron!$A$4,Xero!$E:$E,Heron!$A23)-SUMIFS(Xero!$F:$F,Xero!$B:$B,Heron!BH$9,Xero!$A:$A,Heron!$A$5,Xero!$E:$E,Heron!$A23)</f>
        <v>0</v>
      </c>
      <c r="BI23" s="99">
        <f>-SUMIFS(Xero!$F:$F,Xero!$B:$B,Heron!BI$9,Xero!$A:$A,Heron!$A$4,Xero!$E:$E,Heron!$A23)-SUMIFS(Xero!$F:$F,Xero!$B:$B,Heron!BI$9,Xero!$A:$A,Heron!$A$5,Xero!$E:$E,Heron!$A23)</f>
        <v>0</v>
      </c>
      <c r="BJ23" s="99">
        <f>-SUMIFS(Xero!$F:$F,Xero!$B:$B,Heron!BJ$9,Xero!$A:$A,Heron!$A$4,Xero!$E:$E,Heron!$A23)-SUMIFS(Xero!$F:$F,Xero!$B:$B,Heron!BJ$9,Xero!$A:$A,Heron!$A$5,Xero!$E:$E,Heron!$A23)</f>
        <v>0</v>
      </c>
      <c r="BK23" s="99">
        <f t="shared" si="1"/>
        <v>17562360.850000001</v>
      </c>
    </row>
    <row r="24" spans="1:64" ht="16" x14ac:dyDescent="0.2">
      <c r="A24" s="98" t="s">
        <v>1553</v>
      </c>
      <c r="D24" s="99">
        <f>-SUMIFS(Xero!$F:$F,Xero!$B:$B,Heron!D$9,Xero!$A:$A,Heron!$A$4,Xero!$E:$E,Heron!$A24)-SUMIFS(Xero!$F:$F,Xero!$B:$B,Heron!D$9,Xero!$A:$A,Heron!$A$5,Xero!$E:$E,Heron!$A24)+SUMIFS(Sales!$K:$K,Sales!$E:$E,FALSE,Sales!$A:$A,Heron!$B$4,Sales!$H:$H,"&lt;="&amp;Heron!D$9,Sales!$H:$H,"&gt;"&amp;Heron!C$9,Sales!$F:$F,1)</f>
        <v>0</v>
      </c>
      <c r="E24" s="99">
        <f>-SUMIFS(Xero!$F:$F,Xero!$B:$B,Heron!E$9,Xero!$A:$A,Heron!$A$4,Xero!$E:$E,Heron!$A24)-SUMIFS(Xero!$F:$F,Xero!$B:$B,Heron!E$9,Xero!$A:$A,Heron!$A$5,Xero!$E:$E,Heron!$A24)+SUMIFS(Sales!$K:$K,Sales!$E:$E,FALSE,Sales!$A:$A,Heron!$B$4,Sales!$H:$H,"&lt;="&amp;Heron!E$9,Sales!$H:$H,"&gt;"&amp;Heron!D$9,Sales!$F:$F,1)</f>
        <v>0</v>
      </c>
      <c r="F24" s="99">
        <f>-SUMIFS(Xero!$F:$F,Xero!$B:$B,Heron!F$9,Xero!$A:$A,Heron!$A$4,Xero!$E:$E,Heron!$A24)-SUMIFS(Xero!$F:$F,Xero!$B:$B,Heron!F$9,Xero!$A:$A,Heron!$A$5,Xero!$E:$E,Heron!$A24)+SUMIFS(Sales!$K:$K,Sales!$E:$E,FALSE,Sales!$A:$A,Heron!$B$4,Sales!$H:$H,"&lt;="&amp;Heron!F$9,Sales!$H:$H,"&gt;"&amp;Heron!E$9,Sales!$F:$F,1)</f>
        <v>0</v>
      </c>
      <c r="G24" s="99">
        <f>-SUMIFS(Xero!$F:$F,Xero!$B:$B,Heron!G$9,Xero!$A:$A,Heron!$A$4,Xero!$E:$E,Heron!$A24)-SUMIFS(Xero!$F:$F,Xero!$B:$B,Heron!G$9,Xero!$A:$A,Heron!$A$5,Xero!$E:$E,Heron!$A24)+SUMIFS(Sales!$K:$K,Sales!$E:$E,FALSE,Sales!$A:$A,Heron!$B$4,Sales!$H:$H,"&lt;="&amp;Heron!G$9,Sales!$H:$H,"&gt;"&amp;Heron!F$9,Sales!$F:$F,1)</f>
        <v>0</v>
      </c>
      <c r="H24" s="99">
        <f>-SUMIFS(Xero!$F:$F,Xero!$B:$B,Heron!H$9,Xero!$A:$A,Heron!$A$4,Xero!$E:$E,Heron!$A24)-SUMIFS(Xero!$F:$F,Xero!$B:$B,Heron!H$9,Xero!$A:$A,Heron!$A$5,Xero!$E:$E,Heron!$A24)+SUMIFS(Sales!$K:$K,Sales!$E:$E,FALSE,Sales!$A:$A,Heron!$B$4,Sales!$H:$H,"&lt;="&amp;Heron!H$9,Sales!$H:$H,"&gt;"&amp;Heron!G$9,Sales!$F:$F,1)</f>
        <v>0</v>
      </c>
      <c r="I24" s="99">
        <f>-SUMIFS(Xero!$F:$F,Xero!$B:$B,Heron!I$9,Xero!$A:$A,Heron!$A$4,Xero!$E:$E,Heron!$A24)-SUMIFS(Xero!$F:$F,Xero!$B:$B,Heron!I$9,Xero!$A:$A,Heron!$A$5,Xero!$E:$E,Heron!$A24)+SUMIFS(Sales!$K:$K,Sales!$E:$E,FALSE,Sales!$A:$A,Heron!$B$4,Sales!$H:$H,"&lt;="&amp;Heron!I$9,Sales!$H:$H,"&gt;"&amp;Heron!H$9,Sales!$F:$F,1)</f>
        <v>0</v>
      </c>
      <c r="J24" s="99">
        <f>-SUMIFS(Xero!$F:$F,Xero!$B:$B,Heron!J$9,Xero!$A:$A,Heron!$A$4,Xero!$E:$E,Heron!$A24)-SUMIFS(Xero!$F:$F,Xero!$B:$B,Heron!J$9,Xero!$A:$A,Heron!$A$5,Xero!$E:$E,Heron!$A24)+SUMIFS(Sales!$K:$K,Sales!$E:$E,FALSE,Sales!$A:$A,Heron!$B$4,Sales!$H:$H,"&lt;="&amp;Heron!J$9,Sales!$H:$H,"&gt;"&amp;Heron!I$9,Sales!$F:$F,1)</f>
        <v>0</v>
      </c>
      <c r="K24" s="99">
        <f>-SUMIFS(Xero!$F:$F,Xero!$B:$B,Heron!K$9,Xero!$A:$A,Heron!$A$4,Xero!$E:$E,Heron!$A24)-SUMIFS(Xero!$F:$F,Xero!$B:$B,Heron!K$9,Xero!$A:$A,Heron!$A$5,Xero!$E:$E,Heron!$A24)+SUMIFS(Sales!$K:$K,Sales!$E:$E,FALSE,Sales!$A:$A,Heron!$B$4,Sales!$H:$H,"&lt;="&amp;Heron!K$9,Sales!$H:$H,"&gt;"&amp;Heron!J$9,Sales!$F:$F,1)</f>
        <v>0</v>
      </c>
      <c r="L24" s="99">
        <f>-SUMIFS(Xero!$F:$F,Xero!$B:$B,Heron!L$9,Xero!$A:$A,Heron!$A$4,Xero!$E:$E,Heron!$A24)-SUMIFS(Xero!$F:$F,Xero!$B:$B,Heron!L$9,Xero!$A:$A,Heron!$A$5,Xero!$E:$E,Heron!$A24)+SUMIFS(Sales!$K:$K,Sales!$E:$E,FALSE,Sales!$A:$A,Heron!$B$4,Sales!$H:$H,"&lt;="&amp;Heron!L$9,Sales!$H:$H,"&gt;"&amp;Heron!K$9,Sales!$F:$F,1)</f>
        <v>0</v>
      </c>
      <c r="M24" s="99">
        <f>-SUMIFS(Xero!$F:$F,Xero!$B:$B,Heron!M$9,Xero!$A:$A,Heron!$A$4,Xero!$E:$E,Heron!$A24)-SUMIFS(Xero!$F:$F,Xero!$B:$B,Heron!M$9,Xero!$A:$A,Heron!$A$5,Xero!$E:$E,Heron!$A24)+SUMIFS(Sales!$K:$K,Sales!$E:$E,FALSE,Sales!$A:$A,Heron!$B$4,Sales!$H:$H,"&lt;="&amp;Heron!M$9,Sales!$H:$H,"&gt;"&amp;Heron!L$9,Sales!$F:$F,1)</f>
        <v>0</v>
      </c>
      <c r="N24" s="99">
        <f>-SUMIFS(Xero!$F:$F,Xero!$B:$B,Heron!N$9,Xero!$A:$A,Heron!$A$4,Xero!$E:$E,Heron!$A24)-SUMIFS(Xero!$F:$F,Xero!$B:$B,Heron!N$9,Xero!$A:$A,Heron!$A$5,Xero!$E:$E,Heron!$A24)+SUMIFS(Sales!$K:$K,Sales!$E:$E,FALSE,Sales!$A:$A,Heron!$B$4,Sales!$H:$H,"&lt;="&amp;Heron!N$9,Sales!$H:$H,"&gt;"&amp;Heron!M$9,Sales!$F:$F,1)</f>
        <v>0</v>
      </c>
      <c r="O24" s="99">
        <f>-SUMIFS(Xero!$F:$F,Xero!$B:$B,Heron!O$9,Xero!$A:$A,Heron!$A$4,Xero!$E:$E,Heron!$A24)-SUMIFS(Xero!$F:$F,Xero!$B:$B,Heron!O$9,Xero!$A:$A,Heron!$A$5,Xero!$E:$E,Heron!$A24)+SUMIFS(Sales!$K:$K,Sales!$E:$E,FALSE,Sales!$A:$A,Heron!$B$4,Sales!$H:$H,"&lt;="&amp;Heron!O$9,Sales!$H:$H,"&gt;"&amp;Heron!N$9,Sales!$F:$F,1)</f>
        <v>0</v>
      </c>
      <c r="P24" s="99">
        <f>-SUMIFS(Xero!$F:$F,Xero!$B:$B,Heron!P$9,Xero!$A:$A,Heron!$A$4,Xero!$E:$E,Heron!$A24)-SUMIFS(Xero!$F:$F,Xero!$B:$B,Heron!P$9,Xero!$A:$A,Heron!$A$5,Xero!$E:$E,Heron!$A24)+SUMIFS(Sales!$K:$K,Sales!$E:$E,FALSE,Sales!$A:$A,Heron!$B$4,Sales!$H:$H,"&lt;="&amp;Heron!P$9,Sales!$H:$H,"&gt;"&amp;Heron!O$9,Sales!$F:$F,1)</f>
        <v>0</v>
      </c>
      <c r="Q24" s="99">
        <f>-SUMIFS(Xero!$F:$F,Xero!$B:$B,Heron!Q$9,Xero!$A:$A,Heron!$A$4,Xero!$E:$E,Heron!$A24)-SUMIFS(Xero!$F:$F,Xero!$B:$B,Heron!Q$9,Xero!$A:$A,Heron!$A$5,Xero!$E:$E,Heron!$A24)+SUMIFS(Sales!$K:$K,Sales!$E:$E,FALSE,Sales!$A:$A,Heron!$B$4,Sales!$H:$H,"&lt;="&amp;Heron!Q$9,Sales!$H:$H,"&gt;"&amp;Heron!P$9,Sales!$F:$F,1)</f>
        <v>0</v>
      </c>
      <c r="R24" s="99">
        <f>-SUMIFS(Xero!$F:$F,Xero!$B:$B,Heron!R$9,Xero!$A:$A,Heron!$A$4,Xero!$E:$E,Heron!$A24)-SUMIFS(Xero!$F:$F,Xero!$B:$B,Heron!R$9,Xero!$A:$A,Heron!$A$5,Xero!$E:$E,Heron!$A24)+SUMIFS(Sales!$K:$K,Sales!$E:$E,FALSE,Sales!$A:$A,Heron!$B$4,Sales!$H:$H,"&lt;="&amp;Heron!R$9,Sales!$H:$H,"&gt;"&amp;Heron!Q$9,Sales!$F:$F,1)</f>
        <v>0</v>
      </c>
      <c r="S24" s="99">
        <f>-SUMIFS(Xero!$F:$F,Xero!$B:$B,Heron!S$9,Xero!$A:$A,Heron!$A$4,Xero!$E:$E,Heron!$A24)-SUMIFS(Xero!$F:$F,Xero!$B:$B,Heron!S$9,Xero!$A:$A,Heron!$A$5,Xero!$E:$E,Heron!$A24)+SUMIFS(Sales!$K:$K,Sales!$E:$E,FALSE,Sales!$A:$A,Heron!$B$4,Sales!$H:$H,"&lt;="&amp;Heron!S$9,Sales!$H:$H,"&gt;"&amp;Heron!R$9,Sales!$F:$F,1)</f>
        <v>0</v>
      </c>
      <c r="T24" s="99">
        <f>-SUMIFS(Xero!$F:$F,Xero!$B:$B,Heron!T$9,Xero!$A:$A,Heron!$A$4,Xero!$E:$E,Heron!$A24)-SUMIFS(Xero!$F:$F,Xero!$B:$B,Heron!T$9,Xero!$A:$A,Heron!$A$5,Xero!$E:$E,Heron!$A24)+SUMIFS(Sales!$K:$K,Sales!$E:$E,FALSE,Sales!$A:$A,Heron!$B$4,Sales!$H:$H,"&lt;="&amp;Heron!T$9,Sales!$H:$H,"&gt;"&amp;Heron!S$9,Sales!$F:$F,1)</f>
        <v>0</v>
      </c>
      <c r="U24" s="99">
        <f>-SUMIFS(Xero!$F:$F,Xero!$B:$B,Heron!U$9,Xero!$A:$A,Heron!$A$4,Xero!$E:$E,Heron!$A24)-SUMIFS(Xero!$F:$F,Xero!$B:$B,Heron!U$9,Xero!$A:$A,Heron!$A$5,Xero!$E:$E,Heron!$A24)+SUMIFS(Sales!$K:$K,Sales!$E:$E,FALSE,Sales!$A:$A,Heron!$B$4,Sales!$H:$H,"&lt;="&amp;Heron!U$9,Sales!$H:$H,"&gt;"&amp;Heron!T$9,Sales!$F:$F,1)</f>
        <v>0</v>
      </c>
      <c r="V24" s="99">
        <f>-SUMIFS(Xero!$F:$F,Xero!$B:$B,Heron!V$9,Xero!$A:$A,Heron!$A$4,Xero!$E:$E,Heron!$A24)-SUMIFS(Xero!$F:$F,Xero!$B:$B,Heron!V$9,Xero!$A:$A,Heron!$A$5,Xero!$E:$E,Heron!$A24)+SUMIFS(Sales!$K:$K,Sales!$E:$E,FALSE,Sales!$A:$A,Heron!$B$4,Sales!$H:$H,"&lt;="&amp;Heron!V$9,Sales!$H:$H,"&gt;"&amp;Heron!U$9,Sales!$F:$F,1)</f>
        <v>0</v>
      </c>
      <c r="W24" s="99">
        <f>-SUMIFS(Xero!$F:$F,Xero!$B:$B,Heron!W$9,Xero!$A:$A,Heron!$A$4,Xero!$E:$E,Heron!$A24)-SUMIFS(Xero!$F:$F,Xero!$B:$B,Heron!W$9,Xero!$A:$A,Heron!$A$5,Xero!$E:$E,Heron!$A24)+SUMIFS(Sales!$K:$K,Sales!$E:$E,FALSE,Sales!$A:$A,Heron!$B$4,Sales!$H:$H,"&lt;="&amp;Heron!W$9,Sales!$H:$H,"&gt;"&amp;Heron!V$9,Sales!$F:$F,1)</f>
        <v>0</v>
      </c>
      <c r="X24" s="99">
        <f>-SUMIFS(Xero!$F:$F,Xero!$B:$B,Heron!X$9,Xero!$A:$A,Heron!$A$4,Xero!$E:$E,Heron!$A24)-SUMIFS(Xero!$F:$F,Xero!$B:$B,Heron!X$9,Xero!$A:$A,Heron!$A$5,Xero!$E:$E,Heron!$A24)+SUMIFS(Sales!$K:$K,Sales!$E:$E,FALSE,Sales!$A:$A,Heron!$B$4,Sales!$H:$H,"&lt;="&amp;Heron!X$9,Sales!$H:$H,"&gt;"&amp;Heron!W$9,Sales!$F:$F,1)</f>
        <v>13825130.439999999</v>
      </c>
      <c r="Y24" s="99">
        <f>-SUMIFS(Xero!$F:$F,Xero!$B:$B,Heron!Y$9,Xero!$A:$A,Heron!$A$4,Xero!$E:$E,Heron!$A24)-SUMIFS(Xero!$F:$F,Xero!$B:$B,Heron!Y$9,Xero!$A:$A,Heron!$A$5,Xero!$E:$E,Heron!$A24)+SUMIFS(Sales!$K:$K,Sales!$E:$E,FALSE,Sales!$A:$A,Heron!$B$4,Sales!$H:$H,"&lt;="&amp;Heron!Y$9,Sales!$H:$H,"&gt;"&amp;Heron!X$9,Sales!$F:$F,1)</f>
        <v>8891565.2300000004</v>
      </c>
      <c r="Z24" s="99">
        <f>-SUMIFS(Xero!$F:$F,Xero!$B:$B,Heron!Z$9,Xero!$A:$A,Heron!$A$4,Xero!$E:$E,Heron!$A24)-SUMIFS(Xero!$F:$F,Xero!$B:$B,Heron!Z$9,Xero!$A:$A,Heron!$A$5,Xero!$E:$E,Heron!$A24)+SUMIFS(Sales!$K:$K,Sales!$E:$E,FALSE,Sales!$A:$A,Heron!$B$4,Sales!$H:$H,"&lt;="&amp;Heron!Z$9,Sales!$H:$H,"&gt;"&amp;Heron!Y$9,Sales!$F:$F,1)</f>
        <v>10938347.82</v>
      </c>
      <c r="AA24" s="99">
        <f>-SUMIFS(Xero!$F:$F,Xero!$B:$B,Heron!AA$9,Xero!$A:$A,Heron!$A$4,Xero!$E:$E,Heron!$A24)-SUMIFS(Xero!$F:$F,Xero!$B:$B,Heron!AA$9,Xero!$A:$A,Heron!$A$5,Xero!$E:$E,Heron!$A24)+SUMIFS(Sales!$K:$K,Sales!$E:$E,FALSE,Sales!$A:$A,Heron!$B$4,Sales!$H:$H,"&lt;="&amp;Heron!AA$9,Sales!$H:$H,"&gt;"&amp;Heron!Z$9,Sales!$F:$F,1)</f>
        <v>2765043.48</v>
      </c>
      <c r="AB24" s="99">
        <f>-SUMIFS(Xero!$F:$F,Xero!$B:$B,Heron!AB$9,Xero!$A:$A,Heron!$A$4,Xero!$E:$E,Heron!$A24)-SUMIFS(Xero!$F:$F,Xero!$B:$B,Heron!AB$9,Xero!$A:$A,Heron!$A$5,Xero!$E:$E,Heron!$A24)+SUMIFS(Sales!$K:$K,Sales!$E:$E,FALSE,Sales!$A:$A,Heron!$B$4,Sales!$H:$H,"&lt;="&amp;Heron!AB$9,Sales!$H:$H,"&gt;"&amp;Heron!AA$9,Sales!$F:$F,1)</f>
        <v>9197652.1799999997</v>
      </c>
      <c r="AC24" s="99">
        <f>-SUMIFS(Xero!$F:$F,Xero!$B:$B,Heron!AC$9,Xero!$A:$A,Heron!$A$4,Xero!$E:$E,Heron!$A24)-SUMIFS(Xero!$F:$F,Xero!$B:$B,Heron!AC$9,Xero!$A:$A,Heron!$A$5,Xero!$E:$E,Heron!$A24)+SUMIFS(Sales!$K:$K,Sales!$E:$E,FALSE,Sales!$A:$A,Heron!$B$4,Sales!$H:$H,"&lt;="&amp;Heron!AC$9,Sales!$H:$H,"&gt;"&amp;Heron!AB$9,Sales!$F:$F,1)</f>
        <v>10308000</v>
      </c>
      <c r="AD24" s="99">
        <f>-SUMIFS(Xero!$F:$F,Xero!$B:$B,Heron!AD$9,Xero!$A:$A,Heron!$A$4,Xero!$E:$E,Heron!$A24)-SUMIFS(Xero!$F:$F,Xero!$B:$B,Heron!AD$9,Xero!$A:$A,Heron!$A$5,Xero!$E:$E,Heron!$A24)+SUMIFS(Sales!$K:$K,Sales!$E:$E,FALSE,Sales!$A:$A,Heron!$B$4,Sales!$H:$H,"&lt;="&amp;Heron!AD$9,Sales!$H:$H,"&gt;"&amp;Heron!AC$9,Sales!$F:$F,1)</f>
        <v>4851826.09</v>
      </c>
      <c r="AE24" s="99">
        <f>-SUMIFS(Xero!$F:$F,Xero!$B:$B,Heron!AE$9,Xero!$A:$A,Heron!$A$4,Xero!$E:$E,Heron!$A24)-SUMIFS(Xero!$F:$F,Xero!$B:$B,Heron!AE$9,Xero!$A:$A,Heron!$A$5,Xero!$E:$E,Heron!$A24)+SUMIFS(Sales!$K:$K,Sales!$E:$E,FALSE,Sales!$A:$A,Heron!$B$4,Sales!$H:$H,"&lt;="&amp;Heron!AE$9,Sales!$H:$H,"&gt;"&amp;Heron!AD$9,Sales!$F:$F,1)</f>
        <v>1243391.3</v>
      </c>
      <c r="AF24" s="99">
        <f>-SUMIFS(Xero!$F:$F,Xero!$B:$B,Heron!AF$9,Xero!$A:$A,Heron!$A$4,Xero!$E:$E,Heron!$A24)-SUMIFS(Xero!$F:$F,Xero!$B:$B,Heron!AF$9,Xero!$A:$A,Heron!$A$5,Xero!$E:$E,Heron!$A24)+SUMIFS(Sales!$K:$K,Sales!$E:$E,FALSE,Sales!$A:$A,Heron!$B$4,Sales!$H:$H,"&lt;="&amp;Heron!AF$9,Sales!$H:$H,"&gt;"&amp;Heron!AE$9,Sales!$F:$F,1)</f>
        <v>1314691.31</v>
      </c>
      <c r="AG24" s="99">
        <f>-SUMIFS(Xero!$F:$F,Xero!$B:$B,Heron!AG$9,Xero!$A:$A,Heron!$A$4,Xero!$E:$E,Heron!$A24)-SUMIFS(Xero!$F:$F,Xero!$B:$B,Heron!AG$9,Xero!$A:$A,Heron!$A$5,Xero!$E:$E,Heron!$A24)+SUMIFS(Sales!$K:$K,Sales!$E:$E,FALSE,Sales!$A:$A,Heron!$B$4,Sales!$H:$H,"&lt;="&amp;Heron!AG$9,Sales!$H:$H,"&gt;"&amp;Heron!AF$9,Sales!$F:$F,1)</f>
        <v>-62604.35</v>
      </c>
      <c r="AH24" s="99">
        <f>-SUMIFS(Xero!$F:$F,Xero!$B:$B,Heron!AH$9,Xero!$A:$A,Heron!$A$4,Xero!$E:$E,Heron!$A24)-SUMIFS(Xero!$F:$F,Xero!$B:$B,Heron!AH$9,Xero!$A:$A,Heron!$A$5,Xero!$E:$E,Heron!$A24)+SUMIFS(Sales!$K:$K,Sales!$E:$E,FALSE,Sales!$A:$A,Heron!$B$4,Sales!$H:$H,"&lt;="&amp;Heron!AH$9,Sales!$H:$H,"&gt;"&amp;Heron!AG$9,Sales!$F:$F,1)</f>
        <v>0</v>
      </c>
      <c r="AI24" s="99">
        <f>-SUMIFS(Xero!$F:$F,Xero!$B:$B,Heron!AI$9,Xero!$A:$A,Heron!$A$4,Xero!$E:$E,Heron!$A24)-SUMIFS(Xero!$F:$F,Xero!$B:$B,Heron!AI$9,Xero!$A:$A,Heron!$A$5,Xero!$E:$E,Heron!$A24)+SUMIFS(Sales!$K:$K,Sales!$E:$E,FALSE,Sales!$A:$A,Heron!$B$4,Sales!$H:$H,"&lt;="&amp;Heron!AI$9,Sales!$H:$H,"&gt;"&amp;Heron!AH$9,Sales!$F:$F,1)</f>
        <v>1243391.3</v>
      </c>
      <c r="AJ24" s="99">
        <f>-SUMIFS(Xero!$F:$F,Xero!$B:$B,Heron!AJ$9,Xero!$A:$A,Heron!$A$4,Xero!$E:$E,Heron!$A24)-SUMIFS(Xero!$F:$F,Xero!$B:$B,Heron!AJ$9,Xero!$A:$A,Heron!$A$5,Xero!$E:$E,Heron!$A24)+SUMIFS(Sales!$K:$K,Sales!$E:$E,FALSE,Sales!$A:$A,Heron!$B$4,Sales!$H:$H,"&lt;="&amp;Heron!AJ$9,Sales!$H:$H,"&gt;"&amp;Heron!AI$9,Sales!$F:$F,1)</f>
        <v>0</v>
      </c>
      <c r="AK24" s="99">
        <f>-SUMIFS(Xero!$F:$F,Xero!$B:$B,Heron!AK$9,Xero!$A:$A,Heron!$A$4,Xero!$E:$E,Heron!$A24)-SUMIFS(Xero!$F:$F,Xero!$B:$B,Heron!AK$9,Xero!$A:$A,Heron!$A$5,Xero!$E:$E,Heron!$A24)+SUMIFS(Sales!$K:$K,Sales!$E:$E,FALSE,Sales!$A:$A,Heron!$B$4,Sales!$H:$H,"&lt;="&amp;Heron!AK$9,Sales!$H:$H,"&gt;"&amp;Heron!AJ$9,Sales!$F:$F,1)</f>
        <v>0</v>
      </c>
      <c r="AL24" s="99">
        <f>-SUMIFS(Xero!$F:$F,Xero!$B:$B,Heron!AL$9,Xero!$A:$A,Heron!$A$4,Xero!$E:$E,Heron!$A24)-SUMIFS(Xero!$F:$F,Xero!$B:$B,Heron!AL$9,Xero!$A:$A,Heron!$A$5,Xero!$E:$E,Heron!$A24)+SUMIFS(Sales!$K:$K,Sales!$E:$E,FALSE,Sales!$A:$A,Heron!$B$4,Sales!$H:$H,"&lt;="&amp;Heron!AL$9,Sales!$H:$H,"&gt;"&amp;Heron!AK$9,Sales!$F:$F,1)</f>
        <v>0</v>
      </c>
      <c r="AM24" s="99">
        <f>-SUMIFS(Xero!$F:$F,Xero!$B:$B,Heron!AM$9,Xero!$A:$A,Heron!$A$4,Xero!$E:$E,Heron!$A24)-SUMIFS(Xero!$F:$F,Xero!$B:$B,Heron!AM$9,Xero!$A:$A,Heron!$A$5,Xero!$E:$E,Heron!$A24)+SUMIFS(Sales!$K:$K,Sales!$E:$E,FALSE,Sales!$A:$A,Heron!$B$4,Sales!$H:$H,"&lt;="&amp;Heron!AM$9,Sales!$H:$H,"&gt;"&amp;Heron!AL$9,Sales!$F:$F,1)</f>
        <v>0</v>
      </c>
      <c r="AN24" s="99">
        <f>-SUMIFS(Xero!$F:$F,Xero!$B:$B,Heron!AN$9,Xero!$A:$A,Heron!$A$4,Xero!$E:$E,Heron!$A24)-SUMIFS(Xero!$F:$F,Xero!$B:$B,Heron!AN$9,Xero!$A:$A,Heron!$A$5,Xero!$E:$E,Heron!$A24)+SUMIFS(Sales!$K:$K,Sales!$E:$E,FALSE,Sales!$A:$A,Heron!$B$4,Sales!$H:$H,"&lt;="&amp;Heron!AN$9,Sales!$H:$H,"&gt;"&amp;Heron!AM$9,Sales!$F:$F,1)</f>
        <v>0</v>
      </c>
      <c r="AO24" s="99">
        <f>-SUMIFS(Xero!$F:$F,Xero!$B:$B,Heron!AO$9,Xero!$A:$A,Heron!$A$4,Xero!$E:$E,Heron!$A24)-SUMIFS(Xero!$F:$F,Xero!$B:$B,Heron!AO$9,Xero!$A:$A,Heron!$A$5,Xero!$E:$E,Heron!$A24)+SUMIFS(Sales!$K:$K,Sales!$E:$E,FALSE,Sales!$A:$A,Heron!$B$4,Sales!$H:$H,"&lt;="&amp;Heron!AO$9,Sales!$H:$H,"&gt;"&amp;Heron!AN$9,Sales!$F:$F,1)</f>
        <v>0</v>
      </c>
      <c r="AP24" s="99">
        <f>-SUMIFS(Xero!$F:$F,Xero!$B:$B,Heron!AP$9,Xero!$A:$A,Heron!$A$4,Xero!$E:$E,Heron!$A24)-SUMIFS(Xero!$F:$F,Xero!$B:$B,Heron!AP$9,Xero!$A:$A,Heron!$A$5,Xero!$E:$E,Heron!$A24)+SUMIFS(Sales!$K:$K,Sales!$E:$E,FALSE,Sales!$A:$A,Heron!$B$4,Sales!$H:$H,"&lt;="&amp;Heron!AP$9,Sales!$H:$H,"&gt;"&amp;Heron!AO$9,Sales!$F:$F,1)</f>
        <v>0</v>
      </c>
      <c r="AQ24" s="99">
        <f>-SUMIFS(Xero!$F:$F,Xero!$B:$B,Heron!AQ$9,Xero!$A:$A,Heron!$A$4,Xero!$E:$E,Heron!$A24)-SUMIFS(Xero!$F:$F,Xero!$B:$B,Heron!AQ$9,Xero!$A:$A,Heron!$A$5,Xero!$E:$E,Heron!$A24)+SUMIFS(Sales!$K:$K,Sales!$E:$E,FALSE,Sales!$A:$A,Heron!$B$4,Sales!$H:$H,"&lt;="&amp;Heron!AQ$9,Sales!$H:$H,"&gt;"&amp;Heron!AP$9,Sales!$F:$F,1)</f>
        <v>1304260.8700000001</v>
      </c>
      <c r="AR24" s="99">
        <f>-SUMIFS(Xero!$F:$F,Xero!$B:$B,Heron!AR$9,Xero!$A:$A,Heron!$A$4,Xero!$E:$E,Heron!$A24)-SUMIFS(Xero!$F:$F,Xero!$B:$B,Heron!AR$9,Xero!$A:$A,Heron!$A$5,Xero!$E:$E,Heron!$A24)+SUMIFS(Sales!$K:$K,Sales!$E:$E,FALSE,Sales!$A:$A,Heron!$B$4,Sales!$H:$H,"&lt;="&amp;Heron!AR$9,Sales!$H:$H,"&gt;"&amp;Heron!AQ$9,Sales!$F:$F,1)</f>
        <v>0</v>
      </c>
      <c r="AS24" s="99">
        <f>-SUMIFS(Xero!$F:$F,Xero!$B:$B,Heron!AS$9,Xero!$A:$A,Heron!$A$4,Xero!$E:$E,Heron!$A24)-SUMIFS(Xero!$F:$F,Xero!$B:$B,Heron!AS$9,Xero!$A:$A,Heron!$A$5,Xero!$E:$E,Heron!$A24)+SUMIFS(Sales!$K:$K,Sales!$E:$E,FALSE,Sales!$A:$A,Heron!$B$4,Sales!$H:$H,"&lt;="&amp;Heron!AS$9,Sales!$H:$H,"&gt;"&amp;Heron!AR$9,Sales!$F:$F,1)</f>
        <v>8860260.8695652187</v>
      </c>
      <c r="AT24" s="99">
        <f>-SUMIFS(Xero!$F:$F,Xero!$B:$B,Heron!AT$9,Xero!$A:$A,Heron!$A$4,Xero!$E:$E,Heron!$A24)-SUMIFS(Xero!$F:$F,Xero!$B:$B,Heron!AT$9,Xero!$A:$A,Heron!$A$5,Xero!$E:$E,Heron!$A24)+SUMIFS(Sales!$K:$K,Sales!$E:$E,FALSE,Sales!$A:$A,Heron!$B$4,Sales!$H:$H,"&lt;="&amp;Heron!AT$9,Sales!$H:$H,"&gt;"&amp;Heron!AS$9,Sales!$F:$F,1)</f>
        <v>0</v>
      </c>
      <c r="AU24" s="99">
        <f>-SUMIFS(Xero!$F:$F,Xero!$B:$B,Heron!AU$9,Xero!$A:$A,Heron!$A$4,Xero!$E:$E,Heron!$A24)-SUMIFS(Xero!$F:$F,Xero!$B:$B,Heron!AU$9,Xero!$A:$A,Heron!$A$5,Xero!$E:$E,Heron!$A24)+SUMIFS(Sales!$K:$K,Sales!$E:$E,FALSE,Sales!$A:$A,Heron!$B$4,Sales!$H:$H,"&lt;="&amp;Heron!AU$9,Sales!$H:$H,"&gt;"&amp;Heron!AT$9,Sales!$F:$F,1)</f>
        <v>0</v>
      </c>
      <c r="AV24" s="99">
        <f>-SUMIFS(Xero!$F:$F,Xero!$B:$B,Heron!AV$9,Xero!$A:$A,Heron!$A$4,Xero!$E:$E,Heron!$A24)-SUMIFS(Xero!$F:$F,Xero!$B:$B,Heron!AV$9,Xero!$A:$A,Heron!$A$5,Xero!$E:$E,Heron!$A24)+SUMIFS(Sales!$K:$K,Sales!$E:$E,FALSE,Sales!$A:$A,Heron!$B$4,Sales!$H:$H,"&lt;="&amp;Heron!AV$9,Sales!$H:$H,"&gt;"&amp;Heron!AU$9,Sales!$F:$F,1)</f>
        <v>0</v>
      </c>
      <c r="AW24" s="99">
        <f>-SUMIFS(Xero!$F:$F,Xero!$B:$B,Heron!AW$9,Xero!$A:$A,Heron!$A$4,Xero!$E:$E,Heron!$A24)-SUMIFS(Xero!$F:$F,Xero!$B:$B,Heron!AW$9,Xero!$A:$A,Heron!$A$5,Xero!$E:$E,Heron!$A24)+SUMIFS(Sales!$K:$K,Sales!$E:$E,FALSE,Sales!$A:$A,Heron!$B$4,Sales!$H:$H,"&lt;="&amp;Heron!AW$9,Sales!$H:$H,"&gt;"&amp;Heron!AV$9,Sales!$F:$F,1)</f>
        <v>0</v>
      </c>
      <c r="AX24" s="99">
        <f>-SUMIFS(Xero!$F:$F,Xero!$B:$B,Heron!AX$9,Xero!$A:$A,Heron!$A$4,Xero!$E:$E,Heron!$A24)-SUMIFS(Xero!$F:$F,Xero!$B:$B,Heron!AX$9,Xero!$A:$A,Heron!$A$5,Xero!$E:$E,Heron!$A24)+SUMIFS(Sales!$K:$K,Sales!$E:$E,FALSE,Sales!$A:$A,Heron!$B$4,Sales!$H:$H,"&lt;="&amp;Heron!AX$9,Sales!$H:$H,"&gt;"&amp;Heron!AW$9,Sales!$F:$F,1)</f>
        <v>0</v>
      </c>
      <c r="AY24" s="99">
        <f>-SUMIFS(Xero!$F:$F,Xero!$B:$B,Heron!AY$9,Xero!$A:$A,Heron!$A$4,Xero!$E:$E,Heron!$A24)-SUMIFS(Xero!$F:$F,Xero!$B:$B,Heron!AY$9,Xero!$A:$A,Heron!$A$5,Xero!$E:$E,Heron!$A24)+SUMIFS(Sales!$K:$K,Sales!$E:$E,FALSE,Sales!$A:$A,Heron!$B$4,Sales!$H:$H,"&lt;="&amp;Heron!AY$9,Sales!$H:$H,"&gt;"&amp;Heron!AX$9,Sales!$F:$F,1)</f>
        <v>0</v>
      </c>
      <c r="AZ24" s="99">
        <f>-SUMIFS(Xero!$F:$F,Xero!$B:$B,Heron!AZ$9,Xero!$A:$A,Heron!$A$4,Xero!$E:$E,Heron!$A24)-SUMIFS(Xero!$F:$F,Xero!$B:$B,Heron!AZ$9,Xero!$A:$A,Heron!$A$5,Xero!$E:$E,Heron!$A24)+SUMIFS(Sales!$K:$K,Sales!$E:$E,FALSE,Sales!$A:$A,Heron!$B$4,Sales!$H:$H,"&lt;="&amp;Heron!AZ$9,Sales!$H:$H,"&gt;"&amp;Heron!AY$9,Sales!$F:$F,1)</f>
        <v>0</v>
      </c>
      <c r="BA24" s="99">
        <f>-SUMIFS(Xero!$F:$F,Xero!$B:$B,Heron!BA$9,Xero!$A:$A,Heron!$A$4,Xero!$E:$E,Heron!$A24)-SUMIFS(Xero!$F:$F,Xero!$B:$B,Heron!BA$9,Xero!$A:$A,Heron!$A$5,Xero!$E:$E,Heron!$A24)+SUMIFS(Sales!$K:$K,Sales!$E:$E,FALSE,Sales!$A:$A,Heron!$B$4,Sales!$H:$H,"&lt;="&amp;Heron!BA$9,Sales!$H:$H,"&gt;"&amp;Heron!AZ$9,Sales!$F:$F,1)</f>
        <v>0</v>
      </c>
      <c r="BB24" s="99">
        <f>-SUMIFS(Xero!$F:$F,Xero!$B:$B,Heron!BB$9,Xero!$A:$A,Heron!$A$4,Xero!$E:$E,Heron!$A24)-SUMIFS(Xero!$F:$F,Xero!$B:$B,Heron!BB$9,Xero!$A:$A,Heron!$A$5,Xero!$E:$E,Heron!$A24)+SUMIFS(Sales!$K:$K,Sales!$E:$E,FALSE,Sales!$A:$A,Heron!$B$4,Sales!$H:$H,"&lt;="&amp;Heron!BB$9,Sales!$H:$H,"&gt;"&amp;Heron!BA$9,Sales!$F:$F,1)</f>
        <v>0</v>
      </c>
      <c r="BC24" s="99">
        <f>-SUMIFS(Xero!$F:$F,Xero!$B:$B,Heron!BC$9,Xero!$A:$A,Heron!$A$4,Xero!$E:$E,Heron!$A24)-SUMIFS(Xero!$F:$F,Xero!$B:$B,Heron!BC$9,Xero!$A:$A,Heron!$A$5,Xero!$E:$E,Heron!$A24)+SUMIFS(Sales!$K:$K,Sales!$E:$E,FALSE,Sales!$A:$A,Heron!$B$4,Sales!$H:$H,"&lt;="&amp;Heron!BC$9,Sales!$H:$H,"&gt;"&amp;Heron!BB$9,Sales!$F:$F,1)</f>
        <v>0</v>
      </c>
      <c r="BD24" s="99">
        <f>-SUMIFS(Xero!$F:$F,Xero!$B:$B,Heron!BD$9,Xero!$A:$A,Heron!$A$4,Xero!$E:$E,Heron!$A24)-SUMIFS(Xero!$F:$F,Xero!$B:$B,Heron!BD$9,Xero!$A:$A,Heron!$A$5,Xero!$E:$E,Heron!$A24)+SUMIFS(Sales!$K:$K,Sales!$E:$E,FALSE,Sales!$A:$A,Heron!$B$4,Sales!$H:$H,"&lt;="&amp;Heron!BD$9,Sales!$H:$H,"&gt;"&amp;Heron!BC$9,Sales!$F:$F,1)</f>
        <v>0</v>
      </c>
      <c r="BE24" s="99">
        <f>-SUMIFS(Xero!$F:$F,Xero!$B:$B,Heron!BE$9,Xero!$A:$A,Heron!$A$4,Xero!$E:$E,Heron!$A24)-SUMIFS(Xero!$F:$F,Xero!$B:$B,Heron!BE$9,Xero!$A:$A,Heron!$A$5,Xero!$E:$E,Heron!$A24)+SUMIFS(Sales!$K:$K,Sales!$E:$E,FALSE,Sales!$A:$A,Heron!$B$4,Sales!$H:$H,"&lt;="&amp;Heron!BE$9,Sales!$H:$H,"&gt;"&amp;Heron!BD$9,Sales!$F:$F,1)</f>
        <v>0</v>
      </c>
      <c r="BF24" s="99">
        <f>-SUMIFS(Xero!$F:$F,Xero!$B:$B,Heron!BF$9,Xero!$A:$A,Heron!$A$4,Xero!$E:$E,Heron!$A24)-SUMIFS(Xero!$F:$F,Xero!$B:$B,Heron!BF$9,Xero!$A:$A,Heron!$A$5,Xero!$E:$E,Heron!$A24)+SUMIFS(Sales!$K:$K,Sales!$E:$E,FALSE,Sales!$A:$A,Heron!$B$4,Sales!$H:$H,"&lt;="&amp;Heron!BF$9,Sales!$H:$H,"&gt;"&amp;Heron!BE$9,Sales!$F:$F,1)</f>
        <v>0</v>
      </c>
      <c r="BG24" s="99">
        <f>-SUMIFS(Xero!$F:$F,Xero!$B:$B,Heron!BG$9,Xero!$A:$A,Heron!$A$4,Xero!$E:$E,Heron!$A24)-SUMIFS(Xero!$F:$F,Xero!$B:$B,Heron!BG$9,Xero!$A:$A,Heron!$A$5,Xero!$E:$E,Heron!$A24)+SUMIFS(Sales!$K:$K,Sales!$E:$E,FALSE,Sales!$A:$A,Heron!$B$4,Sales!$H:$H,"&lt;="&amp;Heron!BG$9,Sales!$H:$H,"&gt;"&amp;Heron!BF$9,Sales!$F:$F,1)</f>
        <v>0</v>
      </c>
      <c r="BH24" s="99">
        <f>-SUMIFS(Xero!$F:$F,Xero!$B:$B,Heron!BH$9,Xero!$A:$A,Heron!$A$4,Xero!$E:$E,Heron!$A24)-SUMIFS(Xero!$F:$F,Xero!$B:$B,Heron!BH$9,Xero!$A:$A,Heron!$A$5,Xero!$E:$E,Heron!$A24)+SUMIFS(Sales!$K:$K,Sales!$E:$E,FALSE,Sales!$A:$A,Heron!$B$4,Sales!$H:$H,"&lt;="&amp;Heron!BH$9,Sales!$H:$H,"&gt;"&amp;Heron!BG$9,Sales!$F:$F,1)</f>
        <v>0</v>
      </c>
      <c r="BI24" s="99">
        <f>-SUMIFS(Xero!$F:$F,Xero!$B:$B,Heron!BI$9,Xero!$A:$A,Heron!$A$4,Xero!$E:$E,Heron!$A24)-SUMIFS(Xero!$F:$F,Xero!$B:$B,Heron!BI$9,Xero!$A:$A,Heron!$A$5,Xero!$E:$E,Heron!$A24)+SUMIFS(Sales!$K:$K,Sales!$E:$E,FALSE,Sales!$A:$A,Heron!$B$4,Sales!$H:$H,"&lt;="&amp;Heron!BI$9,Sales!$H:$H,"&gt;"&amp;Heron!BH$9,Sales!$F:$F,1)</f>
        <v>0</v>
      </c>
      <c r="BJ24" s="99">
        <f>-SUMIFS(Xero!$F:$F,Xero!$B:$B,Heron!BJ$9,Xero!$A:$A,Heron!$A$4,Xero!$E:$E,Heron!$A24)-SUMIFS(Xero!$F:$F,Xero!$B:$B,Heron!BJ$9,Xero!$A:$A,Heron!$A$5,Xero!$E:$E,Heron!$A24)+SUMIFS(Sales!$K:$K,Sales!$E:$E,FALSE,Sales!$A:$A,Heron!$B$4,Sales!$H:$H,"&lt;="&amp;Heron!BJ$9,Sales!$H:$H,"&gt;"&amp;Heron!BI$9,Sales!$F:$F,1)</f>
        <v>0</v>
      </c>
      <c r="BK24" s="99">
        <f t="shared" si="1"/>
        <v>74680956.539565206</v>
      </c>
    </row>
    <row r="25" spans="1:64" ht="16" x14ac:dyDescent="0.2">
      <c r="A25" s="98" t="s">
        <v>1555</v>
      </c>
      <c r="D25" s="99">
        <f>-SUMIFS(Xero!$F:$F,Xero!$B:$B,Heron!D$9,Xero!$A:$A,Heron!$A$4,Xero!$E:$E,Heron!$A25)-SUMIFS(Xero!$F:$F,Xero!$B:$B,Heron!D$9,Xero!$A:$A,Heron!$A$5,Xero!$E:$E,Heron!$A25)</f>
        <v>0</v>
      </c>
      <c r="E25" s="99">
        <f>-SUMIFS(Xero!$F:$F,Xero!$B:$B,Heron!E$9,Xero!$A:$A,Heron!$A$4,Xero!$E:$E,Heron!$A25)-SUMIFS(Xero!$F:$F,Xero!$B:$B,Heron!E$9,Xero!$A:$A,Heron!$A$5,Xero!$E:$E,Heron!$A25)</f>
        <v>0</v>
      </c>
      <c r="F25" s="99">
        <f>-SUMIFS(Xero!$F:$F,Xero!$B:$B,Heron!F$9,Xero!$A:$A,Heron!$A$4,Xero!$E:$E,Heron!$A25)-SUMIFS(Xero!$F:$F,Xero!$B:$B,Heron!F$9,Xero!$A:$A,Heron!$A$5,Xero!$E:$E,Heron!$A25)</f>
        <v>0</v>
      </c>
      <c r="G25" s="99">
        <f>-SUMIFS(Xero!$F:$F,Xero!$B:$B,Heron!G$9,Xero!$A:$A,Heron!$A$4,Xero!$E:$E,Heron!$A25)-SUMIFS(Xero!$F:$F,Xero!$B:$B,Heron!G$9,Xero!$A:$A,Heron!$A$5,Xero!$E:$E,Heron!$A25)</f>
        <v>0</v>
      </c>
      <c r="H25" s="99">
        <f>-SUMIFS(Xero!$F:$F,Xero!$B:$B,Heron!H$9,Xero!$A:$A,Heron!$A$4,Xero!$E:$E,Heron!$A25)-SUMIFS(Xero!$F:$F,Xero!$B:$B,Heron!H$9,Xero!$A:$A,Heron!$A$5,Xero!$E:$E,Heron!$A25)</f>
        <v>0</v>
      </c>
      <c r="I25" s="99">
        <f>-SUMIFS(Xero!$F:$F,Xero!$B:$B,Heron!I$9,Xero!$A:$A,Heron!$A$4,Xero!$E:$E,Heron!$A25)-SUMIFS(Xero!$F:$F,Xero!$B:$B,Heron!I$9,Xero!$A:$A,Heron!$A$5,Xero!$E:$E,Heron!$A25)</f>
        <v>0</v>
      </c>
      <c r="J25" s="99">
        <f>-SUMIFS(Xero!$F:$F,Xero!$B:$B,Heron!J$9,Xero!$A:$A,Heron!$A$4,Xero!$E:$E,Heron!$A25)-SUMIFS(Xero!$F:$F,Xero!$B:$B,Heron!J$9,Xero!$A:$A,Heron!$A$5,Xero!$E:$E,Heron!$A25)</f>
        <v>0</v>
      </c>
      <c r="K25" s="99">
        <f>-SUMIFS(Xero!$F:$F,Xero!$B:$B,Heron!K$9,Xero!$A:$A,Heron!$A$4,Xero!$E:$E,Heron!$A25)-SUMIFS(Xero!$F:$F,Xero!$B:$B,Heron!K$9,Xero!$A:$A,Heron!$A$5,Xero!$E:$E,Heron!$A25)</f>
        <v>0</v>
      </c>
      <c r="L25" s="99">
        <f>-SUMIFS(Xero!$F:$F,Xero!$B:$B,Heron!L$9,Xero!$A:$A,Heron!$A$4,Xero!$E:$E,Heron!$A25)-SUMIFS(Xero!$F:$F,Xero!$B:$B,Heron!L$9,Xero!$A:$A,Heron!$A$5,Xero!$E:$E,Heron!$A25)</f>
        <v>0</v>
      </c>
      <c r="M25" s="99">
        <f>-SUMIFS(Xero!$F:$F,Xero!$B:$B,Heron!M$9,Xero!$A:$A,Heron!$A$4,Xero!$E:$E,Heron!$A25)-SUMIFS(Xero!$F:$F,Xero!$B:$B,Heron!M$9,Xero!$A:$A,Heron!$A$5,Xero!$E:$E,Heron!$A25)</f>
        <v>0</v>
      </c>
      <c r="N25" s="99">
        <f>-SUMIFS(Xero!$F:$F,Xero!$B:$B,Heron!N$9,Xero!$A:$A,Heron!$A$4,Xero!$E:$E,Heron!$A25)-SUMIFS(Xero!$F:$F,Xero!$B:$B,Heron!N$9,Xero!$A:$A,Heron!$A$5,Xero!$E:$E,Heron!$A25)</f>
        <v>0</v>
      </c>
      <c r="O25" s="99">
        <f>-SUMIFS(Xero!$F:$F,Xero!$B:$B,Heron!O$9,Xero!$A:$A,Heron!$A$4,Xero!$E:$E,Heron!$A25)-SUMIFS(Xero!$F:$F,Xero!$B:$B,Heron!O$9,Xero!$A:$A,Heron!$A$5,Xero!$E:$E,Heron!$A25)</f>
        <v>0</v>
      </c>
      <c r="P25" s="99">
        <f>-SUMIFS(Xero!$F:$F,Xero!$B:$B,Heron!P$9,Xero!$A:$A,Heron!$A$4,Xero!$E:$E,Heron!$A25)-SUMIFS(Xero!$F:$F,Xero!$B:$B,Heron!P$9,Xero!$A:$A,Heron!$A$5,Xero!$E:$E,Heron!$A25)</f>
        <v>0</v>
      </c>
      <c r="Q25" s="99">
        <f>-SUMIFS(Xero!$F:$F,Xero!$B:$B,Heron!Q$9,Xero!$A:$A,Heron!$A$4,Xero!$E:$E,Heron!$A25)-SUMIFS(Xero!$F:$F,Xero!$B:$B,Heron!Q$9,Xero!$A:$A,Heron!$A$5,Xero!$E:$E,Heron!$A25)</f>
        <v>0</v>
      </c>
      <c r="R25" s="99">
        <f>-SUMIFS(Xero!$F:$F,Xero!$B:$B,Heron!R$9,Xero!$A:$A,Heron!$A$4,Xero!$E:$E,Heron!$A25)-SUMIFS(Xero!$F:$F,Xero!$B:$B,Heron!R$9,Xero!$A:$A,Heron!$A$5,Xero!$E:$E,Heron!$A25)</f>
        <v>0</v>
      </c>
      <c r="S25" s="99">
        <f>-SUMIFS(Xero!$F:$F,Xero!$B:$B,Heron!S$9,Xero!$A:$A,Heron!$A$4,Xero!$E:$E,Heron!$A25)-SUMIFS(Xero!$F:$F,Xero!$B:$B,Heron!S$9,Xero!$A:$A,Heron!$A$5,Xero!$E:$E,Heron!$A25)</f>
        <v>0</v>
      </c>
      <c r="T25" s="99">
        <f>-SUMIFS(Xero!$F:$F,Xero!$B:$B,Heron!T$9,Xero!$A:$A,Heron!$A$4,Xero!$E:$E,Heron!$A25)-SUMIFS(Xero!$F:$F,Xero!$B:$B,Heron!T$9,Xero!$A:$A,Heron!$A$5,Xero!$E:$E,Heron!$A25)</f>
        <v>0</v>
      </c>
      <c r="U25" s="99">
        <f>-SUMIFS(Xero!$F:$F,Xero!$B:$B,Heron!U$9,Xero!$A:$A,Heron!$A$4,Xero!$E:$E,Heron!$A25)-SUMIFS(Xero!$F:$F,Xero!$B:$B,Heron!U$9,Xero!$A:$A,Heron!$A$5,Xero!$E:$E,Heron!$A25)</f>
        <v>0</v>
      </c>
      <c r="V25" s="99">
        <f>-SUMIFS(Xero!$F:$F,Xero!$B:$B,Heron!V$9,Xero!$A:$A,Heron!$A$4,Xero!$E:$E,Heron!$A25)-SUMIFS(Xero!$F:$F,Xero!$B:$B,Heron!V$9,Xero!$A:$A,Heron!$A$5,Xero!$E:$E,Heron!$A25)</f>
        <v>0</v>
      </c>
      <c r="W25" s="99">
        <f>-SUMIFS(Xero!$F:$F,Xero!$B:$B,Heron!W$9,Xero!$A:$A,Heron!$A$4,Xero!$E:$E,Heron!$A25)-SUMIFS(Xero!$F:$F,Xero!$B:$B,Heron!W$9,Xero!$A:$A,Heron!$A$5,Xero!$E:$E,Heron!$A25)</f>
        <v>0</v>
      </c>
      <c r="X25" s="99">
        <f>-SUMIFS(Xero!$F:$F,Xero!$B:$B,Heron!X$9,Xero!$A:$A,Heron!$A$4,Xero!$E:$E,Heron!$A25)-SUMIFS(Xero!$F:$F,Xero!$B:$B,Heron!X$9,Xero!$A:$A,Heron!$A$5,Xero!$E:$E,Heron!$A25)</f>
        <v>66591.399999999994</v>
      </c>
      <c r="Y25" s="99">
        <f>-SUMIFS(Xero!$F:$F,Xero!$B:$B,Heron!Y$9,Xero!$A:$A,Heron!$A$4,Xero!$E:$E,Heron!$A25)-SUMIFS(Xero!$F:$F,Xero!$B:$B,Heron!Y$9,Xero!$A:$A,Heron!$A$5,Xero!$E:$E,Heron!$A25)</f>
        <v>22499.99</v>
      </c>
      <c r="Z25" s="99">
        <f>-SUMIFS(Xero!$F:$F,Xero!$B:$B,Heron!Z$9,Xero!$A:$A,Heron!$A$4,Xero!$E:$E,Heron!$A25)-SUMIFS(Xero!$F:$F,Xero!$B:$B,Heron!Z$9,Xero!$A:$A,Heron!$A$5,Xero!$E:$E,Heron!$A25)</f>
        <v>23741.94</v>
      </c>
      <c r="AA25" s="99">
        <f>-SUMIFS(Xero!$F:$F,Xero!$B:$B,Heron!AA$9,Xero!$A:$A,Heron!$A$4,Xero!$E:$E,Heron!$A25)-SUMIFS(Xero!$F:$F,Xero!$B:$B,Heron!AA$9,Xero!$A:$A,Heron!$A$5,Xero!$E:$E,Heron!$A25)</f>
        <v>0</v>
      </c>
      <c r="AB25" s="99">
        <f>-SUMIFS(Xero!$F:$F,Xero!$B:$B,Heron!AB$9,Xero!$A:$A,Heron!$A$4,Xero!$E:$E,Heron!$A25)-SUMIFS(Xero!$F:$F,Xero!$B:$B,Heron!AB$9,Xero!$A:$A,Heron!$A$5,Xero!$E:$E,Heron!$A25)</f>
        <v>10864.06</v>
      </c>
      <c r="AC25" s="99">
        <f>-SUMIFS(Xero!$F:$F,Xero!$B:$B,Heron!AC$9,Xero!$A:$A,Heron!$A$4,Xero!$E:$E,Heron!$A25)-SUMIFS(Xero!$F:$F,Xero!$B:$B,Heron!AC$9,Xero!$A:$A,Heron!$A$5,Xero!$E:$E,Heron!$A25)</f>
        <v>18450</v>
      </c>
      <c r="AD25" s="99">
        <f>-SUMIFS(Xero!$F:$F,Xero!$B:$B,Heron!AD$9,Xero!$A:$A,Heron!$A$4,Xero!$E:$E,Heron!$A25)-SUMIFS(Xero!$F:$F,Xero!$B:$B,Heron!AD$9,Xero!$A:$A,Heron!$A$5,Xero!$E:$E,Heron!$A25)</f>
        <v>65332.85</v>
      </c>
      <c r="AE25" s="99">
        <f>-SUMIFS(Xero!$F:$F,Xero!$B:$B,Heron!AE$9,Xero!$A:$A,Heron!$A$4,Xero!$E:$E,Heron!$A25)-SUMIFS(Xero!$F:$F,Xero!$B:$B,Heron!AE$9,Xero!$A:$A,Heron!$A$5,Xero!$E:$E,Heron!$A25)</f>
        <v>0</v>
      </c>
      <c r="AF25" s="99">
        <f>-SUMIFS(Xero!$F:$F,Xero!$B:$B,Heron!AF$9,Xero!$A:$A,Heron!$A$4,Xero!$E:$E,Heron!$A25)-SUMIFS(Xero!$F:$F,Xero!$B:$B,Heron!AF$9,Xero!$A:$A,Heron!$A$5,Xero!$E:$E,Heron!$A25)</f>
        <v>7741.94</v>
      </c>
      <c r="AG25" s="99">
        <f>-SUMIFS(Xero!$F:$F,Xero!$B:$B,Heron!AG$9,Xero!$A:$A,Heron!$A$4,Xero!$E:$E,Heron!$A25)-SUMIFS(Xero!$F:$F,Xero!$B:$B,Heron!AG$9,Xero!$A:$A,Heron!$A$5,Xero!$E:$E,Heron!$A25)</f>
        <v>0</v>
      </c>
      <c r="AH25" s="99">
        <f>-SUMIFS(Xero!$F:$F,Xero!$B:$B,Heron!AH$9,Xero!$A:$A,Heron!$A$4,Xero!$E:$E,Heron!$A25)-SUMIFS(Xero!$F:$F,Xero!$B:$B,Heron!AH$9,Xero!$A:$A,Heron!$A$5,Xero!$E:$E,Heron!$A25)</f>
        <v>0</v>
      </c>
      <c r="AI25" s="99">
        <f>-SUMIFS(Xero!$F:$F,Xero!$B:$B,Heron!AI$9,Xero!$A:$A,Heron!$A$4,Xero!$E:$E,Heron!$A25)-SUMIFS(Xero!$F:$F,Xero!$B:$B,Heron!AI$9,Xero!$A:$A,Heron!$A$5,Xero!$E:$E,Heron!$A25)</f>
        <v>0</v>
      </c>
      <c r="AJ25" s="99">
        <f>-SUMIFS(Xero!$F:$F,Xero!$B:$B,Heron!AJ$9,Xero!$A:$A,Heron!$A$4,Xero!$E:$E,Heron!$A25)-SUMIFS(Xero!$F:$F,Xero!$B:$B,Heron!AJ$9,Xero!$A:$A,Heron!$A$5,Xero!$E:$E,Heron!$A25)</f>
        <v>0</v>
      </c>
      <c r="AK25" s="99">
        <f>-SUMIFS(Xero!$F:$F,Xero!$B:$B,Heron!AK$9,Xero!$A:$A,Heron!$A$4,Xero!$E:$E,Heron!$A25)-SUMIFS(Xero!$F:$F,Xero!$B:$B,Heron!AK$9,Xero!$A:$A,Heron!$A$5,Xero!$E:$E,Heron!$A25)</f>
        <v>0</v>
      </c>
      <c r="AL25" s="99">
        <f>-SUMIFS(Xero!$F:$F,Xero!$B:$B,Heron!AL$9,Xero!$A:$A,Heron!$A$4,Xero!$E:$E,Heron!$A25)-SUMIFS(Xero!$F:$F,Xero!$B:$B,Heron!AL$9,Xero!$A:$A,Heron!$A$5,Xero!$E:$E,Heron!$A25)</f>
        <v>0</v>
      </c>
      <c r="AM25" s="99">
        <f>-SUMIFS(Xero!$F:$F,Xero!$B:$B,Heron!AM$9,Xero!$A:$A,Heron!$A$4,Xero!$E:$E,Heron!$A25)-SUMIFS(Xero!$F:$F,Xero!$B:$B,Heron!AM$9,Xero!$A:$A,Heron!$A$5,Xero!$E:$E,Heron!$A25)</f>
        <v>0</v>
      </c>
      <c r="AN25" s="99">
        <f>-SUMIFS(Xero!$F:$F,Xero!$B:$B,Heron!AN$9,Xero!$A:$A,Heron!$A$4,Xero!$E:$E,Heron!$A25)-SUMIFS(Xero!$F:$F,Xero!$B:$B,Heron!AN$9,Xero!$A:$A,Heron!$A$5,Xero!$E:$E,Heron!$A25)</f>
        <v>0</v>
      </c>
      <c r="AO25" s="99">
        <f>-SUMIFS(Xero!$F:$F,Xero!$B:$B,Heron!AO$9,Xero!$A:$A,Heron!$A$4,Xero!$E:$E,Heron!$A25)-SUMIFS(Xero!$F:$F,Xero!$B:$B,Heron!AO$9,Xero!$A:$A,Heron!$A$5,Xero!$E:$E,Heron!$A25)</f>
        <v>0</v>
      </c>
      <c r="AP25" s="99">
        <f>-SUMIFS(Xero!$F:$F,Xero!$B:$B,Heron!AP$9,Xero!$A:$A,Heron!$A$4,Xero!$E:$E,Heron!$A25)-SUMIFS(Xero!$F:$F,Xero!$B:$B,Heron!AP$9,Xero!$A:$A,Heron!$A$5,Xero!$E:$E,Heron!$A25)</f>
        <v>0</v>
      </c>
      <c r="AQ25" s="99">
        <f>-SUMIFS(Xero!$F:$F,Xero!$B:$B,Heron!AQ$9,Xero!$A:$A,Heron!$A$4,Xero!$E:$E,Heron!$A25)-SUMIFS(Xero!$F:$F,Xero!$B:$B,Heron!AQ$9,Xero!$A:$A,Heron!$A$5,Xero!$E:$E,Heron!$A25)</f>
        <v>0</v>
      </c>
      <c r="AR25" s="99">
        <f>-SUMIFS(Xero!$F:$F,Xero!$B:$B,Heron!AR$9,Xero!$A:$A,Heron!$A$4,Xero!$E:$E,Heron!$A25)-SUMIFS(Xero!$F:$F,Xero!$B:$B,Heron!AR$9,Xero!$A:$A,Heron!$A$5,Xero!$E:$E,Heron!$A25)</f>
        <v>0</v>
      </c>
      <c r="AS25" s="99">
        <f>-SUMIFS(Xero!$F:$F,Xero!$B:$B,Heron!AS$9,Xero!$A:$A,Heron!$A$4,Xero!$E:$E,Heron!$A25)-SUMIFS(Xero!$F:$F,Xero!$B:$B,Heron!AS$9,Xero!$A:$A,Heron!$A$5,Xero!$E:$E,Heron!$A25)</f>
        <v>0</v>
      </c>
      <c r="AT25" s="99">
        <f>-SUMIFS(Xero!$F:$F,Xero!$B:$B,Heron!AT$9,Xero!$A:$A,Heron!$A$4,Xero!$E:$E,Heron!$A25)-SUMIFS(Xero!$F:$F,Xero!$B:$B,Heron!AT$9,Xero!$A:$A,Heron!$A$5,Xero!$E:$E,Heron!$A25)</f>
        <v>0</v>
      </c>
      <c r="AU25" s="99">
        <f>-SUMIFS(Xero!$F:$F,Xero!$B:$B,Heron!AU$9,Xero!$A:$A,Heron!$A$4,Xero!$E:$E,Heron!$A25)-SUMIFS(Xero!$F:$F,Xero!$B:$B,Heron!AU$9,Xero!$A:$A,Heron!$A$5,Xero!$E:$E,Heron!$A25)</f>
        <v>0</v>
      </c>
      <c r="AV25" s="99">
        <f>-SUMIFS(Xero!$F:$F,Xero!$B:$B,Heron!AV$9,Xero!$A:$A,Heron!$A$4,Xero!$E:$E,Heron!$A25)-SUMIFS(Xero!$F:$F,Xero!$B:$B,Heron!AV$9,Xero!$A:$A,Heron!$A$5,Xero!$E:$E,Heron!$A25)</f>
        <v>0</v>
      </c>
      <c r="AW25" s="99">
        <f>-SUMIFS(Xero!$F:$F,Xero!$B:$B,Heron!AW$9,Xero!$A:$A,Heron!$A$4,Xero!$E:$E,Heron!$A25)-SUMIFS(Xero!$F:$F,Xero!$B:$B,Heron!AW$9,Xero!$A:$A,Heron!$A$5,Xero!$E:$E,Heron!$A25)</f>
        <v>0</v>
      </c>
      <c r="AX25" s="99">
        <f>-SUMIFS(Xero!$F:$F,Xero!$B:$B,Heron!AX$9,Xero!$A:$A,Heron!$A$4,Xero!$E:$E,Heron!$A25)-SUMIFS(Xero!$F:$F,Xero!$B:$B,Heron!AX$9,Xero!$A:$A,Heron!$A$5,Xero!$E:$E,Heron!$A25)</f>
        <v>0</v>
      </c>
      <c r="AY25" s="99">
        <f>-SUMIFS(Xero!$F:$F,Xero!$B:$B,Heron!AY$9,Xero!$A:$A,Heron!$A$4,Xero!$E:$E,Heron!$A25)-SUMIFS(Xero!$F:$F,Xero!$B:$B,Heron!AY$9,Xero!$A:$A,Heron!$A$5,Xero!$E:$E,Heron!$A25)</f>
        <v>0</v>
      </c>
      <c r="AZ25" s="99">
        <f>-SUMIFS(Xero!$F:$F,Xero!$B:$B,Heron!AZ$9,Xero!$A:$A,Heron!$A$4,Xero!$E:$E,Heron!$A25)-SUMIFS(Xero!$F:$F,Xero!$B:$B,Heron!AZ$9,Xero!$A:$A,Heron!$A$5,Xero!$E:$E,Heron!$A25)</f>
        <v>0</v>
      </c>
      <c r="BA25" s="99">
        <f>-SUMIFS(Xero!$F:$F,Xero!$B:$B,Heron!BA$9,Xero!$A:$A,Heron!$A$4,Xero!$E:$E,Heron!$A25)-SUMIFS(Xero!$F:$F,Xero!$B:$B,Heron!BA$9,Xero!$A:$A,Heron!$A$5,Xero!$E:$E,Heron!$A25)</f>
        <v>0</v>
      </c>
      <c r="BB25" s="99">
        <f>-SUMIFS(Xero!$F:$F,Xero!$B:$B,Heron!BB$9,Xero!$A:$A,Heron!$A$4,Xero!$E:$E,Heron!$A25)-SUMIFS(Xero!$F:$F,Xero!$B:$B,Heron!BB$9,Xero!$A:$A,Heron!$A$5,Xero!$E:$E,Heron!$A25)</f>
        <v>0</v>
      </c>
      <c r="BC25" s="99">
        <f>-SUMIFS(Xero!$F:$F,Xero!$B:$B,Heron!BC$9,Xero!$A:$A,Heron!$A$4,Xero!$E:$E,Heron!$A25)-SUMIFS(Xero!$F:$F,Xero!$B:$B,Heron!BC$9,Xero!$A:$A,Heron!$A$5,Xero!$E:$E,Heron!$A25)</f>
        <v>0</v>
      </c>
      <c r="BD25" s="99">
        <f>-SUMIFS(Xero!$F:$F,Xero!$B:$B,Heron!BD$9,Xero!$A:$A,Heron!$A$4,Xero!$E:$E,Heron!$A25)-SUMIFS(Xero!$F:$F,Xero!$B:$B,Heron!BD$9,Xero!$A:$A,Heron!$A$5,Xero!$E:$E,Heron!$A25)</f>
        <v>0</v>
      </c>
      <c r="BE25" s="99">
        <f>-SUMIFS(Xero!$F:$F,Xero!$B:$B,Heron!BE$9,Xero!$A:$A,Heron!$A$4,Xero!$E:$E,Heron!$A25)-SUMIFS(Xero!$F:$F,Xero!$B:$B,Heron!BE$9,Xero!$A:$A,Heron!$A$5,Xero!$E:$E,Heron!$A25)</f>
        <v>0</v>
      </c>
      <c r="BF25" s="99">
        <f>-SUMIFS(Xero!$F:$F,Xero!$B:$B,Heron!BF$9,Xero!$A:$A,Heron!$A$4,Xero!$E:$E,Heron!$A25)-SUMIFS(Xero!$F:$F,Xero!$B:$B,Heron!BF$9,Xero!$A:$A,Heron!$A$5,Xero!$E:$E,Heron!$A25)</f>
        <v>0</v>
      </c>
      <c r="BG25" s="99">
        <f>-SUMIFS(Xero!$F:$F,Xero!$B:$B,Heron!BG$9,Xero!$A:$A,Heron!$A$4,Xero!$E:$E,Heron!$A25)-SUMIFS(Xero!$F:$F,Xero!$B:$B,Heron!BG$9,Xero!$A:$A,Heron!$A$5,Xero!$E:$E,Heron!$A25)</f>
        <v>0</v>
      </c>
      <c r="BH25" s="99">
        <f>-SUMIFS(Xero!$F:$F,Xero!$B:$B,Heron!BH$9,Xero!$A:$A,Heron!$A$4,Xero!$E:$E,Heron!$A25)-SUMIFS(Xero!$F:$F,Xero!$B:$B,Heron!BH$9,Xero!$A:$A,Heron!$A$5,Xero!$E:$E,Heron!$A25)</f>
        <v>0</v>
      </c>
      <c r="BI25" s="99">
        <f>-SUMIFS(Xero!$F:$F,Xero!$B:$B,Heron!BI$9,Xero!$A:$A,Heron!$A$4,Xero!$E:$E,Heron!$A25)-SUMIFS(Xero!$F:$F,Xero!$B:$B,Heron!BI$9,Xero!$A:$A,Heron!$A$5,Xero!$E:$E,Heron!$A25)</f>
        <v>0</v>
      </c>
      <c r="BJ25" s="99">
        <f>-SUMIFS(Xero!$F:$F,Xero!$B:$B,Heron!BJ$9,Xero!$A:$A,Heron!$A$4,Xero!$E:$E,Heron!$A25)-SUMIFS(Xero!$F:$F,Xero!$B:$B,Heron!BJ$9,Xero!$A:$A,Heron!$A$5,Xero!$E:$E,Heron!$A25)</f>
        <v>0</v>
      </c>
      <c r="BK25" s="99">
        <f t="shared" si="1"/>
        <v>215222.18000000002</v>
      </c>
    </row>
    <row r="26" spans="1:64" ht="16" x14ac:dyDescent="0.2">
      <c r="A26" s="98" t="s">
        <v>1701</v>
      </c>
      <c r="D26" s="99">
        <f>-SUMIFS(Xero!$F:$F,Xero!$B:$B,Heron!D$9,Xero!$A:$A,Heron!$A$4,Xero!$E:$E,Heron!$A26)-SUMIFS(Xero!$F:$F,Xero!$B:$B,Heron!D$9,Xero!$A:$A,Heron!$A$5,Xero!$E:$E,Heron!$A26)</f>
        <v>0</v>
      </c>
      <c r="E26" s="99">
        <f>-SUMIFS(Xero!$F:$F,Xero!$B:$B,Heron!E$9,Xero!$A:$A,Heron!$A$4,Xero!$E:$E,Heron!$A26)-SUMIFS(Xero!$F:$F,Xero!$B:$B,Heron!E$9,Xero!$A:$A,Heron!$A$5,Xero!$E:$E,Heron!$A26)</f>
        <v>0</v>
      </c>
      <c r="F26" s="99">
        <f>-SUMIFS(Xero!$F:$F,Xero!$B:$B,Heron!F$9,Xero!$A:$A,Heron!$A$4,Xero!$E:$E,Heron!$A26)-SUMIFS(Xero!$F:$F,Xero!$B:$B,Heron!F$9,Xero!$A:$A,Heron!$A$5,Xero!$E:$E,Heron!$A26)</f>
        <v>0</v>
      </c>
      <c r="G26" s="99">
        <f>-SUMIFS(Xero!$F:$F,Xero!$B:$B,Heron!G$9,Xero!$A:$A,Heron!$A$4,Xero!$E:$E,Heron!$A26)-SUMIFS(Xero!$F:$F,Xero!$B:$B,Heron!G$9,Xero!$A:$A,Heron!$A$5,Xero!$E:$E,Heron!$A26)</f>
        <v>0</v>
      </c>
      <c r="H26" s="99">
        <f>-SUMIFS(Xero!$F:$F,Xero!$B:$B,Heron!H$9,Xero!$A:$A,Heron!$A$4,Xero!$E:$E,Heron!$A26)-SUMIFS(Xero!$F:$F,Xero!$B:$B,Heron!H$9,Xero!$A:$A,Heron!$A$5,Xero!$E:$E,Heron!$A26)</f>
        <v>0</v>
      </c>
      <c r="I26" s="99">
        <f>-SUMIFS(Xero!$F:$F,Xero!$B:$B,Heron!I$9,Xero!$A:$A,Heron!$A$4,Xero!$E:$E,Heron!$A26)-SUMIFS(Xero!$F:$F,Xero!$B:$B,Heron!I$9,Xero!$A:$A,Heron!$A$5,Xero!$E:$E,Heron!$A26)</f>
        <v>0</v>
      </c>
      <c r="J26" s="99">
        <f>-SUMIFS(Xero!$F:$F,Xero!$B:$B,Heron!J$9,Xero!$A:$A,Heron!$A$4,Xero!$E:$E,Heron!$A26)-SUMIFS(Xero!$F:$F,Xero!$B:$B,Heron!J$9,Xero!$A:$A,Heron!$A$5,Xero!$E:$E,Heron!$A26)</f>
        <v>0</v>
      </c>
      <c r="K26" s="99">
        <f>-SUMIFS(Xero!$F:$F,Xero!$B:$B,Heron!K$9,Xero!$A:$A,Heron!$A$4,Xero!$E:$E,Heron!$A26)-SUMIFS(Xero!$F:$F,Xero!$B:$B,Heron!K$9,Xero!$A:$A,Heron!$A$5,Xero!$E:$E,Heron!$A26)</f>
        <v>0</v>
      </c>
      <c r="L26" s="99">
        <f>-SUMIFS(Xero!$F:$F,Xero!$B:$B,Heron!L$9,Xero!$A:$A,Heron!$A$4,Xero!$E:$E,Heron!$A26)-SUMIFS(Xero!$F:$F,Xero!$B:$B,Heron!L$9,Xero!$A:$A,Heron!$A$5,Xero!$E:$E,Heron!$A26)</f>
        <v>0</v>
      </c>
      <c r="M26" s="99">
        <f>-SUMIFS(Xero!$F:$F,Xero!$B:$B,Heron!M$9,Xero!$A:$A,Heron!$A$4,Xero!$E:$E,Heron!$A26)-SUMIFS(Xero!$F:$F,Xero!$B:$B,Heron!M$9,Xero!$A:$A,Heron!$A$5,Xero!$E:$E,Heron!$A26)</f>
        <v>0</v>
      </c>
      <c r="N26" s="99">
        <f>-SUMIFS(Xero!$F:$F,Xero!$B:$B,Heron!N$9,Xero!$A:$A,Heron!$A$4,Xero!$E:$E,Heron!$A26)-SUMIFS(Xero!$F:$F,Xero!$B:$B,Heron!N$9,Xero!$A:$A,Heron!$A$5,Xero!$E:$E,Heron!$A26)</f>
        <v>0</v>
      </c>
      <c r="O26" s="99">
        <f>-SUMIFS(Xero!$F:$F,Xero!$B:$B,Heron!O$9,Xero!$A:$A,Heron!$A$4,Xero!$E:$E,Heron!$A26)-SUMIFS(Xero!$F:$F,Xero!$B:$B,Heron!O$9,Xero!$A:$A,Heron!$A$5,Xero!$E:$E,Heron!$A26)</f>
        <v>0</v>
      </c>
      <c r="P26" s="99">
        <f>-SUMIFS(Xero!$F:$F,Xero!$B:$B,Heron!P$9,Xero!$A:$A,Heron!$A$4,Xero!$E:$E,Heron!$A26)-SUMIFS(Xero!$F:$F,Xero!$B:$B,Heron!P$9,Xero!$A:$A,Heron!$A$5,Xero!$E:$E,Heron!$A26)</f>
        <v>0</v>
      </c>
      <c r="Q26" s="99">
        <f>-SUMIFS(Xero!$F:$F,Xero!$B:$B,Heron!Q$9,Xero!$A:$A,Heron!$A$4,Xero!$E:$E,Heron!$A26)-SUMIFS(Xero!$F:$F,Xero!$B:$B,Heron!Q$9,Xero!$A:$A,Heron!$A$5,Xero!$E:$E,Heron!$A26)</f>
        <v>0</v>
      </c>
      <c r="R26" s="99">
        <f>-SUMIFS(Xero!$F:$F,Xero!$B:$B,Heron!R$9,Xero!$A:$A,Heron!$A$4,Xero!$E:$E,Heron!$A26)-SUMIFS(Xero!$F:$F,Xero!$B:$B,Heron!R$9,Xero!$A:$A,Heron!$A$5,Xero!$E:$E,Heron!$A26)</f>
        <v>0</v>
      </c>
      <c r="S26" s="99">
        <f>-SUMIFS(Xero!$F:$F,Xero!$B:$B,Heron!S$9,Xero!$A:$A,Heron!$A$4,Xero!$E:$E,Heron!$A26)-SUMIFS(Xero!$F:$F,Xero!$B:$B,Heron!S$9,Xero!$A:$A,Heron!$A$5,Xero!$E:$E,Heron!$A26)</f>
        <v>0</v>
      </c>
      <c r="T26" s="99">
        <f>-SUMIFS(Xero!$F:$F,Xero!$B:$B,Heron!T$9,Xero!$A:$A,Heron!$A$4,Xero!$E:$E,Heron!$A26)-SUMIFS(Xero!$F:$F,Xero!$B:$B,Heron!T$9,Xero!$A:$A,Heron!$A$5,Xero!$E:$E,Heron!$A26)</f>
        <v>0</v>
      </c>
      <c r="U26" s="99">
        <f>-SUMIFS(Xero!$F:$F,Xero!$B:$B,Heron!U$9,Xero!$A:$A,Heron!$A$4,Xero!$E:$E,Heron!$A26)-SUMIFS(Xero!$F:$F,Xero!$B:$B,Heron!U$9,Xero!$A:$A,Heron!$A$5,Xero!$E:$E,Heron!$A26)</f>
        <v>0</v>
      </c>
      <c r="V26" s="99">
        <f>-SUMIFS(Xero!$F:$F,Xero!$B:$B,Heron!V$9,Xero!$A:$A,Heron!$A$4,Xero!$E:$E,Heron!$A26)-SUMIFS(Xero!$F:$F,Xero!$B:$B,Heron!V$9,Xero!$A:$A,Heron!$A$5,Xero!$E:$E,Heron!$A26)</f>
        <v>0</v>
      </c>
      <c r="W26" s="99">
        <f>-SUMIFS(Xero!$F:$F,Xero!$B:$B,Heron!W$9,Xero!$A:$A,Heron!$A$4,Xero!$E:$E,Heron!$A26)-SUMIFS(Xero!$F:$F,Xero!$B:$B,Heron!W$9,Xero!$A:$A,Heron!$A$5,Xero!$E:$E,Heron!$A26)</f>
        <v>0</v>
      </c>
      <c r="X26" s="99">
        <f>-SUMIFS(Xero!$F:$F,Xero!$B:$B,Heron!X$9,Xero!$A:$A,Heron!$A$4,Xero!$E:$E,Heron!$A26)-SUMIFS(Xero!$F:$F,Xero!$B:$B,Heron!X$9,Xero!$A:$A,Heron!$A$5,Xero!$E:$E,Heron!$A26)</f>
        <v>0</v>
      </c>
      <c r="Y26" s="99">
        <f>-SUMIFS(Xero!$F:$F,Xero!$B:$B,Heron!Y$9,Xero!$A:$A,Heron!$A$4,Xero!$E:$E,Heron!$A26)-SUMIFS(Xero!$F:$F,Xero!$B:$B,Heron!Y$9,Xero!$A:$A,Heron!$A$5,Xero!$E:$E,Heron!$A26)</f>
        <v>0</v>
      </c>
      <c r="Z26" s="99">
        <f>-SUMIFS(Xero!$F:$F,Xero!$B:$B,Heron!Z$9,Xero!$A:$A,Heron!$A$4,Xero!$E:$E,Heron!$A26)-SUMIFS(Xero!$F:$F,Xero!$B:$B,Heron!Z$9,Xero!$A:$A,Heron!$A$5,Xero!$E:$E,Heron!$A26)</f>
        <v>0</v>
      </c>
      <c r="AA26" s="99">
        <f>-SUMIFS(Xero!$F:$F,Xero!$B:$B,Heron!AA$9,Xero!$A:$A,Heron!$A$4,Xero!$E:$E,Heron!$A26)-SUMIFS(Xero!$F:$F,Xero!$B:$B,Heron!AA$9,Xero!$A:$A,Heron!$A$5,Xero!$E:$E,Heron!$A26)</f>
        <v>0</v>
      </c>
      <c r="AB26" s="99">
        <f>-SUMIFS(Xero!$F:$F,Xero!$B:$B,Heron!AB$9,Xero!$A:$A,Heron!$A$4,Xero!$E:$E,Heron!$A26)-SUMIFS(Xero!$F:$F,Xero!$B:$B,Heron!AB$9,Xero!$A:$A,Heron!$A$5,Xero!$E:$E,Heron!$A26)</f>
        <v>0</v>
      </c>
      <c r="AC26" s="99">
        <f>-SUMIFS(Xero!$F:$F,Xero!$B:$B,Heron!AC$9,Xero!$A:$A,Heron!$A$4,Xero!$E:$E,Heron!$A26)-SUMIFS(Xero!$F:$F,Xero!$B:$B,Heron!AC$9,Xero!$A:$A,Heron!$A$5,Xero!$E:$E,Heron!$A26)</f>
        <v>0</v>
      </c>
      <c r="AD26" s="99">
        <f>-SUMIFS(Xero!$F:$F,Xero!$B:$B,Heron!AD$9,Xero!$A:$A,Heron!$A$4,Xero!$E:$E,Heron!$A26)-SUMIFS(Xero!$F:$F,Xero!$B:$B,Heron!AD$9,Xero!$A:$A,Heron!$A$5,Xero!$E:$E,Heron!$A26)</f>
        <v>0</v>
      </c>
      <c r="AE26" s="99">
        <f>-SUMIFS(Xero!$F:$F,Xero!$B:$B,Heron!AE$9,Xero!$A:$A,Heron!$A$4,Xero!$E:$E,Heron!$A26)-SUMIFS(Xero!$F:$F,Xero!$B:$B,Heron!AE$9,Xero!$A:$A,Heron!$A$5,Xero!$E:$E,Heron!$A26)</f>
        <v>0</v>
      </c>
      <c r="AF26" s="99">
        <f>-SUMIFS(Xero!$F:$F,Xero!$B:$B,Heron!AF$9,Xero!$A:$A,Heron!$A$4,Xero!$E:$E,Heron!$A26)-SUMIFS(Xero!$F:$F,Xero!$B:$B,Heron!AF$9,Xero!$A:$A,Heron!$A$5,Xero!$E:$E,Heron!$A26)</f>
        <v>0</v>
      </c>
      <c r="AG26" s="99">
        <f>-SUMIFS(Xero!$F:$F,Xero!$B:$B,Heron!AG$9,Xero!$A:$A,Heron!$A$4,Xero!$E:$E,Heron!$A26)-SUMIFS(Xero!$F:$F,Xero!$B:$B,Heron!AG$9,Xero!$A:$A,Heron!$A$5,Xero!$E:$E,Heron!$A26)</f>
        <v>17806.45</v>
      </c>
      <c r="AH26" s="99">
        <f>-SUMIFS(Xero!$F:$F,Xero!$B:$B,Heron!AH$9,Xero!$A:$A,Heron!$A$4,Xero!$E:$E,Heron!$A26)-SUMIFS(Xero!$F:$F,Xero!$B:$B,Heron!AH$9,Xero!$A:$A,Heron!$A$5,Xero!$E:$E,Heron!$A26)</f>
        <v>61019.35</v>
      </c>
      <c r="AI26" s="99">
        <f>-SUMIFS(Xero!$F:$F,Xero!$B:$B,Heron!AI$9,Xero!$A:$A,Heron!$A$4,Xero!$E:$E,Heron!$A26)-SUMIFS(Xero!$F:$F,Xero!$B:$B,Heron!AI$9,Xero!$A:$A,Heron!$A$5,Xero!$E:$E,Heron!$A26)</f>
        <v>0</v>
      </c>
      <c r="AJ26" s="99">
        <f>-SUMIFS(Xero!$F:$F,Xero!$B:$B,Heron!AJ$9,Xero!$A:$A,Heron!$A$4,Xero!$E:$E,Heron!$A26)-SUMIFS(Xero!$F:$F,Xero!$B:$B,Heron!AJ$9,Xero!$A:$A,Heron!$A$5,Xero!$E:$E,Heron!$A26)</f>
        <v>0</v>
      </c>
      <c r="AK26" s="99">
        <f>-SUMIFS(Xero!$F:$F,Xero!$B:$B,Heron!AK$9,Xero!$A:$A,Heron!$A$4,Xero!$E:$E,Heron!$A26)-SUMIFS(Xero!$F:$F,Xero!$B:$B,Heron!AK$9,Xero!$A:$A,Heron!$A$5,Xero!$E:$E,Heron!$A26)</f>
        <v>5070.96</v>
      </c>
      <c r="AL26" s="99">
        <f>-SUMIFS(Xero!$F:$F,Xero!$B:$B,Heron!AL$9,Xero!$A:$A,Heron!$A$4,Xero!$E:$E,Heron!$A26)-SUMIFS(Xero!$F:$F,Xero!$B:$B,Heron!AL$9,Xero!$A:$A,Heron!$A$5,Xero!$E:$E,Heron!$A26)</f>
        <v>4800</v>
      </c>
      <c r="AM26" s="99">
        <f>-SUMIFS(Xero!$F:$F,Xero!$B:$B,Heron!AM$9,Xero!$A:$A,Heron!$A$4,Xero!$E:$E,Heron!$A26)-SUMIFS(Xero!$F:$F,Xero!$B:$B,Heron!AM$9,Xero!$A:$A,Heron!$A$5,Xero!$E:$E,Heron!$A26)</f>
        <v>1200</v>
      </c>
      <c r="AN26" s="99">
        <f>-SUMIFS(Xero!$F:$F,Xero!$B:$B,Heron!AN$9,Xero!$A:$A,Heron!$A$4,Xero!$E:$E,Heron!$A26)-SUMIFS(Xero!$F:$F,Xero!$B:$B,Heron!AN$9,Xero!$A:$A,Heron!$A$5,Xero!$E:$E,Heron!$A26)</f>
        <v>8400</v>
      </c>
      <c r="AO26" s="99">
        <f>-SUMIFS(Xero!$F:$F,Xero!$B:$B,Heron!AO$9,Xero!$A:$A,Heron!$A$4,Xero!$E:$E,Heron!$A26)-SUMIFS(Xero!$F:$F,Xero!$B:$B,Heron!AO$9,Xero!$A:$A,Heron!$A$5,Xero!$E:$E,Heron!$A26)</f>
        <v>0</v>
      </c>
      <c r="AP26" s="99">
        <f>-SUMIFS(Xero!$F:$F,Xero!$B:$B,Heron!AP$9,Xero!$A:$A,Heron!$A$4,Xero!$E:$E,Heron!$A26)-SUMIFS(Xero!$F:$F,Xero!$B:$B,Heron!AP$9,Xero!$A:$A,Heron!$A$5,Xero!$E:$E,Heron!$A26)</f>
        <v>3561.29</v>
      </c>
      <c r="AQ26" s="99">
        <f>-SUMIFS(Xero!$F:$F,Xero!$B:$B,Heron!AQ$9,Xero!$A:$A,Heron!$A$4,Xero!$E:$E,Heron!$A26)-SUMIFS(Xero!$F:$F,Xero!$B:$B,Heron!AQ$9,Xero!$A:$A,Heron!$A$5,Xero!$E:$E,Heron!$A26)</f>
        <v>0</v>
      </c>
      <c r="AR26" s="99">
        <f>-SUMIFS(Xero!$F:$F,Xero!$B:$B,Heron!AR$9,Xero!$A:$A,Heron!$A$4,Xero!$E:$E,Heron!$A26)-SUMIFS(Xero!$F:$F,Xero!$B:$B,Heron!AR$9,Xero!$A:$A,Heron!$A$5,Xero!$E:$E,Heron!$A26)</f>
        <v>3100</v>
      </c>
      <c r="AS26" s="99">
        <f>-SUMIFS(Xero!$F:$F,Xero!$B:$B,Heron!AS$9,Xero!$A:$A,Heron!$A$4,Xero!$E:$E,Heron!$A26)-SUMIFS(Xero!$F:$F,Xero!$B:$B,Heron!AS$9,Xero!$A:$A,Heron!$A$5,Xero!$E:$E,Heron!$A26)</f>
        <v>0</v>
      </c>
      <c r="AT26" s="99">
        <f>-SUMIFS(Xero!$F:$F,Xero!$B:$B,Heron!AT$9,Xero!$A:$A,Heron!$A$4,Xero!$E:$E,Heron!$A26)-SUMIFS(Xero!$F:$F,Xero!$B:$B,Heron!AT$9,Xero!$A:$A,Heron!$A$5,Xero!$E:$E,Heron!$A26)</f>
        <v>0</v>
      </c>
      <c r="AU26" s="99">
        <f>-SUMIFS(Xero!$F:$F,Xero!$B:$B,Heron!AU$9,Xero!$A:$A,Heron!$A$4,Xero!$E:$E,Heron!$A26)-SUMIFS(Xero!$F:$F,Xero!$B:$B,Heron!AU$9,Xero!$A:$A,Heron!$A$5,Xero!$E:$E,Heron!$A26)</f>
        <v>0</v>
      </c>
      <c r="AV26" s="99">
        <f>-SUMIFS(Xero!$F:$F,Xero!$B:$B,Heron!AV$9,Xero!$A:$A,Heron!$A$4,Xero!$E:$E,Heron!$A26)-SUMIFS(Xero!$F:$F,Xero!$B:$B,Heron!AV$9,Xero!$A:$A,Heron!$A$5,Xero!$E:$E,Heron!$A26)</f>
        <v>0</v>
      </c>
      <c r="AW26" s="99">
        <f>-SUMIFS(Xero!$F:$F,Xero!$B:$B,Heron!AW$9,Xero!$A:$A,Heron!$A$4,Xero!$E:$E,Heron!$A26)-SUMIFS(Xero!$F:$F,Xero!$B:$B,Heron!AW$9,Xero!$A:$A,Heron!$A$5,Xero!$E:$E,Heron!$A26)</f>
        <v>0</v>
      </c>
      <c r="AX26" s="99">
        <f>-SUMIFS(Xero!$F:$F,Xero!$B:$B,Heron!AX$9,Xero!$A:$A,Heron!$A$4,Xero!$E:$E,Heron!$A26)-SUMIFS(Xero!$F:$F,Xero!$B:$B,Heron!AX$9,Xero!$A:$A,Heron!$A$5,Xero!$E:$E,Heron!$A26)</f>
        <v>0</v>
      </c>
      <c r="AY26" s="99">
        <f>-SUMIFS(Xero!$F:$F,Xero!$B:$B,Heron!AY$9,Xero!$A:$A,Heron!$A$4,Xero!$E:$E,Heron!$A26)-SUMIFS(Xero!$F:$F,Xero!$B:$B,Heron!AY$9,Xero!$A:$A,Heron!$A$5,Xero!$E:$E,Heron!$A26)</f>
        <v>0</v>
      </c>
      <c r="AZ26" s="99">
        <f>-SUMIFS(Xero!$F:$F,Xero!$B:$B,Heron!AZ$9,Xero!$A:$A,Heron!$A$4,Xero!$E:$E,Heron!$A26)-SUMIFS(Xero!$F:$F,Xero!$B:$B,Heron!AZ$9,Xero!$A:$A,Heron!$A$5,Xero!$E:$E,Heron!$A26)</f>
        <v>0</v>
      </c>
      <c r="BA26" s="99">
        <f>-SUMIFS(Xero!$F:$F,Xero!$B:$B,Heron!BA$9,Xero!$A:$A,Heron!$A$4,Xero!$E:$E,Heron!$A26)-SUMIFS(Xero!$F:$F,Xero!$B:$B,Heron!BA$9,Xero!$A:$A,Heron!$A$5,Xero!$E:$E,Heron!$A26)</f>
        <v>0</v>
      </c>
      <c r="BB26" s="99">
        <f>-SUMIFS(Xero!$F:$F,Xero!$B:$B,Heron!BB$9,Xero!$A:$A,Heron!$A$4,Xero!$E:$E,Heron!$A26)-SUMIFS(Xero!$F:$F,Xero!$B:$B,Heron!BB$9,Xero!$A:$A,Heron!$A$5,Xero!$E:$E,Heron!$A26)</f>
        <v>0</v>
      </c>
      <c r="BC26" s="99">
        <f>-SUMIFS(Xero!$F:$F,Xero!$B:$B,Heron!BC$9,Xero!$A:$A,Heron!$A$4,Xero!$E:$E,Heron!$A26)-SUMIFS(Xero!$F:$F,Xero!$B:$B,Heron!BC$9,Xero!$A:$A,Heron!$A$5,Xero!$E:$E,Heron!$A26)</f>
        <v>0</v>
      </c>
      <c r="BD26" s="99">
        <f>-SUMIFS(Xero!$F:$F,Xero!$B:$B,Heron!BD$9,Xero!$A:$A,Heron!$A$4,Xero!$E:$E,Heron!$A26)-SUMIFS(Xero!$F:$F,Xero!$B:$B,Heron!BD$9,Xero!$A:$A,Heron!$A$5,Xero!$E:$E,Heron!$A26)</f>
        <v>0</v>
      </c>
      <c r="BE26" s="99">
        <f>-SUMIFS(Xero!$F:$F,Xero!$B:$B,Heron!BE$9,Xero!$A:$A,Heron!$A$4,Xero!$E:$E,Heron!$A26)-SUMIFS(Xero!$F:$F,Xero!$B:$B,Heron!BE$9,Xero!$A:$A,Heron!$A$5,Xero!$E:$E,Heron!$A26)</f>
        <v>0</v>
      </c>
      <c r="BF26" s="99">
        <f>-SUMIFS(Xero!$F:$F,Xero!$B:$B,Heron!BF$9,Xero!$A:$A,Heron!$A$4,Xero!$E:$E,Heron!$A26)-SUMIFS(Xero!$F:$F,Xero!$B:$B,Heron!BF$9,Xero!$A:$A,Heron!$A$5,Xero!$E:$E,Heron!$A26)</f>
        <v>0</v>
      </c>
      <c r="BG26" s="99">
        <f>-SUMIFS(Xero!$F:$F,Xero!$B:$B,Heron!BG$9,Xero!$A:$A,Heron!$A$4,Xero!$E:$E,Heron!$A26)-SUMIFS(Xero!$F:$F,Xero!$B:$B,Heron!BG$9,Xero!$A:$A,Heron!$A$5,Xero!$E:$E,Heron!$A26)</f>
        <v>0</v>
      </c>
      <c r="BH26" s="99">
        <f>-SUMIFS(Xero!$F:$F,Xero!$B:$B,Heron!BH$9,Xero!$A:$A,Heron!$A$4,Xero!$E:$E,Heron!$A26)-SUMIFS(Xero!$F:$F,Xero!$B:$B,Heron!BH$9,Xero!$A:$A,Heron!$A$5,Xero!$E:$E,Heron!$A26)</f>
        <v>0</v>
      </c>
      <c r="BI26" s="99">
        <f>-SUMIFS(Xero!$F:$F,Xero!$B:$B,Heron!BI$9,Xero!$A:$A,Heron!$A$4,Xero!$E:$E,Heron!$A26)-SUMIFS(Xero!$F:$F,Xero!$B:$B,Heron!BI$9,Xero!$A:$A,Heron!$A$5,Xero!$E:$E,Heron!$A26)</f>
        <v>0</v>
      </c>
      <c r="BJ26" s="99">
        <f>-SUMIFS(Xero!$F:$F,Xero!$B:$B,Heron!BJ$9,Xero!$A:$A,Heron!$A$4,Xero!$E:$E,Heron!$A26)-SUMIFS(Xero!$F:$F,Xero!$B:$B,Heron!BJ$9,Xero!$A:$A,Heron!$A$5,Xero!$E:$E,Heron!$A26)</f>
        <v>0</v>
      </c>
      <c r="BK26" s="99">
        <f t="shared" si="1"/>
        <v>104958.05</v>
      </c>
    </row>
    <row r="27" spans="1:64" ht="16" x14ac:dyDescent="0.2">
      <c r="A27" s="98" t="s">
        <v>1700</v>
      </c>
      <c r="D27" s="99">
        <f>-SUMIFS(Xero!$F:$F,Xero!$B:$B,Heron!D$9,Xero!$A:$A,Heron!$A$4,Xero!$E:$E,Heron!$A27)-SUMIFS(Xero!$F:$F,Xero!$B:$B,Heron!D$9,Xero!$A:$A,Heron!$A$5,Xero!$E:$E,Heron!$A27)+SUMIFS(Sales!$K:$K,Sales!$E:$E,FALSE,Sales!$A:$A,Heron!$B$5,Sales!$H:$H,"&lt;="&amp;Heron!D$9,Sales!$H:$H,"&gt;"&amp;Heron!C$9,Sales!$F:$F,1)</f>
        <v>0</v>
      </c>
      <c r="E27" s="99">
        <f>-SUMIFS(Xero!$F:$F,Xero!$B:$B,Heron!E$9,Xero!$A:$A,Heron!$A$4,Xero!$E:$E,Heron!$A27)-SUMIFS(Xero!$F:$F,Xero!$B:$B,Heron!E$9,Xero!$A:$A,Heron!$A$5,Xero!$E:$E,Heron!$A27)+SUMIFS(Sales!$K:$K,Sales!$E:$E,FALSE,Sales!$A:$A,Heron!$B$5,Sales!$H:$H,"&lt;="&amp;Heron!E$9,Sales!$H:$H,"&gt;"&amp;Heron!D$9,Sales!$F:$F,1)</f>
        <v>0</v>
      </c>
      <c r="F27" s="99">
        <f>-SUMIFS(Xero!$F:$F,Xero!$B:$B,Heron!F$9,Xero!$A:$A,Heron!$A$4,Xero!$E:$E,Heron!$A27)-SUMIFS(Xero!$F:$F,Xero!$B:$B,Heron!F$9,Xero!$A:$A,Heron!$A$5,Xero!$E:$E,Heron!$A27)+SUMIFS(Sales!$K:$K,Sales!$E:$E,FALSE,Sales!$A:$A,Heron!$B$5,Sales!$H:$H,"&lt;="&amp;Heron!F$9,Sales!$H:$H,"&gt;"&amp;Heron!E$9,Sales!$F:$F,1)</f>
        <v>0</v>
      </c>
      <c r="G27" s="99">
        <f>-SUMIFS(Xero!$F:$F,Xero!$B:$B,Heron!G$9,Xero!$A:$A,Heron!$A$4,Xero!$E:$E,Heron!$A27)-SUMIFS(Xero!$F:$F,Xero!$B:$B,Heron!G$9,Xero!$A:$A,Heron!$A$5,Xero!$E:$E,Heron!$A27)+SUMIFS(Sales!$K:$K,Sales!$E:$E,FALSE,Sales!$A:$A,Heron!$B$5,Sales!$H:$H,"&lt;="&amp;Heron!G$9,Sales!$H:$H,"&gt;"&amp;Heron!F$9,Sales!$F:$F,1)</f>
        <v>0</v>
      </c>
      <c r="H27" s="99">
        <f>-SUMIFS(Xero!$F:$F,Xero!$B:$B,Heron!H$9,Xero!$A:$A,Heron!$A$4,Xero!$E:$E,Heron!$A27)-SUMIFS(Xero!$F:$F,Xero!$B:$B,Heron!H$9,Xero!$A:$A,Heron!$A$5,Xero!$E:$E,Heron!$A27)+SUMIFS(Sales!$K:$K,Sales!$E:$E,FALSE,Sales!$A:$A,Heron!$B$5,Sales!$H:$H,"&lt;="&amp;Heron!H$9,Sales!$H:$H,"&gt;"&amp;Heron!G$9,Sales!$F:$F,1)</f>
        <v>0</v>
      </c>
      <c r="I27" s="99">
        <f>-SUMIFS(Xero!$F:$F,Xero!$B:$B,Heron!I$9,Xero!$A:$A,Heron!$A$4,Xero!$E:$E,Heron!$A27)-SUMIFS(Xero!$F:$F,Xero!$B:$B,Heron!I$9,Xero!$A:$A,Heron!$A$5,Xero!$E:$E,Heron!$A27)+SUMIFS(Sales!$K:$K,Sales!$E:$E,FALSE,Sales!$A:$A,Heron!$B$5,Sales!$H:$H,"&lt;="&amp;Heron!I$9,Sales!$H:$H,"&gt;"&amp;Heron!H$9,Sales!$F:$F,1)</f>
        <v>0</v>
      </c>
      <c r="J27" s="99">
        <f>-SUMIFS(Xero!$F:$F,Xero!$B:$B,Heron!J$9,Xero!$A:$A,Heron!$A$4,Xero!$E:$E,Heron!$A27)-SUMIFS(Xero!$F:$F,Xero!$B:$B,Heron!J$9,Xero!$A:$A,Heron!$A$5,Xero!$E:$E,Heron!$A27)+SUMIFS(Sales!$K:$K,Sales!$E:$E,FALSE,Sales!$A:$A,Heron!$B$5,Sales!$H:$H,"&lt;="&amp;Heron!J$9,Sales!$H:$H,"&gt;"&amp;Heron!I$9,Sales!$F:$F,1)</f>
        <v>0</v>
      </c>
      <c r="K27" s="99">
        <f>-SUMIFS(Xero!$F:$F,Xero!$B:$B,Heron!K$9,Xero!$A:$A,Heron!$A$4,Xero!$E:$E,Heron!$A27)-SUMIFS(Xero!$F:$F,Xero!$B:$B,Heron!K$9,Xero!$A:$A,Heron!$A$5,Xero!$E:$E,Heron!$A27)+SUMIFS(Sales!$K:$K,Sales!$E:$E,FALSE,Sales!$A:$A,Heron!$B$5,Sales!$H:$H,"&lt;="&amp;Heron!K$9,Sales!$H:$H,"&gt;"&amp;Heron!J$9,Sales!$F:$F,1)</f>
        <v>0</v>
      </c>
      <c r="L27" s="99">
        <f>-SUMIFS(Xero!$F:$F,Xero!$B:$B,Heron!L$9,Xero!$A:$A,Heron!$A$4,Xero!$E:$E,Heron!$A27)-SUMIFS(Xero!$F:$F,Xero!$B:$B,Heron!L$9,Xero!$A:$A,Heron!$A$5,Xero!$E:$E,Heron!$A27)+SUMIFS(Sales!$K:$K,Sales!$E:$E,FALSE,Sales!$A:$A,Heron!$B$5,Sales!$H:$H,"&lt;="&amp;Heron!L$9,Sales!$H:$H,"&gt;"&amp;Heron!K$9,Sales!$F:$F,1)</f>
        <v>0</v>
      </c>
      <c r="M27" s="99">
        <f>-SUMIFS(Xero!$F:$F,Xero!$B:$B,Heron!M$9,Xero!$A:$A,Heron!$A$4,Xero!$E:$E,Heron!$A27)-SUMIFS(Xero!$F:$F,Xero!$B:$B,Heron!M$9,Xero!$A:$A,Heron!$A$5,Xero!$E:$E,Heron!$A27)+SUMIFS(Sales!$K:$K,Sales!$E:$E,FALSE,Sales!$A:$A,Heron!$B$5,Sales!$H:$H,"&lt;="&amp;Heron!M$9,Sales!$H:$H,"&gt;"&amp;Heron!L$9,Sales!$F:$F,1)</f>
        <v>0</v>
      </c>
      <c r="N27" s="99">
        <f>-SUMIFS(Xero!$F:$F,Xero!$B:$B,Heron!N$9,Xero!$A:$A,Heron!$A$4,Xero!$E:$E,Heron!$A27)-SUMIFS(Xero!$F:$F,Xero!$B:$B,Heron!N$9,Xero!$A:$A,Heron!$A$5,Xero!$E:$E,Heron!$A27)+SUMIFS(Sales!$K:$K,Sales!$E:$E,FALSE,Sales!$A:$A,Heron!$B$5,Sales!$H:$H,"&lt;="&amp;Heron!N$9,Sales!$H:$H,"&gt;"&amp;Heron!M$9,Sales!$F:$F,1)</f>
        <v>0</v>
      </c>
      <c r="O27" s="99">
        <f>-SUMIFS(Xero!$F:$F,Xero!$B:$B,Heron!O$9,Xero!$A:$A,Heron!$A$4,Xero!$E:$E,Heron!$A27)-SUMIFS(Xero!$F:$F,Xero!$B:$B,Heron!O$9,Xero!$A:$A,Heron!$A$5,Xero!$E:$E,Heron!$A27)+SUMIFS(Sales!$K:$K,Sales!$E:$E,FALSE,Sales!$A:$A,Heron!$B$5,Sales!$H:$H,"&lt;="&amp;Heron!O$9,Sales!$H:$H,"&gt;"&amp;Heron!N$9,Sales!$F:$F,1)</f>
        <v>0</v>
      </c>
      <c r="P27" s="99">
        <f>-SUMIFS(Xero!$F:$F,Xero!$B:$B,Heron!P$9,Xero!$A:$A,Heron!$A$4,Xero!$E:$E,Heron!$A27)-SUMIFS(Xero!$F:$F,Xero!$B:$B,Heron!P$9,Xero!$A:$A,Heron!$A$5,Xero!$E:$E,Heron!$A27)+SUMIFS(Sales!$K:$K,Sales!$E:$E,FALSE,Sales!$A:$A,Heron!$B$5,Sales!$H:$H,"&lt;="&amp;Heron!P$9,Sales!$H:$H,"&gt;"&amp;Heron!O$9,Sales!$F:$F,1)</f>
        <v>0</v>
      </c>
      <c r="Q27" s="99">
        <f>-SUMIFS(Xero!$F:$F,Xero!$B:$B,Heron!Q$9,Xero!$A:$A,Heron!$A$4,Xero!$E:$E,Heron!$A27)-SUMIFS(Xero!$F:$F,Xero!$B:$B,Heron!Q$9,Xero!$A:$A,Heron!$A$5,Xero!$E:$E,Heron!$A27)+SUMIFS(Sales!$K:$K,Sales!$E:$E,FALSE,Sales!$A:$A,Heron!$B$5,Sales!$H:$H,"&lt;="&amp;Heron!Q$9,Sales!$H:$H,"&gt;"&amp;Heron!P$9,Sales!$F:$F,1)</f>
        <v>0</v>
      </c>
      <c r="R27" s="99">
        <f>-SUMIFS(Xero!$F:$F,Xero!$B:$B,Heron!R$9,Xero!$A:$A,Heron!$A$4,Xero!$E:$E,Heron!$A27)-SUMIFS(Xero!$F:$F,Xero!$B:$B,Heron!R$9,Xero!$A:$A,Heron!$A$5,Xero!$E:$E,Heron!$A27)+SUMIFS(Sales!$K:$K,Sales!$E:$E,FALSE,Sales!$A:$A,Heron!$B$5,Sales!$H:$H,"&lt;="&amp;Heron!R$9,Sales!$H:$H,"&gt;"&amp;Heron!Q$9,Sales!$F:$F,1)</f>
        <v>0</v>
      </c>
      <c r="S27" s="99">
        <f>-SUMIFS(Xero!$F:$F,Xero!$B:$B,Heron!S$9,Xero!$A:$A,Heron!$A$4,Xero!$E:$E,Heron!$A27)-SUMIFS(Xero!$F:$F,Xero!$B:$B,Heron!S$9,Xero!$A:$A,Heron!$A$5,Xero!$E:$E,Heron!$A27)+SUMIFS(Sales!$K:$K,Sales!$E:$E,FALSE,Sales!$A:$A,Heron!$B$5,Sales!$H:$H,"&lt;="&amp;Heron!S$9,Sales!$H:$H,"&gt;"&amp;Heron!R$9,Sales!$F:$F,1)</f>
        <v>0</v>
      </c>
      <c r="T27" s="99">
        <f>-SUMIFS(Xero!$F:$F,Xero!$B:$B,Heron!T$9,Xero!$A:$A,Heron!$A$4,Xero!$E:$E,Heron!$A27)-SUMIFS(Xero!$F:$F,Xero!$B:$B,Heron!T$9,Xero!$A:$A,Heron!$A$5,Xero!$E:$E,Heron!$A27)+SUMIFS(Sales!$K:$K,Sales!$E:$E,FALSE,Sales!$A:$A,Heron!$B$5,Sales!$H:$H,"&lt;="&amp;Heron!T$9,Sales!$H:$H,"&gt;"&amp;Heron!S$9,Sales!$F:$F,1)</f>
        <v>0</v>
      </c>
      <c r="U27" s="99">
        <f>-SUMIFS(Xero!$F:$F,Xero!$B:$B,Heron!U$9,Xero!$A:$A,Heron!$A$4,Xero!$E:$E,Heron!$A27)-SUMIFS(Xero!$F:$F,Xero!$B:$B,Heron!U$9,Xero!$A:$A,Heron!$A$5,Xero!$E:$E,Heron!$A27)+SUMIFS(Sales!$K:$K,Sales!$E:$E,FALSE,Sales!$A:$A,Heron!$B$5,Sales!$H:$H,"&lt;="&amp;Heron!U$9,Sales!$H:$H,"&gt;"&amp;Heron!T$9,Sales!$F:$F,1)</f>
        <v>0</v>
      </c>
      <c r="V27" s="99">
        <f>-SUMIFS(Xero!$F:$F,Xero!$B:$B,Heron!V$9,Xero!$A:$A,Heron!$A$4,Xero!$E:$E,Heron!$A27)-SUMIFS(Xero!$F:$F,Xero!$B:$B,Heron!V$9,Xero!$A:$A,Heron!$A$5,Xero!$E:$E,Heron!$A27)+SUMIFS(Sales!$K:$K,Sales!$E:$E,FALSE,Sales!$A:$A,Heron!$B$5,Sales!$H:$H,"&lt;="&amp;Heron!V$9,Sales!$H:$H,"&gt;"&amp;Heron!U$9,Sales!$F:$F,1)</f>
        <v>0</v>
      </c>
      <c r="W27" s="99">
        <f>-SUMIFS(Xero!$F:$F,Xero!$B:$B,Heron!W$9,Xero!$A:$A,Heron!$A$4,Xero!$E:$E,Heron!$A27)-SUMIFS(Xero!$F:$F,Xero!$B:$B,Heron!W$9,Xero!$A:$A,Heron!$A$5,Xero!$E:$E,Heron!$A27)+SUMIFS(Sales!$K:$K,Sales!$E:$E,FALSE,Sales!$A:$A,Heron!$B$5,Sales!$H:$H,"&lt;="&amp;Heron!W$9,Sales!$H:$H,"&gt;"&amp;Heron!V$9,Sales!$F:$F,1)</f>
        <v>0</v>
      </c>
      <c r="X27" s="99">
        <f>-SUMIFS(Xero!$F:$F,Xero!$B:$B,Heron!X$9,Xero!$A:$A,Heron!$A$4,Xero!$E:$E,Heron!$A27)-SUMIFS(Xero!$F:$F,Xero!$B:$B,Heron!X$9,Xero!$A:$A,Heron!$A$5,Xero!$E:$E,Heron!$A27)+SUMIFS(Sales!$K:$K,Sales!$E:$E,FALSE,Sales!$A:$A,Heron!$B$5,Sales!$H:$H,"&lt;="&amp;Heron!X$9,Sales!$H:$H,"&gt;"&amp;Heron!W$9,Sales!$F:$F,1)</f>
        <v>0</v>
      </c>
      <c r="Y27" s="99">
        <f>-SUMIFS(Xero!$F:$F,Xero!$B:$B,Heron!Y$9,Xero!$A:$A,Heron!$A$4,Xero!$E:$E,Heron!$A27)-SUMIFS(Xero!$F:$F,Xero!$B:$B,Heron!Y$9,Xero!$A:$A,Heron!$A$5,Xero!$E:$E,Heron!$A27)+SUMIFS(Sales!$K:$K,Sales!$E:$E,FALSE,Sales!$A:$A,Heron!$B$5,Sales!$H:$H,"&lt;="&amp;Heron!Y$9,Sales!$H:$H,"&gt;"&amp;Heron!X$9,Sales!$F:$F,1)</f>
        <v>0</v>
      </c>
      <c r="Z27" s="99">
        <f>-SUMIFS(Xero!$F:$F,Xero!$B:$B,Heron!Z$9,Xero!$A:$A,Heron!$A$4,Xero!$E:$E,Heron!$A27)-SUMIFS(Xero!$F:$F,Xero!$B:$B,Heron!Z$9,Xero!$A:$A,Heron!$A$5,Xero!$E:$E,Heron!$A27)+SUMIFS(Sales!$K:$K,Sales!$E:$E,FALSE,Sales!$A:$A,Heron!$B$5,Sales!$H:$H,"&lt;="&amp;Heron!Z$9,Sales!$H:$H,"&gt;"&amp;Heron!Y$9,Sales!$F:$F,1)</f>
        <v>0</v>
      </c>
      <c r="AA27" s="99">
        <f>-SUMIFS(Xero!$F:$F,Xero!$B:$B,Heron!AA$9,Xero!$A:$A,Heron!$A$4,Xero!$E:$E,Heron!$A27)-SUMIFS(Xero!$F:$F,Xero!$B:$B,Heron!AA$9,Xero!$A:$A,Heron!$A$5,Xero!$E:$E,Heron!$A27)+SUMIFS(Sales!$K:$K,Sales!$E:$E,FALSE,Sales!$A:$A,Heron!$B$5,Sales!$H:$H,"&lt;="&amp;Heron!AA$9,Sales!$H:$H,"&gt;"&amp;Heron!Z$9,Sales!$F:$F,1)</f>
        <v>0</v>
      </c>
      <c r="AB27" s="99">
        <f>-SUMIFS(Xero!$F:$F,Xero!$B:$B,Heron!AB$9,Xero!$A:$A,Heron!$A$4,Xero!$E:$E,Heron!$A27)-SUMIFS(Xero!$F:$F,Xero!$B:$B,Heron!AB$9,Xero!$A:$A,Heron!$A$5,Xero!$E:$E,Heron!$A27)+SUMIFS(Sales!$K:$K,Sales!$E:$E,FALSE,Sales!$A:$A,Heron!$B$5,Sales!$H:$H,"&lt;="&amp;Heron!AB$9,Sales!$H:$H,"&gt;"&amp;Heron!AA$9,Sales!$F:$F,1)</f>
        <v>0</v>
      </c>
      <c r="AC27" s="99">
        <f>-SUMIFS(Xero!$F:$F,Xero!$B:$B,Heron!AC$9,Xero!$A:$A,Heron!$A$4,Xero!$E:$E,Heron!$A27)-SUMIFS(Xero!$F:$F,Xero!$B:$B,Heron!AC$9,Xero!$A:$A,Heron!$A$5,Xero!$E:$E,Heron!$A27)+SUMIFS(Sales!$K:$K,Sales!$E:$E,FALSE,Sales!$A:$A,Heron!$B$5,Sales!$H:$H,"&lt;="&amp;Heron!AC$9,Sales!$H:$H,"&gt;"&amp;Heron!AB$9,Sales!$F:$F,1)</f>
        <v>0</v>
      </c>
      <c r="AD27" s="99">
        <f>-SUMIFS(Xero!$F:$F,Xero!$B:$B,Heron!AD$9,Xero!$A:$A,Heron!$A$4,Xero!$E:$E,Heron!$A27)-SUMIFS(Xero!$F:$F,Xero!$B:$B,Heron!AD$9,Xero!$A:$A,Heron!$A$5,Xero!$E:$E,Heron!$A27)+SUMIFS(Sales!$K:$K,Sales!$E:$E,FALSE,Sales!$A:$A,Heron!$B$5,Sales!$H:$H,"&lt;="&amp;Heron!AD$9,Sales!$H:$H,"&gt;"&amp;Heron!AC$9,Sales!$F:$F,1)</f>
        <v>0</v>
      </c>
      <c r="AE27" s="99">
        <f>-SUMIFS(Xero!$F:$F,Xero!$B:$B,Heron!AE$9,Xero!$A:$A,Heron!$A$4,Xero!$E:$E,Heron!$A27)-SUMIFS(Xero!$F:$F,Xero!$B:$B,Heron!AE$9,Xero!$A:$A,Heron!$A$5,Xero!$E:$E,Heron!$A27)+SUMIFS(Sales!$K:$K,Sales!$E:$E,FALSE,Sales!$A:$A,Heron!$B$5,Sales!$H:$H,"&lt;="&amp;Heron!AE$9,Sales!$H:$H,"&gt;"&amp;Heron!AD$9,Sales!$F:$F,1)</f>
        <v>0</v>
      </c>
      <c r="AF27" s="99">
        <f>-SUMIFS(Xero!$F:$F,Xero!$B:$B,Heron!AF$9,Xero!$A:$A,Heron!$A$4,Xero!$E:$E,Heron!$A27)-SUMIFS(Xero!$F:$F,Xero!$B:$B,Heron!AF$9,Xero!$A:$A,Heron!$A$5,Xero!$E:$E,Heron!$A27)+SUMIFS(Sales!$K:$K,Sales!$E:$E,FALSE,Sales!$A:$A,Heron!$B$5,Sales!$H:$H,"&lt;="&amp;Heron!AF$9,Sales!$H:$H,"&gt;"&amp;Heron!AE$9,Sales!$F:$F,1)</f>
        <v>0</v>
      </c>
      <c r="AG27" s="99">
        <f>-SUMIFS(Xero!$F:$F,Xero!$B:$B,Heron!AG$9,Xero!$A:$A,Heron!$A$4,Xero!$E:$E,Heron!$A27)-SUMIFS(Xero!$F:$F,Xero!$B:$B,Heron!AG$9,Xero!$A:$A,Heron!$A$5,Xero!$E:$E,Heron!$A27)+SUMIFS(Sales!$K:$K,Sales!$E:$E,FALSE,Sales!$A:$A,Heron!$B$5,Sales!$H:$H,"&lt;="&amp;Heron!AG$9,Sales!$H:$H,"&gt;"&amp;Heron!AF$9,Sales!$F:$F,1)</f>
        <v>6821304.3600000003</v>
      </c>
      <c r="AH27" s="99">
        <f>-SUMIFS(Xero!$F:$F,Xero!$B:$B,Heron!AH$9,Xero!$A:$A,Heron!$A$4,Xero!$E:$E,Heron!$A27)-SUMIFS(Xero!$F:$F,Xero!$B:$B,Heron!AH$9,Xero!$A:$A,Heron!$A$5,Xero!$E:$E,Heron!$A27)+SUMIFS(Sales!$K:$K,Sales!$E:$E,FALSE,Sales!$A:$A,Heron!$B$5,Sales!$H:$H,"&lt;="&amp;Heron!AH$9,Sales!$H:$H,"&gt;"&amp;Heron!AG$9,Sales!$F:$F,1)</f>
        <v>13012260.880000001</v>
      </c>
      <c r="AI27" s="99">
        <f>-SUMIFS(Xero!$F:$F,Xero!$B:$B,Heron!AI$9,Xero!$A:$A,Heron!$A$4,Xero!$E:$E,Heron!$A27)-SUMIFS(Xero!$F:$F,Xero!$B:$B,Heron!AI$9,Xero!$A:$A,Heron!$A$5,Xero!$E:$E,Heron!$A27)+SUMIFS(Sales!$K:$K,Sales!$E:$E,FALSE,Sales!$A:$A,Heron!$B$5,Sales!$H:$H,"&lt;="&amp;Heron!AI$9,Sales!$H:$H,"&gt;"&amp;Heron!AH$9,Sales!$F:$F,1)</f>
        <v>0</v>
      </c>
      <c r="AJ27" s="99">
        <f>-SUMIFS(Xero!$F:$F,Xero!$B:$B,Heron!AJ$9,Xero!$A:$A,Heron!$A$4,Xero!$E:$E,Heron!$A27)-SUMIFS(Xero!$F:$F,Xero!$B:$B,Heron!AJ$9,Xero!$A:$A,Heron!$A$5,Xero!$E:$E,Heron!$A27)+SUMIFS(Sales!$K:$K,Sales!$E:$E,FALSE,Sales!$A:$A,Heron!$B$5,Sales!$H:$H,"&lt;="&amp;Heron!AJ$9,Sales!$H:$H,"&gt;"&amp;Heron!AI$9,Sales!$F:$F,1)</f>
        <v>1517304.35</v>
      </c>
      <c r="AK27" s="99">
        <f>-SUMIFS(Xero!$F:$F,Xero!$B:$B,Heron!AK$9,Xero!$A:$A,Heron!$A$4,Xero!$E:$E,Heron!$A27)-SUMIFS(Xero!$F:$F,Xero!$B:$B,Heron!AK$9,Xero!$A:$A,Heron!$A$5,Xero!$E:$E,Heron!$A27)+SUMIFS(Sales!$K:$K,Sales!$E:$E,FALSE,Sales!$A:$A,Heron!$B$5,Sales!$H:$H,"&lt;="&amp;Heron!AK$9,Sales!$H:$H,"&gt;"&amp;Heron!AJ$9,Sales!$F:$F,1)</f>
        <v>1552086.96</v>
      </c>
      <c r="AL27" s="99">
        <f>-SUMIFS(Xero!$F:$F,Xero!$B:$B,Heron!AL$9,Xero!$A:$A,Heron!$A$4,Xero!$E:$E,Heron!$A27)-SUMIFS(Xero!$F:$F,Xero!$B:$B,Heron!AL$9,Xero!$A:$A,Heron!$A$5,Xero!$E:$E,Heron!$A27)+SUMIFS(Sales!$K:$K,Sales!$E:$E,FALSE,Sales!$A:$A,Heron!$B$5,Sales!$H:$H,"&lt;="&amp;Heron!AL$9,Sales!$H:$H,"&gt;"&amp;Heron!AK$9,Sales!$F:$F,1)</f>
        <v>6969130.4500000002</v>
      </c>
      <c r="AM27" s="99">
        <f>-SUMIFS(Xero!$F:$F,Xero!$B:$B,Heron!AM$9,Xero!$A:$A,Heron!$A$4,Xero!$E:$E,Heron!$A27)-SUMIFS(Xero!$F:$F,Xero!$B:$B,Heron!AM$9,Xero!$A:$A,Heron!$A$5,Xero!$E:$E,Heron!$A27)+SUMIFS(Sales!$K:$K,Sales!$E:$E,FALSE,Sales!$A:$A,Heron!$B$5,Sales!$H:$H,"&lt;="&amp;Heron!AM$9,Sales!$H:$H,"&gt;"&amp;Heron!AL$9,Sales!$F:$F,1)</f>
        <v>1477391.3</v>
      </c>
      <c r="AN27" s="99">
        <f>-SUMIFS(Xero!$F:$F,Xero!$B:$B,Heron!AN$9,Xero!$A:$A,Heron!$A$4,Xero!$E:$E,Heron!$A27)-SUMIFS(Xero!$F:$F,Xero!$B:$B,Heron!AN$9,Xero!$A:$A,Heron!$A$5,Xero!$E:$E,Heron!$A27)+SUMIFS(Sales!$K:$K,Sales!$E:$E,FALSE,Sales!$A:$A,Heron!$B$5,Sales!$H:$H,"&lt;="&amp;Heron!AN$9,Sales!$H:$H,"&gt;"&amp;Heron!AM$9,Sales!$F:$F,1)</f>
        <v>11155043.48</v>
      </c>
      <c r="AO27" s="99">
        <f>-SUMIFS(Xero!$F:$F,Xero!$B:$B,Heron!AO$9,Xero!$A:$A,Heron!$A$4,Xero!$E:$E,Heron!$A27)-SUMIFS(Xero!$F:$F,Xero!$B:$B,Heron!AO$9,Xero!$A:$A,Heron!$A$5,Xero!$E:$E,Heron!$A27)+SUMIFS(Sales!$K:$K,Sales!$E:$E,FALSE,Sales!$A:$A,Heron!$B$5,Sales!$H:$H,"&lt;="&amp;Heron!AO$9,Sales!$H:$H,"&gt;"&amp;Heron!AN$9,Sales!$F:$F,1)</f>
        <v>0</v>
      </c>
      <c r="AP27" s="99">
        <f>-SUMIFS(Xero!$F:$F,Xero!$B:$B,Heron!AP$9,Xero!$A:$A,Heron!$A$4,Xero!$E:$E,Heron!$A27)-SUMIFS(Xero!$F:$F,Xero!$B:$B,Heron!AP$9,Xero!$A:$A,Heron!$A$5,Xero!$E:$E,Heron!$A27)+SUMIFS(Sales!$K:$K,Sales!$E:$E,FALSE,Sales!$A:$A,Heron!$B$5,Sales!$H:$H,"&lt;="&amp;Heron!AP$9,Sales!$H:$H,"&gt;"&amp;Heron!AO$9,Sales!$F:$F,1)</f>
        <v>2804173.91</v>
      </c>
      <c r="AQ27" s="99">
        <f>-SUMIFS(Xero!$F:$F,Xero!$B:$B,Heron!AQ$9,Xero!$A:$A,Heron!$A$4,Xero!$E:$E,Heron!$A27)-SUMIFS(Xero!$F:$F,Xero!$B:$B,Heron!AQ$9,Xero!$A:$A,Heron!$A$5,Xero!$E:$E,Heron!$A27)+SUMIFS(Sales!$K:$K,Sales!$E:$E,FALSE,Sales!$A:$A,Heron!$B$5,Sales!$H:$H,"&lt;="&amp;Heron!AQ$9,Sales!$H:$H,"&gt;"&amp;Heron!AP$9,Sales!$F:$F,1)</f>
        <v>1304260.8700000001</v>
      </c>
      <c r="AR27" s="99">
        <f>-SUMIFS(Xero!$F:$F,Xero!$B:$B,Heron!AR$9,Xero!$A:$A,Heron!$A$4,Xero!$E:$E,Heron!$A27)-SUMIFS(Xero!$F:$F,Xero!$B:$B,Heron!AR$9,Xero!$A:$A,Heron!$A$5,Xero!$E:$E,Heron!$A27)+SUMIFS(Sales!$K:$K,Sales!$E:$E,FALSE,Sales!$A:$A,Heron!$B$5,Sales!$H:$H,"&lt;="&amp;Heron!AR$9,Sales!$H:$H,"&gt;"&amp;Heron!AQ$9,Sales!$F:$F,1)</f>
        <v>1479373.91</v>
      </c>
      <c r="AS27" s="99">
        <f>-SUMIFS(Xero!$F:$F,Xero!$B:$B,Heron!AS$9,Xero!$A:$A,Heron!$A$4,Xero!$E:$E,Heron!$A27)-SUMIFS(Xero!$F:$F,Xero!$B:$B,Heron!AS$9,Xero!$A:$A,Heron!$A$5,Xero!$E:$E,Heron!$A27)+SUMIFS(Sales!$K:$K,Sales!$E:$E,FALSE,Sales!$A:$A,Heron!$B$5,Sales!$H:$H,"&lt;="&amp;Heron!AS$9,Sales!$H:$H,"&gt;"&amp;Heron!AR$9,Sales!$F:$F,1)</f>
        <v>6530000</v>
      </c>
      <c r="AT27" s="99">
        <f>-SUMIFS(Xero!$F:$F,Xero!$B:$B,Heron!AT$9,Xero!$A:$A,Heron!$A$4,Xero!$E:$E,Heron!$A27)-SUMIFS(Xero!$F:$F,Xero!$B:$B,Heron!AT$9,Xero!$A:$A,Heron!$A$5,Xero!$E:$E,Heron!$A27)+SUMIFS(Sales!$K:$K,Sales!$E:$E,FALSE,Sales!$A:$A,Heron!$B$5,Sales!$H:$H,"&lt;="&amp;Heron!AT$9,Sales!$H:$H,"&gt;"&amp;Heron!AS$9,Sales!$F:$F,1)</f>
        <v>15834514.782608699</v>
      </c>
      <c r="AU27" s="99">
        <f>-SUMIFS(Xero!$F:$F,Xero!$B:$B,Heron!AU$9,Xero!$A:$A,Heron!$A$4,Xero!$E:$E,Heron!$A27)-SUMIFS(Xero!$F:$F,Xero!$B:$B,Heron!AU$9,Xero!$A:$A,Heron!$A$5,Xero!$E:$E,Heron!$A27)+SUMIFS(Sales!$K:$K,Sales!$E:$E,FALSE,Sales!$A:$A,Heron!$B$5,Sales!$H:$H,"&lt;="&amp;Heron!AU$9,Sales!$H:$H,"&gt;"&amp;Heron!AT$9,Sales!$F:$F,1)</f>
        <v>0</v>
      </c>
      <c r="AV27" s="99">
        <f>-SUMIFS(Xero!$F:$F,Xero!$B:$B,Heron!AV$9,Xero!$A:$A,Heron!$A$4,Xero!$E:$E,Heron!$A27)-SUMIFS(Xero!$F:$F,Xero!$B:$B,Heron!AV$9,Xero!$A:$A,Heron!$A$5,Xero!$E:$E,Heron!$A27)+SUMIFS(Sales!$K:$K,Sales!$E:$E,FALSE,Sales!$A:$A,Heron!$B$5,Sales!$H:$H,"&lt;="&amp;Heron!AV$9,Sales!$H:$H,"&gt;"&amp;Heron!AU$9,Sales!$F:$F,1)</f>
        <v>0</v>
      </c>
      <c r="AW27" s="99">
        <f>-SUMIFS(Xero!$F:$F,Xero!$B:$B,Heron!AW$9,Xero!$A:$A,Heron!$A$4,Xero!$E:$E,Heron!$A27)-SUMIFS(Xero!$F:$F,Xero!$B:$B,Heron!AW$9,Xero!$A:$A,Heron!$A$5,Xero!$E:$E,Heron!$A27)+SUMIFS(Sales!$K:$K,Sales!$E:$E,FALSE,Sales!$A:$A,Heron!$B$5,Sales!$H:$H,"&lt;="&amp;Heron!AW$9,Sales!$H:$H,"&gt;"&amp;Heron!AV$9,Sales!$F:$F,1)</f>
        <v>0</v>
      </c>
      <c r="AX27" s="99">
        <f>-SUMIFS(Xero!$F:$F,Xero!$B:$B,Heron!AX$9,Xero!$A:$A,Heron!$A$4,Xero!$E:$E,Heron!$A27)-SUMIFS(Xero!$F:$F,Xero!$B:$B,Heron!AX$9,Xero!$A:$A,Heron!$A$5,Xero!$E:$E,Heron!$A27)+SUMIFS(Sales!$K:$K,Sales!$E:$E,FALSE,Sales!$A:$A,Heron!$B$5,Sales!$H:$H,"&lt;="&amp;Heron!AX$9,Sales!$H:$H,"&gt;"&amp;Heron!AW$9,Sales!$F:$F,1)</f>
        <v>0</v>
      </c>
      <c r="AY27" s="99">
        <f>-SUMIFS(Xero!$F:$F,Xero!$B:$B,Heron!AY$9,Xero!$A:$A,Heron!$A$4,Xero!$E:$E,Heron!$A27)-SUMIFS(Xero!$F:$F,Xero!$B:$B,Heron!AY$9,Xero!$A:$A,Heron!$A$5,Xero!$E:$E,Heron!$A27)+SUMIFS(Sales!$K:$K,Sales!$E:$E,FALSE,Sales!$A:$A,Heron!$B$5,Sales!$H:$H,"&lt;="&amp;Heron!AY$9,Sales!$H:$H,"&gt;"&amp;Heron!AX$9,Sales!$F:$F,1)</f>
        <v>13546956.521739135</v>
      </c>
      <c r="AZ27" s="99">
        <f>-SUMIFS(Xero!$F:$F,Xero!$B:$B,Heron!AZ$9,Xero!$A:$A,Heron!$A$4,Xero!$E:$E,Heron!$A27)-SUMIFS(Xero!$F:$F,Xero!$B:$B,Heron!AZ$9,Xero!$A:$A,Heron!$A$5,Xero!$E:$E,Heron!$A27)+SUMIFS(Sales!$K:$K,Sales!$E:$E,FALSE,Sales!$A:$A,Heron!$B$5,Sales!$H:$H,"&lt;="&amp;Heron!AZ$9,Sales!$H:$H,"&gt;"&amp;Heron!AY$9,Sales!$F:$F,1)</f>
        <v>0</v>
      </c>
      <c r="BA27" s="99">
        <f>-SUMIFS(Xero!$F:$F,Xero!$B:$B,Heron!BA$9,Xero!$A:$A,Heron!$A$4,Xero!$E:$E,Heron!$A27)-SUMIFS(Xero!$F:$F,Xero!$B:$B,Heron!BA$9,Xero!$A:$A,Heron!$A$5,Xero!$E:$E,Heron!$A27)+SUMIFS(Sales!$K:$K,Sales!$E:$E,FALSE,Sales!$A:$A,Heron!$B$5,Sales!$H:$H,"&lt;="&amp;Heron!BA$9,Sales!$H:$H,"&gt;"&amp;Heron!AZ$9,Sales!$F:$F,1)</f>
        <v>0</v>
      </c>
      <c r="BB27" s="99">
        <f>-SUMIFS(Xero!$F:$F,Xero!$B:$B,Heron!BB$9,Xero!$A:$A,Heron!$A$4,Xero!$E:$E,Heron!$A27)-SUMIFS(Xero!$F:$F,Xero!$B:$B,Heron!BB$9,Xero!$A:$A,Heron!$A$5,Xero!$E:$E,Heron!$A27)+SUMIFS(Sales!$K:$K,Sales!$E:$E,FALSE,Sales!$A:$A,Heron!$B$5,Sales!$H:$H,"&lt;="&amp;Heron!BB$9,Sales!$H:$H,"&gt;"&amp;Heron!BA$9,Sales!$F:$F,1)</f>
        <v>0</v>
      </c>
      <c r="BC27" s="99">
        <f>-SUMIFS(Xero!$F:$F,Xero!$B:$B,Heron!BC$9,Xero!$A:$A,Heron!$A$4,Xero!$E:$E,Heron!$A27)-SUMIFS(Xero!$F:$F,Xero!$B:$B,Heron!BC$9,Xero!$A:$A,Heron!$A$5,Xero!$E:$E,Heron!$A27)+SUMIFS(Sales!$K:$K,Sales!$E:$E,FALSE,Sales!$A:$A,Heron!$B$5,Sales!$H:$H,"&lt;="&amp;Heron!BC$9,Sales!$H:$H,"&gt;"&amp;Heron!BB$9,Sales!$F:$F,1)</f>
        <v>0</v>
      </c>
      <c r="BD27" s="99">
        <f>-SUMIFS(Xero!$F:$F,Xero!$B:$B,Heron!BD$9,Xero!$A:$A,Heron!$A$4,Xero!$E:$E,Heron!$A27)-SUMIFS(Xero!$F:$F,Xero!$B:$B,Heron!BD$9,Xero!$A:$A,Heron!$A$5,Xero!$E:$E,Heron!$A27)+SUMIFS(Sales!$K:$K,Sales!$E:$E,FALSE,Sales!$A:$A,Heron!$B$5,Sales!$H:$H,"&lt;="&amp;Heron!BD$9,Sales!$H:$H,"&gt;"&amp;Heron!BC$9,Sales!$F:$F,1)</f>
        <v>0</v>
      </c>
      <c r="BE27" s="99">
        <f>-SUMIFS(Xero!$F:$F,Xero!$B:$B,Heron!BE$9,Xero!$A:$A,Heron!$A$4,Xero!$E:$E,Heron!$A27)-SUMIFS(Xero!$F:$F,Xero!$B:$B,Heron!BE$9,Xero!$A:$A,Heron!$A$5,Xero!$E:$E,Heron!$A27)+SUMIFS(Sales!$K:$K,Sales!$E:$E,FALSE,Sales!$A:$A,Heron!$B$5,Sales!$H:$H,"&lt;="&amp;Heron!BE$9,Sales!$H:$H,"&gt;"&amp;Heron!BD$9,Sales!$F:$F,1)</f>
        <v>0</v>
      </c>
      <c r="BF27" s="99">
        <f>-SUMIFS(Xero!$F:$F,Xero!$B:$B,Heron!BF$9,Xero!$A:$A,Heron!$A$4,Xero!$E:$E,Heron!$A27)-SUMIFS(Xero!$F:$F,Xero!$B:$B,Heron!BF$9,Xero!$A:$A,Heron!$A$5,Xero!$E:$E,Heron!$A27)+SUMIFS(Sales!$K:$K,Sales!$E:$E,FALSE,Sales!$A:$A,Heron!$B$5,Sales!$H:$H,"&lt;="&amp;Heron!BF$9,Sales!$H:$H,"&gt;"&amp;Heron!BE$9,Sales!$F:$F,1)</f>
        <v>0</v>
      </c>
      <c r="BG27" s="99">
        <f>-SUMIFS(Xero!$F:$F,Xero!$B:$B,Heron!BG$9,Xero!$A:$A,Heron!$A$4,Xero!$E:$E,Heron!$A27)-SUMIFS(Xero!$F:$F,Xero!$B:$B,Heron!BG$9,Xero!$A:$A,Heron!$A$5,Xero!$E:$E,Heron!$A27)+SUMIFS(Sales!$K:$K,Sales!$E:$E,FALSE,Sales!$A:$A,Heron!$B$5,Sales!$H:$H,"&lt;="&amp;Heron!BG$9,Sales!$H:$H,"&gt;"&amp;Heron!BF$9,Sales!$F:$F,1)</f>
        <v>0</v>
      </c>
      <c r="BH27" s="99">
        <f>-SUMIFS(Xero!$F:$F,Xero!$B:$B,Heron!BH$9,Xero!$A:$A,Heron!$A$4,Xero!$E:$E,Heron!$A27)-SUMIFS(Xero!$F:$F,Xero!$B:$B,Heron!BH$9,Xero!$A:$A,Heron!$A$5,Xero!$E:$E,Heron!$A27)+SUMIFS(Sales!$K:$K,Sales!$E:$E,FALSE,Sales!$A:$A,Heron!$B$5,Sales!$H:$H,"&lt;="&amp;Heron!BH$9,Sales!$H:$H,"&gt;"&amp;Heron!BG$9,Sales!$F:$F,1)</f>
        <v>0</v>
      </c>
      <c r="BI27" s="99">
        <f>-SUMIFS(Xero!$F:$F,Xero!$B:$B,Heron!BI$9,Xero!$A:$A,Heron!$A$4,Xero!$E:$E,Heron!$A27)-SUMIFS(Xero!$F:$F,Xero!$B:$B,Heron!BI$9,Xero!$A:$A,Heron!$A$5,Xero!$E:$E,Heron!$A27)+SUMIFS(Sales!$K:$K,Sales!$E:$E,FALSE,Sales!$A:$A,Heron!$B$5,Sales!$H:$H,"&lt;="&amp;Heron!BI$9,Sales!$H:$H,"&gt;"&amp;Heron!BH$9,Sales!$F:$F,1)</f>
        <v>0</v>
      </c>
      <c r="BJ27" s="99">
        <f>-SUMIFS(Xero!$F:$F,Xero!$B:$B,Heron!BJ$9,Xero!$A:$A,Heron!$A$4,Xero!$E:$E,Heron!$A27)-SUMIFS(Xero!$F:$F,Xero!$B:$B,Heron!BJ$9,Xero!$A:$A,Heron!$A$5,Xero!$E:$E,Heron!$A27)+SUMIFS(Sales!$K:$K,Sales!$E:$E,FALSE,Sales!$A:$A,Heron!$B$5,Sales!$H:$H,"&lt;="&amp;Heron!BJ$9,Sales!$H:$H,"&gt;"&amp;Heron!BI$9,Sales!$F:$F,1)</f>
        <v>0</v>
      </c>
      <c r="BK27" s="99">
        <f t="shared" si="1"/>
        <v>84003801.774347827</v>
      </c>
    </row>
    <row r="29" spans="1:64" ht="19" x14ac:dyDescent="0.25">
      <c r="A29" s="97" t="s">
        <v>1913</v>
      </c>
      <c r="D29" s="100">
        <f t="shared" ref="D29:AI29" si="2">SUM(D13:D27)</f>
        <v>0</v>
      </c>
      <c r="E29" s="100">
        <f t="shared" si="2"/>
        <v>0</v>
      </c>
      <c r="F29" s="100">
        <f t="shared" si="2"/>
        <v>0</v>
      </c>
      <c r="G29" s="100">
        <f t="shared" si="2"/>
        <v>1245</v>
      </c>
      <c r="H29" s="100">
        <f t="shared" si="2"/>
        <v>149149.4</v>
      </c>
      <c r="I29" s="100">
        <f t="shared" si="2"/>
        <v>1000000</v>
      </c>
      <c r="J29" s="100">
        <f t="shared" si="2"/>
        <v>20982931.289999999</v>
      </c>
      <c r="K29" s="100">
        <f t="shared" si="2"/>
        <v>-2229053.5</v>
      </c>
      <c r="L29" s="100">
        <f t="shared" si="2"/>
        <v>39490.480000000003</v>
      </c>
      <c r="M29" s="100">
        <f t="shared" si="2"/>
        <v>35000.800000000003</v>
      </c>
      <c r="N29" s="100">
        <f t="shared" si="2"/>
        <v>25737.439999999999</v>
      </c>
      <c r="O29" s="100">
        <f t="shared" si="2"/>
        <v>-2132753.2200000002</v>
      </c>
      <c r="P29" s="100">
        <f t="shared" si="2"/>
        <v>7698.07</v>
      </c>
      <c r="Q29" s="100">
        <f t="shared" si="2"/>
        <v>33568.160000000003</v>
      </c>
      <c r="R29" s="100">
        <f t="shared" si="2"/>
        <v>19914.54</v>
      </c>
      <c r="S29" s="100">
        <f t="shared" si="2"/>
        <v>59954.34</v>
      </c>
      <c r="T29" s="100">
        <f t="shared" si="2"/>
        <v>50001.11</v>
      </c>
      <c r="U29" s="100">
        <f t="shared" si="2"/>
        <v>49013.7</v>
      </c>
      <c r="V29" s="100">
        <f t="shared" si="2"/>
        <v>30938.77</v>
      </c>
      <c r="W29" s="100">
        <f t="shared" si="2"/>
        <v>31863.87</v>
      </c>
      <c r="X29" s="100">
        <f t="shared" si="2"/>
        <v>13949724.529999999</v>
      </c>
      <c r="Y29" s="100">
        <f t="shared" si="2"/>
        <v>8963711.790000001</v>
      </c>
      <c r="Z29" s="100">
        <f t="shared" si="2"/>
        <v>11069931.35</v>
      </c>
      <c r="AA29" s="100">
        <f t="shared" si="2"/>
        <v>2845972.4</v>
      </c>
      <c r="AB29" s="100">
        <f t="shared" si="2"/>
        <v>9432823.1099999994</v>
      </c>
      <c r="AC29" s="100">
        <f t="shared" si="2"/>
        <v>10432659.220000001</v>
      </c>
      <c r="AD29" s="100">
        <f t="shared" si="2"/>
        <v>5139684.3899999997</v>
      </c>
      <c r="AE29" s="100">
        <f t="shared" si="2"/>
        <v>1637293.37</v>
      </c>
      <c r="AF29" s="100">
        <f t="shared" si="2"/>
        <v>1619524.18</v>
      </c>
      <c r="AG29" s="100">
        <f t="shared" si="2"/>
        <v>7048363.0700000003</v>
      </c>
      <c r="AH29" s="100">
        <f t="shared" si="2"/>
        <v>13379166.17</v>
      </c>
      <c r="AI29" s="100">
        <f t="shared" si="2"/>
        <v>1631504.33</v>
      </c>
      <c r="AJ29" s="100">
        <f t="shared" ref="AJ29:BL29" si="3">SUM(AJ13:AJ27)</f>
        <v>1841088.23</v>
      </c>
      <c r="AK29" s="100">
        <f t="shared" si="3"/>
        <v>1763313.14</v>
      </c>
      <c r="AL29" s="100">
        <f t="shared" si="3"/>
        <v>7243150.2599999998</v>
      </c>
      <c r="AM29" s="100">
        <f t="shared" si="3"/>
        <v>1497091.3</v>
      </c>
      <c r="AN29" s="100">
        <f t="shared" si="3"/>
        <v>11348250.99</v>
      </c>
      <c r="AO29" s="100">
        <f t="shared" si="3"/>
        <v>20750</v>
      </c>
      <c r="AP29" s="100">
        <f t="shared" si="3"/>
        <v>2926987.17</v>
      </c>
      <c r="AQ29" s="100">
        <f t="shared" si="3"/>
        <v>2829365.38</v>
      </c>
      <c r="AR29" s="100">
        <f t="shared" si="3"/>
        <v>1638194.91</v>
      </c>
      <c r="AS29" s="100">
        <f t="shared" si="3"/>
        <v>15390260.869565219</v>
      </c>
      <c r="AT29" s="100">
        <f t="shared" si="3"/>
        <v>15834514.782608699</v>
      </c>
      <c r="AU29" s="100">
        <f t="shared" si="3"/>
        <v>0</v>
      </c>
      <c r="AV29" s="100">
        <f t="shared" si="3"/>
        <v>0</v>
      </c>
      <c r="AW29" s="100">
        <f t="shared" si="3"/>
        <v>0</v>
      </c>
      <c r="AX29" s="100">
        <f t="shared" si="3"/>
        <v>0</v>
      </c>
      <c r="AY29" s="100">
        <f t="shared" si="3"/>
        <v>13546956.521739135</v>
      </c>
      <c r="AZ29" s="100">
        <f t="shared" si="3"/>
        <v>0</v>
      </c>
      <c r="BA29" s="100">
        <f t="shared" si="3"/>
        <v>0</v>
      </c>
      <c r="BB29" s="100">
        <f t="shared" si="3"/>
        <v>0</v>
      </c>
      <c r="BC29" s="100">
        <f t="shared" si="3"/>
        <v>0</v>
      </c>
      <c r="BD29" s="100">
        <f t="shared" si="3"/>
        <v>0</v>
      </c>
      <c r="BE29" s="100">
        <f t="shared" si="3"/>
        <v>0</v>
      </c>
      <c r="BF29" s="100">
        <f t="shared" si="3"/>
        <v>0</v>
      </c>
      <c r="BG29" s="100">
        <f t="shared" si="3"/>
        <v>0</v>
      </c>
      <c r="BH29" s="100">
        <f t="shared" si="3"/>
        <v>0</v>
      </c>
      <c r="BI29" s="100">
        <f t="shared" si="3"/>
        <v>0</v>
      </c>
      <c r="BJ29" s="100">
        <f t="shared" si="3"/>
        <v>0</v>
      </c>
      <c r="BK29" s="100">
        <f t="shared" si="3"/>
        <v>181184981.71391302</v>
      </c>
      <c r="BL29" s="100">
        <f t="shared" si="3"/>
        <v>0</v>
      </c>
    </row>
    <row r="31" spans="1:64" ht="19" x14ac:dyDescent="0.25">
      <c r="A31" s="97" t="s">
        <v>1168</v>
      </c>
    </row>
    <row r="33" spans="1:63" ht="16" x14ac:dyDescent="0.2">
      <c r="A33" s="98" t="s">
        <v>1126</v>
      </c>
      <c r="D33" s="99">
        <f>SUMIFS(Xero!$F:$F,Xero!$B:$B,Heron!D$9,Xero!$A:$A,Heron!$A$4,Xero!$E:$E,Heron!$A33)+SUMIFS(Xero!$F:$F,Xero!$B:$B,Heron!D$9,Xero!$A:$A,Heron!$A$5,Xero!$E:$E,Heron!$A33)</f>
        <v>0</v>
      </c>
      <c r="E33" s="99">
        <f>SUMIFS(Xero!$F:$F,Xero!$B:$B,Heron!E$9,Xero!$A:$A,Heron!$A$4,Xero!$E:$E,Heron!$A33)+SUMIFS(Xero!$F:$F,Xero!$B:$B,Heron!E$9,Xero!$A:$A,Heron!$A$5,Xero!$E:$E,Heron!$A33)</f>
        <v>0</v>
      </c>
      <c r="F33" s="99">
        <f>SUMIFS(Xero!$F:$F,Xero!$B:$B,Heron!F$9,Xero!$A:$A,Heron!$A$4,Xero!$E:$E,Heron!$A33)+SUMIFS(Xero!$F:$F,Xero!$B:$B,Heron!F$9,Xero!$A:$A,Heron!$A$5,Xero!$E:$E,Heron!$A33)</f>
        <v>0</v>
      </c>
      <c r="G33" s="99">
        <f>SUMIFS(Xero!$F:$F,Xero!$B:$B,Heron!G$9,Xero!$A:$A,Heron!$A$4,Xero!$E:$E,Heron!$A33)+SUMIFS(Xero!$F:$F,Xero!$B:$B,Heron!G$9,Xero!$A:$A,Heron!$A$5,Xero!$E:$E,Heron!$A33)</f>
        <v>0</v>
      </c>
      <c r="H33" s="99">
        <f>SUMIFS(Xero!$F:$F,Xero!$B:$B,Heron!H$9,Xero!$A:$A,Heron!$A$4,Xero!$E:$E,Heron!$A33)+SUMIFS(Xero!$F:$F,Xero!$B:$B,Heron!H$9,Xero!$A:$A,Heron!$A$5,Xero!$E:$E,Heron!$A33)</f>
        <v>100</v>
      </c>
      <c r="I33" s="99">
        <f>SUMIFS(Xero!$F:$F,Xero!$B:$B,Heron!I$9,Xero!$A:$A,Heron!$A$4,Xero!$E:$E,Heron!$A33)+SUMIFS(Xero!$F:$F,Xero!$B:$B,Heron!I$9,Xero!$A:$A,Heron!$A$5,Xero!$E:$E,Heron!$A33)</f>
        <v>0</v>
      </c>
      <c r="J33" s="99">
        <f>SUMIFS(Xero!$F:$F,Xero!$B:$B,Heron!J$9,Xero!$A:$A,Heron!$A$4,Xero!$E:$E,Heron!$A33)+SUMIFS(Xero!$F:$F,Xero!$B:$B,Heron!J$9,Xero!$A:$A,Heron!$A$5,Xero!$E:$E,Heron!$A33)</f>
        <v>0</v>
      </c>
      <c r="K33" s="99">
        <f>SUMIFS(Xero!$F:$F,Xero!$B:$B,Heron!K$9,Xero!$A:$A,Heron!$A$4,Xero!$E:$E,Heron!$A33)+SUMIFS(Xero!$F:$F,Xero!$B:$B,Heron!K$9,Xero!$A:$A,Heron!$A$5,Xero!$E:$E,Heron!$A33)</f>
        <v>0</v>
      </c>
      <c r="L33" s="99">
        <f>SUMIFS(Xero!$F:$F,Xero!$B:$B,Heron!L$9,Xero!$A:$A,Heron!$A$4,Xero!$E:$E,Heron!$A33)+SUMIFS(Xero!$F:$F,Xero!$B:$B,Heron!L$9,Xero!$A:$A,Heron!$A$5,Xero!$E:$E,Heron!$A33)</f>
        <v>0</v>
      </c>
      <c r="M33" s="99">
        <f>SUMIFS(Xero!$F:$F,Xero!$B:$B,Heron!M$9,Xero!$A:$A,Heron!$A$4,Xero!$E:$E,Heron!$A33)+SUMIFS(Xero!$F:$F,Xero!$B:$B,Heron!M$9,Xero!$A:$A,Heron!$A$5,Xero!$E:$E,Heron!$A33)</f>
        <v>0</v>
      </c>
      <c r="N33" s="99">
        <f>SUMIFS(Xero!$F:$F,Xero!$B:$B,Heron!N$9,Xero!$A:$A,Heron!$A$4,Xero!$E:$E,Heron!$A33)+SUMIFS(Xero!$F:$F,Xero!$B:$B,Heron!N$9,Xero!$A:$A,Heron!$A$5,Xero!$E:$E,Heron!$A33)</f>
        <v>0</v>
      </c>
      <c r="O33" s="99">
        <f>SUMIFS(Xero!$F:$F,Xero!$B:$B,Heron!O$9,Xero!$A:$A,Heron!$A$4,Xero!$E:$E,Heron!$A33)+SUMIFS(Xero!$F:$F,Xero!$B:$B,Heron!O$9,Xero!$A:$A,Heron!$A$5,Xero!$E:$E,Heron!$A33)</f>
        <v>0</v>
      </c>
      <c r="P33" s="99">
        <f>SUMIFS(Xero!$F:$F,Xero!$B:$B,Heron!P$9,Xero!$A:$A,Heron!$A$4,Xero!$E:$E,Heron!$A33)+SUMIFS(Xero!$F:$F,Xero!$B:$B,Heron!P$9,Xero!$A:$A,Heron!$A$5,Xero!$E:$E,Heron!$A33)</f>
        <v>0</v>
      </c>
      <c r="Q33" s="99">
        <f>SUMIFS(Xero!$F:$F,Xero!$B:$B,Heron!Q$9,Xero!$A:$A,Heron!$A$4,Xero!$E:$E,Heron!$A33)+SUMIFS(Xero!$F:$F,Xero!$B:$B,Heron!Q$9,Xero!$A:$A,Heron!$A$5,Xero!$E:$E,Heron!$A33)</f>
        <v>0</v>
      </c>
      <c r="R33" s="99">
        <f>SUMIFS(Xero!$F:$F,Xero!$B:$B,Heron!R$9,Xero!$A:$A,Heron!$A$4,Xero!$E:$E,Heron!$A33)+SUMIFS(Xero!$F:$F,Xero!$B:$B,Heron!R$9,Xero!$A:$A,Heron!$A$5,Xero!$E:$E,Heron!$A33)</f>
        <v>0</v>
      </c>
      <c r="S33" s="99">
        <f>SUMIFS(Xero!$F:$F,Xero!$B:$B,Heron!S$9,Xero!$A:$A,Heron!$A$4,Xero!$E:$E,Heron!$A33)+SUMIFS(Xero!$F:$F,Xero!$B:$B,Heron!S$9,Xero!$A:$A,Heron!$A$5,Xero!$E:$E,Heron!$A33)</f>
        <v>0</v>
      </c>
      <c r="T33" s="99">
        <f>SUMIFS(Xero!$F:$F,Xero!$B:$B,Heron!T$9,Xero!$A:$A,Heron!$A$4,Xero!$E:$E,Heron!$A33)+SUMIFS(Xero!$F:$F,Xero!$B:$B,Heron!T$9,Xero!$A:$A,Heron!$A$5,Xero!$E:$E,Heron!$A33)</f>
        <v>0</v>
      </c>
      <c r="U33" s="99">
        <f>SUMIFS(Xero!$F:$F,Xero!$B:$B,Heron!U$9,Xero!$A:$A,Heron!$A$4,Xero!$E:$E,Heron!$A33)+SUMIFS(Xero!$F:$F,Xero!$B:$B,Heron!U$9,Xero!$A:$A,Heron!$A$5,Xero!$E:$E,Heron!$A33)</f>
        <v>0</v>
      </c>
      <c r="V33" s="99">
        <f>SUMIFS(Xero!$F:$F,Xero!$B:$B,Heron!V$9,Xero!$A:$A,Heron!$A$4,Xero!$E:$E,Heron!$A33)+SUMIFS(Xero!$F:$F,Xero!$B:$B,Heron!V$9,Xero!$A:$A,Heron!$A$5,Xero!$E:$E,Heron!$A33)</f>
        <v>0</v>
      </c>
      <c r="W33" s="99">
        <f>SUMIFS(Xero!$F:$F,Xero!$B:$B,Heron!W$9,Xero!$A:$A,Heron!$A$4,Xero!$E:$E,Heron!$A33)+SUMIFS(Xero!$F:$F,Xero!$B:$B,Heron!W$9,Xero!$A:$A,Heron!$A$5,Xero!$E:$E,Heron!$A33)</f>
        <v>150</v>
      </c>
      <c r="X33" s="99">
        <f>SUMIFS(Xero!$F:$F,Xero!$B:$B,Heron!X$9,Xero!$A:$A,Heron!$A$4,Xero!$E:$E,Heron!$A33)+SUMIFS(Xero!$F:$F,Xero!$B:$B,Heron!X$9,Xero!$A:$A,Heron!$A$5,Xero!$E:$E,Heron!$A33)</f>
        <v>0</v>
      </c>
      <c r="Y33" s="99">
        <f>SUMIFS(Xero!$F:$F,Xero!$B:$B,Heron!Y$9,Xero!$A:$A,Heron!$A$4,Xero!$E:$E,Heron!$A33)+SUMIFS(Xero!$F:$F,Xero!$B:$B,Heron!Y$9,Xero!$A:$A,Heron!$A$5,Xero!$E:$E,Heron!$A33)</f>
        <v>0</v>
      </c>
      <c r="Z33" s="99">
        <f>SUMIFS(Xero!$F:$F,Xero!$B:$B,Heron!Z$9,Xero!$A:$A,Heron!$A$4,Xero!$E:$E,Heron!$A33)+SUMIFS(Xero!$F:$F,Xero!$B:$B,Heron!Z$9,Xero!$A:$A,Heron!$A$5,Xero!$E:$E,Heron!$A33)</f>
        <v>0</v>
      </c>
      <c r="AA33" s="99">
        <f>SUMIFS(Xero!$F:$F,Xero!$B:$B,Heron!AA$9,Xero!$A:$A,Heron!$A$4,Xero!$E:$E,Heron!$A33)+SUMIFS(Xero!$F:$F,Xero!$B:$B,Heron!AA$9,Xero!$A:$A,Heron!$A$5,Xero!$E:$E,Heron!$A33)</f>
        <v>0</v>
      </c>
      <c r="AB33" s="99">
        <f>SUMIFS(Xero!$F:$F,Xero!$B:$B,Heron!AB$9,Xero!$A:$A,Heron!$A$4,Xero!$E:$E,Heron!$A33)+SUMIFS(Xero!$F:$F,Xero!$B:$B,Heron!AB$9,Xero!$A:$A,Heron!$A$5,Xero!$E:$E,Heron!$A33)</f>
        <v>0</v>
      </c>
      <c r="AC33" s="99">
        <f>SUMIFS(Xero!$F:$F,Xero!$B:$B,Heron!AC$9,Xero!$A:$A,Heron!$A$4,Xero!$E:$E,Heron!$A33)+SUMIFS(Xero!$F:$F,Xero!$B:$B,Heron!AC$9,Xero!$A:$A,Heron!$A$5,Xero!$E:$E,Heron!$A33)</f>
        <v>0</v>
      </c>
      <c r="AD33" s="99">
        <f>SUMIFS(Xero!$F:$F,Xero!$B:$B,Heron!AD$9,Xero!$A:$A,Heron!$A$4,Xero!$E:$E,Heron!$A33)+SUMIFS(Xero!$F:$F,Xero!$B:$B,Heron!AD$9,Xero!$A:$A,Heron!$A$5,Xero!$E:$E,Heron!$A33)</f>
        <v>0</v>
      </c>
      <c r="AE33" s="99">
        <f>SUMIFS(Xero!$F:$F,Xero!$B:$B,Heron!AE$9,Xero!$A:$A,Heron!$A$4,Xero!$E:$E,Heron!$A33)+SUMIFS(Xero!$F:$F,Xero!$B:$B,Heron!AE$9,Xero!$A:$A,Heron!$A$5,Xero!$E:$E,Heron!$A33)</f>
        <v>0</v>
      </c>
      <c r="AF33" s="99">
        <f>SUMIFS(Xero!$F:$F,Xero!$B:$B,Heron!AF$9,Xero!$A:$A,Heron!$A$4,Xero!$E:$E,Heron!$A33)+SUMIFS(Xero!$F:$F,Xero!$B:$B,Heron!AF$9,Xero!$A:$A,Heron!$A$5,Xero!$E:$E,Heron!$A33)</f>
        <v>3050</v>
      </c>
      <c r="AG33" s="99">
        <f>SUMIFS(Xero!$F:$F,Xero!$B:$B,Heron!AG$9,Xero!$A:$A,Heron!$A$4,Xero!$E:$E,Heron!$A33)+SUMIFS(Xero!$F:$F,Xero!$B:$B,Heron!AG$9,Xero!$A:$A,Heron!$A$5,Xero!$E:$E,Heron!$A33)</f>
        <v>0</v>
      </c>
      <c r="AH33" s="99">
        <f>SUMIFS(Xero!$F:$F,Xero!$B:$B,Heron!AH$9,Xero!$A:$A,Heron!$A$4,Xero!$E:$E,Heron!$A33)+SUMIFS(Xero!$F:$F,Xero!$B:$B,Heron!AH$9,Xero!$A:$A,Heron!$A$5,Xero!$E:$E,Heron!$A33)</f>
        <v>0</v>
      </c>
      <c r="AI33" s="99">
        <f>SUMIFS(Xero!$F:$F,Xero!$B:$B,Heron!AI$9,Xero!$A:$A,Heron!$A$4,Xero!$E:$E,Heron!$A33)+SUMIFS(Xero!$F:$F,Xero!$B:$B,Heron!AI$9,Xero!$A:$A,Heron!$A$5,Xero!$E:$E,Heron!$A33)</f>
        <v>0</v>
      </c>
      <c r="AJ33" s="99">
        <f>SUMIFS(Xero!$F:$F,Xero!$B:$B,Heron!AJ$9,Xero!$A:$A,Heron!$A$4,Xero!$E:$E,Heron!$A33)+SUMIFS(Xero!$F:$F,Xero!$B:$B,Heron!AJ$9,Xero!$A:$A,Heron!$A$5,Xero!$E:$E,Heron!$A33)</f>
        <v>0</v>
      </c>
      <c r="AK33" s="99">
        <f>SUMIFS(Xero!$F:$F,Xero!$B:$B,Heron!AK$9,Xero!$A:$A,Heron!$A$4,Xero!$E:$E,Heron!$A33)+SUMIFS(Xero!$F:$F,Xero!$B:$B,Heron!AK$9,Xero!$A:$A,Heron!$A$5,Xero!$E:$E,Heron!$A33)</f>
        <v>0</v>
      </c>
      <c r="AL33" s="99">
        <f>SUMIFS(Xero!$F:$F,Xero!$B:$B,Heron!AL$9,Xero!$A:$A,Heron!$A$4,Xero!$E:$E,Heron!$A33)+SUMIFS(Xero!$F:$F,Xero!$B:$B,Heron!AL$9,Xero!$A:$A,Heron!$A$5,Xero!$E:$E,Heron!$A33)</f>
        <v>0</v>
      </c>
      <c r="AM33" s="99">
        <f>SUMIFS(Xero!$F:$F,Xero!$B:$B,Heron!AM$9,Xero!$A:$A,Heron!$A$4,Xero!$E:$E,Heron!$A33)+SUMIFS(Xero!$F:$F,Xero!$B:$B,Heron!AM$9,Xero!$A:$A,Heron!$A$5,Xero!$E:$E,Heron!$A33)</f>
        <v>0</v>
      </c>
      <c r="AN33" s="99">
        <f>SUMIFS(Xero!$F:$F,Xero!$B:$B,Heron!AN$9,Xero!$A:$A,Heron!$A$4,Xero!$E:$E,Heron!$A33)+SUMIFS(Xero!$F:$F,Xero!$B:$B,Heron!AN$9,Xero!$A:$A,Heron!$A$5,Xero!$E:$E,Heron!$A33)</f>
        <v>0</v>
      </c>
      <c r="AO33" s="99">
        <f>SUMIFS(Xero!$F:$F,Xero!$B:$B,Heron!AO$9,Xero!$A:$A,Heron!$A$4,Xero!$E:$E,Heron!$A33)+SUMIFS(Xero!$F:$F,Xero!$B:$B,Heron!AO$9,Xero!$A:$A,Heron!$A$5,Xero!$E:$E,Heron!$A33)</f>
        <v>0</v>
      </c>
      <c r="AP33" s="99">
        <f>SUMIFS(Xero!$F:$F,Xero!$B:$B,Heron!AP$9,Xero!$A:$A,Heron!$A$4,Xero!$E:$E,Heron!$A33)+SUMIFS(Xero!$F:$F,Xero!$B:$B,Heron!AP$9,Xero!$A:$A,Heron!$A$5,Xero!$E:$E,Heron!$A33)</f>
        <v>0</v>
      </c>
      <c r="AQ33" s="99">
        <f>SUMIFS(Xero!$F:$F,Xero!$B:$B,Heron!AQ$9,Xero!$A:$A,Heron!$A$4,Xero!$E:$E,Heron!$A33)+SUMIFS(Xero!$F:$F,Xero!$B:$B,Heron!AQ$9,Xero!$A:$A,Heron!$A$5,Xero!$E:$E,Heron!$A33)</f>
        <v>0</v>
      </c>
      <c r="AR33" s="99">
        <f>SUMIFS(Xero!$F:$F,Xero!$B:$B,Heron!AR$9,Xero!$A:$A,Heron!$A$4,Xero!$E:$E,Heron!$A33)+SUMIFS(Xero!$F:$F,Xero!$B:$B,Heron!AR$9,Xero!$A:$A,Heron!$A$5,Xero!$E:$E,Heron!$A33)</f>
        <v>0</v>
      </c>
      <c r="AS33" s="99">
        <f>SUMIFS(Xero!$F:$F,Xero!$B:$B,Heron!AS$9,Xero!$A:$A,Heron!$A$4,Xero!$E:$E,Heron!$A33)+SUMIFS(Xero!$F:$F,Xero!$B:$B,Heron!AS$9,Xero!$A:$A,Heron!$A$5,Xero!$E:$E,Heron!$A33)</f>
        <v>0</v>
      </c>
      <c r="AT33" s="99">
        <f>SUMIFS(Xero!$F:$F,Xero!$B:$B,Heron!AT$9,Xero!$A:$A,Heron!$A$4,Xero!$E:$E,Heron!$A33)+SUMIFS(Xero!$F:$F,Xero!$B:$B,Heron!AT$9,Xero!$A:$A,Heron!$A$5,Xero!$E:$E,Heron!$A33)</f>
        <v>0</v>
      </c>
      <c r="AU33" s="99">
        <f>SUMIFS(Xero!$F:$F,Xero!$B:$B,Heron!AU$9,Xero!$A:$A,Heron!$A$4,Xero!$E:$E,Heron!$A33)+SUMIFS(Xero!$F:$F,Xero!$B:$B,Heron!AU$9,Xero!$A:$A,Heron!$A$5,Xero!$E:$E,Heron!$A33)</f>
        <v>0</v>
      </c>
      <c r="AV33" s="99">
        <f>SUMIFS(Xero!$F:$F,Xero!$B:$B,Heron!AV$9,Xero!$A:$A,Heron!$A$4,Xero!$E:$E,Heron!$A33)+SUMIFS(Xero!$F:$F,Xero!$B:$B,Heron!AV$9,Xero!$A:$A,Heron!$A$5,Xero!$E:$E,Heron!$A33)</f>
        <v>0</v>
      </c>
      <c r="AW33" s="99">
        <f>SUMIFS(Xero!$F:$F,Xero!$B:$B,Heron!AW$9,Xero!$A:$A,Heron!$A$4,Xero!$E:$E,Heron!$A33)+SUMIFS(Xero!$F:$F,Xero!$B:$B,Heron!AW$9,Xero!$A:$A,Heron!$A$5,Xero!$E:$E,Heron!$A33)</f>
        <v>0</v>
      </c>
      <c r="AX33" s="99">
        <f>SUMIFS(Xero!$F:$F,Xero!$B:$B,Heron!AX$9,Xero!$A:$A,Heron!$A$4,Xero!$E:$E,Heron!$A33)+SUMIFS(Xero!$F:$F,Xero!$B:$B,Heron!AX$9,Xero!$A:$A,Heron!$A$5,Xero!$E:$E,Heron!$A33)</f>
        <v>0</v>
      </c>
      <c r="AY33" s="99">
        <f>SUMIFS(Xero!$F:$F,Xero!$B:$B,Heron!AY$9,Xero!$A:$A,Heron!$A$4,Xero!$E:$E,Heron!$A33)+SUMIFS(Xero!$F:$F,Xero!$B:$B,Heron!AY$9,Xero!$A:$A,Heron!$A$5,Xero!$E:$E,Heron!$A33)</f>
        <v>0</v>
      </c>
      <c r="AZ33" s="99">
        <f>SUMIFS(Xero!$F:$F,Xero!$B:$B,Heron!AZ$9,Xero!$A:$A,Heron!$A$4,Xero!$E:$E,Heron!$A33)+SUMIFS(Xero!$F:$F,Xero!$B:$B,Heron!AZ$9,Xero!$A:$A,Heron!$A$5,Xero!$E:$E,Heron!$A33)</f>
        <v>0</v>
      </c>
      <c r="BA33" s="99">
        <f>SUMIFS(Xero!$F:$F,Xero!$B:$B,Heron!BA$9,Xero!$A:$A,Heron!$A$4,Xero!$E:$E,Heron!$A33)+SUMIFS(Xero!$F:$F,Xero!$B:$B,Heron!BA$9,Xero!$A:$A,Heron!$A$5,Xero!$E:$E,Heron!$A33)</f>
        <v>0</v>
      </c>
      <c r="BB33" s="99">
        <f>SUMIFS(Xero!$F:$F,Xero!$B:$B,Heron!BB$9,Xero!$A:$A,Heron!$A$4,Xero!$E:$E,Heron!$A33)+SUMIFS(Xero!$F:$F,Xero!$B:$B,Heron!BB$9,Xero!$A:$A,Heron!$A$5,Xero!$E:$E,Heron!$A33)</f>
        <v>0</v>
      </c>
      <c r="BC33" s="99">
        <f>SUMIFS(Xero!$F:$F,Xero!$B:$B,Heron!BC$9,Xero!$A:$A,Heron!$A$4,Xero!$E:$E,Heron!$A33)+SUMIFS(Xero!$F:$F,Xero!$B:$B,Heron!BC$9,Xero!$A:$A,Heron!$A$5,Xero!$E:$E,Heron!$A33)</f>
        <v>0</v>
      </c>
      <c r="BD33" s="99">
        <f>SUMIFS(Xero!$F:$F,Xero!$B:$B,Heron!BD$9,Xero!$A:$A,Heron!$A$4,Xero!$E:$E,Heron!$A33)+SUMIFS(Xero!$F:$F,Xero!$B:$B,Heron!BD$9,Xero!$A:$A,Heron!$A$5,Xero!$E:$E,Heron!$A33)</f>
        <v>0</v>
      </c>
      <c r="BE33" s="99">
        <f>SUMIFS(Xero!$F:$F,Xero!$B:$B,Heron!BE$9,Xero!$A:$A,Heron!$A$4,Xero!$E:$E,Heron!$A33)+SUMIFS(Xero!$F:$F,Xero!$B:$B,Heron!BE$9,Xero!$A:$A,Heron!$A$5,Xero!$E:$E,Heron!$A33)</f>
        <v>0</v>
      </c>
      <c r="BF33" s="99">
        <f>SUMIFS(Xero!$F:$F,Xero!$B:$B,Heron!BF$9,Xero!$A:$A,Heron!$A$4,Xero!$E:$E,Heron!$A33)+SUMIFS(Xero!$F:$F,Xero!$B:$B,Heron!BF$9,Xero!$A:$A,Heron!$A$5,Xero!$E:$E,Heron!$A33)</f>
        <v>0</v>
      </c>
      <c r="BG33" s="99">
        <f>SUMIFS(Xero!$F:$F,Xero!$B:$B,Heron!BG$9,Xero!$A:$A,Heron!$A$4,Xero!$E:$E,Heron!$A33)+SUMIFS(Xero!$F:$F,Xero!$B:$B,Heron!BG$9,Xero!$A:$A,Heron!$A$5,Xero!$E:$E,Heron!$A33)</f>
        <v>0</v>
      </c>
      <c r="BH33" s="99">
        <f>SUMIFS(Xero!$F:$F,Xero!$B:$B,Heron!BH$9,Xero!$A:$A,Heron!$A$4,Xero!$E:$E,Heron!$A33)+SUMIFS(Xero!$F:$F,Xero!$B:$B,Heron!BH$9,Xero!$A:$A,Heron!$A$5,Xero!$E:$E,Heron!$A33)</f>
        <v>0</v>
      </c>
      <c r="BI33" s="99">
        <f>SUMIFS(Xero!$F:$F,Xero!$B:$B,Heron!BI$9,Xero!$A:$A,Heron!$A$4,Xero!$E:$E,Heron!$A33)+SUMIFS(Xero!$F:$F,Xero!$B:$B,Heron!BI$9,Xero!$A:$A,Heron!$A$5,Xero!$E:$E,Heron!$A33)</f>
        <v>0</v>
      </c>
      <c r="BJ33" s="99">
        <f>SUMIFS(Xero!$F:$F,Xero!$B:$B,Heron!BJ$9,Xero!$A:$A,Heron!$A$4,Xero!$E:$E,Heron!$A33)+SUMIFS(Xero!$F:$F,Xero!$B:$B,Heron!BJ$9,Xero!$A:$A,Heron!$A$5,Xero!$E:$E,Heron!$A33)</f>
        <v>0</v>
      </c>
      <c r="BK33" s="99">
        <f t="shared" ref="BK33:BK64" si="4">SUM(D33:BJ33)</f>
        <v>3300</v>
      </c>
    </row>
    <row r="34" spans="1:63" ht="16" x14ac:dyDescent="0.2">
      <c r="A34" s="98" t="s">
        <v>1149</v>
      </c>
      <c r="D34" s="99">
        <f>SUMIFS(Xero!$F:$F,Xero!$B:$B,Heron!D$9,Xero!$A:$A,Heron!$A$4,Xero!$E:$E,Heron!$A34)+SUMIFS(Xero!$F:$F,Xero!$B:$B,Heron!D$9,Xero!$A:$A,Heron!$A$5,Xero!$E:$E,Heron!$A34)</f>
        <v>0</v>
      </c>
      <c r="E34" s="99">
        <f>SUMIFS(Xero!$F:$F,Xero!$B:$B,Heron!E$9,Xero!$A:$A,Heron!$A$4,Xero!$E:$E,Heron!$A34)+SUMIFS(Xero!$F:$F,Xero!$B:$B,Heron!E$9,Xero!$A:$A,Heron!$A$5,Xero!$E:$E,Heron!$A34)</f>
        <v>0</v>
      </c>
      <c r="F34" s="99">
        <f>SUMIFS(Xero!$F:$F,Xero!$B:$B,Heron!F$9,Xero!$A:$A,Heron!$A$4,Xero!$E:$E,Heron!$A34)+SUMIFS(Xero!$F:$F,Xero!$B:$B,Heron!F$9,Xero!$A:$A,Heron!$A$5,Xero!$E:$E,Heron!$A34)</f>
        <v>0</v>
      </c>
      <c r="G34" s="99">
        <f>SUMIFS(Xero!$F:$F,Xero!$B:$B,Heron!G$9,Xero!$A:$A,Heron!$A$4,Xero!$E:$E,Heron!$A34)+SUMIFS(Xero!$F:$F,Xero!$B:$B,Heron!G$9,Xero!$A:$A,Heron!$A$5,Xero!$E:$E,Heron!$A34)</f>
        <v>0</v>
      </c>
      <c r="H34" s="99">
        <f>SUMIFS(Xero!$F:$F,Xero!$B:$B,Heron!H$9,Xero!$A:$A,Heron!$A$4,Xero!$E:$E,Heron!$A34)+SUMIFS(Xero!$F:$F,Xero!$B:$B,Heron!H$9,Xero!$A:$A,Heron!$A$5,Xero!$E:$E,Heron!$A34)</f>
        <v>0</v>
      </c>
      <c r="I34" s="99">
        <f>SUMIFS(Xero!$F:$F,Xero!$B:$B,Heron!I$9,Xero!$A:$A,Heron!$A$4,Xero!$E:$E,Heron!$A34)+SUMIFS(Xero!$F:$F,Xero!$B:$B,Heron!I$9,Xero!$A:$A,Heron!$A$5,Xero!$E:$E,Heron!$A34)</f>
        <v>0</v>
      </c>
      <c r="J34" s="99">
        <f>SUMIFS(Xero!$F:$F,Xero!$B:$B,Heron!J$9,Xero!$A:$A,Heron!$A$4,Xero!$E:$E,Heron!$A34)+SUMIFS(Xero!$F:$F,Xero!$B:$B,Heron!J$9,Xero!$A:$A,Heron!$A$5,Xero!$E:$E,Heron!$A34)</f>
        <v>0</v>
      </c>
      <c r="K34" s="99">
        <f>SUMIFS(Xero!$F:$F,Xero!$B:$B,Heron!K$9,Xero!$A:$A,Heron!$A$4,Xero!$E:$E,Heron!$A34)+SUMIFS(Xero!$F:$F,Xero!$B:$B,Heron!K$9,Xero!$A:$A,Heron!$A$5,Xero!$E:$E,Heron!$A34)</f>
        <v>0</v>
      </c>
      <c r="L34" s="99">
        <f>SUMIFS(Xero!$F:$F,Xero!$B:$B,Heron!L$9,Xero!$A:$A,Heron!$A$4,Xero!$E:$E,Heron!$A34)+SUMIFS(Xero!$F:$F,Xero!$B:$B,Heron!L$9,Xero!$A:$A,Heron!$A$5,Xero!$E:$E,Heron!$A34)</f>
        <v>0</v>
      </c>
      <c r="M34" s="99">
        <f>SUMIFS(Xero!$F:$F,Xero!$B:$B,Heron!M$9,Xero!$A:$A,Heron!$A$4,Xero!$E:$E,Heron!$A34)+SUMIFS(Xero!$F:$F,Xero!$B:$B,Heron!M$9,Xero!$A:$A,Heron!$A$5,Xero!$E:$E,Heron!$A34)</f>
        <v>0</v>
      </c>
      <c r="N34" s="99">
        <f>SUMIFS(Xero!$F:$F,Xero!$B:$B,Heron!N$9,Xero!$A:$A,Heron!$A$4,Xero!$E:$E,Heron!$A34)+SUMIFS(Xero!$F:$F,Xero!$B:$B,Heron!N$9,Xero!$A:$A,Heron!$A$5,Xero!$E:$E,Heron!$A34)</f>
        <v>0</v>
      </c>
      <c r="O34" s="99">
        <f>SUMIFS(Xero!$F:$F,Xero!$B:$B,Heron!O$9,Xero!$A:$A,Heron!$A$4,Xero!$E:$E,Heron!$A34)+SUMIFS(Xero!$F:$F,Xero!$B:$B,Heron!O$9,Xero!$A:$A,Heron!$A$5,Xero!$E:$E,Heron!$A34)</f>
        <v>0</v>
      </c>
      <c r="P34" s="99">
        <f>SUMIFS(Xero!$F:$F,Xero!$B:$B,Heron!P$9,Xero!$A:$A,Heron!$A$4,Xero!$E:$E,Heron!$A34)+SUMIFS(Xero!$F:$F,Xero!$B:$B,Heron!P$9,Xero!$A:$A,Heron!$A$5,Xero!$E:$E,Heron!$A34)</f>
        <v>0</v>
      </c>
      <c r="Q34" s="99">
        <f>SUMIFS(Xero!$F:$F,Xero!$B:$B,Heron!Q$9,Xero!$A:$A,Heron!$A$4,Xero!$E:$E,Heron!$A34)+SUMIFS(Xero!$F:$F,Xero!$B:$B,Heron!Q$9,Xero!$A:$A,Heron!$A$5,Xero!$E:$E,Heron!$A34)</f>
        <v>0</v>
      </c>
      <c r="R34" s="99">
        <f>SUMIFS(Xero!$F:$F,Xero!$B:$B,Heron!R$9,Xero!$A:$A,Heron!$A$4,Xero!$E:$E,Heron!$A34)+SUMIFS(Xero!$F:$F,Xero!$B:$B,Heron!R$9,Xero!$A:$A,Heron!$A$5,Xero!$E:$E,Heron!$A34)</f>
        <v>0</v>
      </c>
      <c r="S34" s="99">
        <f>SUMIFS(Xero!$F:$F,Xero!$B:$B,Heron!S$9,Xero!$A:$A,Heron!$A$4,Xero!$E:$E,Heron!$A34)+SUMIFS(Xero!$F:$F,Xero!$B:$B,Heron!S$9,Xero!$A:$A,Heron!$A$5,Xero!$E:$E,Heron!$A34)</f>
        <v>0</v>
      </c>
      <c r="T34" s="99">
        <f>SUMIFS(Xero!$F:$F,Xero!$B:$B,Heron!T$9,Xero!$A:$A,Heron!$A$4,Xero!$E:$E,Heron!$A34)+SUMIFS(Xero!$F:$F,Xero!$B:$B,Heron!T$9,Xero!$A:$A,Heron!$A$5,Xero!$E:$E,Heron!$A34)</f>
        <v>0</v>
      </c>
      <c r="U34" s="99">
        <f>SUMIFS(Xero!$F:$F,Xero!$B:$B,Heron!U$9,Xero!$A:$A,Heron!$A$4,Xero!$E:$E,Heron!$A34)+SUMIFS(Xero!$F:$F,Xero!$B:$B,Heron!U$9,Xero!$A:$A,Heron!$A$5,Xero!$E:$E,Heron!$A34)</f>
        <v>0</v>
      </c>
      <c r="V34" s="99">
        <f>SUMIFS(Xero!$F:$F,Xero!$B:$B,Heron!V$9,Xero!$A:$A,Heron!$A$4,Xero!$E:$E,Heron!$A34)+SUMIFS(Xero!$F:$F,Xero!$B:$B,Heron!V$9,Xero!$A:$A,Heron!$A$5,Xero!$E:$E,Heron!$A34)</f>
        <v>0</v>
      </c>
      <c r="W34" s="99">
        <f>SUMIFS(Xero!$F:$F,Xero!$B:$B,Heron!W$9,Xero!$A:$A,Heron!$A$4,Xero!$E:$E,Heron!$A34)+SUMIFS(Xero!$F:$F,Xero!$B:$B,Heron!W$9,Xero!$A:$A,Heron!$A$5,Xero!$E:$E,Heron!$A34)</f>
        <v>0</v>
      </c>
      <c r="X34" s="99">
        <f>SUMIFS(Xero!$F:$F,Xero!$B:$B,Heron!X$9,Xero!$A:$A,Heron!$A$4,Xero!$E:$E,Heron!$A34)+SUMIFS(Xero!$F:$F,Xero!$B:$B,Heron!X$9,Xero!$A:$A,Heron!$A$5,Xero!$E:$E,Heron!$A34)</f>
        <v>0</v>
      </c>
      <c r="Y34" s="99">
        <f>SUMIFS(Xero!$F:$F,Xero!$B:$B,Heron!Y$9,Xero!$A:$A,Heron!$A$4,Xero!$E:$E,Heron!$A34)+SUMIFS(Xero!$F:$F,Xero!$B:$B,Heron!Y$9,Xero!$A:$A,Heron!$A$5,Xero!$E:$E,Heron!$A34)</f>
        <v>0</v>
      </c>
      <c r="Z34" s="99">
        <f>SUMIFS(Xero!$F:$F,Xero!$B:$B,Heron!Z$9,Xero!$A:$A,Heron!$A$4,Xero!$E:$E,Heron!$A34)+SUMIFS(Xero!$F:$F,Xero!$B:$B,Heron!Z$9,Xero!$A:$A,Heron!$A$5,Xero!$E:$E,Heron!$A34)</f>
        <v>0</v>
      </c>
      <c r="AA34" s="99">
        <f>SUMIFS(Xero!$F:$F,Xero!$B:$B,Heron!AA$9,Xero!$A:$A,Heron!$A$4,Xero!$E:$E,Heron!$A34)+SUMIFS(Xero!$F:$F,Xero!$B:$B,Heron!AA$9,Xero!$A:$A,Heron!$A$5,Xero!$E:$E,Heron!$A34)</f>
        <v>0</v>
      </c>
      <c r="AB34" s="99">
        <f>SUMIFS(Xero!$F:$F,Xero!$B:$B,Heron!AB$9,Xero!$A:$A,Heron!$A$4,Xero!$E:$E,Heron!$A34)+SUMIFS(Xero!$F:$F,Xero!$B:$B,Heron!AB$9,Xero!$A:$A,Heron!$A$5,Xero!$E:$E,Heron!$A34)</f>
        <v>0</v>
      </c>
      <c r="AC34" s="99">
        <f>SUMIFS(Xero!$F:$F,Xero!$B:$B,Heron!AC$9,Xero!$A:$A,Heron!$A$4,Xero!$E:$E,Heron!$A34)+SUMIFS(Xero!$F:$F,Xero!$B:$B,Heron!AC$9,Xero!$A:$A,Heron!$A$5,Xero!$E:$E,Heron!$A34)</f>
        <v>0</v>
      </c>
      <c r="AD34" s="99">
        <f>SUMIFS(Xero!$F:$F,Xero!$B:$B,Heron!AD$9,Xero!$A:$A,Heron!$A$4,Xero!$E:$E,Heron!$A34)+SUMIFS(Xero!$F:$F,Xero!$B:$B,Heron!AD$9,Xero!$A:$A,Heron!$A$5,Xero!$E:$E,Heron!$A34)</f>
        <v>0</v>
      </c>
      <c r="AE34" s="99">
        <f>SUMIFS(Xero!$F:$F,Xero!$B:$B,Heron!AE$9,Xero!$A:$A,Heron!$A$4,Xero!$E:$E,Heron!$A34)+SUMIFS(Xero!$F:$F,Xero!$B:$B,Heron!AE$9,Xero!$A:$A,Heron!$A$5,Xero!$E:$E,Heron!$A34)</f>
        <v>0</v>
      </c>
      <c r="AF34" s="99">
        <f>SUMIFS(Xero!$F:$F,Xero!$B:$B,Heron!AF$9,Xero!$A:$A,Heron!$A$4,Xero!$E:$E,Heron!$A34)+SUMIFS(Xero!$F:$F,Xero!$B:$B,Heron!AF$9,Xero!$A:$A,Heron!$A$5,Xero!$E:$E,Heron!$A34)</f>
        <v>13404.96</v>
      </c>
      <c r="AG34" s="99">
        <f>SUMIFS(Xero!$F:$F,Xero!$B:$B,Heron!AG$9,Xero!$A:$A,Heron!$A$4,Xero!$E:$E,Heron!$A34)+SUMIFS(Xero!$F:$F,Xero!$B:$B,Heron!AG$9,Xero!$A:$A,Heron!$A$5,Xero!$E:$E,Heron!$A34)</f>
        <v>1620</v>
      </c>
      <c r="AH34" s="99">
        <f>SUMIFS(Xero!$F:$F,Xero!$B:$B,Heron!AH$9,Xero!$A:$A,Heron!$A$4,Xero!$E:$E,Heron!$A34)+SUMIFS(Xero!$F:$F,Xero!$B:$B,Heron!AH$9,Xero!$A:$A,Heron!$A$5,Xero!$E:$E,Heron!$A34)</f>
        <v>0</v>
      </c>
      <c r="AI34" s="99">
        <f>SUMIFS(Xero!$F:$F,Xero!$B:$B,Heron!AI$9,Xero!$A:$A,Heron!$A$4,Xero!$E:$E,Heron!$A34)+SUMIFS(Xero!$F:$F,Xero!$B:$B,Heron!AI$9,Xero!$A:$A,Heron!$A$5,Xero!$E:$E,Heron!$A34)</f>
        <v>0</v>
      </c>
      <c r="AJ34" s="99">
        <f>SUMIFS(Xero!$F:$F,Xero!$B:$B,Heron!AJ$9,Xero!$A:$A,Heron!$A$4,Xero!$E:$E,Heron!$A34)+SUMIFS(Xero!$F:$F,Xero!$B:$B,Heron!AJ$9,Xero!$A:$A,Heron!$A$5,Xero!$E:$E,Heron!$A34)</f>
        <v>0</v>
      </c>
      <c r="AK34" s="99">
        <f>SUMIFS(Xero!$F:$F,Xero!$B:$B,Heron!AK$9,Xero!$A:$A,Heron!$A$4,Xero!$E:$E,Heron!$A34)+SUMIFS(Xero!$F:$F,Xero!$B:$B,Heron!AK$9,Xero!$A:$A,Heron!$A$5,Xero!$E:$E,Heron!$A34)</f>
        <v>0</v>
      </c>
      <c r="AL34" s="99">
        <f>SUMIFS(Xero!$F:$F,Xero!$B:$B,Heron!AL$9,Xero!$A:$A,Heron!$A$4,Xero!$E:$E,Heron!$A34)+SUMIFS(Xero!$F:$F,Xero!$B:$B,Heron!AL$9,Xero!$A:$A,Heron!$A$5,Xero!$E:$E,Heron!$A34)</f>
        <v>0</v>
      </c>
      <c r="AM34" s="99">
        <f>SUMIFS(Xero!$F:$F,Xero!$B:$B,Heron!AM$9,Xero!$A:$A,Heron!$A$4,Xero!$E:$E,Heron!$A34)+SUMIFS(Xero!$F:$F,Xero!$B:$B,Heron!AM$9,Xero!$A:$A,Heron!$A$5,Xero!$E:$E,Heron!$A34)</f>
        <v>0</v>
      </c>
      <c r="AN34" s="99">
        <f>SUMIFS(Xero!$F:$F,Xero!$B:$B,Heron!AN$9,Xero!$A:$A,Heron!$A$4,Xero!$E:$E,Heron!$A34)+SUMIFS(Xero!$F:$F,Xero!$B:$B,Heron!AN$9,Xero!$A:$A,Heron!$A$5,Xero!$E:$E,Heron!$A34)</f>
        <v>0</v>
      </c>
      <c r="AO34" s="99">
        <f>SUMIFS(Xero!$F:$F,Xero!$B:$B,Heron!AO$9,Xero!$A:$A,Heron!$A$4,Xero!$E:$E,Heron!$A34)+SUMIFS(Xero!$F:$F,Xero!$B:$B,Heron!AO$9,Xero!$A:$A,Heron!$A$5,Xero!$E:$E,Heron!$A34)</f>
        <v>0</v>
      </c>
      <c r="AP34" s="99">
        <f>SUMIFS(Xero!$F:$F,Xero!$B:$B,Heron!AP$9,Xero!$A:$A,Heron!$A$4,Xero!$E:$E,Heron!$A34)+SUMIFS(Xero!$F:$F,Xero!$B:$B,Heron!AP$9,Xero!$A:$A,Heron!$A$5,Xero!$E:$E,Heron!$A34)</f>
        <v>0</v>
      </c>
      <c r="AQ34" s="99">
        <f>SUMIFS(Xero!$F:$F,Xero!$B:$B,Heron!AQ$9,Xero!$A:$A,Heron!$A$4,Xero!$E:$E,Heron!$A34)+SUMIFS(Xero!$F:$F,Xero!$B:$B,Heron!AQ$9,Xero!$A:$A,Heron!$A$5,Xero!$E:$E,Heron!$A34)</f>
        <v>580</v>
      </c>
      <c r="AR34" s="99">
        <f>SUMIFS(Xero!$F:$F,Xero!$B:$B,Heron!AR$9,Xero!$A:$A,Heron!$A$4,Xero!$E:$E,Heron!$A34)+SUMIFS(Xero!$F:$F,Xero!$B:$B,Heron!AR$9,Xero!$A:$A,Heron!$A$5,Xero!$E:$E,Heron!$A34)</f>
        <v>0</v>
      </c>
      <c r="AS34" s="99">
        <f>SUMIFS(Xero!$F:$F,Xero!$B:$B,Heron!AS$9,Xero!$A:$A,Heron!$A$4,Xero!$E:$E,Heron!$A34)+SUMIFS(Xero!$F:$F,Xero!$B:$B,Heron!AS$9,Xero!$A:$A,Heron!$A$5,Xero!$E:$E,Heron!$A34)</f>
        <v>0</v>
      </c>
      <c r="AT34" s="99">
        <f>SUMIFS(Xero!$F:$F,Xero!$B:$B,Heron!AT$9,Xero!$A:$A,Heron!$A$4,Xero!$E:$E,Heron!$A34)+SUMIFS(Xero!$F:$F,Xero!$B:$B,Heron!AT$9,Xero!$A:$A,Heron!$A$5,Xero!$E:$E,Heron!$A34)</f>
        <v>0</v>
      </c>
      <c r="AU34" s="99">
        <f>SUMIFS(Xero!$F:$F,Xero!$B:$B,Heron!AU$9,Xero!$A:$A,Heron!$A$4,Xero!$E:$E,Heron!$A34)+SUMIFS(Xero!$F:$F,Xero!$B:$B,Heron!AU$9,Xero!$A:$A,Heron!$A$5,Xero!$E:$E,Heron!$A34)</f>
        <v>0</v>
      </c>
      <c r="AV34" s="99">
        <f>SUMIFS(Xero!$F:$F,Xero!$B:$B,Heron!AV$9,Xero!$A:$A,Heron!$A$4,Xero!$E:$E,Heron!$A34)+SUMIFS(Xero!$F:$F,Xero!$B:$B,Heron!AV$9,Xero!$A:$A,Heron!$A$5,Xero!$E:$E,Heron!$A34)</f>
        <v>0</v>
      </c>
      <c r="AW34" s="99">
        <f>SUMIFS(Xero!$F:$F,Xero!$B:$B,Heron!AW$9,Xero!$A:$A,Heron!$A$4,Xero!$E:$E,Heron!$A34)+SUMIFS(Xero!$F:$F,Xero!$B:$B,Heron!AW$9,Xero!$A:$A,Heron!$A$5,Xero!$E:$E,Heron!$A34)</f>
        <v>0</v>
      </c>
      <c r="AX34" s="99">
        <f>SUMIFS(Xero!$F:$F,Xero!$B:$B,Heron!AX$9,Xero!$A:$A,Heron!$A$4,Xero!$E:$E,Heron!$A34)+SUMIFS(Xero!$F:$F,Xero!$B:$B,Heron!AX$9,Xero!$A:$A,Heron!$A$5,Xero!$E:$E,Heron!$A34)</f>
        <v>0</v>
      </c>
      <c r="AY34" s="99">
        <f>SUMIFS(Xero!$F:$F,Xero!$B:$B,Heron!AY$9,Xero!$A:$A,Heron!$A$4,Xero!$E:$E,Heron!$A34)+SUMIFS(Xero!$F:$F,Xero!$B:$B,Heron!AY$9,Xero!$A:$A,Heron!$A$5,Xero!$E:$E,Heron!$A34)</f>
        <v>0</v>
      </c>
      <c r="AZ34" s="99">
        <f>SUMIFS(Xero!$F:$F,Xero!$B:$B,Heron!AZ$9,Xero!$A:$A,Heron!$A$4,Xero!$E:$E,Heron!$A34)+SUMIFS(Xero!$F:$F,Xero!$B:$B,Heron!AZ$9,Xero!$A:$A,Heron!$A$5,Xero!$E:$E,Heron!$A34)</f>
        <v>0</v>
      </c>
      <c r="BA34" s="99">
        <f>SUMIFS(Xero!$F:$F,Xero!$B:$B,Heron!BA$9,Xero!$A:$A,Heron!$A$4,Xero!$E:$E,Heron!$A34)+SUMIFS(Xero!$F:$F,Xero!$B:$B,Heron!BA$9,Xero!$A:$A,Heron!$A$5,Xero!$E:$E,Heron!$A34)</f>
        <v>0</v>
      </c>
      <c r="BB34" s="99">
        <f>SUMIFS(Xero!$F:$F,Xero!$B:$B,Heron!BB$9,Xero!$A:$A,Heron!$A$4,Xero!$E:$E,Heron!$A34)+SUMIFS(Xero!$F:$F,Xero!$B:$B,Heron!BB$9,Xero!$A:$A,Heron!$A$5,Xero!$E:$E,Heron!$A34)</f>
        <v>0</v>
      </c>
      <c r="BC34" s="99">
        <f>SUMIFS(Xero!$F:$F,Xero!$B:$B,Heron!BC$9,Xero!$A:$A,Heron!$A$4,Xero!$E:$E,Heron!$A34)+SUMIFS(Xero!$F:$F,Xero!$B:$B,Heron!BC$9,Xero!$A:$A,Heron!$A$5,Xero!$E:$E,Heron!$A34)</f>
        <v>0</v>
      </c>
      <c r="BD34" s="99">
        <f>SUMIFS(Xero!$F:$F,Xero!$B:$B,Heron!BD$9,Xero!$A:$A,Heron!$A$4,Xero!$E:$E,Heron!$A34)+SUMIFS(Xero!$F:$F,Xero!$B:$B,Heron!BD$9,Xero!$A:$A,Heron!$A$5,Xero!$E:$E,Heron!$A34)</f>
        <v>0</v>
      </c>
      <c r="BE34" s="99">
        <f>SUMIFS(Xero!$F:$F,Xero!$B:$B,Heron!BE$9,Xero!$A:$A,Heron!$A$4,Xero!$E:$E,Heron!$A34)+SUMIFS(Xero!$F:$F,Xero!$B:$B,Heron!BE$9,Xero!$A:$A,Heron!$A$5,Xero!$E:$E,Heron!$A34)</f>
        <v>0</v>
      </c>
      <c r="BF34" s="99">
        <f>SUMIFS(Xero!$F:$F,Xero!$B:$B,Heron!BF$9,Xero!$A:$A,Heron!$A$4,Xero!$E:$E,Heron!$A34)+SUMIFS(Xero!$F:$F,Xero!$B:$B,Heron!BF$9,Xero!$A:$A,Heron!$A$5,Xero!$E:$E,Heron!$A34)</f>
        <v>0</v>
      </c>
      <c r="BG34" s="99">
        <f>SUMIFS(Xero!$F:$F,Xero!$B:$B,Heron!BG$9,Xero!$A:$A,Heron!$A$4,Xero!$E:$E,Heron!$A34)+SUMIFS(Xero!$F:$F,Xero!$B:$B,Heron!BG$9,Xero!$A:$A,Heron!$A$5,Xero!$E:$E,Heron!$A34)</f>
        <v>0</v>
      </c>
      <c r="BH34" s="99">
        <f>SUMIFS(Xero!$F:$F,Xero!$B:$B,Heron!BH$9,Xero!$A:$A,Heron!$A$4,Xero!$E:$E,Heron!$A34)+SUMIFS(Xero!$F:$F,Xero!$B:$B,Heron!BH$9,Xero!$A:$A,Heron!$A$5,Xero!$E:$E,Heron!$A34)</f>
        <v>0</v>
      </c>
      <c r="BI34" s="99">
        <f>SUMIFS(Xero!$F:$F,Xero!$B:$B,Heron!BI$9,Xero!$A:$A,Heron!$A$4,Xero!$E:$E,Heron!$A34)+SUMIFS(Xero!$F:$F,Xero!$B:$B,Heron!BI$9,Xero!$A:$A,Heron!$A$5,Xero!$E:$E,Heron!$A34)</f>
        <v>0</v>
      </c>
      <c r="BJ34" s="99">
        <f>SUMIFS(Xero!$F:$F,Xero!$B:$B,Heron!BJ$9,Xero!$A:$A,Heron!$A$4,Xero!$E:$E,Heron!$A34)+SUMIFS(Xero!$F:$F,Xero!$B:$B,Heron!BJ$9,Xero!$A:$A,Heron!$A$5,Xero!$E:$E,Heron!$A34)</f>
        <v>0</v>
      </c>
      <c r="BK34" s="99">
        <f t="shared" si="4"/>
        <v>15604.96</v>
      </c>
    </row>
    <row r="35" spans="1:63" ht="16" x14ac:dyDescent="0.2">
      <c r="A35" s="98" t="s">
        <v>1471</v>
      </c>
      <c r="D35" s="99">
        <f>SUMIFS(Xero!$F:$F,Xero!$B:$B,Heron!D$9,Xero!$A:$A,Heron!$A$4,Xero!$E:$E,Heron!$A35)+SUMIFS(Xero!$F:$F,Xero!$B:$B,Heron!D$9,Xero!$A:$A,Heron!$A$5,Xero!$E:$E,Heron!$A35)</f>
        <v>0</v>
      </c>
      <c r="E35" s="99">
        <f>SUMIFS(Xero!$F:$F,Xero!$B:$B,Heron!E$9,Xero!$A:$A,Heron!$A$4,Xero!$E:$E,Heron!$A35)+SUMIFS(Xero!$F:$F,Xero!$B:$B,Heron!E$9,Xero!$A:$A,Heron!$A$5,Xero!$E:$E,Heron!$A35)</f>
        <v>0</v>
      </c>
      <c r="F35" s="99">
        <f>SUMIFS(Xero!$F:$F,Xero!$B:$B,Heron!F$9,Xero!$A:$A,Heron!$A$4,Xero!$E:$E,Heron!$A35)+SUMIFS(Xero!$F:$F,Xero!$B:$B,Heron!F$9,Xero!$A:$A,Heron!$A$5,Xero!$E:$E,Heron!$A35)</f>
        <v>0</v>
      </c>
      <c r="G35" s="99">
        <f>SUMIFS(Xero!$F:$F,Xero!$B:$B,Heron!G$9,Xero!$A:$A,Heron!$A$4,Xero!$E:$E,Heron!$A35)+SUMIFS(Xero!$F:$F,Xero!$B:$B,Heron!G$9,Xero!$A:$A,Heron!$A$5,Xero!$E:$E,Heron!$A35)</f>
        <v>0</v>
      </c>
      <c r="H35" s="99">
        <f>SUMIFS(Xero!$F:$F,Xero!$B:$B,Heron!H$9,Xero!$A:$A,Heron!$A$4,Xero!$E:$E,Heron!$A35)+SUMIFS(Xero!$F:$F,Xero!$B:$B,Heron!H$9,Xero!$A:$A,Heron!$A$5,Xero!$E:$E,Heron!$A35)</f>
        <v>0</v>
      </c>
      <c r="I35" s="99">
        <f>SUMIFS(Xero!$F:$F,Xero!$B:$B,Heron!I$9,Xero!$A:$A,Heron!$A$4,Xero!$E:$E,Heron!$A35)+SUMIFS(Xero!$F:$F,Xero!$B:$B,Heron!I$9,Xero!$A:$A,Heron!$A$5,Xero!$E:$E,Heron!$A35)</f>
        <v>0</v>
      </c>
      <c r="J35" s="99">
        <f>SUMIFS(Xero!$F:$F,Xero!$B:$B,Heron!J$9,Xero!$A:$A,Heron!$A$4,Xero!$E:$E,Heron!$A35)+SUMIFS(Xero!$F:$F,Xero!$B:$B,Heron!J$9,Xero!$A:$A,Heron!$A$5,Xero!$E:$E,Heron!$A35)</f>
        <v>0</v>
      </c>
      <c r="K35" s="99">
        <f>SUMIFS(Xero!$F:$F,Xero!$B:$B,Heron!K$9,Xero!$A:$A,Heron!$A$4,Xero!$E:$E,Heron!$A35)+SUMIFS(Xero!$F:$F,Xero!$B:$B,Heron!K$9,Xero!$A:$A,Heron!$A$5,Xero!$E:$E,Heron!$A35)</f>
        <v>0</v>
      </c>
      <c r="L35" s="99">
        <f>SUMIFS(Xero!$F:$F,Xero!$B:$B,Heron!L$9,Xero!$A:$A,Heron!$A$4,Xero!$E:$E,Heron!$A35)+SUMIFS(Xero!$F:$F,Xero!$B:$B,Heron!L$9,Xero!$A:$A,Heron!$A$5,Xero!$E:$E,Heron!$A35)</f>
        <v>0</v>
      </c>
      <c r="M35" s="99">
        <f>SUMIFS(Xero!$F:$F,Xero!$B:$B,Heron!M$9,Xero!$A:$A,Heron!$A$4,Xero!$E:$E,Heron!$A35)+SUMIFS(Xero!$F:$F,Xero!$B:$B,Heron!M$9,Xero!$A:$A,Heron!$A$5,Xero!$E:$E,Heron!$A35)</f>
        <v>0</v>
      </c>
      <c r="N35" s="99">
        <f>SUMIFS(Xero!$F:$F,Xero!$B:$B,Heron!N$9,Xero!$A:$A,Heron!$A$4,Xero!$E:$E,Heron!$A35)+SUMIFS(Xero!$F:$F,Xero!$B:$B,Heron!N$9,Xero!$A:$A,Heron!$A$5,Xero!$E:$E,Heron!$A35)</f>
        <v>0</v>
      </c>
      <c r="O35" s="99">
        <f>SUMIFS(Xero!$F:$F,Xero!$B:$B,Heron!O$9,Xero!$A:$A,Heron!$A$4,Xero!$E:$E,Heron!$A35)+SUMIFS(Xero!$F:$F,Xero!$B:$B,Heron!O$9,Xero!$A:$A,Heron!$A$5,Xero!$E:$E,Heron!$A35)</f>
        <v>639.13</v>
      </c>
      <c r="P35" s="99">
        <f>SUMIFS(Xero!$F:$F,Xero!$B:$B,Heron!P$9,Xero!$A:$A,Heron!$A$4,Xero!$E:$E,Heron!$A35)+SUMIFS(Xero!$F:$F,Xero!$B:$B,Heron!P$9,Xero!$A:$A,Heron!$A$5,Xero!$E:$E,Heron!$A35)</f>
        <v>0</v>
      </c>
      <c r="Q35" s="99">
        <f>SUMIFS(Xero!$F:$F,Xero!$B:$B,Heron!Q$9,Xero!$A:$A,Heron!$A$4,Xero!$E:$E,Heron!$A35)+SUMIFS(Xero!$F:$F,Xero!$B:$B,Heron!Q$9,Xero!$A:$A,Heron!$A$5,Xero!$E:$E,Heron!$A35)</f>
        <v>0</v>
      </c>
      <c r="R35" s="99">
        <f>SUMIFS(Xero!$F:$F,Xero!$B:$B,Heron!R$9,Xero!$A:$A,Heron!$A$4,Xero!$E:$E,Heron!$A35)+SUMIFS(Xero!$F:$F,Xero!$B:$B,Heron!R$9,Xero!$A:$A,Heron!$A$5,Xero!$E:$E,Heron!$A35)</f>
        <v>0</v>
      </c>
      <c r="S35" s="99">
        <f>SUMIFS(Xero!$F:$F,Xero!$B:$B,Heron!S$9,Xero!$A:$A,Heron!$A$4,Xero!$E:$E,Heron!$A35)+SUMIFS(Xero!$F:$F,Xero!$B:$B,Heron!S$9,Xero!$A:$A,Heron!$A$5,Xero!$E:$E,Heron!$A35)</f>
        <v>0</v>
      </c>
      <c r="T35" s="99">
        <f>SUMIFS(Xero!$F:$F,Xero!$B:$B,Heron!T$9,Xero!$A:$A,Heron!$A$4,Xero!$E:$E,Heron!$A35)+SUMIFS(Xero!$F:$F,Xero!$B:$B,Heron!T$9,Xero!$A:$A,Heron!$A$5,Xero!$E:$E,Heron!$A35)</f>
        <v>0</v>
      </c>
      <c r="U35" s="99">
        <f>SUMIFS(Xero!$F:$F,Xero!$B:$B,Heron!U$9,Xero!$A:$A,Heron!$A$4,Xero!$E:$E,Heron!$A35)+SUMIFS(Xero!$F:$F,Xero!$B:$B,Heron!U$9,Xero!$A:$A,Heron!$A$5,Xero!$E:$E,Heron!$A35)</f>
        <v>0</v>
      </c>
      <c r="V35" s="99">
        <f>SUMIFS(Xero!$F:$F,Xero!$B:$B,Heron!V$9,Xero!$A:$A,Heron!$A$4,Xero!$E:$E,Heron!$A35)+SUMIFS(Xero!$F:$F,Xero!$B:$B,Heron!V$9,Xero!$A:$A,Heron!$A$5,Xero!$E:$E,Heron!$A35)</f>
        <v>0</v>
      </c>
      <c r="W35" s="99">
        <f>SUMIFS(Xero!$F:$F,Xero!$B:$B,Heron!W$9,Xero!$A:$A,Heron!$A$4,Xero!$E:$E,Heron!$A35)+SUMIFS(Xero!$F:$F,Xero!$B:$B,Heron!W$9,Xero!$A:$A,Heron!$A$5,Xero!$E:$E,Heron!$A35)</f>
        <v>0</v>
      </c>
      <c r="X35" s="99">
        <f>SUMIFS(Xero!$F:$F,Xero!$B:$B,Heron!X$9,Xero!$A:$A,Heron!$A$4,Xero!$E:$E,Heron!$A35)+SUMIFS(Xero!$F:$F,Xero!$B:$B,Heron!X$9,Xero!$A:$A,Heron!$A$5,Xero!$E:$E,Heron!$A35)</f>
        <v>0</v>
      </c>
      <c r="Y35" s="99">
        <f>SUMIFS(Xero!$F:$F,Xero!$B:$B,Heron!Y$9,Xero!$A:$A,Heron!$A$4,Xero!$E:$E,Heron!$A35)+SUMIFS(Xero!$F:$F,Xero!$B:$B,Heron!Y$9,Xero!$A:$A,Heron!$A$5,Xero!$E:$E,Heron!$A35)</f>
        <v>0</v>
      </c>
      <c r="Z35" s="99">
        <f>SUMIFS(Xero!$F:$F,Xero!$B:$B,Heron!Z$9,Xero!$A:$A,Heron!$A$4,Xero!$E:$E,Heron!$A35)+SUMIFS(Xero!$F:$F,Xero!$B:$B,Heron!Z$9,Xero!$A:$A,Heron!$A$5,Xero!$E:$E,Heron!$A35)</f>
        <v>0</v>
      </c>
      <c r="AA35" s="99">
        <f>SUMIFS(Xero!$F:$F,Xero!$B:$B,Heron!AA$9,Xero!$A:$A,Heron!$A$4,Xero!$E:$E,Heron!$A35)+SUMIFS(Xero!$F:$F,Xero!$B:$B,Heron!AA$9,Xero!$A:$A,Heron!$A$5,Xero!$E:$E,Heron!$A35)</f>
        <v>0</v>
      </c>
      <c r="AB35" s="99">
        <f>SUMIFS(Xero!$F:$F,Xero!$B:$B,Heron!AB$9,Xero!$A:$A,Heron!$A$4,Xero!$E:$E,Heron!$A35)+SUMIFS(Xero!$F:$F,Xero!$B:$B,Heron!AB$9,Xero!$A:$A,Heron!$A$5,Xero!$E:$E,Heron!$A35)</f>
        <v>0</v>
      </c>
      <c r="AC35" s="99">
        <f>SUMIFS(Xero!$F:$F,Xero!$B:$B,Heron!AC$9,Xero!$A:$A,Heron!$A$4,Xero!$E:$E,Heron!$A35)+SUMIFS(Xero!$F:$F,Xero!$B:$B,Heron!AC$9,Xero!$A:$A,Heron!$A$5,Xero!$E:$E,Heron!$A35)</f>
        <v>0</v>
      </c>
      <c r="AD35" s="99">
        <f>SUMIFS(Xero!$F:$F,Xero!$B:$B,Heron!AD$9,Xero!$A:$A,Heron!$A$4,Xero!$E:$E,Heron!$A35)+SUMIFS(Xero!$F:$F,Xero!$B:$B,Heron!AD$9,Xero!$A:$A,Heron!$A$5,Xero!$E:$E,Heron!$A35)</f>
        <v>0</v>
      </c>
      <c r="AE35" s="99">
        <f>SUMIFS(Xero!$F:$F,Xero!$B:$B,Heron!AE$9,Xero!$A:$A,Heron!$A$4,Xero!$E:$E,Heron!$A35)+SUMIFS(Xero!$F:$F,Xero!$B:$B,Heron!AE$9,Xero!$A:$A,Heron!$A$5,Xero!$E:$E,Heron!$A35)</f>
        <v>0</v>
      </c>
      <c r="AF35" s="99">
        <f>SUMIFS(Xero!$F:$F,Xero!$B:$B,Heron!AF$9,Xero!$A:$A,Heron!$A$4,Xero!$E:$E,Heron!$A35)+SUMIFS(Xero!$F:$F,Xero!$B:$B,Heron!AF$9,Xero!$A:$A,Heron!$A$5,Xero!$E:$E,Heron!$A35)</f>
        <v>0</v>
      </c>
      <c r="AG35" s="99">
        <f>SUMIFS(Xero!$F:$F,Xero!$B:$B,Heron!AG$9,Xero!$A:$A,Heron!$A$4,Xero!$E:$E,Heron!$A35)+SUMIFS(Xero!$F:$F,Xero!$B:$B,Heron!AG$9,Xero!$A:$A,Heron!$A$5,Xero!$E:$E,Heron!$A35)</f>
        <v>0</v>
      </c>
      <c r="AH35" s="99">
        <f>SUMIFS(Xero!$F:$F,Xero!$B:$B,Heron!AH$9,Xero!$A:$A,Heron!$A$4,Xero!$E:$E,Heron!$A35)+SUMIFS(Xero!$F:$F,Xero!$B:$B,Heron!AH$9,Xero!$A:$A,Heron!$A$5,Xero!$E:$E,Heron!$A35)</f>
        <v>0</v>
      </c>
      <c r="AI35" s="99">
        <f>SUMIFS(Xero!$F:$F,Xero!$B:$B,Heron!AI$9,Xero!$A:$A,Heron!$A$4,Xero!$E:$E,Heron!$A35)+SUMIFS(Xero!$F:$F,Xero!$B:$B,Heron!AI$9,Xero!$A:$A,Heron!$A$5,Xero!$E:$E,Heron!$A35)</f>
        <v>0</v>
      </c>
      <c r="AJ35" s="99">
        <f>SUMIFS(Xero!$F:$F,Xero!$B:$B,Heron!AJ$9,Xero!$A:$A,Heron!$A$4,Xero!$E:$E,Heron!$A35)+SUMIFS(Xero!$F:$F,Xero!$B:$B,Heron!AJ$9,Xero!$A:$A,Heron!$A$5,Xero!$E:$E,Heron!$A35)</f>
        <v>0</v>
      </c>
      <c r="AK35" s="99">
        <f>SUMIFS(Xero!$F:$F,Xero!$B:$B,Heron!AK$9,Xero!$A:$A,Heron!$A$4,Xero!$E:$E,Heron!$A35)+SUMIFS(Xero!$F:$F,Xero!$B:$B,Heron!AK$9,Xero!$A:$A,Heron!$A$5,Xero!$E:$E,Heron!$A35)</f>
        <v>0</v>
      </c>
      <c r="AL35" s="99">
        <f>SUMIFS(Xero!$F:$F,Xero!$B:$B,Heron!AL$9,Xero!$A:$A,Heron!$A$4,Xero!$E:$E,Heron!$A35)+SUMIFS(Xero!$F:$F,Xero!$B:$B,Heron!AL$9,Xero!$A:$A,Heron!$A$5,Xero!$E:$E,Heron!$A35)</f>
        <v>0</v>
      </c>
      <c r="AM35" s="99">
        <f>SUMIFS(Xero!$F:$F,Xero!$B:$B,Heron!AM$9,Xero!$A:$A,Heron!$A$4,Xero!$E:$E,Heron!$A35)+SUMIFS(Xero!$F:$F,Xero!$B:$B,Heron!AM$9,Xero!$A:$A,Heron!$A$5,Xero!$E:$E,Heron!$A35)</f>
        <v>0</v>
      </c>
      <c r="AN35" s="99">
        <f>SUMIFS(Xero!$F:$F,Xero!$B:$B,Heron!AN$9,Xero!$A:$A,Heron!$A$4,Xero!$E:$E,Heron!$A35)+SUMIFS(Xero!$F:$F,Xero!$B:$B,Heron!AN$9,Xero!$A:$A,Heron!$A$5,Xero!$E:$E,Heron!$A35)</f>
        <v>0</v>
      </c>
      <c r="AO35" s="99">
        <f>SUMIFS(Xero!$F:$F,Xero!$B:$B,Heron!AO$9,Xero!$A:$A,Heron!$A$4,Xero!$E:$E,Heron!$A35)+SUMIFS(Xero!$F:$F,Xero!$B:$B,Heron!AO$9,Xero!$A:$A,Heron!$A$5,Xero!$E:$E,Heron!$A35)</f>
        <v>0</v>
      </c>
      <c r="AP35" s="99">
        <f>SUMIFS(Xero!$F:$F,Xero!$B:$B,Heron!AP$9,Xero!$A:$A,Heron!$A$4,Xero!$E:$E,Heron!$A35)+SUMIFS(Xero!$F:$F,Xero!$B:$B,Heron!AP$9,Xero!$A:$A,Heron!$A$5,Xero!$E:$E,Heron!$A35)</f>
        <v>0</v>
      </c>
      <c r="AQ35" s="99">
        <f>SUMIFS(Xero!$F:$F,Xero!$B:$B,Heron!AQ$9,Xero!$A:$A,Heron!$A$4,Xero!$E:$E,Heron!$A35)+SUMIFS(Xero!$F:$F,Xero!$B:$B,Heron!AQ$9,Xero!$A:$A,Heron!$A$5,Xero!$E:$E,Heron!$A35)</f>
        <v>0</v>
      </c>
      <c r="AR35" s="99">
        <f>SUMIFS(Xero!$F:$F,Xero!$B:$B,Heron!AR$9,Xero!$A:$A,Heron!$A$4,Xero!$E:$E,Heron!$A35)+SUMIFS(Xero!$F:$F,Xero!$B:$B,Heron!AR$9,Xero!$A:$A,Heron!$A$5,Xero!$E:$E,Heron!$A35)</f>
        <v>0</v>
      </c>
      <c r="AS35" s="99">
        <f>SUMIFS(Xero!$F:$F,Xero!$B:$B,Heron!AS$9,Xero!$A:$A,Heron!$A$4,Xero!$E:$E,Heron!$A35)+SUMIFS(Xero!$F:$F,Xero!$B:$B,Heron!AS$9,Xero!$A:$A,Heron!$A$5,Xero!$E:$E,Heron!$A35)</f>
        <v>0</v>
      </c>
      <c r="AT35" s="99">
        <f>SUMIFS(Xero!$F:$F,Xero!$B:$B,Heron!AT$9,Xero!$A:$A,Heron!$A$4,Xero!$E:$E,Heron!$A35)+SUMIFS(Xero!$F:$F,Xero!$B:$B,Heron!AT$9,Xero!$A:$A,Heron!$A$5,Xero!$E:$E,Heron!$A35)</f>
        <v>0</v>
      </c>
      <c r="AU35" s="99">
        <f>SUMIFS(Xero!$F:$F,Xero!$B:$B,Heron!AU$9,Xero!$A:$A,Heron!$A$4,Xero!$E:$E,Heron!$A35)+SUMIFS(Xero!$F:$F,Xero!$B:$B,Heron!AU$9,Xero!$A:$A,Heron!$A$5,Xero!$E:$E,Heron!$A35)</f>
        <v>0</v>
      </c>
      <c r="AV35" s="99">
        <f>SUMIFS(Xero!$F:$F,Xero!$B:$B,Heron!AV$9,Xero!$A:$A,Heron!$A$4,Xero!$E:$E,Heron!$A35)+SUMIFS(Xero!$F:$F,Xero!$B:$B,Heron!AV$9,Xero!$A:$A,Heron!$A$5,Xero!$E:$E,Heron!$A35)</f>
        <v>0</v>
      </c>
      <c r="AW35" s="99">
        <f>SUMIFS(Xero!$F:$F,Xero!$B:$B,Heron!AW$9,Xero!$A:$A,Heron!$A$4,Xero!$E:$E,Heron!$A35)+SUMIFS(Xero!$F:$F,Xero!$B:$B,Heron!AW$9,Xero!$A:$A,Heron!$A$5,Xero!$E:$E,Heron!$A35)</f>
        <v>0</v>
      </c>
      <c r="AX35" s="99">
        <f>SUMIFS(Xero!$F:$F,Xero!$B:$B,Heron!AX$9,Xero!$A:$A,Heron!$A$4,Xero!$E:$E,Heron!$A35)+SUMIFS(Xero!$F:$F,Xero!$B:$B,Heron!AX$9,Xero!$A:$A,Heron!$A$5,Xero!$E:$E,Heron!$A35)</f>
        <v>0</v>
      </c>
      <c r="AY35" s="99">
        <f>SUMIFS(Xero!$F:$F,Xero!$B:$B,Heron!AY$9,Xero!$A:$A,Heron!$A$4,Xero!$E:$E,Heron!$A35)+SUMIFS(Xero!$F:$F,Xero!$B:$B,Heron!AY$9,Xero!$A:$A,Heron!$A$5,Xero!$E:$E,Heron!$A35)</f>
        <v>0</v>
      </c>
      <c r="AZ35" s="99">
        <f>SUMIFS(Xero!$F:$F,Xero!$B:$B,Heron!AZ$9,Xero!$A:$A,Heron!$A$4,Xero!$E:$E,Heron!$A35)+SUMIFS(Xero!$F:$F,Xero!$B:$B,Heron!AZ$9,Xero!$A:$A,Heron!$A$5,Xero!$E:$E,Heron!$A35)</f>
        <v>0</v>
      </c>
      <c r="BA35" s="99">
        <f>SUMIFS(Xero!$F:$F,Xero!$B:$B,Heron!BA$9,Xero!$A:$A,Heron!$A$4,Xero!$E:$E,Heron!$A35)+SUMIFS(Xero!$F:$F,Xero!$B:$B,Heron!BA$9,Xero!$A:$A,Heron!$A$5,Xero!$E:$E,Heron!$A35)</f>
        <v>0</v>
      </c>
      <c r="BB35" s="99">
        <f>SUMIFS(Xero!$F:$F,Xero!$B:$B,Heron!BB$9,Xero!$A:$A,Heron!$A$4,Xero!$E:$E,Heron!$A35)+SUMIFS(Xero!$F:$F,Xero!$B:$B,Heron!BB$9,Xero!$A:$A,Heron!$A$5,Xero!$E:$E,Heron!$A35)</f>
        <v>0</v>
      </c>
      <c r="BC35" s="99">
        <f>SUMIFS(Xero!$F:$F,Xero!$B:$B,Heron!BC$9,Xero!$A:$A,Heron!$A$4,Xero!$E:$E,Heron!$A35)+SUMIFS(Xero!$F:$F,Xero!$B:$B,Heron!BC$9,Xero!$A:$A,Heron!$A$5,Xero!$E:$E,Heron!$A35)</f>
        <v>0</v>
      </c>
      <c r="BD35" s="99">
        <f>SUMIFS(Xero!$F:$F,Xero!$B:$B,Heron!BD$9,Xero!$A:$A,Heron!$A$4,Xero!$E:$E,Heron!$A35)+SUMIFS(Xero!$F:$F,Xero!$B:$B,Heron!BD$9,Xero!$A:$A,Heron!$A$5,Xero!$E:$E,Heron!$A35)</f>
        <v>0</v>
      </c>
      <c r="BE35" s="99">
        <f>SUMIFS(Xero!$F:$F,Xero!$B:$B,Heron!BE$9,Xero!$A:$A,Heron!$A$4,Xero!$E:$E,Heron!$A35)+SUMIFS(Xero!$F:$F,Xero!$B:$B,Heron!BE$9,Xero!$A:$A,Heron!$A$5,Xero!$E:$E,Heron!$A35)</f>
        <v>0</v>
      </c>
      <c r="BF35" s="99">
        <f>SUMIFS(Xero!$F:$F,Xero!$B:$B,Heron!BF$9,Xero!$A:$A,Heron!$A$4,Xero!$E:$E,Heron!$A35)+SUMIFS(Xero!$F:$F,Xero!$B:$B,Heron!BF$9,Xero!$A:$A,Heron!$A$5,Xero!$E:$E,Heron!$A35)</f>
        <v>0</v>
      </c>
      <c r="BG35" s="99">
        <f>SUMIFS(Xero!$F:$F,Xero!$B:$B,Heron!BG$9,Xero!$A:$A,Heron!$A$4,Xero!$E:$E,Heron!$A35)+SUMIFS(Xero!$F:$F,Xero!$B:$B,Heron!BG$9,Xero!$A:$A,Heron!$A$5,Xero!$E:$E,Heron!$A35)</f>
        <v>0</v>
      </c>
      <c r="BH35" s="99">
        <f>SUMIFS(Xero!$F:$F,Xero!$B:$B,Heron!BH$9,Xero!$A:$A,Heron!$A$4,Xero!$E:$E,Heron!$A35)+SUMIFS(Xero!$F:$F,Xero!$B:$B,Heron!BH$9,Xero!$A:$A,Heron!$A$5,Xero!$E:$E,Heron!$A35)</f>
        <v>0</v>
      </c>
      <c r="BI35" s="99">
        <f>SUMIFS(Xero!$F:$F,Xero!$B:$B,Heron!BI$9,Xero!$A:$A,Heron!$A$4,Xero!$E:$E,Heron!$A35)+SUMIFS(Xero!$F:$F,Xero!$B:$B,Heron!BI$9,Xero!$A:$A,Heron!$A$5,Xero!$E:$E,Heron!$A35)</f>
        <v>0</v>
      </c>
      <c r="BJ35" s="99">
        <f>SUMIFS(Xero!$F:$F,Xero!$B:$B,Heron!BJ$9,Xero!$A:$A,Heron!$A$4,Xero!$E:$E,Heron!$A35)+SUMIFS(Xero!$F:$F,Xero!$B:$B,Heron!BJ$9,Xero!$A:$A,Heron!$A$5,Xero!$E:$E,Heron!$A35)</f>
        <v>0</v>
      </c>
      <c r="BK35" s="99">
        <f t="shared" si="4"/>
        <v>639.13</v>
      </c>
    </row>
    <row r="36" spans="1:63" ht="16" x14ac:dyDescent="0.2">
      <c r="A36" s="98" t="s">
        <v>1623</v>
      </c>
      <c r="D36" s="99">
        <f>SUMIFS(Xero!$F:$F,Xero!$B:$B,Heron!D$9,Xero!$A:$A,Heron!$A$4,Xero!$E:$E,Heron!$A36)+SUMIFS(Xero!$F:$F,Xero!$B:$B,Heron!D$9,Xero!$A:$A,Heron!$A$5,Xero!$E:$E,Heron!$A36)</f>
        <v>0</v>
      </c>
      <c r="E36" s="99">
        <f>SUMIFS(Xero!$F:$F,Xero!$B:$B,Heron!E$9,Xero!$A:$A,Heron!$A$4,Xero!$E:$E,Heron!$A36)+SUMIFS(Xero!$F:$F,Xero!$B:$B,Heron!E$9,Xero!$A:$A,Heron!$A$5,Xero!$E:$E,Heron!$A36)</f>
        <v>0</v>
      </c>
      <c r="F36" s="99">
        <f>SUMIFS(Xero!$F:$F,Xero!$B:$B,Heron!F$9,Xero!$A:$A,Heron!$A$4,Xero!$E:$E,Heron!$A36)+SUMIFS(Xero!$F:$F,Xero!$B:$B,Heron!F$9,Xero!$A:$A,Heron!$A$5,Xero!$E:$E,Heron!$A36)</f>
        <v>0</v>
      </c>
      <c r="G36" s="99">
        <f>SUMIFS(Xero!$F:$F,Xero!$B:$B,Heron!G$9,Xero!$A:$A,Heron!$A$4,Xero!$E:$E,Heron!$A36)+SUMIFS(Xero!$F:$F,Xero!$B:$B,Heron!G$9,Xero!$A:$A,Heron!$A$5,Xero!$E:$E,Heron!$A36)</f>
        <v>0</v>
      </c>
      <c r="H36" s="99">
        <f>SUMIFS(Xero!$F:$F,Xero!$B:$B,Heron!H$9,Xero!$A:$A,Heron!$A$4,Xero!$E:$E,Heron!$A36)+SUMIFS(Xero!$F:$F,Xero!$B:$B,Heron!H$9,Xero!$A:$A,Heron!$A$5,Xero!$E:$E,Heron!$A36)</f>
        <v>0</v>
      </c>
      <c r="I36" s="99">
        <f>SUMIFS(Xero!$F:$F,Xero!$B:$B,Heron!I$9,Xero!$A:$A,Heron!$A$4,Xero!$E:$E,Heron!$A36)+SUMIFS(Xero!$F:$F,Xero!$B:$B,Heron!I$9,Xero!$A:$A,Heron!$A$5,Xero!$E:$E,Heron!$A36)</f>
        <v>0</v>
      </c>
      <c r="J36" s="99">
        <f>SUMIFS(Xero!$F:$F,Xero!$B:$B,Heron!J$9,Xero!$A:$A,Heron!$A$4,Xero!$E:$E,Heron!$A36)+SUMIFS(Xero!$F:$F,Xero!$B:$B,Heron!J$9,Xero!$A:$A,Heron!$A$5,Xero!$E:$E,Heron!$A36)</f>
        <v>0</v>
      </c>
      <c r="K36" s="99">
        <f>SUMIFS(Xero!$F:$F,Xero!$B:$B,Heron!K$9,Xero!$A:$A,Heron!$A$4,Xero!$E:$E,Heron!$A36)+SUMIFS(Xero!$F:$F,Xero!$B:$B,Heron!K$9,Xero!$A:$A,Heron!$A$5,Xero!$E:$E,Heron!$A36)</f>
        <v>0</v>
      </c>
      <c r="L36" s="99">
        <f>SUMIFS(Xero!$F:$F,Xero!$B:$B,Heron!L$9,Xero!$A:$A,Heron!$A$4,Xero!$E:$E,Heron!$A36)+SUMIFS(Xero!$F:$F,Xero!$B:$B,Heron!L$9,Xero!$A:$A,Heron!$A$5,Xero!$E:$E,Heron!$A36)</f>
        <v>0</v>
      </c>
      <c r="M36" s="99">
        <f>SUMIFS(Xero!$F:$F,Xero!$B:$B,Heron!M$9,Xero!$A:$A,Heron!$A$4,Xero!$E:$E,Heron!$A36)+SUMIFS(Xero!$F:$F,Xero!$B:$B,Heron!M$9,Xero!$A:$A,Heron!$A$5,Xero!$E:$E,Heron!$A36)</f>
        <v>0</v>
      </c>
      <c r="N36" s="99">
        <f>SUMIFS(Xero!$F:$F,Xero!$B:$B,Heron!N$9,Xero!$A:$A,Heron!$A$4,Xero!$E:$E,Heron!$A36)+SUMIFS(Xero!$F:$F,Xero!$B:$B,Heron!N$9,Xero!$A:$A,Heron!$A$5,Xero!$E:$E,Heron!$A36)</f>
        <v>0</v>
      </c>
      <c r="O36" s="99">
        <f>SUMIFS(Xero!$F:$F,Xero!$B:$B,Heron!O$9,Xero!$A:$A,Heron!$A$4,Xero!$E:$E,Heron!$A36)+SUMIFS(Xero!$F:$F,Xero!$B:$B,Heron!O$9,Xero!$A:$A,Heron!$A$5,Xero!$E:$E,Heron!$A36)</f>
        <v>0</v>
      </c>
      <c r="P36" s="99">
        <f>SUMIFS(Xero!$F:$F,Xero!$B:$B,Heron!P$9,Xero!$A:$A,Heron!$A$4,Xero!$E:$E,Heron!$A36)+SUMIFS(Xero!$F:$F,Xero!$B:$B,Heron!P$9,Xero!$A:$A,Heron!$A$5,Xero!$E:$E,Heron!$A36)</f>
        <v>0</v>
      </c>
      <c r="Q36" s="99">
        <f>SUMIFS(Xero!$F:$F,Xero!$B:$B,Heron!Q$9,Xero!$A:$A,Heron!$A$4,Xero!$E:$E,Heron!$A36)+SUMIFS(Xero!$F:$F,Xero!$B:$B,Heron!Q$9,Xero!$A:$A,Heron!$A$5,Xero!$E:$E,Heron!$A36)</f>
        <v>0</v>
      </c>
      <c r="R36" s="99">
        <f>SUMIFS(Xero!$F:$F,Xero!$B:$B,Heron!R$9,Xero!$A:$A,Heron!$A$4,Xero!$E:$E,Heron!$A36)+SUMIFS(Xero!$F:$F,Xero!$B:$B,Heron!R$9,Xero!$A:$A,Heron!$A$5,Xero!$E:$E,Heron!$A36)</f>
        <v>0</v>
      </c>
      <c r="S36" s="99">
        <f>SUMIFS(Xero!$F:$F,Xero!$B:$B,Heron!S$9,Xero!$A:$A,Heron!$A$4,Xero!$E:$E,Heron!$A36)+SUMIFS(Xero!$F:$F,Xero!$B:$B,Heron!S$9,Xero!$A:$A,Heron!$A$5,Xero!$E:$E,Heron!$A36)</f>
        <v>0</v>
      </c>
      <c r="T36" s="99">
        <f>SUMIFS(Xero!$F:$F,Xero!$B:$B,Heron!T$9,Xero!$A:$A,Heron!$A$4,Xero!$E:$E,Heron!$A36)+SUMIFS(Xero!$F:$F,Xero!$B:$B,Heron!T$9,Xero!$A:$A,Heron!$A$5,Xero!$E:$E,Heron!$A36)</f>
        <v>0</v>
      </c>
      <c r="U36" s="99">
        <f>SUMIFS(Xero!$F:$F,Xero!$B:$B,Heron!U$9,Xero!$A:$A,Heron!$A$4,Xero!$E:$E,Heron!$A36)+SUMIFS(Xero!$F:$F,Xero!$B:$B,Heron!U$9,Xero!$A:$A,Heron!$A$5,Xero!$E:$E,Heron!$A36)</f>
        <v>0</v>
      </c>
      <c r="V36" s="99">
        <f>SUMIFS(Xero!$F:$F,Xero!$B:$B,Heron!V$9,Xero!$A:$A,Heron!$A$4,Xero!$E:$E,Heron!$A36)+SUMIFS(Xero!$F:$F,Xero!$B:$B,Heron!V$9,Xero!$A:$A,Heron!$A$5,Xero!$E:$E,Heron!$A36)</f>
        <v>0</v>
      </c>
      <c r="W36" s="99">
        <f>SUMIFS(Xero!$F:$F,Xero!$B:$B,Heron!W$9,Xero!$A:$A,Heron!$A$4,Xero!$E:$E,Heron!$A36)+SUMIFS(Xero!$F:$F,Xero!$B:$B,Heron!W$9,Xero!$A:$A,Heron!$A$5,Xero!$E:$E,Heron!$A36)</f>
        <v>0</v>
      </c>
      <c r="X36" s="99">
        <f>SUMIFS(Xero!$F:$F,Xero!$B:$B,Heron!X$9,Xero!$A:$A,Heron!$A$4,Xero!$E:$E,Heron!$A36)+SUMIFS(Xero!$F:$F,Xero!$B:$B,Heron!X$9,Xero!$A:$A,Heron!$A$5,Xero!$E:$E,Heron!$A36)</f>
        <v>0</v>
      </c>
      <c r="Y36" s="99">
        <f>SUMIFS(Xero!$F:$F,Xero!$B:$B,Heron!Y$9,Xero!$A:$A,Heron!$A$4,Xero!$E:$E,Heron!$A36)+SUMIFS(Xero!$F:$F,Xero!$B:$B,Heron!Y$9,Xero!$A:$A,Heron!$A$5,Xero!$E:$E,Heron!$A36)</f>
        <v>0</v>
      </c>
      <c r="Z36" s="99">
        <f>SUMIFS(Xero!$F:$F,Xero!$B:$B,Heron!Z$9,Xero!$A:$A,Heron!$A$4,Xero!$E:$E,Heron!$A36)+SUMIFS(Xero!$F:$F,Xero!$B:$B,Heron!Z$9,Xero!$A:$A,Heron!$A$5,Xero!$E:$E,Heron!$A36)</f>
        <v>13500</v>
      </c>
      <c r="AA36" s="99">
        <f>SUMIFS(Xero!$F:$F,Xero!$B:$B,Heron!AA$9,Xero!$A:$A,Heron!$A$4,Xero!$E:$E,Heron!$A36)+SUMIFS(Xero!$F:$F,Xero!$B:$B,Heron!AA$9,Xero!$A:$A,Heron!$A$5,Xero!$E:$E,Heron!$A36)</f>
        <v>0</v>
      </c>
      <c r="AB36" s="99">
        <f>SUMIFS(Xero!$F:$F,Xero!$B:$B,Heron!AB$9,Xero!$A:$A,Heron!$A$4,Xero!$E:$E,Heron!$A36)+SUMIFS(Xero!$F:$F,Xero!$B:$B,Heron!AB$9,Xero!$A:$A,Heron!$A$5,Xero!$E:$E,Heron!$A36)</f>
        <v>0</v>
      </c>
      <c r="AC36" s="99">
        <f>SUMIFS(Xero!$F:$F,Xero!$B:$B,Heron!AC$9,Xero!$A:$A,Heron!$A$4,Xero!$E:$E,Heron!$A36)+SUMIFS(Xero!$F:$F,Xero!$B:$B,Heron!AC$9,Xero!$A:$A,Heron!$A$5,Xero!$E:$E,Heron!$A36)</f>
        <v>0</v>
      </c>
      <c r="AD36" s="99">
        <f>SUMIFS(Xero!$F:$F,Xero!$B:$B,Heron!AD$9,Xero!$A:$A,Heron!$A$4,Xero!$E:$E,Heron!$A36)+SUMIFS(Xero!$F:$F,Xero!$B:$B,Heron!AD$9,Xero!$A:$A,Heron!$A$5,Xero!$E:$E,Heron!$A36)</f>
        <v>0</v>
      </c>
      <c r="AE36" s="99">
        <f>SUMIFS(Xero!$F:$F,Xero!$B:$B,Heron!AE$9,Xero!$A:$A,Heron!$A$4,Xero!$E:$E,Heron!$A36)+SUMIFS(Xero!$F:$F,Xero!$B:$B,Heron!AE$9,Xero!$A:$A,Heron!$A$5,Xero!$E:$E,Heron!$A36)</f>
        <v>0</v>
      </c>
      <c r="AF36" s="99">
        <f>SUMIFS(Xero!$F:$F,Xero!$B:$B,Heron!AF$9,Xero!$A:$A,Heron!$A$4,Xero!$E:$E,Heron!$A36)+SUMIFS(Xero!$F:$F,Xero!$B:$B,Heron!AF$9,Xero!$A:$A,Heron!$A$5,Xero!$E:$E,Heron!$A36)</f>
        <v>0</v>
      </c>
      <c r="AG36" s="99">
        <f>SUMIFS(Xero!$F:$F,Xero!$B:$B,Heron!AG$9,Xero!$A:$A,Heron!$A$4,Xero!$E:$E,Heron!$A36)+SUMIFS(Xero!$F:$F,Xero!$B:$B,Heron!AG$9,Xero!$A:$A,Heron!$A$5,Xero!$E:$E,Heron!$A36)</f>
        <v>0</v>
      </c>
      <c r="AH36" s="99">
        <f>SUMIFS(Xero!$F:$F,Xero!$B:$B,Heron!AH$9,Xero!$A:$A,Heron!$A$4,Xero!$E:$E,Heron!$A36)+SUMIFS(Xero!$F:$F,Xero!$B:$B,Heron!AH$9,Xero!$A:$A,Heron!$A$5,Xero!$E:$E,Heron!$A36)</f>
        <v>0</v>
      </c>
      <c r="AI36" s="99">
        <f>SUMIFS(Xero!$F:$F,Xero!$B:$B,Heron!AI$9,Xero!$A:$A,Heron!$A$4,Xero!$E:$E,Heron!$A36)+SUMIFS(Xero!$F:$F,Xero!$B:$B,Heron!AI$9,Xero!$A:$A,Heron!$A$5,Xero!$E:$E,Heron!$A36)</f>
        <v>0</v>
      </c>
      <c r="AJ36" s="99">
        <f>SUMIFS(Xero!$F:$F,Xero!$B:$B,Heron!AJ$9,Xero!$A:$A,Heron!$A$4,Xero!$E:$E,Heron!$A36)+SUMIFS(Xero!$F:$F,Xero!$B:$B,Heron!AJ$9,Xero!$A:$A,Heron!$A$5,Xero!$E:$E,Heron!$A36)</f>
        <v>0</v>
      </c>
      <c r="AK36" s="99">
        <f>SUMIFS(Xero!$F:$F,Xero!$B:$B,Heron!AK$9,Xero!$A:$A,Heron!$A$4,Xero!$E:$E,Heron!$A36)+SUMIFS(Xero!$F:$F,Xero!$B:$B,Heron!AK$9,Xero!$A:$A,Heron!$A$5,Xero!$E:$E,Heron!$A36)</f>
        <v>0</v>
      </c>
      <c r="AL36" s="99">
        <f>SUMIFS(Xero!$F:$F,Xero!$B:$B,Heron!AL$9,Xero!$A:$A,Heron!$A$4,Xero!$E:$E,Heron!$A36)+SUMIFS(Xero!$F:$F,Xero!$B:$B,Heron!AL$9,Xero!$A:$A,Heron!$A$5,Xero!$E:$E,Heron!$A36)</f>
        <v>0</v>
      </c>
      <c r="AM36" s="99">
        <f>SUMIFS(Xero!$F:$F,Xero!$B:$B,Heron!AM$9,Xero!$A:$A,Heron!$A$4,Xero!$E:$E,Heron!$A36)+SUMIFS(Xero!$F:$F,Xero!$B:$B,Heron!AM$9,Xero!$A:$A,Heron!$A$5,Xero!$E:$E,Heron!$A36)</f>
        <v>0</v>
      </c>
      <c r="AN36" s="99">
        <f>SUMIFS(Xero!$F:$F,Xero!$B:$B,Heron!AN$9,Xero!$A:$A,Heron!$A$4,Xero!$E:$E,Heron!$A36)+SUMIFS(Xero!$F:$F,Xero!$B:$B,Heron!AN$9,Xero!$A:$A,Heron!$A$5,Xero!$E:$E,Heron!$A36)</f>
        <v>0</v>
      </c>
      <c r="AO36" s="99">
        <f>SUMIFS(Xero!$F:$F,Xero!$B:$B,Heron!AO$9,Xero!$A:$A,Heron!$A$4,Xero!$E:$E,Heron!$A36)+SUMIFS(Xero!$F:$F,Xero!$B:$B,Heron!AO$9,Xero!$A:$A,Heron!$A$5,Xero!$E:$E,Heron!$A36)</f>
        <v>0</v>
      </c>
      <c r="AP36" s="99">
        <f>SUMIFS(Xero!$F:$F,Xero!$B:$B,Heron!AP$9,Xero!$A:$A,Heron!$A$4,Xero!$E:$E,Heron!$A36)+SUMIFS(Xero!$F:$F,Xero!$B:$B,Heron!AP$9,Xero!$A:$A,Heron!$A$5,Xero!$E:$E,Heron!$A36)</f>
        <v>0</v>
      </c>
      <c r="AQ36" s="99">
        <f>SUMIFS(Xero!$F:$F,Xero!$B:$B,Heron!AQ$9,Xero!$A:$A,Heron!$A$4,Xero!$E:$E,Heron!$A36)+SUMIFS(Xero!$F:$F,Xero!$B:$B,Heron!AQ$9,Xero!$A:$A,Heron!$A$5,Xero!$E:$E,Heron!$A36)</f>
        <v>0</v>
      </c>
      <c r="AR36" s="99">
        <f>SUMIFS(Xero!$F:$F,Xero!$B:$B,Heron!AR$9,Xero!$A:$A,Heron!$A$4,Xero!$E:$E,Heron!$A36)+SUMIFS(Xero!$F:$F,Xero!$B:$B,Heron!AR$9,Xero!$A:$A,Heron!$A$5,Xero!$E:$E,Heron!$A36)</f>
        <v>0</v>
      </c>
      <c r="AS36" s="99">
        <f>SUMIFS(Xero!$F:$F,Xero!$B:$B,Heron!AS$9,Xero!$A:$A,Heron!$A$4,Xero!$E:$E,Heron!$A36)+SUMIFS(Xero!$F:$F,Xero!$B:$B,Heron!AS$9,Xero!$A:$A,Heron!$A$5,Xero!$E:$E,Heron!$A36)</f>
        <v>0</v>
      </c>
      <c r="AT36" s="99">
        <f>SUMIFS(Xero!$F:$F,Xero!$B:$B,Heron!AT$9,Xero!$A:$A,Heron!$A$4,Xero!$E:$E,Heron!$A36)+SUMIFS(Xero!$F:$F,Xero!$B:$B,Heron!AT$9,Xero!$A:$A,Heron!$A$5,Xero!$E:$E,Heron!$A36)</f>
        <v>0</v>
      </c>
      <c r="AU36" s="99">
        <f>SUMIFS(Xero!$F:$F,Xero!$B:$B,Heron!AU$9,Xero!$A:$A,Heron!$A$4,Xero!$E:$E,Heron!$A36)+SUMIFS(Xero!$F:$F,Xero!$B:$B,Heron!AU$9,Xero!$A:$A,Heron!$A$5,Xero!$E:$E,Heron!$A36)</f>
        <v>0</v>
      </c>
      <c r="AV36" s="99">
        <f>SUMIFS(Xero!$F:$F,Xero!$B:$B,Heron!AV$9,Xero!$A:$A,Heron!$A$4,Xero!$E:$E,Heron!$A36)+SUMIFS(Xero!$F:$F,Xero!$B:$B,Heron!AV$9,Xero!$A:$A,Heron!$A$5,Xero!$E:$E,Heron!$A36)</f>
        <v>0</v>
      </c>
      <c r="AW36" s="99">
        <f>SUMIFS(Xero!$F:$F,Xero!$B:$B,Heron!AW$9,Xero!$A:$A,Heron!$A$4,Xero!$E:$E,Heron!$A36)+SUMIFS(Xero!$F:$F,Xero!$B:$B,Heron!AW$9,Xero!$A:$A,Heron!$A$5,Xero!$E:$E,Heron!$A36)</f>
        <v>0</v>
      </c>
      <c r="AX36" s="99">
        <f>SUMIFS(Xero!$F:$F,Xero!$B:$B,Heron!AX$9,Xero!$A:$A,Heron!$A$4,Xero!$E:$E,Heron!$A36)+SUMIFS(Xero!$F:$F,Xero!$B:$B,Heron!AX$9,Xero!$A:$A,Heron!$A$5,Xero!$E:$E,Heron!$A36)</f>
        <v>0</v>
      </c>
      <c r="AY36" s="99">
        <f>SUMIFS(Xero!$F:$F,Xero!$B:$B,Heron!AY$9,Xero!$A:$A,Heron!$A$4,Xero!$E:$E,Heron!$A36)+SUMIFS(Xero!$F:$F,Xero!$B:$B,Heron!AY$9,Xero!$A:$A,Heron!$A$5,Xero!$E:$E,Heron!$A36)</f>
        <v>0</v>
      </c>
      <c r="AZ36" s="99">
        <f>SUMIFS(Xero!$F:$F,Xero!$B:$B,Heron!AZ$9,Xero!$A:$A,Heron!$A$4,Xero!$E:$E,Heron!$A36)+SUMIFS(Xero!$F:$F,Xero!$B:$B,Heron!AZ$9,Xero!$A:$A,Heron!$A$5,Xero!$E:$E,Heron!$A36)</f>
        <v>0</v>
      </c>
      <c r="BA36" s="99">
        <f>SUMIFS(Xero!$F:$F,Xero!$B:$B,Heron!BA$9,Xero!$A:$A,Heron!$A$4,Xero!$E:$E,Heron!$A36)+SUMIFS(Xero!$F:$F,Xero!$B:$B,Heron!BA$9,Xero!$A:$A,Heron!$A$5,Xero!$E:$E,Heron!$A36)</f>
        <v>0</v>
      </c>
      <c r="BB36" s="99">
        <f>SUMIFS(Xero!$F:$F,Xero!$B:$B,Heron!BB$9,Xero!$A:$A,Heron!$A$4,Xero!$E:$E,Heron!$A36)+SUMIFS(Xero!$F:$F,Xero!$B:$B,Heron!BB$9,Xero!$A:$A,Heron!$A$5,Xero!$E:$E,Heron!$A36)</f>
        <v>0</v>
      </c>
      <c r="BC36" s="99">
        <f>SUMIFS(Xero!$F:$F,Xero!$B:$B,Heron!BC$9,Xero!$A:$A,Heron!$A$4,Xero!$E:$E,Heron!$A36)+SUMIFS(Xero!$F:$F,Xero!$B:$B,Heron!BC$9,Xero!$A:$A,Heron!$A$5,Xero!$E:$E,Heron!$A36)</f>
        <v>0</v>
      </c>
      <c r="BD36" s="99">
        <f>SUMIFS(Xero!$F:$F,Xero!$B:$B,Heron!BD$9,Xero!$A:$A,Heron!$A$4,Xero!$E:$E,Heron!$A36)+SUMIFS(Xero!$F:$F,Xero!$B:$B,Heron!BD$9,Xero!$A:$A,Heron!$A$5,Xero!$E:$E,Heron!$A36)</f>
        <v>0</v>
      </c>
      <c r="BE36" s="99">
        <f>SUMIFS(Xero!$F:$F,Xero!$B:$B,Heron!BE$9,Xero!$A:$A,Heron!$A$4,Xero!$E:$E,Heron!$A36)+SUMIFS(Xero!$F:$F,Xero!$B:$B,Heron!BE$9,Xero!$A:$A,Heron!$A$5,Xero!$E:$E,Heron!$A36)</f>
        <v>0</v>
      </c>
      <c r="BF36" s="99">
        <f>SUMIFS(Xero!$F:$F,Xero!$B:$B,Heron!BF$9,Xero!$A:$A,Heron!$A$4,Xero!$E:$E,Heron!$A36)+SUMIFS(Xero!$F:$F,Xero!$B:$B,Heron!BF$9,Xero!$A:$A,Heron!$A$5,Xero!$E:$E,Heron!$A36)</f>
        <v>0</v>
      </c>
      <c r="BG36" s="99">
        <f>SUMIFS(Xero!$F:$F,Xero!$B:$B,Heron!BG$9,Xero!$A:$A,Heron!$A$4,Xero!$E:$E,Heron!$A36)+SUMIFS(Xero!$F:$F,Xero!$B:$B,Heron!BG$9,Xero!$A:$A,Heron!$A$5,Xero!$E:$E,Heron!$A36)</f>
        <v>0</v>
      </c>
      <c r="BH36" s="99">
        <f>SUMIFS(Xero!$F:$F,Xero!$B:$B,Heron!BH$9,Xero!$A:$A,Heron!$A$4,Xero!$E:$E,Heron!$A36)+SUMIFS(Xero!$F:$F,Xero!$B:$B,Heron!BH$9,Xero!$A:$A,Heron!$A$5,Xero!$E:$E,Heron!$A36)</f>
        <v>0</v>
      </c>
      <c r="BI36" s="99">
        <f>SUMIFS(Xero!$F:$F,Xero!$B:$B,Heron!BI$9,Xero!$A:$A,Heron!$A$4,Xero!$E:$E,Heron!$A36)+SUMIFS(Xero!$F:$F,Xero!$B:$B,Heron!BI$9,Xero!$A:$A,Heron!$A$5,Xero!$E:$E,Heron!$A36)</f>
        <v>0</v>
      </c>
      <c r="BJ36" s="99">
        <f>SUMIFS(Xero!$F:$F,Xero!$B:$B,Heron!BJ$9,Xero!$A:$A,Heron!$A$4,Xero!$E:$E,Heron!$A36)+SUMIFS(Xero!$F:$F,Xero!$B:$B,Heron!BJ$9,Xero!$A:$A,Heron!$A$5,Xero!$E:$E,Heron!$A36)</f>
        <v>0</v>
      </c>
      <c r="BK36" s="99">
        <f t="shared" si="4"/>
        <v>13500</v>
      </c>
    </row>
    <row r="37" spans="1:63" ht="16" x14ac:dyDescent="0.2">
      <c r="A37" s="98" t="s">
        <v>1145</v>
      </c>
      <c r="D37" s="99">
        <f>SUMIFS(Xero!$F:$F,Xero!$B:$B,Heron!D$9,Xero!$A:$A,Heron!$A$4,Xero!$E:$E,Heron!$A37)+SUMIFS(Xero!$F:$F,Xero!$B:$B,Heron!D$9,Xero!$A:$A,Heron!$A$5,Xero!$E:$E,Heron!$A37)</f>
        <v>0</v>
      </c>
      <c r="E37" s="99">
        <f>SUMIFS(Xero!$F:$F,Xero!$B:$B,Heron!E$9,Xero!$A:$A,Heron!$A$4,Xero!$E:$E,Heron!$A37)+SUMIFS(Xero!$F:$F,Xero!$B:$B,Heron!E$9,Xero!$A:$A,Heron!$A$5,Xero!$E:$E,Heron!$A37)</f>
        <v>0</v>
      </c>
      <c r="F37" s="99">
        <f>SUMIFS(Xero!$F:$F,Xero!$B:$B,Heron!F$9,Xero!$A:$A,Heron!$A$4,Xero!$E:$E,Heron!$A37)+SUMIFS(Xero!$F:$F,Xero!$B:$B,Heron!F$9,Xero!$A:$A,Heron!$A$5,Xero!$E:$E,Heron!$A37)</f>
        <v>0</v>
      </c>
      <c r="G37" s="99">
        <f>SUMIFS(Xero!$F:$F,Xero!$B:$B,Heron!G$9,Xero!$A:$A,Heron!$A$4,Xero!$E:$E,Heron!$A37)+SUMIFS(Xero!$F:$F,Xero!$B:$B,Heron!G$9,Xero!$A:$A,Heron!$A$5,Xero!$E:$E,Heron!$A37)</f>
        <v>0</v>
      </c>
      <c r="H37" s="99">
        <f>SUMIFS(Xero!$F:$F,Xero!$B:$B,Heron!H$9,Xero!$A:$A,Heron!$A$4,Xero!$E:$E,Heron!$A37)+SUMIFS(Xero!$F:$F,Xero!$B:$B,Heron!H$9,Xero!$A:$A,Heron!$A$5,Xero!$E:$E,Heron!$A37)</f>
        <v>0</v>
      </c>
      <c r="I37" s="99">
        <f>SUMIFS(Xero!$F:$F,Xero!$B:$B,Heron!I$9,Xero!$A:$A,Heron!$A$4,Xero!$E:$E,Heron!$A37)+SUMIFS(Xero!$F:$F,Xero!$B:$B,Heron!I$9,Xero!$A:$A,Heron!$A$5,Xero!$E:$E,Heron!$A37)</f>
        <v>0</v>
      </c>
      <c r="J37" s="99">
        <f>SUMIFS(Xero!$F:$F,Xero!$B:$B,Heron!J$9,Xero!$A:$A,Heron!$A$4,Xero!$E:$E,Heron!$A37)+SUMIFS(Xero!$F:$F,Xero!$B:$B,Heron!J$9,Xero!$A:$A,Heron!$A$5,Xero!$E:$E,Heron!$A37)</f>
        <v>0</v>
      </c>
      <c r="K37" s="99">
        <f>SUMIFS(Xero!$F:$F,Xero!$B:$B,Heron!K$9,Xero!$A:$A,Heron!$A$4,Xero!$E:$E,Heron!$A37)+SUMIFS(Xero!$F:$F,Xero!$B:$B,Heron!K$9,Xero!$A:$A,Heron!$A$5,Xero!$E:$E,Heron!$A37)</f>
        <v>0</v>
      </c>
      <c r="L37" s="99">
        <f>SUMIFS(Xero!$F:$F,Xero!$B:$B,Heron!L$9,Xero!$A:$A,Heron!$A$4,Xero!$E:$E,Heron!$A37)+SUMIFS(Xero!$F:$F,Xero!$B:$B,Heron!L$9,Xero!$A:$A,Heron!$A$5,Xero!$E:$E,Heron!$A37)</f>
        <v>32400</v>
      </c>
      <c r="M37" s="99">
        <f>SUMIFS(Xero!$F:$F,Xero!$B:$B,Heron!M$9,Xero!$A:$A,Heron!$A$4,Xero!$E:$E,Heron!$A37)+SUMIFS(Xero!$F:$F,Xero!$B:$B,Heron!M$9,Xero!$A:$A,Heron!$A$5,Xero!$E:$E,Heron!$A37)</f>
        <v>10800</v>
      </c>
      <c r="N37" s="99">
        <f>SUMIFS(Xero!$F:$F,Xero!$B:$B,Heron!N$9,Xero!$A:$A,Heron!$A$4,Xero!$E:$E,Heron!$A37)+SUMIFS(Xero!$F:$F,Xero!$B:$B,Heron!N$9,Xero!$A:$A,Heron!$A$5,Xero!$E:$E,Heron!$A37)</f>
        <v>10800</v>
      </c>
      <c r="O37" s="99">
        <f>SUMIFS(Xero!$F:$F,Xero!$B:$B,Heron!O$9,Xero!$A:$A,Heron!$A$4,Xero!$E:$E,Heron!$A37)+SUMIFS(Xero!$F:$F,Xero!$B:$B,Heron!O$9,Xero!$A:$A,Heron!$A$5,Xero!$E:$E,Heron!$A37)</f>
        <v>10800</v>
      </c>
      <c r="P37" s="99">
        <f>SUMIFS(Xero!$F:$F,Xero!$B:$B,Heron!P$9,Xero!$A:$A,Heron!$A$4,Xero!$E:$E,Heron!$A37)+SUMIFS(Xero!$F:$F,Xero!$B:$B,Heron!P$9,Xero!$A:$A,Heron!$A$5,Xero!$E:$E,Heron!$A37)</f>
        <v>0</v>
      </c>
      <c r="Q37" s="99">
        <f>SUMIFS(Xero!$F:$F,Xero!$B:$B,Heron!Q$9,Xero!$A:$A,Heron!$A$4,Xero!$E:$E,Heron!$A37)+SUMIFS(Xero!$F:$F,Xero!$B:$B,Heron!Q$9,Xero!$A:$A,Heron!$A$5,Xero!$E:$E,Heron!$A37)</f>
        <v>23112</v>
      </c>
      <c r="R37" s="99">
        <f>SUMIFS(Xero!$F:$F,Xero!$B:$B,Heron!R$9,Xero!$A:$A,Heron!$A$4,Xero!$E:$E,Heron!$A37)+SUMIFS(Xero!$F:$F,Xero!$B:$B,Heron!R$9,Xero!$A:$A,Heron!$A$5,Xero!$E:$E,Heron!$A37)</f>
        <v>11556</v>
      </c>
      <c r="S37" s="99">
        <f>SUMIFS(Xero!$F:$F,Xero!$B:$B,Heron!S$9,Xero!$A:$A,Heron!$A$4,Xero!$E:$E,Heron!$A37)+SUMIFS(Xero!$F:$F,Xero!$B:$B,Heron!S$9,Xero!$A:$A,Heron!$A$5,Xero!$E:$E,Heron!$A37)</f>
        <v>11556</v>
      </c>
      <c r="T37" s="99">
        <f>SUMIFS(Xero!$F:$F,Xero!$B:$B,Heron!T$9,Xero!$A:$A,Heron!$A$4,Xero!$E:$E,Heron!$A37)+SUMIFS(Xero!$F:$F,Xero!$B:$B,Heron!T$9,Xero!$A:$A,Heron!$A$5,Xero!$E:$E,Heron!$A37)</f>
        <v>11556</v>
      </c>
      <c r="U37" s="99">
        <f>SUMIFS(Xero!$F:$F,Xero!$B:$B,Heron!U$9,Xero!$A:$A,Heron!$A$4,Xero!$E:$E,Heron!$A37)+SUMIFS(Xero!$F:$F,Xero!$B:$B,Heron!U$9,Xero!$A:$A,Heron!$A$5,Xero!$E:$E,Heron!$A37)</f>
        <v>11556</v>
      </c>
      <c r="V37" s="99">
        <f>SUMIFS(Xero!$F:$F,Xero!$B:$B,Heron!V$9,Xero!$A:$A,Heron!$A$4,Xero!$E:$E,Heron!$A37)+SUMIFS(Xero!$F:$F,Xero!$B:$B,Heron!V$9,Xero!$A:$A,Heron!$A$5,Xero!$E:$E,Heron!$A37)</f>
        <v>11556</v>
      </c>
      <c r="W37" s="99">
        <f>SUMIFS(Xero!$F:$F,Xero!$B:$B,Heron!W$9,Xero!$A:$A,Heron!$A$4,Xero!$E:$E,Heron!$A37)+SUMIFS(Xero!$F:$F,Xero!$B:$B,Heron!W$9,Xero!$A:$A,Heron!$A$5,Xero!$E:$E,Heron!$A37)</f>
        <v>11556</v>
      </c>
      <c r="X37" s="99">
        <f>SUMIFS(Xero!$F:$F,Xero!$B:$B,Heron!X$9,Xero!$A:$A,Heron!$A$4,Xero!$E:$E,Heron!$A37)+SUMIFS(Xero!$F:$F,Xero!$B:$B,Heron!X$9,Xero!$A:$A,Heron!$A$5,Xero!$E:$E,Heron!$A37)</f>
        <v>11556</v>
      </c>
      <c r="Y37" s="99">
        <f>SUMIFS(Xero!$F:$F,Xero!$B:$B,Heron!Y$9,Xero!$A:$A,Heron!$A$4,Xero!$E:$E,Heron!$A37)+SUMIFS(Xero!$F:$F,Xero!$B:$B,Heron!Y$9,Xero!$A:$A,Heron!$A$5,Xero!$E:$E,Heron!$A37)</f>
        <v>11556</v>
      </c>
      <c r="Z37" s="99">
        <f>SUMIFS(Xero!$F:$F,Xero!$B:$B,Heron!Z$9,Xero!$A:$A,Heron!$A$4,Xero!$E:$E,Heron!$A37)+SUMIFS(Xero!$F:$F,Xero!$B:$B,Heron!Z$9,Xero!$A:$A,Heron!$A$5,Xero!$E:$E,Heron!$A37)</f>
        <v>11556</v>
      </c>
      <c r="AA37" s="99">
        <f>SUMIFS(Xero!$F:$F,Xero!$B:$B,Heron!AA$9,Xero!$A:$A,Heron!$A$4,Xero!$E:$E,Heron!$A37)+SUMIFS(Xero!$F:$F,Xero!$B:$B,Heron!AA$9,Xero!$A:$A,Heron!$A$5,Xero!$E:$E,Heron!$A37)</f>
        <v>11556</v>
      </c>
      <c r="AB37" s="99">
        <f>SUMIFS(Xero!$F:$F,Xero!$B:$B,Heron!AB$9,Xero!$A:$A,Heron!$A$4,Xero!$E:$E,Heron!$A37)+SUMIFS(Xero!$F:$F,Xero!$B:$B,Heron!AB$9,Xero!$A:$A,Heron!$A$5,Xero!$E:$E,Heron!$A37)</f>
        <v>0</v>
      </c>
      <c r="AC37" s="99">
        <f>SUMIFS(Xero!$F:$F,Xero!$B:$B,Heron!AC$9,Xero!$A:$A,Heron!$A$4,Xero!$E:$E,Heron!$A37)+SUMIFS(Xero!$F:$F,Xero!$B:$B,Heron!AC$9,Xero!$A:$A,Heron!$A$5,Xero!$E:$E,Heron!$A37)</f>
        <v>24960</v>
      </c>
      <c r="AD37" s="99">
        <f>SUMIFS(Xero!$F:$F,Xero!$B:$B,Heron!AD$9,Xero!$A:$A,Heron!$A$4,Xero!$E:$E,Heron!$A37)+SUMIFS(Xero!$F:$F,Xero!$B:$B,Heron!AD$9,Xero!$A:$A,Heron!$A$5,Xero!$E:$E,Heron!$A37)</f>
        <v>-12480</v>
      </c>
      <c r="AE37" s="99">
        <f>SUMIFS(Xero!$F:$F,Xero!$B:$B,Heron!AE$9,Xero!$A:$A,Heron!$A$4,Xero!$E:$E,Heron!$A37)+SUMIFS(Xero!$F:$F,Xero!$B:$B,Heron!AE$9,Xero!$A:$A,Heron!$A$5,Xero!$E:$E,Heron!$A37)</f>
        <v>0</v>
      </c>
      <c r="AF37" s="99">
        <f>SUMIFS(Xero!$F:$F,Xero!$B:$B,Heron!AF$9,Xero!$A:$A,Heron!$A$4,Xero!$E:$E,Heron!$A37)+SUMIFS(Xero!$F:$F,Xero!$B:$B,Heron!AF$9,Xero!$A:$A,Heron!$A$5,Xero!$E:$E,Heron!$A37)</f>
        <v>0</v>
      </c>
      <c r="AG37" s="99">
        <f>SUMIFS(Xero!$F:$F,Xero!$B:$B,Heron!AG$9,Xero!$A:$A,Heron!$A$4,Xero!$E:$E,Heron!$A37)+SUMIFS(Xero!$F:$F,Xero!$B:$B,Heron!AG$9,Xero!$A:$A,Heron!$A$5,Xero!$E:$E,Heron!$A37)</f>
        <v>0</v>
      </c>
      <c r="AH37" s="99">
        <f>SUMIFS(Xero!$F:$F,Xero!$B:$B,Heron!AH$9,Xero!$A:$A,Heron!$A$4,Xero!$E:$E,Heron!$A37)+SUMIFS(Xero!$F:$F,Xero!$B:$B,Heron!AH$9,Xero!$A:$A,Heron!$A$5,Xero!$E:$E,Heron!$A37)</f>
        <v>0</v>
      </c>
      <c r="AI37" s="99">
        <f>SUMIFS(Xero!$F:$F,Xero!$B:$B,Heron!AI$9,Xero!$A:$A,Heron!$A$4,Xero!$E:$E,Heron!$A37)+SUMIFS(Xero!$F:$F,Xero!$B:$B,Heron!AI$9,Xero!$A:$A,Heron!$A$5,Xero!$E:$E,Heron!$A37)</f>
        <v>0</v>
      </c>
      <c r="AJ37" s="99">
        <f>SUMIFS(Xero!$F:$F,Xero!$B:$B,Heron!AJ$9,Xero!$A:$A,Heron!$A$4,Xero!$E:$E,Heron!$A37)+SUMIFS(Xero!$F:$F,Xero!$B:$B,Heron!AJ$9,Xero!$A:$A,Heron!$A$5,Xero!$E:$E,Heron!$A37)</f>
        <v>0</v>
      </c>
      <c r="AK37" s="99">
        <f>SUMIFS(Xero!$F:$F,Xero!$B:$B,Heron!AK$9,Xero!$A:$A,Heron!$A$4,Xero!$E:$E,Heron!$A37)+SUMIFS(Xero!$F:$F,Xero!$B:$B,Heron!AK$9,Xero!$A:$A,Heron!$A$5,Xero!$E:$E,Heron!$A37)</f>
        <v>0</v>
      </c>
      <c r="AL37" s="99">
        <f>SUMIFS(Xero!$F:$F,Xero!$B:$B,Heron!AL$9,Xero!$A:$A,Heron!$A$4,Xero!$E:$E,Heron!$A37)+SUMIFS(Xero!$F:$F,Xero!$B:$B,Heron!AL$9,Xero!$A:$A,Heron!$A$5,Xero!$E:$E,Heron!$A37)</f>
        <v>0</v>
      </c>
      <c r="AM37" s="99">
        <f>SUMIFS(Xero!$F:$F,Xero!$B:$B,Heron!AM$9,Xero!$A:$A,Heron!$A$4,Xero!$E:$E,Heron!$A37)+SUMIFS(Xero!$F:$F,Xero!$B:$B,Heron!AM$9,Xero!$A:$A,Heron!$A$5,Xero!$E:$E,Heron!$A37)</f>
        <v>0</v>
      </c>
      <c r="AN37" s="99">
        <f>SUMIFS(Xero!$F:$F,Xero!$B:$B,Heron!AN$9,Xero!$A:$A,Heron!$A$4,Xero!$E:$E,Heron!$A37)+SUMIFS(Xero!$F:$F,Xero!$B:$B,Heron!AN$9,Xero!$A:$A,Heron!$A$5,Xero!$E:$E,Heron!$A37)</f>
        <v>0</v>
      </c>
      <c r="AO37" s="99">
        <f>SUMIFS(Xero!$F:$F,Xero!$B:$B,Heron!AO$9,Xero!$A:$A,Heron!$A$4,Xero!$E:$E,Heron!$A37)+SUMIFS(Xero!$F:$F,Xero!$B:$B,Heron!AO$9,Xero!$A:$A,Heron!$A$5,Xero!$E:$E,Heron!$A37)</f>
        <v>0</v>
      </c>
      <c r="AP37" s="99">
        <f>SUMIFS(Xero!$F:$F,Xero!$B:$B,Heron!AP$9,Xero!$A:$A,Heron!$A$4,Xero!$E:$E,Heron!$A37)+SUMIFS(Xero!$F:$F,Xero!$B:$B,Heron!AP$9,Xero!$A:$A,Heron!$A$5,Xero!$E:$E,Heron!$A37)</f>
        <v>0</v>
      </c>
      <c r="AQ37" s="99">
        <f>SUMIFS(Xero!$F:$F,Xero!$B:$B,Heron!AQ$9,Xero!$A:$A,Heron!$A$4,Xero!$E:$E,Heron!$A37)+SUMIFS(Xero!$F:$F,Xero!$B:$B,Heron!AQ$9,Xero!$A:$A,Heron!$A$5,Xero!$E:$E,Heron!$A37)</f>
        <v>0</v>
      </c>
      <c r="AR37" s="99">
        <f>SUMIFS(Xero!$F:$F,Xero!$B:$B,Heron!AR$9,Xero!$A:$A,Heron!$A$4,Xero!$E:$E,Heron!$A37)+SUMIFS(Xero!$F:$F,Xero!$B:$B,Heron!AR$9,Xero!$A:$A,Heron!$A$5,Xero!$E:$E,Heron!$A37)</f>
        <v>0</v>
      </c>
      <c r="AS37" s="99">
        <f>SUMIFS(Xero!$F:$F,Xero!$B:$B,Heron!AS$9,Xero!$A:$A,Heron!$A$4,Xero!$E:$E,Heron!$A37)+SUMIFS(Xero!$F:$F,Xero!$B:$B,Heron!AS$9,Xero!$A:$A,Heron!$A$5,Xero!$E:$E,Heron!$A37)</f>
        <v>0</v>
      </c>
      <c r="AT37" s="99">
        <f>SUMIFS(Xero!$F:$F,Xero!$B:$B,Heron!AT$9,Xero!$A:$A,Heron!$A$4,Xero!$E:$E,Heron!$A37)+SUMIFS(Xero!$F:$F,Xero!$B:$B,Heron!AT$9,Xero!$A:$A,Heron!$A$5,Xero!$E:$E,Heron!$A37)</f>
        <v>0</v>
      </c>
      <c r="AU37" s="99">
        <f>SUMIFS(Xero!$F:$F,Xero!$B:$B,Heron!AU$9,Xero!$A:$A,Heron!$A$4,Xero!$E:$E,Heron!$A37)+SUMIFS(Xero!$F:$F,Xero!$B:$B,Heron!AU$9,Xero!$A:$A,Heron!$A$5,Xero!$E:$E,Heron!$A37)</f>
        <v>0</v>
      </c>
      <c r="AV37" s="99">
        <f>SUMIFS(Xero!$F:$F,Xero!$B:$B,Heron!AV$9,Xero!$A:$A,Heron!$A$4,Xero!$E:$E,Heron!$A37)+SUMIFS(Xero!$F:$F,Xero!$B:$B,Heron!AV$9,Xero!$A:$A,Heron!$A$5,Xero!$E:$E,Heron!$A37)</f>
        <v>0</v>
      </c>
      <c r="AW37" s="99">
        <f>SUMIFS(Xero!$F:$F,Xero!$B:$B,Heron!AW$9,Xero!$A:$A,Heron!$A$4,Xero!$E:$E,Heron!$A37)+SUMIFS(Xero!$F:$F,Xero!$B:$B,Heron!AW$9,Xero!$A:$A,Heron!$A$5,Xero!$E:$E,Heron!$A37)</f>
        <v>0</v>
      </c>
      <c r="AX37" s="99">
        <f>SUMIFS(Xero!$F:$F,Xero!$B:$B,Heron!AX$9,Xero!$A:$A,Heron!$A$4,Xero!$E:$E,Heron!$A37)+SUMIFS(Xero!$F:$F,Xero!$B:$B,Heron!AX$9,Xero!$A:$A,Heron!$A$5,Xero!$E:$E,Heron!$A37)</f>
        <v>0</v>
      </c>
      <c r="AY37" s="99">
        <f>SUMIFS(Xero!$F:$F,Xero!$B:$B,Heron!AY$9,Xero!$A:$A,Heron!$A$4,Xero!$E:$E,Heron!$A37)+SUMIFS(Xero!$F:$F,Xero!$B:$B,Heron!AY$9,Xero!$A:$A,Heron!$A$5,Xero!$E:$E,Heron!$A37)</f>
        <v>0</v>
      </c>
      <c r="AZ37" s="99">
        <f>SUMIFS(Xero!$F:$F,Xero!$B:$B,Heron!AZ$9,Xero!$A:$A,Heron!$A$4,Xero!$E:$E,Heron!$A37)+SUMIFS(Xero!$F:$F,Xero!$B:$B,Heron!AZ$9,Xero!$A:$A,Heron!$A$5,Xero!$E:$E,Heron!$A37)</f>
        <v>0</v>
      </c>
      <c r="BA37" s="99">
        <f>SUMIFS(Xero!$F:$F,Xero!$B:$B,Heron!BA$9,Xero!$A:$A,Heron!$A$4,Xero!$E:$E,Heron!$A37)+SUMIFS(Xero!$F:$F,Xero!$B:$B,Heron!BA$9,Xero!$A:$A,Heron!$A$5,Xero!$E:$E,Heron!$A37)</f>
        <v>0</v>
      </c>
      <c r="BB37" s="99">
        <f>SUMIFS(Xero!$F:$F,Xero!$B:$B,Heron!BB$9,Xero!$A:$A,Heron!$A$4,Xero!$E:$E,Heron!$A37)+SUMIFS(Xero!$F:$F,Xero!$B:$B,Heron!BB$9,Xero!$A:$A,Heron!$A$5,Xero!$E:$E,Heron!$A37)</f>
        <v>0</v>
      </c>
      <c r="BC37" s="99">
        <f>SUMIFS(Xero!$F:$F,Xero!$B:$B,Heron!BC$9,Xero!$A:$A,Heron!$A$4,Xero!$E:$E,Heron!$A37)+SUMIFS(Xero!$F:$F,Xero!$B:$B,Heron!BC$9,Xero!$A:$A,Heron!$A$5,Xero!$E:$E,Heron!$A37)</f>
        <v>0</v>
      </c>
      <c r="BD37" s="99">
        <f>SUMIFS(Xero!$F:$F,Xero!$B:$B,Heron!BD$9,Xero!$A:$A,Heron!$A$4,Xero!$E:$E,Heron!$A37)+SUMIFS(Xero!$F:$F,Xero!$B:$B,Heron!BD$9,Xero!$A:$A,Heron!$A$5,Xero!$E:$E,Heron!$A37)</f>
        <v>0</v>
      </c>
      <c r="BE37" s="99">
        <f>SUMIFS(Xero!$F:$F,Xero!$B:$B,Heron!BE$9,Xero!$A:$A,Heron!$A$4,Xero!$E:$E,Heron!$A37)+SUMIFS(Xero!$F:$F,Xero!$B:$B,Heron!BE$9,Xero!$A:$A,Heron!$A$5,Xero!$E:$E,Heron!$A37)</f>
        <v>0</v>
      </c>
      <c r="BF37" s="99">
        <f>SUMIFS(Xero!$F:$F,Xero!$B:$B,Heron!BF$9,Xero!$A:$A,Heron!$A$4,Xero!$E:$E,Heron!$A37)+SUMIFS(Xero!$F:$F,Xero!$B:$B,Heron!BF$9,Xero!$A:$A,Heron!$A$5,Xero!$E:$E,Heron!$A37)</f>
        <v>0</v>
      </c>
      <c r="BG37" s="99">
        <f>SUMIFS(Xero!$F:$F,Xero!$B:$B,Heron!BG$9,Xero!$A:$A,Heron!$A$4,Xero!$E:$E,Heron!$A37)+SUMIFS(Xero!$F:$F,Xero!$B:$B,Heron!BG$9,Xero!$A:$A,Heron!$A$5,Xero!$E:$E,Heron!$A37)</f>
        <v>0</v>
      </c>
      <c r="BH37" s="99">
        <f>SUMIFS(Xero!$F:$F,Xero!$B:$B,Heron!BH$9,Xero!$A:$A,Heron!$A$4,Xero!$E:$E,Heron!$A37)+SUMIFS(Xero!$F:$F,Xero!$B:$B,Heron!BH$9,Xero!$A:$A,Heron!$A$5,Xero!$E:$E,Heron!$A37)</f>
        <v>0</v>
      </c>
      <c r="BI37" s="99">
        <f>SUMIFS(Xero!$F:$F,Xero!$B:$B,Heron!BI$9,Xero!$A:$A,Heron!$A$4,Xero!$E:$E,Heron!$A37)+SUMIFS(Xero!$F:$F,Xero!$B:$B,Heron!BI$9,Xero!$A:$A,Heron!$A$5,Xero!$E:$E,Heron!$A37)</f>
        <v>0</v>
      </c>
      <c r="BJ37" s="99">
        <f>SUMIFS(Xero!$F:$F,Xero!$B:$B,Heron!BJ$9,Xero!$A:$A,Heron!$A$4,Xero!$E:$E,Heron!$A37)+SUMIFS(Xero!$F:$F,Xero!$B:$B,Heron!BJ$9,Xero!$A:$A,Heron!$A$5,Xero!$E:$E,Heron!$A37)</f>
        <v>0</v>
      </c>
      <c r="BK37" s="99">
        <f t="shared" si="4"/>
        <v>215952</v>
      </c>
    </row>
    <row r="38" spans="1:63" ht="16" x14ac:dyDescent="0.2">
      <c r="A38" s="98" t="s">
        <v>1117</v>
      </c>
      <c r="D38" s="99">
        <f>SUMIFS(Xero!$F:$F,Xero!$B:$B,Heron!D$9,Xero!$A:$A,Heron!$A$4,Xero!$E:$E,Heron!$A38)+SUMIFS(Xero!$F:$F,Xero!$B:$B,Heron!D$9,Xero!$A:$A,Heron!$A$5,Xero!$E:$E,Heron!$A38)</f>
        <v>0</v>
      </c>
      <c r="E38" s="99">
        <f>SUMIFS(Xero!$F:$F,Xero!$B:$B,Heron!E$9,Xero!$A:$A,Heron!$A$4,Xero!$E:$E,Heron!$A38)+SUMIFS(Xero!$F:$F,Xero!$B:$B,Heron!E$9,Xero!$A:$A,Heron!$A$5,Xero!$E:$E,Heron!$A38)</f>
        <v>0</v>
      </c>
      <c r="F38" s="99">
        <f>SUMIFS(Xero!$F:$F,Xero!$B:$B,Heron!F$9,Xero!$A:$A,Heron!$A$4,Xero!$E:$E,Heron!$A38)+SUMIFS(Xero!$F:$F,Xero!$B:$B,Heron!F$9,Xero!$A:$A,Heron!$A$5,Xero!$E:$E,Heron!$A38)</f>
        <v>0</v>
      </c>
      <c r="G38" s="99">
        <f>SUMIFS(Xero!$F:$F,Xero!$B:$B,Heron!G$9,Xero!$A:$A,Heron!$A$4,Xero!$E:$E,Heron!$A38)+SUMIFS(Xero!$F:$F,Xero!$B:$B,Heron!G$9,Xero!$A:$A,Heron!$A$5,Xero!$E:$E,Heron!$A38)</f>
        <v>0</v>
      </c>
      <c r="H38" s="99">
        <f>SUMIFS(Xero!$F:$F,Xero!$B:$B,Heron!H$9,Xero!$A:$A,Heron!$A$4,Xero!$E:$E,Heron!$A38)+SUMIFS(Xero!$F:$F,Xero!$B:$B,Heron!H$9,Xero!$A:$A,Heron!$A$5,Xero!$E:$E,Heron!$A38)</f>
        <v>0</v>
      </c>
      <c r="I38" s="99">
        <f>SUMIFS(Xero!$F:$F,Xero!$B:$B,Heron!I$9,Xero!$A:$A,Heron!$A$4,Xero!$E:$E,Heron!$A38)+SUMIFS(Xero!$F:$F,Xero!$B:$B,Heron!I$9,Xero!$A:$A,Heron!$A$5,Xero!$E:$E,Heron!$A38)</f>
        <v>0</v>
      </c>
      <c r="J38" s="99">
        <f>SUMIFS(Xero!$F:$F,Xero!$B:$B,Heron!J$9,Xero!$A:$A,Heron!$A$4,Xero!$E:$E,Heron!$A38)+SUMIFS(Xero!$F:$F,Xero!$B:$B,Heron!J$9,Xero!$A:$A,Heron!$A$5,Xero!$E:$E,Heron!$A38)</f>
        <v>0</v>
      </c>
      <c r="K38" s="99">
        <f>SUMIFS(Xero!$F:$F,Xero!$B:$B,Heron!K$9,Xero!$A:$A,Heron!$A$4,Xero!$E:$E,Heron!$A38)+SUMIFS(Xero!$F:$F,Xero!$B:$B,Heron!K$9,Xero!$A:$A,Heron!$A$5,Xero!$E:$E,Heron!$A38)</f>
        <v>0</v>
      </c>
      <c r="L38" s="99">
        <f>SUMIFS(Xero!$F:$F,Xero!$B:$B,Heron!L$9,Xero!$A:$A,Heron!$A$4,Xero!$E:$E,Heron!$A38)+SUMIFS(Xero!$F:$F,Xero!$B:$B,Heron!L$9,Xero!$A:$A,Heron!$A$5,Xero!$E:$E,Heron!$A38)</f>
        <v>0</v>
      </c>
      <c r="M38" s="99">
        <f>SUMIFS(Xero!$F:$F,Xero!$B:$B,Heron!M$9,Xero!$A:$A,Heron!$A$4,Xero!$E:$E,Heron!$A38)+SUMIFS(Xero!$F:$F,Xero!$B:$B,Heron!M$9,Xero!$A:$A,Heron!$A$5,Xero!$E:$E,Heron!$A38)</f>
        <v>0</v>
      </c>
      <c r="N38" s="99">
        <f>SUMIFS(Xero!$F:$F,Xero!$B:$B,Heron!N$9,Xero!$A:$A,Heron!$A$4,Xero!$E:$E,Heron!$A38)+SUMIFS(Xero!$F:$F,Xero!$B:$B,Heron!N$9,Xero!$A:$A,Heron!$A$5,Xero!$E:$E,Heron!$A38)</f>
        <v>0</v>
      </c>
      <c r="O38" s="99">
        <f>SUMIFS(Xero!$F:$F,Xero!$B:$B,Heron!O$9,Xero!$A:$A,Heron!$A$4,Xero!$E:$E,Heron!$A38)+SUMIFS(Xero!$F:$F,Xero!$B:$B,Heron!O$9,Xero!$A:$A,Heron!$A$5,Xero!$E:$E,Heron!$A38)</f>
        <v>0</v>
      </c>
      <c r="P38" s="99">
        <f>SUMIFS(Xero!$F:$F,Xero!$B:$B,Heron!P$9,Xero!$A:$A,Heron!$A$4,Xero!$E:$E,Heron!$A38)+SUMIFS(Xero!$F:$F,Xero!$B:$B,Heron!P$9,Xero!$A:$A,Heron!$A$5,Xero!$E:$E,Heron!$A38)</f>
        <v>0</v>
      </c>
      <c r="Q38" s="99">
        <f>SUMIFS(Xero!$F:$F,Xero!$B:$B,Heron!Q$9,Xero!$A:$A,Heron!$A$4,Xero!$E:$E,Heron!$A38)+SUMIFS(Xero!$F:$F,Xero!$B:$B,Heron!Q$9,Xero!$A:$A,Heron!$A$5,Xero!$E:$E,Heron!$A38)</f>
        <v>0</v>
      </c>
      <c r="R38" s="99">
        <f>SUMIFS(Xero!$F:$F,Xero!$B:$B,Heron!R$9,Xero!$A:$A,Heron!$A$4,Xero!$E:$E,Heron!$A38)+SUMIFS(Xero!$F:$F,Xero!$B:$B,Heron!R$9,Xero!$A:$A,Heron!$A$5,Xero!$E:$E,Heron!$A38)</f>
        <v>0</v>
      </c>
      <c r="S38" s="99">
        <f>SUMIFS(Xero!$F:$F,Xero!$B:$B,Heron!S$9,Xero!$A:$A,Heron!$A$4,Xero!$E:$E,Heron!$A38)+SUMIFS(Xero!$F:$F,Xero!$B:$B,Heron!S$9,Xero!$A:$A,Heron!$A$5,Xero!$E:$E,Heron!$A38)</f>
        <v>0</v>
      </c>
      <c r="T38" s="99">
        <f>SUMIFS(Xero!$F:$F,Xero!$B:$B,Heron!T$9,Xero!$A:$A,Heron!$A$4,Xero!$E:$E,Heron!$A38)+SUMIFS(Xero!$F:$F,Xero!$B:$B,Heron!T$9,Xero!$A:$A,Heron!$A$5,Xero!$E:$E,Heron!$A38)</f>
        <v>0</v>
      </c>
      <c r="U38" s="99">
        <f>SUMIFS(Xero!$F:$F,Xero!$B:$B,Heron!U$9,Xero!$A:$A,Heron!$A$4,Xero!$E:$E,Heron!$A38)+SUMIFS(Xero!$F:$F,Xero!$B:$B,Heron!U$9,Xero!$A:$A,Heron!$A$5,Xero!$E:$E,Heron!$A38)</f>
        <v>0</v>
      </c>
      <c r="V38" s="99">
        <f>SUMIFS(Xero!$F:$F,Xero!$B:$B,Heron!V$9,Xero!$A:$A,Heron!$A$4,Xero!$E:$E,Heron!$A38)+SUMIFS(Xero!$F:$F,Xero!$B:$B,Heron!V$9,Xero!$A:$A,Heron!$A$5,Xero!$E:$E,Heron!$A38)</f>
        <v>0</v>
      </c>
      <c r="W38" s="99">
        <f>SUMIFS(Xero!$F:$F,Xero!$B:$B,Heron!W$9,Xero!$A:$A,Heron!$A$4,Xero!$E:$E,Heron!$A38)+SUMIFS(Xero!$F:$F,Xero!$B:$B,Heron!W$9,Xero!$A:$A,Heron!$A$5,Xero!$E:$E,Heron!$A38)</f>
        <v>0</v>
      </c>
      <c r="X38" s="99">
        <f>SUMIFS(Xero!$F:$F,Xero!$B:$B,Heron!X$9,Xero!$A:$A,Heron!$A$4,Xero!$E:$E,Heron!$A38)+SUMIFS(Xero!$F:$F,Xero!$B:$B,Heron!X$9,Xero!$A:$A,Heron!$A$5,Xero!$E:$E,Heron!$A38)</f>
        <v>0</v>
      </c>
      <c r="Y38" s="99">
        <f>SUMIFS(Xero!$F:$F,Xero!$B:$B,Heron!Y$9,Xero!$A:$A,Heron!$A$4,Xero!$E:$E,Heron!$A38)+SUMIFS(Xero!$F:$F,Xero!$B:$B,Heron!Y$9,Xero!$A:$A,Heron!$A$5,Xero!$E:$E,Heron!$A38)</f>
        <v>0</v>
      </c>
      <c r="Z38" s="99">
        <f>SUMIFS(Xero!$F:$F,Xero!$B:$B,Heron!Z$9,Xero!$A:$A,Heron!$A$4,Xero!$E:$E,Heron!$A38)+SUMIFS(Xero!$F:$F,Xero!$B:$B,Heron!Z$9,Xero!$A:$A,Heron!$A$5,Xero!$E:$E,Heron!$A38)</f>
        <v>0</v>
      </c>
      <c r="AA38" s="99">
        <f>SUMIFS(Xero!$F:$F,Xero!$B:$B,Heron!AA$9,Xero!$A:$A,Heron!$A$4,Xero!$E:$E,Heron!$A38)+SUMIFS(Xero!$F:$F,Xero!$B:$B,Heron!AA$9,Xero!$A:$A,Heron!$A$5,Xero!$E:$E,Heron!$A38)</f>
        <v>11726</v>
      </c>
      <c r="AB38" s="99">
        <f>SUMIFS(Xero!$F:$F,Xero!$B:$B,Heron!AB$9,Xero!$A:$A,Heron!$A$4,Xero!$E:$E,Heron!$A38)+SUMIFS(Xero!$F:$F,Xero!$B:$B,Heron!AB$9,Xero!$A:$A,Heron!$A$5,Xero!$E:$E,Heron!$A38)</f>
        <v>0</v>
      </c>
      <c r="AC38" s="99">
        <f>SUMIFS(Xero!$F:$F,Xero!$B:$B,Heron!AC$9,Xero!$A:$A,Heron!$A$4,Xero!$E:$E,Heron!$A38)+SUMIFS(Xero!$F:$F,Xero!$B:$B,Heron!AC$9,Xero!$A:$A,Heron!$A$5,Xero!$E:$E,Heron!$A38)</f>
        <v>0</v>
      </c>
      <c r="AD38" s="99">
        <f>SUMIFS(Xero!$F:$F,Xero!$B:$B,Heron!AD$9,Xero!$A:$A,Heron!$A$4,Xero!$E:$E,Heron!$A38)+SUMIFS(Xero!$F:$F,Xero!$B:$B,Heron!AD$9,Xero!$A:$A,Heron!$A$5,Xero!$E:$E,Heron!$A38)</f>
        <v>0</v>
      </c>
      <c r="AE38" s="99">
        <f>SUMIFS(Xero!$F:$F,Xero!$B:$B,Heron!AE$9,Xero!$A:$A,Heron!$A$4,Xero!$E:$E,Heron!$A38)+SUMIFS(Xero!$F:$F,Xero!$B:$B,Heron!AE$9,Xero!$A:$A,Heron!$A$5,Xero!$E:$E,Heron!$A38)</f>
        <v>0</v>
      </c>
      <c r="AF38" s="99">
        <f>SUMIFS(Xero!$F:$F,Xero!$B:$B,Heron!AF$9,Xero!$A:$A,Heron!$A$4,Xero!$E:$E,Heron!$A38)+SUMIFS(Xero!$F:$F,Xero!$B:$B,Heron!AF$9,Xero!$A:$A,Heron!$A$5,Xero!$E:$E,Heron!$A38)</f>
        <v>4602</v>
      </c>
      <c r="AG38" s="99">
        <f>SUMIFS(Xero!$F:$F,Xero!$B:$B,Heron!AG$9,Xero!$A:$A,Heron!$A$4,Xero!$E:$E,Heron!$A38)+SUMIFS(Xero!$F:$F,Xero!$B:$B,Heron!AG$9,Xero!$A:$A,Heron!$A$5,Xero!$E:$E,Heron!$A38)</f>
        <v>0</v>
      </c>
      <c r="AH38" s="99">
        <f>SUMIFS(Xero!$F:$F,Xero!$B:$B,Heron!AH$9,Xero!$A:$A,Heron!$A$4,Xero!$E:$E,Heron!$A38)+SUMIFS(Xero!$F:$F,Xero!$B:$B,Heron!AH$9,Xero!$A:$A,Heron!$A$5,Xero!$E:$E,Heron!$A38)</f>
        <v>9967.1</v>
      </c>
      <c r="AI38" s="99">
        <f>SUMIFS(Xero!$F:$F,Xero!$B:$B,Heron!AI$9,Xero!$A:$A,Heron!$A$4,Xero!$E:$E,Heron!$A38)+SUMIFS(Xero!$F:$F,Xero!$B:$B,Heron!AI$9,Xero!$A:$A,Heron!$A$5,Xero!$E:$E,Heron!$A38)</f>
        <v>0</v>
      </c>
      <c r="AJ38" s="99">
        <f>SUMIFS(Xero!$F:$F,Xero!$B:$B,Heron!AJ$9,Xero!$A:$A,Heron!$A$4,Xero!$E:$E,Heron!$A38)+SUMIFS(Xero!$F:$F,Xero!$B:$B,Heron!AJ$9,Xero!$A:$A,Heron!$A$5,Xero!$E:$E,Heron!$A38)</f>
        <v>0</v>
      </c>
      <c r="AK38" s="99">
        <f>SUMIFS(Xero!$F:$F,Xero!$B:$B,Heron!AK$9,Xero!$A:$A,Heron!$A$4,Xero!$E:$E,Heron!$A38)+SUMIFS(Xero!$F:$F,Xero!$B:$B,Heron!AK$9,Xero!$A:$A,Heron!$A$5,Xero!$E:$E,Heron!$A38)</f>
        <v>0</v>
      </c>
      <c r="AL38" s="99">
        <f>SUMIFS(Xero!$F:$F,Xero!$B:$B,Heron!AL$9,Xero!$A:$A,Heron!$A$4,Xero!$E:$E,Heron!$A38)+SUMIFS(Xero!$F:$F,Xero!$B:$B,Heron!AL$9,Xero!$A:$A,Heron!$A$5,Xero!$E:$E,Heron!$A38)</f>
        <v>0</v>
      </c>
      <c r="AM38" s="99">
        <f>SUMIFS(Xero!$F:$F,Xero!$B:$B,Heron!AM$9,Xero!$A:$A,Heron!$A$4,Xero!$E:$E,Heron!$A38)+SUMIFS(Xero!$F:$F,Xero!$B:$B,Heron!AM$9,Xero!$A:$A,Heron!$A$5,Xero!$E:$E,Heron!$A38)</f>
        <v>0</v>
      </c>
      <c r="AN38" s="99">
        <f>SUMIFS(Xero!$F:$F,Xero!$B:$B,Heron!AN$9,Xero!$A:$A,Heron!$A$4,Xero!$E:$E,Heron!$A38)+SUMIFS(Xero!$F:$F,Xero!$B:$B,Heron!AN$9,Xero!$A:$A,Heron!$A$5,Xero!$E:$E,Heron!$A38)</f>
        <v>0</v>
      </c>
      <c r="AO38" s="99">
        <f>SUMIFS(Xero!$F:$F,Xero!$B:$B,Heron!AO$9,Xero!$A:$A,Heron!$A$4,Xero!$E:$E,Heron!$A38)+SUMIFS(Xero!$F:$F,Xero!$B:$B,Heron!AO$9,Xero!$A:$A,Heron!$A$5,Xero!$E:$E,Heron!$A38)</f>
        <v>0</v>
      </c>
      <c r="AP38" s="99">
        <f>SUMIFS(Xero!$F:$F,Xero!$B:$B,Heron!AP$9,Xero!$A:$A,Heron!$A$4,Xero!$E:$E,Heron!$A38)+SUMIFS(Xero!$F:$F,Xero!$B:$B,Heron!AP$9,Xero!$A:$A,Heron!$A$5,Xero!$E:$E,Heron!$A38)</f>
        <v>0</v>
      </c>
      <c r="AQ38" s="99">
        <f>SUMIFS(Xero!$F:$F,Xero!$B:$B,Heron!AQ$9,Xero!$A:$A,Heron!$A$4,Xero!$E:$E,Heron!$A38)+SUMIFS(Xero!$F:$F,Xero!$B:$B,Heron!AQ$9,Xero!$A:$A,Heron!$A$5,Xero!$E:$E,Heron!$A38)</f>
        <v>0</v>
      </c>
      <c r="AR38" s="99">
        <f>SUMIFS(Xero!$F:$F,Xero!$B:$B,Heron!AR$9,Xero!$A:$A,Heron!$A$4,Xero!$E:$E,Heron!$A38)+SUMIFS(Xero!$F:$F,Xero!$B:$B,Heron!AR$9,Xero!$A:$A,Heron!$A$5,Xero!$E:$E,Heron!$A38)</f>
        <v>0</v>
      </c>
      <c r="AS38" s="99">
        <f>SUMIFS(Xero!$F:$F,Xero!$B:$B,Heron!AS$9,Xero!$A:$A,Heron!$A$4,Xero!$E:$E,Heron!$A38)+SUMIFS(Xero!$F:$F,Xero!$B:$B,Heron!AS$9,Xero!$A:$A,Heron!$A$5,Xero!$E:$E,Heron!$A38)</f>
        <v>0</v>
      </c>
      <c r="AT38" s="99">
        <f>SUMIFS(Xero!$F:$F,Xero!$B:$B,Heron!AT$9,Xero!$A:$A,Heron!$A$4,Xero!$E:$E,Heron!$A38)+SUMIFS(Xero!$F:$F,Xero!$B:$B,Heron!AT$9,Xero!$A:$A,Heron!$A$5,Xero!$E:$E,Heron!$A38)</f>
        <v>0</v>
      </c>
      <c r="AU38" s="99">
        <f>SUMIFS(Xero!$F:$F,Xero!$B:$B,Heron!AU$9,Xero!$A:$A,Heron!$A$4,Xero!$E:$E,Heron!$A38)+SUMIFS(Xero!$F:$F,Xero!$B:$B,Heron!AU$9,Xero!$A:$A,Heron!$A$5,Xero!$E:$E,Heron!$A38)</f>
        <v>0</v>
      </c>
      <c r="AV38" s="99">
        <f>SUMIFS(Xero!$F:$F,Xero!$B:$B,Heron!AV$9,Xero!$A:$A,Heron!$A$4,Xero!$E:$E,Heron!$A38)+SUMIFS(Xero!$F:$F,Xero!$B:$B,Heron!AV$9,Xero!$A:$A,Heron!$A$5,Xero!$E:$E,Heron!$A38)</f>
        <v>0</v>
      </c>
      <c r="AW38" s="99">
        <f>SUMIFS(Xero!$F:$F,Xero!$B:$B,Heron!AW$9,Xero!$A:$A,Heron!$A$4,Xero!$E:$E,Heron!$A38)+SUMIFS(Xero!$F:$F,Xero!$B:$B,Heron!AW$9,Xero!$A:$A,Heron!$A$5,Xero!$E:$E,Heron!$A38)</f>
        <v>0</v>
      </c>
      <c r="AX38" s="99">
        <f>SUMIFS(Xero!$F:$F,Xero!$B:$B,Heron!AX$9,Xero!$A:$A,Heron!$A$4,Xero!$E:$E,Heron!$A38)+SUMIFS(Xero!$F:$F,Xero!$B:$B,Heron!AX$9,Xero!$A:$A,Heron!$A$5,Xero!$E:$E,Heron!$A38)</f>
        <v>0</v>
      </c>
      <c r="AY38" s="99">
        <f>SUMIFS(Xero!$F:$F,Xero!$B:$B,Heron!AY$9,Xero!$A:$A,Heron!$A$4,Xero!$E:$E,Heron!$A38)+SUMIFS(Xero!$F:$F,Xero!$B:$B,Heron!AY$9,Xero!$A:$A,Heron!$A$5,Xero!$E:$E,Heron!$A38)</f>
        <v>0</v>
      </c>
      <c r="AZ38" s="99">
        <f>SUMIFS(Xero!$F:$F,Xero!$B:$B,Heron!AZ$9,Xero!$A:$A,Heron!$A$4,Xero!$E:$E,Heron!$A38)+SUMIFS(Xero!$F:$F,Xero!$B:$B,Heron!AZ$9,Xero!$A:$A,Heron!$A$5,Xero!$E:$E,Heron!$A38)</f>
        <v>0</v>
      </c>
      <c r="BA38" s="99">
        <f>SUMIFS(Xero!$F:$F,Xero!$B:$B,Heron!BA$9,Xero!$A:$A,Heron!$A$4,Xero!$E:$E,Heron!$A38)+SUMIFS(Xero!$F:$F,Xero!$B:$B,Heron!BA$9,Xero!$A:$A,Heron!$A$5,Xero!$E:$E,Heron!$A38)</f>
        <v>0</v>
      </c>
      <c r="BB38" s="99">
        <f>SUMIFS(Xero!$F:$F,Xero!$B:$B,Heron!BB$9,Xero!$A:$A,Heron!$A$4,Xero!$E:$E,Heron!$A38)+SUMIFS(Xero!$F:$F,Xero!$B:$B,Heron!BB$9,Xero!$A:$A,Heron!$A$5,Xero!$E:$E,Heron!$A38)</f>
        <v>0</v>
      </c>
      <c r="BC38" s="99">
        <f>SUMIFS(Xero!$F:$F,Xero!$B:$B,Heron!BC$9,Xero!$A:$A,Heron!$A$4,Xero!$E:$E,Heron!$A38)+SUMIFS(Xero!$F:$F,Xero!$B:$B,Heron!BC$9,Xero!$A:$A,Heron!$A$5,Xero!$E:$E,Heron!$A38)</f>
        <v>0</v>
      </c>
      <c r="BD38" s="99">
        <f>SUMIFS(Xero!$F:$F,Xero!$B:$B,Heron!BD$9,Xero!$A:$A,Heron!$A$4,Xero!$E:$E,Heron!$A38)+SUMIFS(Xero!$F:$F,Xero!$B:$B,Heron!BD$9,Xero!$A:$A,Heron!$A$5,Xero!$E:$E,Heron!$A38)</f>
        <v>0</v>
      </c>
      <c r="BE38" s="99">
        <f>SUMIFS(Xero!$F:$F,Xero!$B:$B,Heron!BE$9,Xero!$A:$A,Heron!$A$4,Xero!$E:$E,Heron!$A38)+SUMIFS(Xero!$F:$F,Xero!$B:$B,Heron!BE$9,Xero!$A:$A,Heron!$A$5,Xero!$E:$E,Heron!$A38)</f>
        <v>0</v>
      </c>
      <c r="BF38" s="99">
        <f>SUMIFS(Xero!$F:$F,Xero!$B:$B,Heron!BF$9,Xero!$A:$A,Heron!$A$4,Xero!$E:$E,Heron!$A38)+SUMIFS(Xero!$F:$F,Xero!$B:$B,Heron!BF$9,Xero!$A:$A,Heron!$A$5,Xero!$E:$E,Heron!$A38)</f>
        <v>0</v>
      </c>
      <c r="BG38" s="99">
        <f>SUMIFS(Xero!$F:$F,Xero!$B:$B,Heron!BG$9,Xero!$A:$A,Heron!$A$4,Xero!$E:$E,Heron!$A38)+SUMIFS(Xero!$F:$F,Xero!$B:$B,Heron!BG$9,Xero!$A:$A,Heron!$A$5,Xero!$E:$E,Heron!$A38)</f>
        <v>0</v>
      </c>
      <c r="BH38" s="99">
        <f>SUMIFS(Xero!$F:$F,Xero!$B:$B,Heron!BH$9,Xero!$A:$A,Heron!$A$4,Xero!$E:$E,Heron!$A38)+SUMIFS(Xero!$F:$F,Xero!$B:$B,Heron!BH$9,Xero!$A:$A,Heron!$A$5,Xero!$E:$E,Heron!$A38)</f>
        <v>0</v>
      </c>
      <c r="BI38" s="99">
        <f>SUMIFS(Xero!$F:$F,Xero!$B:$B,Heron!BI$9,Xero!$A:$A,Heron!$A$4,Xero!$E:$E,Heron!$A38)+SUMIFS(Xero!$F:$F,Xero!$B:$B,Heron!BI$9,Xero!$A:$A,Heron!$A$5,Xero!$E:$E,Heron!$A38)</f>
        <v>0</v>
      </c>
      <c r="BJ38" s="99">
        <f>SUMIFS(Xero!$F:$F,Xero!$B:$B,Heron!BJ$9,Xero!$A:$A,Heron!$A$4,Xero!$E:$E,Heron!$A38)+SUMIFS(Xero!$F:$F,Xero!$B:$B,Heron!BJ$9,Xero!$A:$A,Heron!$A$5,Xero!$E:$E,Heron!$A38)</f>
        <v>0</v>
      </c>
      <c r="BK38" s="99">
        <f t="shared" si="4"/>
        <v>26295.1</v>
      </c>
    </row>
    <row r="39" spans="1:63" ht="16" x14ac:dyDescent="0.2">
      <c r="A39" s="98" t="s">
        <v>1118</v>
      </c>
      <c r="D39" s="99">
        <f>SUMIFS(Xero!$F:$F,Xero!$B:$B,Heron!D$9,Xero!$A:$A,Heron!$A$4,Xero!$E:$E,Heron!$A39)+SUMIFS(Xero!$F:$F,Xero!$B:$B,Heron!D$9,Xero!$A:$A,Heron!$A$5,Xero!$E:$E,Heron!$A39)</f>
        <v>0</v>
      </c>
      <c r="E39" s="99">
        <f>SUMIFS(Xero!$F:$F,Xero!$B:$B,Heron!E$9,Xero!$A:$A,Heron!$A$4,Xero!$E:$E,Heron!$A39)+SUMIFS(Xero!$F:$F,Xero!$B:$B,Heron!E$9,Xero!$A:$A,Heron!$A$5,Xero!$E:$E,Heron!$A39)</f>
        <v>0</v>
      </c>
      <c r="F39" s="99">
        <f>SUMIFS(Xero!$F:$F,Xero!$B:$B,Heron!F$9,Xero!$A:$A,Heron!$A$4,Xero!$E:$E,Heron!$A39)+SUMIFS(Xero!$F:$F,Xero!$B:$B,Heron!F$9,Xero!$A:$A,Heron!$A$5,Xero!$E:$E,Heron!$A39)</f>
        <v>0</v>
      </c>
      <c r="G39" s="99">
        <f>SUMIFS(Xero!$F:$F,Xero!$B:$B,Heron!G$9,Xero!$A:$A,Heron!$A$4,Xero!$E:$E,Heron!$A39)+SUMIFS(Xero!$F:$F,Xero!$B:$B,Heron!G$9,Xero!$A:$A,Heron!$A$5,Xero!$E:$E,Heron!$A39)</f>
        <v>0</v>
      </c>
      <c r="H39" s="99">
        <f>SUMIFS(Xero!$F:$F,Xero!$B:$B,Heron!H$9,Xero!$A:$A,Heron!$A$4,Xero!$E:$E,Heron!$A39)+SUMIFS(Xero!$F:$F,Xero!$B:$B,Heron!H$9,Xero!$A:$A,Heron!$A$5,Xero!$E:$E,Heron!$A39)</f>
        <v>0</v>
      </c>
      <c r="I39" s="99">
        <f>SUMIFS(Xero!$F:$F,Xero!$B:$B,Heron!I$9,Xero!$A:$A,Heron!$A$4,Xero!$E:$E,Heron!$A39)+SUMIFS(Xero!$F:$F,Xero!$B:$B,Heron!I$9,Xero!$A:$A,Heron!$A$5,Xero!$E:$E,Heron!$A39)</f>
        <v>0</v>
      </c>
      <c r="J39" s="99">
        <f>SUMIFS(Xero!$F:$F,Xero!$B:$B,Heron!J$9,Xero!$A:$A,Heron!$A$4,Xero!$E:$E,Heron!$A39)+SUMIFS(Xero!$F:$F,Xero!$B:$B,Heron!J$9,Xero!$A:$A,Heron!$A$5,Xero!$E:$E,Heron!$A39)</f>
        <v>0</v>
      </c>
      <c r="K39" s="99">
        <f>SUMIFS(Xero!$F:$F,Xero!$B:$B,Heron!K$9,Xero!$A:$A,Heron!$A$4,Xero!$E:$E,Heron!$A39)+SUMIFS(Xero!$F:$F,Xero!$B:$B,Heron!K$9,Xero!$A:$A,Heron!$A$5,Xero!$E:$E,Heron!$A39)</f>
        <v>0</v>
      </c>
      <c r="L39" s="99">
        <f>SUMIFS(Xero!$F:$F,Xero!$B:$B,Heron!L$9,Xero!$A:$A,Heron!$A$4,Xero!$E:$E,Heron!$A39)+SUMIFS(Xero!$F:$F,Xero!$B:$B,Heron!L$9,Xero!$A:$A,Heron!$A$5,Xero!$E:$E,Heron!$A39)</f>
        <v>0</v>
      </c>
      <c r="M39" s="99">
        <f>SUMIFS(Xero!$F:$F,Xero!$B:$B,Heron!M$9,Xero!$A:$A,Heron!$A$4,Xero!$E:$E,Heron!$A39)+SUMIFS(Xero!$F:$F,Xero!$B:$B,Heron!M$9,Xero!$A:$A,Heron!$A$5,Xero!$E:$E,Heron!$A39)</f>
        <v>0</v>
      </c>
      <c r="N39" s="99">
        <f>SUMIFS(Xero!$F:$F,Xero!$B:$B,Heron!N$9,Xero!$A:$A,Heron!$A$4,Xero!$E:$E,Heron!$A39)+SUMIFS(Xero!$F:$F,Xero!$B:$B,Heron!N$9,Xero!$A:$A,Heron!$A$5,Xero!$E:$E,Heron!$A39)</f>
        <v>0</v>
      </c>
      <c r="O39" s="99">
        <f>SUMIFS(Xero!$F:$F,Xero!$B:$B,Heron!O$9,Xero!$A:$A,Heron!$A$4,Xero!$E:$E,Heron!$A39)+SUMIFS(Xero!$F:$F,Xero!$B:$B,Heron!O$9,Xero!$A:$A,Heron!$A$5,Xero!$E:$E,Heron!$A39)</f>
        <v>0</v>
      </c>
      <c r="P39" s="99">
        <f>SUMIFS(Xero!$F:$F,Xero!$B:$B,Heron!P$9,Xero!$A:$A,Heron!$A$4,Xero!$E:$E,Heron!$A39)+SUMIFS(Xero!$F:$F,Xero!$B:$B,Heron!P$9,Xero!$A:$A,Heron!$A$5,Xero!$E:$E,Heron!$A39)</f>
        <v>0</v>
      </c>
      <c r="Q39" s="99">
        <f>SUMIFS(Xero!$F:$F,Xero!$B:$B,Heron!Q$9,Xero!$A:$A,Heron!$A$4,Xero!$E:$E,Heron!$A39)+SUMIFS(Xero!$F:$F,Xero!$B:$B,Heron!Q$9,Xero!$A:$A,Heron!$A$5,Xero!$E:$E,Heron!$A39)</f>
        <v>0</v>
      </c>
      <c r="R39" s="99">
        <f>SUMIFS(Xero!$F:$F,Xero!$B:$B,Heron!R$9,Xero!$A:$A,Heron!$A$4,Xero!$E:$E,Heron!$A39)+SUMIFS(Xero!$F:$F,Xero!$B:$B,Heron!R$9,Xero!$A:$A,Heron!$A$5,Xero!$E:$E,Heron!$A39)</f>
        <v>0</v>
      </c>
      <c r="S39" s="99">
        <f>SUMIFS(Xero!$F:$F,Xero!$B:$B,Heron!S$9,Xero!$A:$A,Heron!$A$4,Xero!$E:$E,Heron!$A39)+SUMIFS(Xero!$F:$F,Xero!$B:$B,Heron!S$9,Xero!$A:$A,Heron!$A$5,Xero!$E:$E,Heron!$A39)</f>
        <v>0</v>
      </c>
      <c r="T39" s="99">
        <f>SUMIFS(Xero!$F:$F,Xero!$B:$B,Heron!T$9,Xero!$A:$A,Heron!$A$4,Xero!$E:$E,Heron!$A39)+SUMIFS(Xero!$F:$F,Xero!$B:$B,Heron!T$9,Xero!$A:$A,Heron!$A$5,Xero!$E:$E,Heron!$A39)</f>
        <v>0</v>
      </c>
      <c r="U39" s="99">
        <f>SUMIFS(Xero!$F:$F,Xero!$B:$B,Heron!U$9,Xero!$A:$A,Heron!$A$4,Xero!$E:$E,Heron!$A39)+SUMIFS(Xero!$F:$F,Xero!$B:$B,Heron!U$9,Xero!$A:$A,Heron!$A$5,Xero!$E:$E,Heron!$A39)</f>
        <v>0</v>
      </c>
      <c r="V39" s="99">
        <f>SUMIFS(Xero!$F:$F,Xero!$B:$B,Heron!V$9,Xero!$A:$A,Heron!$A$4,Xero!$E:$E,Heron!$A39)+SUMIFS(Xero!$F:$F,Xero!$B:$B,Heron!V$9,Xero!$A:$A,Heron!$A$5,Xero!$E:$E,Heron!$A39)</f>
        <v>0</v>
      </c>
      <c r="W39" s="99">
        <f>SUMIFS(Xero!$F:$F,Xero!$B:$B,Heron!W$9,Xero!$A:$A,Heron!$A$4,Xero!$E:$E,Heron!$A39)+SUMIFS(Xero!$F:$F,Xero!$B:$B,Heron!W$9,Xero!$A:$A,Heron!$A$5,Xero!$E:$E,Heron!$A39)</f>
        <v>0</v>
      </c>
      <c r="X39" s="99">
        <f>SUMIFS(Xero!$F:$F,Xero!$B:$B,Heron!X$9,Xero!$A:$A,Heron!$A$4,Xero!$E:$E,Heron!$A39)+SUMIFS(Xero!$F:$F,Xero!$B:$B,Heron!X$9,Xero!$A:$A,Heron!$A$5,Xero!$E:$E,Heron!$A39)</f>
        <v>0</v>
      </c>
      <c r="Y39" s="99">
        <f>SUMIFS(Xero!$F:$F,Xero!$B:$B,Heron!Y$9,Xero!$A:$A,Heron!$A$4,Xero!$E:$E,Heron!$A39)+SUMIFS(Xero!$F:$F,Xero!$B:$B,Heron!Y$9,Xero!$A:$A,Heron!$A$5,Xero!$E:$E,Heron!$A39)</f>
        <v>0</v>
      </c>
      <c r="Z39" s="99">
        <f>SUMIFS(Xero!$F:$F,Xero!$B:$B,Heron!Z$9,Xero!$A:$A,Heron!$A$4,Xero!$E:$E,Heron!$A39)+SUMIFS(Xero!$F:$F,Xero!$B:$B,Heron!Z$9,Xero!$A:$A,Heron!$A$5,Xero!$E:$E,Heron!$A39)</f>
        <v>0</v>
      </c>
      <c r="AA39" s="99">
        <f>SUMIFS(Xero!$F:$F,Xero!$B:$B,Heron!AA$9,Xero!$A:$A,Heron!$A$4,Xero!$E:$E,Heron!$A39)+SUMIFS(Xero!$F:$F,Xero!$B:$B,Heron!AA$9,Xero!$A:$A,Heron!$A$5,Xero!$E:$E,Heron!$A39)</f>
        <v>0</v>
      </c>
      <c r="AB39" s="99">
        <f>SUMIFS(Xero!$F:$F,Xero!$B:$B,Heron!AB$9,Xero!$A:$A,Heron!$A$4,Xero!$E:$E,Heron!$A39)+SUMIFS(Xero!$F:$F,Xero!$B:$B,Heron!AB$9,Xero!$A:$A,Heron!$A$5,Xero!$E:$E,Heron!$A39)</f>
        <v>0</v>
      </c>
      <c r="AC39" s="99">
        <f>SUMIFS(Xero!$F:$F,Xero!$B:$B,Heron!AC$9,Xero!$A:$A,Heron!$A$4,Xero!$E:$E,Heron!$A39)+SUMIFS(Xero!$F:$F,Xero!$B:$B,Heron!AC$9,Xero!$A:$A,Heron!$A$5,Xero!$E:$E,Heron!$A39)</f>
        <v>0</v>
      </c>
      <c r="AD39" s="99">
        <f>SUMIFS(Xero!$F:$F,Xero!$B:$B,Heron!AD$9,Xero!$A:$A,Heron!$A$4,Xero!$E:$E,Heron!$A39)+SUMIFS(Xero!$F:$F,Xero!$B:$B,Heron!AD$9,Xero!$A:$A,Heron!$A$5,Xero!$E:$E,Heron!$A39)</f>
        <v>0</v>
      </c>
      <c r="AE39" s="99">
        <f>SUMIFS(Xero!$F:$F,Xero!$B:$B,Heron!AE$9,Xero!$A:$A,Heron!$A$4,Xero!$E:$E,Heron!$A39)+SUMIFS(Xero!$F:$F,Xero!$B:$B,Heron!AE$9,Xero!$A:$A,Heron!$A$5,Xero!$E:$E,Heron!$A39)</f>
        <v>0</v>
      </c>
      <c r="AF39" s="99">
        <f>SUMIFS(Xero!$F:$F,Xero!$B:$B,Heron!AF$9,Xero!$A:$A,Heron!$A$4,Xero!$E:$E,Heron!$A39)+SUMIFS(Xero!$F:$F,Xero!$B:$B,Heron!AF$9,Xero!$A:$A,Heron!$A$5,Xero!$E:$E,Heron!$A39)</f>
        <v>0</v>
      </c>
      <c r="AG39" s="99">
        <f>SUMIFS(Xero!$F:$F,Xero!$B:$B,Heron!AG$9,Xero!$A:$A,Heron!$A$4,Xero!$E:$E,Heron!$A39)+SUMIFS(Xero!$F:$F,Xero!$B:$B,Heron!AG$9,Xero!$A:$A,Heron!$A$5,Xero!$E:$E,Heron!$A39)</f>
        <v>28750</v>
      </c>
      <c r="AH39" s="99">
        <f>SUMIFS(Xero!$F:$F,Xero!$B:$B,Heron!AH$9,Xero!$A:$A,Heron!$A$4,Xero!$E:$E,Heron!$A39)+SUMIFS(Xero!$F:$F,Xero!$B:$B,Heron!AH$9,Xero!$A:$A,Heron!$A$5,Xero!$E:$E,Heron!$A39)</f>
        <v>0</v>
      </c>
      <c r="AI39" s="99">
        <f>SUMIFS(Xero!$F:$F,Xero!$B:$B,Heron!AI$9,Xero!$A:$A,Heron!$A$4,Xero!$E:$E,Heron!$A39)+SUMIFS(Xero!$F:$F,Xero!$B:$B,Heron!AI$9,Xero!$A:$A,Heron!$A$5,Xero!$E:$E,Heron!$A39)</f>
        <v>0</v>
      </c>
      <c r="AJ39" s="99">
        <f>SUMIFS(Xero!$F:$F,Xero!$B:$B,Heron!AJ$9,Xero!$A:$A,Heron!$A$4,Xero!$E:$E,Heron!$A39)+SUMIFS(Xero!$F:$F,Xero!$B:$B,Heron!AJ$9,Xero!$A:$A,Heron!$A$5,Xero!$E:$E,Heron!$A39)</f>
        <v>0</v>
      </c>
      <c r="AK39" s="99">
        <f>SUMIFS(Xero!$F:$F,Xero!$B:$B,Heron!AK$9,Xero!$A:$A,Heron!$A$4,Xero!$E:$E,Heron!$A39)+SUMIFS(Xero!$F:$F,Xero!$B:$B,Heron!AK$9,Xero!$A:$A,Heron!$A$5,Xero!$E:$E,Heron!$A39)</f>
        <v>0</v>
      </c>
      <c r="AL39" s="99">
        <f>SUMIFS(Xero!$F:$F,Xero!$B:$B,Heron!AL$9,Xero!$A:$A,Heron!$A$4,Xero!$E:$E,Heron!$A39)+SUMIFS(Xero!$F:$F,Xero!$B:$B,Heron!AL$9,Xero!$A:$A,Heron!$A$5,Xero!$E:$E,Heron!$A39)</f>
        <v>0</v>
      </c>
      <c r="AM39" s="99">
        <f>SUMIFS(Xero!$F:$F,Xero!$B:$B,Heron!AM$9,Xero!$A:$A,Heron!$A$4,Xero!$E:$E,Heron!$A39)+SUMIFS(Xero!$F:$F,Xero!$B:$B,Heron!AM$9,Xero!$A:$A,Heron!$A$5,Xero!$E:$E,Heron!$A39)</f>
        <v>0</v>
      </c>
      <c r="AN39" s="99">
        <f>SUMIFS(Xero!$F:$F,Xero!$B:$B,Heron!AN$9,Xero!$A:$A,Heron!$A$4,Xero!$E:$E,Heron!$A39)+SUMIFS(Xero!$F:$F,Xero!$B:$B,Heron!AN$9,Xero!$A:$A,Heron!$A$5,Xero!$E:$E,Heron!$A39)</f>
        <v>0</v>
      </c>
      <c r="AO39" s="99">
        <f>SUMIFS(Xero!$F:$F,Xero!$B:$B,Heron!AO$9,Xero!$A:$A,Heron!$A$4,Xero!$E:$E,Heron!$A39)+SUMIFS(Xero!$F:$F,Xero!$B:$B,Heron!AO$9,Xero!$A:$A,Heron!$A$5,Xero!$E:$E,Heron!$A39)</f>
        <v>0</v>
      </c>
      <c r="AP39" s="99">
        <f>SUMIFS(Xero!$F:$F,Xero!$B:$B,Heron!AP$9,Xero!$A:$A,Heron!$A$4,Xero!$E:$E,Heron!$A39)+SUMIFS(Xero!$F:$F,Xero!$B:$B,Heron!AP$9,Xero!$A:$A,Heron!$A$5,Xero!$E:$E,Heron!$A39)</f>
        <v>0</v>
      </c>
      <c r="AQ39" s="99">
        <f>SUMIFS(Xero!$F:$F,Xero!$B:$B,Heron!AQ$9,Xero!$A:$A,Heron!$A$4,Xero!$E:$E,Heron!$A39)+SUMIFS(Xero!$F:$F,Xero!$B:$B,Heron!AQ$9,Xero!$A:$A,Heron!$A$5,Xero!$E:$E,Heron!$A39)</f>
        <v>0</v>
      </c>
      <c r="AR39" s="99">
        <f>SUMIFS(Xero!$F:$F,Xero!$B:$B,Heron!AR$9,Xero!$A:$A,Heron!$A$4,Xero!$E:$E,Heron!$A39)+SUMIFS(Xero!$F:$F,Xero!$B:$B,Heron!AR$9,Xero!$A:$A,Heron!$A$5,Xero!$E:$E,Heron!$A39)</f>
        <v>0</v>
      </c>
      <c r="AS39" s="99">
        <f>SUMIFS(Xero!$F:$F,Xero!$B:$B,Heron!AS$9,Xero!$A:$A,Heron!$A$4,Xero!$E:$E,Heron!$A39)+SUMIFS(Xero!$F:$F,Xero!$B:$B,Heron!AS$9,Xero!$A:$A,Heron!$A$5,Xero!$E:$E,Heron!$A39)</f>
        <v>0</v>
      </c>
      <c r="AT39" s="99">
        <f>SUMIFS(Xero!$F:$F,Xero!$B:$B,Heron!AT$9,Xero!$A:$A,Heron!$A$4,Xero!$E:$E,Heron!$A39)+SUMIFS(Xero!$F:$F,Xero!$B:$B,Heron!AT$9,Xero!$A:$A,Heron!$A$5,Xero!$E:$E,Heron!$A39)</f>
        <v>0</v>
      </c>
      <c r="AU39" s="99">
        <f>SUMIFS(Xero!$F:$F,Xero!$B:$B,Heron!AU$9,Xero!$A:$A,Heron!$A$4,Xero!$E:$E,Heron!$A39)+SUMIFS(Xero!$F:$F,Xero!$B:$B,Heron!AU$9,Xero!$A:$A,Heron!$A$5,Xero!$E:$E,Heron!$A39)</f>
        <v>0</v>
      </c>
      <c r="AV39" s="99">
        <f>SUMIFS(Xero!$F:$F,Xero!$B:$B,Heron!AV$9,Xero!$A:$A,Heron!$A$4,Xero!$E:$E,Heron!$A39)+SUMIFS(Xero!$F:$F,Xero!$B:$B,Heron!AV$9,Xero!$A:$A,Heron!$A$5,Xero!$E:$E,Heron!$A39)</f>
        <v>0</v>
      </c>
      <c r="AW39" s="99">
        <f>SUMIFS(Xero!$F:$F,Xero!$B:$B,Heron!AW$9,Xero!$A:$A,Heron!$A$4,Xero!$E:$E,Heron!$A39)+SUMIFS(Xero!$F:$F,Xero!$B:$B,Heron!AW$9,Xero!$A:$A,Heron!$A$5,Xero!$E:$E,Heron!$A39)</f>
        <v>0</v>
      </c>
      <c r="AX39" s="99">
        <f>SUMIFS(Xero!$F:$F,Xero!$B:$B,Heron!AX$9,Xero!$A:$A,Heron!$A$4,Xero!$E:$E,Heron!$A39)+SUMIFS(Xero!$F:$F,Xero!$B:$B,Heron!AX$9,Xero!$A:$A,Heron!$A$5,Xero!$E:$E,Heron!$A39)</f>
        <v>0</v>
      </c>
      <c r="AY39" s="99">
        <f>SUMIFS(Xero!$F:$F,Xero!$B:$B,Heron!AY$9,Xero!$A:$A,Heron!$A$4,Xero!$E:$E,Heron!$A39)+SUMIFS(Xero!$F:$F,Xero!$B:$B,Heron!AY$9,Xero!$A:$A,Heron!$A$5,Xero!$E:$E,Heron!$A39)</f>
        <v>0</v>
      </c>
      <c r="AZ39" s="99">
        <f>SUMIFS(Xero!$F:$F,Xero!$B:$B,Heron!AZ$9,Xero!$A:$A,Heron!$A$4,Xero!$E:$E,Heron!$A39)+SUMIFS(Xero!$F:$F,Xero!$B:$B,Heron!AZ$9,Xero!$A:$A,Heron!$A$5,Xero!$E:$E,Heron!$A39)</f>
        <v>0</v>
      </c>
      <c r="BA39" s="99">
        <f>SUMIFS(Xero!$F:$F,Xero!$B:$B,Heron!BA$9,Xero!$A:$A,Heron!$A$4,Xero!$E:$E,Heron!$A39)+SUMIFS(Xero!$F:$F,Xero!$B:$B,Heron!BA$9,Xero!$A:$A,Heron!$A$5,Xero!$E:$E,Heron!$A39)</f>
        <v>0</v>
      </c>
      <c r="BB39" s="99">
        <f>SUMIFS(Xero!$F:$F,Xero!$B:$B,Heron!BB$9,Xero!$A:$A,Heron!$A$4,Xero!$E:$E,Heron!$A39)+SUMIFS(Xero!$F:$F,Xero!$B:$B,Heron!BB$9,Xero!$A:$A,Heron!$A$5,Xero!$E:$E,Heron!$A39)</f>
        <v>0</v>
      </c>
      <c r="BC39" s="99">
        <f>SUMIFS(Xero!$F:$F,Xero!$B:$B,Heron!BC$9,Xero!$A:$A,Heron!$A$4,Xero!$E:$E,Heron!$A39)+SUMIFS(Xero!$F:$F,Xero!$B:$B,Heron!BC$9,Xero!$A:$A,Heron!$A$5,Xero!$E:$E,Heron!$A39)</f>
        <v>0</v>
      </c>
      <c r="BD39" s="99">
        <f>SUMIFS(Xero!$F:$F,Xero!$B:$B,Heron!BD$9,Xero!$A:$A,Heron!$A$4,Xero!$E:$E,Heron!$A39)+SUMIFS(Xero!$F:$F,Xero!$B:$B,Heron!BD$9,Xero!$A:$A,Heron!$A$5,Xero!$E:$E,Heron!$A39)</f>
        <v>0</v>
      </c>
      <c r="BE39" s="99">
        <f>SUMIFS(Xero!$F:$F,Xero!$B:$B,Heron!BE$9,Xero!$A:$A,Heron!$A$4,Xero!$E:$E,Heron!$A39)+SUMIFS(Xero!$F:$F,Xero!$B:$B,Heron!BE$9,Xero!$A:$A,Heron!$A$5,Xero!$E:$E,Heron!$A39)</f>
        <v>0</v>
      </c>
      <c r="BF39" s="99">
        <f>SUMIFS(Xero!$F:$F,Xero!$B:$B,Heron!BF$9,Xero!$A:$A,Heron!$A$4,Xero!$E:$E,Heron!$A39)+SUMIFS(Xero!$F:$F,Xero!$B:$B,Heron!BF$9,Xero!$A:$A,Heron!$A$5,Xero!$E:$E,Heron!$A39)</f>
        <v>0</v>
      </c>
      <c r="BG39" s="99">
        <f>SUMIFS(Xero!$F:$F,Xero!$B:$B,Heron!BG$9,Xero!$A:$A,Heron!$A$4,Xero!$E:$E,Heron!$A39)+SUMIFS(Xero!$F:$F,Xero!$B:$B,Heron!BG$9,Xero!$A:$A,Heron!$A$5,Xero!$E:$E,Heron!$A39)</f>
        <v>0</v>
      </c>
      <c r="BH39" s="99">
        <f>SUMIFS(Xero!$F:$F,Xero!$B:$B,Heron!BH$9,Xero!$A:$A,Heron!$A$4,Xero!$E:$E,Heron!$A39)+SUMIFS(Xero!$F:$F,Xero!$B:$B,Heron!BH$9,Xero!$A:$A,Heron!$A$5,Xero!$E:$E,Heron!$A39)</f>
        <v>0</v>
      </c>
      <c r="BI39" s="99">
        <f>SUMIFS(Xero!$F:$F,Xero!$B:$B,Heron!BI$9,Xero!$A:$A,Heron!$A$4,Xero!$E:$E,Heron!$A39)+SUMIFS(Xero!$F:$F,Xero!$B:$B,Heron!BI$9,Xero!$A:$A,Heron!$A$5,Xero!$E:$E,Heron!$A39)</f>
        <v>0</v>
      </c>
      <c r="BJ39" s="99">
        <f>SUMIFS(Xero!$F:$F,Xero!$B:$B,Heron!BJ$9,Xero!$A:$A,Heron!$A$4,Xero!$E:$E,Heron!$A39)+SUMIFS(Xero!$F:$F,Xero!$B:$B,Heron!BJ$9,Xero!$A:$A,Heron!$A$5,Xero!$E:$E,Heron!$A39)</f>
        <v>0</v>
      </c>
      <c r="BK39" s="99">
        <f t="shared" si="4"/>
        <v>28750</v>
      </c>
    </row>
    <row r="40" spans="1:63" ht="16" x14ac:dyDescent="0.2">
      <c r="A40" s="98" t="s">
        <v>1160</v>
      </c>
      <c r="D40" s="99">
        <f>SUMIFS(Xero!$F:$F,Xero!$B:$B,Heron!D$9,Xero!$A:$A,Heron!$A$4,Xero!$E:$E,Heron!$A40)+SUMIFS(Xero!$F:$F,Xero!$B:$B,Heron!D$9,Xero!$A:$A,Heron!$A$5,Xero!$E:$E,Heron!$A40)</f>
        <v>0</v>
      </c>
      <c r="E40" s="99">
        <f>SUMIFS(Xero!$F:$F,Xero!$B:$B,Heron!E$9,Xero!$A:$A,Heron!$A$4,Xero!$E:$E,Heron!$A40)+SUMIFS(Xero!$F:$F,Xero!$B:$B,Heron!E$9,Xero!$A:$A,Heron!$A$5,Xero!$E:$E,Heron!$A40)</f>
        <v>0</v>
      </c>
      <c r="F40" s="99">
        <f>SUMIFS(Xero!$F:$F,Xero!$B:$B,Heron!F$9,Xero!$A:$A,Heron!$A$4,Xero!$E:$E,Heron!$A40)+SUMIFS(Xero!$F:$F,Xero!$B:$B,Heron!F$9,Xero!$A:$A,Heron!$A$5,Xero!$E:$E,Heron!$A40)</f>
        <v>0</v>
      </c>
      <c r="G40" s="99">
        <f>SUMIFS(Xero!$F:$F,Xero!$B:$B,Heron!G$9,Xero!$A:$A,Heron!$A$4,Xero!$E:$E,Heron!$A40)+SUMIFS(Xero!$F:$F,Xero!$B:$B,Heron!G$9,Xero!$A:$A,Heron!$A$5,Xero!$E:$E,Heron!$A40)</f>
        <v>0</v>
      </c>
      <c r="H40" s="99">
        <f>SUMIFS(Xero!$F:$F,Xero!$B:$B,Heron!H$9,Xero!$A:$A,Heron!$A$4,Xero!$E:$E,Heron!$A40)+SUMIFS(Xero!$F:$F,Xero!$B:$B,Heron!H$9,Xero!$A:$A,Heron!$A$5,Xero!$E:$E,Heron!$A40)</f>
        <v>0</v>
      </c>
      <c r="I40" s="99">
        <f>SUMIFS(Xero!$F:$F,Xero!$B:$B,Heron!I$9,Xero!$A:$A,Heron!$A$4,Xero!$E:$E,Heron!$A40)+SUMIFS(Xero!$F:$F,Xero!$B:$B,Heron!I$9,Xero!$A:$A,Heron!$A$5,Xero!$E:$E,Heron!$A40)</f>
        <v>0</v>
      </c>
      <c r="J40" s="99">
        <f>SUMIFS(Xero!$F:$F,Xero!$B:$B,Heron!J$9,Xero!$A:$A,Heron!$A$4,Xero!$E:$E,Heron!$A40)+SUMIFS(Xero!$F:$F,Xero!$B:$B,Heron!J$9,Xero!$A:$A,Heron!$A$5,Xero!$E:$E,Heron!$A40)</f>
        <v>0</v>
      </c>
      <c r="K40" s="99">
        <f>SUMIFS(Xero!$F:$F,Xero!$B:$B,Heron!K$9,Xero!$A:$A,Heron!$A$4,Xero!$E:$E,Heron!$A40)+SUMIFS(Xero!$F:$F,Xero!$B:$B,Heron!K$9,Xero!$A:$A,Heron!$A$5,Xero!$E:$E,Heron!$A40)</f>
        <v>0</v>
      </c>
      <c r="L40" s="99">
        <f>SUMIFS(Xero!$F:$F,Xero!$B:$B,Heron!L$9,Xero!$A:$A,Heron!$A$4,Xero!$E:$E,Heron!$A40)+SUMIFS(Xero!$F:$F,Xero!$B:$B,Heron!L$9,Xero!$A:$A,Heron!$A$5,Xero!$E:$E,Heron!$A40)</f>
        <v>0</v>
      </c>
      <c r="M40" s="99">
        <f>SUMIFS(Xero!$F:$F,Xero!$B:$B,Heron!M$9,Xero!$A:$A,Heron!$A$4,Xero!$E:$E,Heron!$A40)+SUMIFS(Xero!$F:$F,Xero!$B:$B,Heron!M$9,Xero!$A:$A,Heron!$A$5,Xero!$E:$E,Heron!$A40)</f>
        <v>0</v>
      </c>
      <c r="N40" s="99">
        <f>SUMIFS(Xero!$F:$F,Xero!$B:$B,Heron!N$9,Xero!$A:$A,Heron!$A$4,Xero!$E:$E,Heron!$A40)+SUMIFS(Xero!$F:$F,Xero!$B:$B,Heron!N$9,Xero!$A:$A,Heron!$A$5,Xero!$E:$E,Heron!$A40)</f>
        <v>0</v>
      </c>
      <c r="O40" s="99">
        <f>SUMIFS(Xero!$F:$F,Xero!$B:$B,Heron!O$9,Xero!$A:$A,Heron!$A$4,Xero!$E:$E,Heron!$A40)+SUMIFS(Xero!$F:$F,Xero!$B:$B,Heron!O$9,Xero!$A:$A,Heron!$A$5,Xero!$E:$E,Heron!$A40)</f>
        <v>0</v>
      </c>
      <c r="P40" s="99">
        <f>SUMIFS(Xero!$F:$F,Xero!$B:$B,Heron!P$9,Xero!$A:$A,Heron!$A$4,Xero!$E:$E,Heron!$A40)+SUMIFS(Xero!$F:$F,Xero!$B:$B,Heron!P$9,Xero!$A:$A,Heron!$A$5,Xero!$E:$E,Heron!$A40)</f>
        <v>0</v>
      </c>
      <c r="Q40" s="99">
        <f>SUMIFS(Xero!$F:$F,Xero!$B:$B,Heron!Q$9,Xero!$A:$A,Heron!$A$4,Xero!$E:$E,Heron!$A40)+SUMIFS(Xero!$F:$F,Xero!$B:$B,Heron!Q$9,Xero!$A:$A,Heron!$A$5,Xero!$E:$E,Heron!$A40)</f>
        <v>0</v>
      </c>
      <c r="R40" s="99">
        <f>SUMIFS(Xero!$F:$F,Xero!$B:$B,Heron!R$9,Xero!$A:$A,Heron!$A$4,Xero!$E:$E,Heron!$A40)+SUMIFS(Xero!$F:$F,Xero!$B:$B,Heron!R$9,Xero!$A:$A,Heron!$A$5,Xero!$E:$E,Heron!$A40)</f>
        <v>0</v>
      </c>
      <c r="S40" s="99">
        <f>SUMIFS(Xero!$F:$F,Xero!$B:$B,Heron!S$9,Xero!$A:$A,Heron!$A$4,Xero!$E:$E,Heron!$A40)+SUMIFS(Xero!$F:$F,Xero!$B:$B,Heron!S$9,Xero!$A:$A,Heron!$A$5,Xero!$E:$E,Heron!$A40)</f>
        <v>0</v>
      </c>
      <c r="T40" s="99">
        <f>SUMIFS(Xero!$F:$F,Xero!$B:$B,Heron!T$9,Xero!$A:$A,Heron!$A$4,Xero!$E:$E,Heron!$A40)+SUMIFS(Xero!$F:$F,Xero!$B:$B,Heron!T$9,Xero!$A:$A,Heron!$A$5,Xero!$E:$E,Heron!$A40)</f>
        <v>0</v>
      </c>
      <c r="U40" s="99">
        <f>SUMIFS(Xero!$F:$F,Xero!$B:$B,Heron!U$9,Xero!$A:$A,Heron!$A$4,Xero!$E:$E,Heron!$A40)+SUMIFS(Xero!$F:$F,Xero!$B:$B,Heron!U$9,Xero!$A:$A,Heron!$A$5,Xero!$E:$E,Heron!$A40)</f>
        <v>0</v>
      </c>
      <c r="V40" s="99">
        <f>SUMIFS(Xero!$F:$F,Xero!$B:$B,Heron!V$9,Xero!$A:$A,Heron!$A$4,Xero!$E:$E,Heron!$A40)+SUMIFS(Xero!$F:$F,Xero!$B:$B,Heron!V$9,Xero!$A:$A,Heron!$A$5,Xero!$E:$E,Heron!$A40)</f>
        <v>0</v>
      </c>
      <c r="W40" s="99">
        <f>SUMIFS(Xero!$F:$F,Xero!$B:$B,Heron!W$9,Xero!$A:$A,Heron!$A$4,Xero!$E:$E,Heron!$A40)+SUMIFS(Xero!$F:$F,Xero!$B:$B,Heron!W$9,Xero!$A:$A,Heron!$A$5,Xero!$E:$E,Heron!$A40)</f>
        <v>0</v>
      </c>
      <c r="X40" s="99">
        <f>SUMIFS(Xero!$F:$F,Xero!$B:$B,Heron!X$9,Xero!$A:$A,Heron!$A$4,Xero!$E:$E,Heron!$A40)+SUMIFS(Xero!$F:$F,Xero!$B:$B,Heron!X$9,Xero!$A:$A,Heron!$A$5,Xero!$E:$E,Heron!$A40)</f>
        <v>0</v>
      </c>
      <c r="Y40" s="99">
        <f>SUMIFS(Xero!$F:$F,Xero!$B:$B,Heron!Y$9,Xero!$A:$A,Heron!$A$4,Xero!$E:$E,Heron!$A40)+SUMIFS(Xero!$F:$F,Xero!$B:$B,Heron!Y$9,Xero!$A:$A,Heron!$A$5,Xero!$E:$E,Heron!$A40)</f>
        <v>0</v>
      </c>
      <c r="Z40" s="99">
        <f>SUMIFS(Xero!$F:$F,Xero!$B:$B,Heron!Z$9,Xero!$A:$A,Heron!$A$4,Xero!$E:$E,Heron!$A40)+SUMIFS(Xero!$F:$F,Xero!$B:$B,Heron!Z$9,Xero!$A:$A,Heron!$A$5,Xero!$E:$E,Heron!$A40)</f>
        <v>8263.91</v>
      </c>
      <c r="AA40" s="99">
        <f>SUMIFS(Xero!$F:$F,Xero!$B:$B,Heron!AA$9,Xero!$A:$A,Heron!$A$4,Xero!$E:$E,Heron!$A40)+SUMIFS(Xero!$F:$F,Xero!$B:$B,Heron!AA$9,Xero!$A:$A,Heron!$A$5,Xero!$E:$E,Heron!$A40)</f>
        <v>0</v>
      </c>
      <c r="AB40" s="99">
        <f>SUMIFS(Xero!$F:$F,Xero!$B:$B,Heron!AB$9,Xero!$A:$A,Heron!$A$4,Xero!$E:$E,Heron!$A40)+SUMIFS(Xero!$F:$F,Xero!$B:$B,Heron!AB$9,Xero!$A:$A,Heron!$A$5,Xero!$E:$E,Heron!$A40)</f>
        <v>0</v>
      </c>
      <c r="AC40" s="99">
        <f>SUMIFS(Xero!$F:$F,Xero!$B:$B,Heron!AC$9,Xero!$A:$A,Heron!$A$4,Xero!$E:$E,Heron!$A40)+SUMIFS(Xero!$F:$F,Xero!$B:$B,Heron!AC$9,Xero!$A:$A,Heron!$A$5,Xero!$E:$E,Heron!$A40)</f>
        <v>0</v>
      </c>
      <c r="AD40" s="99">
        <f>SUMIFS(Xero!$F:$F,Xero!$B:$B,Heron!AD$9,Xero!$A:$A,Heron!$A$4,Xero!$E:$E,Heron!$A40)+SUMIFS(Xero!$F:$F,Xero!$B:$B,Heron!AD$9,Xero!$A:$A,Heron!$A$5,Xero!$E:$E,Heron!$A40)</f>
        <v>0</v>
      </c>
      <c r="AE40" s="99">
        <f>SUMIFS(Xero!$F:$F,Xero!$B:$B,Heron!AE$9,Xero!$A:$A,Heron!$A$4,Xero!$E:$E,Heron!$A40)+SUMIFS(Xero!$F:$F,Xero!$B:$B,Heron!AE$9,Xero!$A:$A,Heron!$A$5,Xero!$E:$E,Heron!$A40)</f>
        <v>0</v>
      </c>
      <c r="AF40" s="99">
        <f>SUMIFS(Xero!$F:$F,Xero!$B:$B,Heron!AF$9,Xero!$A:$A,Heron!$A$4,Xero!$E:$E,Heron!$A40)+SUMIFS(Xero!$F:$F,Xero!$B:$B,Heron!AF$9,Xero!$A:$A,Heron!$A$5,Xero!$E:$E,Heron!$A40)</f>
        <v>0</v>
      </c>
      <c r="AG40" s="99">
        <f>SUMIFS(Xero!$F:$F,Xero!$B:$B,Heron!AG$9,Xero!$A:$A,Heron!$A$4,Xero!$E:$E,Heron!$A40)+SUMIFS(Xero!$F:$F,Xero!$B:$B,Heron!AG$9,Xero!$A:$A,Heron!$A$5,Xero!$E:$E,Heron!$A40)</f>
        <v>0</v>
      </c>
      <c r="AH40" s="99">
        <f>SUMIFS(Xero!$F:$F,Xero!$B:$B,Heron!AH$9,Xero!$A:$A,Heron!$A$4,Xero!$E:$E,Heron!$A40)+SUMIFS(Xero!$F:$F,Xero!$B:$B,Heron!AH$9,Xero!$A:$A,Heron!$A$5,Xero!$E:$E,Heron!$A40)</f>
        <v>745</v>
      </c>
      <c r="AI40" s="99">
        <f>SUMIFS(Xero!$F:$F,Xero!$B:$B,Heron!AI$9,Xero!$A:$A,Heron!$A$4,Xero!$E:$E,Heron!$A40)+SUMIFS(Xero!$F:$F,Xero!$B:$B,Heron!AI$9,Xero!$A:$A,Heron!$A$5,Xero!$E:$E,Heron!$A40)</f>
        <v>17110</v>
      </c>
      <c r="AJ40" s="99">
        <f>SUMIFS(Xero!$F:$F,Xero!$B:$B,Heron!AJ$9,Xero!$A:$A,Heron!$A$4,Xero!$E:$E,Heron!$A40)+SUMIFS(Xero!$F:$F,Xero!$B:$B,Heron!AJ$9,Xero!$A:$A,Heron!$A$5,Xero!$E:$E,Heron!$A40)</f>
        <v>0</v>
      </c>
      <c r="AK40" s="99">
        <f>SUMIFS(Xero!$F:$F,Xero!$B:$B,Heron!AK$9,Xero!$A:$A,Heron!$A$4,Xero!$E:$E,Heron!$A40)+SUMIFS(Xero!$F:$F,Xero!$B:$B,Heron!AK$9,Xero!$A:$A,Heron!$A$5,Xero!$E:$E,Heron!$A40)</f>
        <v>0</v>
      </c>
      <c r="AL40" s="99">
        <f>SUMIFS(Xero!$F:$F,Xero!$B:$B,Heron!AL$9,Xero!$A:$A,Heron!$A$4,Xero!$E:$E,Heron!$A40)+SUMIFS(Xero!$F:$F,Xero!$B:$B,Heron!AL$9,Xero!$A:$A,Heron!$A$5,Xero!$E:$E,Heron!$A40)</f>
        <v>0</v>
      </c>
      <c r="AM40" s="99">
        <f>SUMIFS(Xero!$F:$F,Xero!$B:$B,Heron!AM$9,Xero!$A:$A,Heron!$A$4,Xero!$E:$E,Heron!$A40)+SUMIFS(Xero!$F:$F,Xero!$B:$B,Heron!AM$9,Xero!$A:$A,Heron!$A$5,Xero!$E:$E,Heron!$A40)</f>
        <v>0</v>
      </c>
      <c r="AN40" s="99">
        <f>SUMIFS(Xero!$F:$F,Xero!$B:$B,Heron!AN$9,Xero!$A:$A,Heron!$A$4,Xero!$E:$E,Heron!$A40)+SUMIFS(Xero!$F:$F,Xero!$B:$B,Heron!AN$9,Xero!$A:$A,Heron!$A$5,Xero!$E:$E,Heron!$A40)</f>
        <v>0</v>
      </c>
      <c r="AO40" s="99">
        <f>SUMIFS(Xero!$F:$F,Xero!$B:$B,Heron!AO$9,Xero!$A:$A,Heron!$A$4,Xero!$E:$E,Heron!$A40)+SUMIFS(Xero!$F:$F,Xero!$B:$B,Heron!AO$9,Xero!$A:$A,Heron!$A$5,Xero!$E:$E,Heron!$A40)</f>
        <v>0</v>
      </c>
      <c r="AP40" s="99">
        <f>SUMIFS(Xero!$F:$F,Xero!$B:$B,Heron!AP$9,Xero!$A:$A,Heron!$A$4,Xero!$E:$E,Heron!$A40)+SUMIFS(Xero!$F:$F,Xero!$B:$B,Heron!AP$9,Xero!$A:$A,Heron!$A$5,Xero!$E:$E,Heron!$A40)</f>
        <v>0</v>
      </c>
      <c r="AQ40" s="99">
        <f>SUMIFS(Xero!$F:$F,Xero!$B:$B,Heron!AQ$9,Xero!$A:$A,Heron!$A$4,Xero!$E:$E,Heron!$A40)+SUMIFS(Xero!$F:$F,Xero!$B:$B,Heron!AQ$9,Xero!$A:$A,Heron!$A$5,Xero!$E:$E,Heron!$A40)</f>
        <v>0</v>
      </c>
      <c r="AR40" s="99">
        <f>SUMIFS(Xero!$F:$F,Xero!$B:$B,Heron!AR$9,Xero!$A:$A,Heron!$A$4,Xero!$E:$E,Heron!$A40)+SUMIFS(Xero!$F:$F,Xero!$B:$B,Heron!AR$9,Xero!$A:$A,Heron!$A$5,Xero!$E:$E,Heron!$A40)</f>
        <v>0</v>
      </c>
      <c r="AS40" s="99">
        <f>SUMIFS(Xero!$F:$F,Xero!$B:$B,Heron!AS$9,Xero!$A:$A,Heron!$A$4,Xero!$E:$E,Heron!$A40)+SUMIFS(Xero!$F:$F,Xero!$B:$B,Heron!AS$9,Xero!$A:$A,Heron!$A$5,Xero!$E:$E,Heron!$A40)</f>
        <v>0</v>
      </c>
      <c r="AT40" s="99">
        <f>SUMIFS(Xero!$F:$F,Xero!$B:$B,Heron!AT$9,Xero!$A:$A,Heron!$A$4,Xero!$E:$E,Heron!$A40)+SUMIFS(Xero!$F:$F,Xero!$B:$B,Heron!AT$9,Xero!$A:$A,Heron!$A$5,Xero!$E:$E,Heron!$A40)</f>
        <v>0</v>
      </c>
      <c r="AU40" s="99">
        <f>SUMIFS(Xero!$F:$F,Xero!$B:$B,Heron!AU$9,Xero!$A:$A,Heron!$A$4,Xero!$E:$E,Heron!$A40)+SUMIFS(Xero!$F:$F,Xero!$B:$B,Heron!AU$9,Xero!$A:$A,Heron!$A$5,Xero!$E:$E,Heron!$A40)</f>
        <v>0</v>
      </c>
      <c r="AV40" s="99">
        <f>SUMIFS(Xero!$F:$F,Xero!$B:$B,Heron!AV$9,Xero!$A:$A,Heron!$A$4,Xero!$E:$E,Heron!$A40)+SUMIFS(Xero!$F:$F,Xero!$B:$B,Heron!AV$9,Xero!$A:$A,Heron!$A$5,Xero!$E:$E,Heron!$A40)</f>
        <v>0</v>
      </c>
      <c r="AW40" s="99">
        <f>SUMIFS(Xero!$F:$F,Xero!$B:$B,Heron!AW$9,Xero!$A:$A,Heron!$A$4,Xero!$E:$E,Heron!$A40)+SUMIFS(Xero!$F:$F,Xero!$B:$B,Heron!AW$9,Xero!$A:$A,Heron!$A$5,Xero!$E:$E,Heron!$A40)</f>
        <v>0</v>
      </c>
      <c r="AX40" s="99">
        <f>SUMIFS(Xero!$F:$F,Xero!$B:$B,Heron!AX$9,Xero!$A:$A,Heron!$A$4,Xero!$E:$E,Heron!$A40)+SUMIFS(Xero!$F:$F,Xero!$B:$B,Heron!AX$9,Xero!$A:$A,Heron!$A$5,Xero!$E:$E,Heron!$A40)</f>
        <v>0</v>
      </c>
      <c r="AY40" s="99">
        <f>SUMIFS(Xero!$F:$F,Xero!$B:$B,Heron!AY$9,Xero!$A:$A,Heron!$A$4,Xero!$E:$E,Heron!$A40)+SUMIFS(Xero!$F:$F,Xero!$B:$B,Heron!AY$9,Xero!$A:$A,Heron!$A$5,Xero!$E:$E,Heron!$A40)</f>
        <v>0</v>
      </c>
      <c r="AZ40" s="99">
        <f>SUMIFS(Xero!$F:$F,Xero!$B:$B,Heron!AZ$9,Xero!$A:$A,Heron!$A$4,Xero!$E:$E,Heron!$A40)+SUMIFS(Xero!$F:$F,Xero!$B:$B,Heron!AZ$9,Xero!$A:$A,Heron!$A$5,Xero!$E:$E,Heron!$A40)</f>
        <v>0</v>
      </c>
      <c r="BA40" s="99">
        <f>SUMIFS(Xero!$F:$F,Xero!$B:$B,Heron!BA$9,Xero!$A:$A,Heron!$A$4,Xero!$E:$E,Heron!$A40)+SUMIFS(Xero!$F:$F,Xero!$B:$B,Heron!BA$9,Xero!$A:$A,Heron!$A$5,Xero!$E:$E,Heron!$A40)</f>
        <v>0</v>
      </c>
      <c r="BB40" s="99">
        <f>SUMIFS(Xero!$F:$F,Xero!$B:$B,Heron!BB$9,Xero!$A:$A,Heron!$A$4,Xero!$E:$E,Heron!$A40)+SUMIFS(Xero!$F:$F,Xero!$B:$B,Heron!BB$9,Xero!$A:$A,Heron!$A$5,Xero!$E:$E,Heron!$A40)</f>
        <v>0</v>
      </c>
      <c r="BC40" s="99">
        <f>SUMIFS(Xero!$F:$F,Xero!$B:$B,Heron!BC$9,Xero!$A:$A,Heron!$A$4,Xero!$E:$E,Heron!$A40)+SUMIFS(Xero!$F:$F,Xero!$B:$B,Heron!BC$9,Xero!$A:$A,Heron!$A$5,Xero!$E:$E,Heron!$A40)</f>
        <v>0</v>
      </c>
      <c r="BD40" s="99">
        <f>SUMIFS(Xero!$F:$F,Xero!$B:$B,Heron!BD$9,Xero!$A:$A,Heron!$A$4,Xero!$E:$E,Heron!$A40)+SUMIFS(Xero!$F:$F,Xero!$B:$B,Heron!BD$9,Xero!$A:$A,Heron!$A$5,Xero!$E:$E,Heron!$A40)</f>
        <v>0</v>
      </c>
      <c r="BE40" s="99">
        <f>SUMIFS(Xero!$F:$F,Xero!$B:$B,Heron!BE$9,Xero!$A:$A,Heron!$A$4,Xero!$E:$E,Heron!$A40)+SUMIFS(Xero!$F:$F,Xero!$B:$B,Heron!BE$9,Xero!$A:$A,Heron!$A$5,Xero!$E:$E,Heron!$A40)</f>
        <v>0</v>
      </c>
      <c r="BF40" s="99">
        <f>SUMIFS(Xero!$F:$F,Xero!$B:$B,Heron!BF$9,Xero!$A:$A,Heron!$A$4,Xero!$E:$E,Heron!$A40)+SUMIFS(Xero!$F:$F,Xero!$B:$B,Heron!BF$9,Xero!$A:$A,Heron!$A$5,Xero!$E:$E,Heron!$A40)</f>
        <v>0</v>
      </c>
      <c r="BG40" s="99">
        <f>SUMIFS(Xero!$F:$F,Xero!$B:$B,Heron!BG$9,Xero!$A:$A,Heron!$A$4,Xero!$E:$E,Heron!$A40)+SUMIFS(Xero!$F:$F,Xero!$B:$B,Heron!BG$9,Xero!$A:$A,Heron!$A$5,Xero!$E:$E,Heron!$A40)</f>
        <v>0</v>
      </c>
      <c r="BH40" s="99">
        <f>SUMIFS(Xero!$F:$F,Xero!$B:$B,Heron!BH$9,Xero!$A:$A,Heron!$A$4,Xero!$E:$E,Heron!$A40)+SUMIFS(Xero!$F:$F,Xero!$B:$B,Heron!BH$9,Xero!$A:$A,Heron!$A$5,Xero!$E:$E,Heron!$A40)</f>
        <v>0</v>
      </c>
      <c r="BI40" s="99">
        <f>SUMIFS(Xero!$F:$F,Xero!$B:$B,Heron!BI$9,Xero!$A:$A,Heron!$A$4,Xero!$E:$E,Heron!$A40)+SUMIFS(Xero!$F:$F,Xero!$B:$B,Heron!BI$9,Xero!$A:$A,Heron!$A$5,Xero!$E:$E,Heron!$A40)</f>
        <v>0</v>
      </c>
      <c r="BJ40" s="99">
        <f>SUMIFS(Xero!$F:$F,Xero!$B:$B,Heron!BJ$9,Xero!$A:$A,Heron!$A$4,Xero!$E:$E,Heron!$A40)+SUMIFS(Xero!$F:$F,Xero!$B:$B,Heron!BJ$9,Xero!$A:$A,Heron!$A$5,Xero!$E:$E,Heron!$A40)</f>
        <v>0</v>
      </c>
      <c r="BK40" s="99">
        <f t="shared" si="4"/>
        <v>26118.91</v>
      </c>
    </row>
    <row r="41" spans="1:63" ht="16" x14ac:dyDescent="0.2">
      <c r="A41" s="98" t="s">
        <v>1079</v>
      </c>
      <c r="D41" s="99">
        <f>SUMIFS(Xero!$F:$F,Xero!$B:$B,Heron!D$9,Xero!$A:$A,Heron!$A$4,Xero!$E:$E,Heron!$A41)+SUMIFS(Xero!$F:$F,Xero!$B:$B,Heron!D$9,Xero!$A:$A,Heron!$A$5,Xero!$E:$E,Heron!$A41)</f>
        <v>5750</v>
      </c>
      <c r="E41" s="99">
        <f>SUMIFS(Xero!$F:$F,Xero!$B:$B,Heron!E$9,Xero!$A:$A,Heron!$A$4,Xero!$E:$E,Heron!$A41)+SUMIFS(Xero!$F:$F,Xero!$B:$B,Heron!E$9,Xero!$A:$A,Heron!$A$5,Xero!$E:$E,Heron!$A41)</f>
        <v>0</v>
      </c>
      <c r="F41" s="99">
        <f>SUMIFS(Xero!$F:$F,Xero!$B:$B,Heron!F$9,Xero!$A:$A,Heron!$A$4,Xero!$E:$E,Heron!$A41)+SUMIFS(Xero!$F:$F,Xero!$B:$B,Heron!F$9,Xero!$A:$A,Heron!$A$5,Xero!$E:$E,Heron!$A41)</f>
        <v>0</v>
      </c>
      <c r="G41" s="99">
        <f>SUMIFS(Xero!$F:$F,Xero!$B:$B,Heron!G$9,Xero!$A:$A,Heron!$A$4,Xero!$E:$E,Heron!$A41)+SUMIFS(Xero!$F:$F,Xero!$B:$B,Heron!G$9,Xero!$A:$A,Heron!$A$5,Xero!$E:$E,Heron!$A41)</f>
        <v>0</v>
      </c>
      <c r="H41" s="99">
        <f>SUMIFS(Xero!$F:$F,Xero!$B:$B,Heron!H$9,Xero!$A:$A,Heron!$A$4,Xero!$E:$E,Heron!$A41)+SUMIFS(Xero!$F:$F,Xero!$B:$B,Heron!H$9,Xero!$A:$A,Heron!$A$5,Xero!$E:$E,Heron!$A41)</f>
        <v>0</v>
      </c>
      <c r="I41" s="99">
        <f>SUMIFS(Xero!$F:$F,Xero!$B:$B,Heron!I$9,Xero!$A:$A,Heron!$A$4,Xero!$E:$E,Heron!$A41)+SUMIFS(Xero!$F:$F,Xero!$B:$B,Heron!I$9,Xero!$A:$A,Heron!$A$5,Xero!$E:$E,Heron!$A41)</f>
        <v>1020</v>
      </c>
      <c r="J41" s="99">
        <f>SUMIFS(Xero!$F:$F,Xero!$B:$B,Heron!J$9,Xero!$A:$A,Heron!$A$4,Xero!$E:$E,Heron!$A41)+SUMIFS(Xero!$F:$F,Xero!$B:$B,Heron!J$9,Xero!$A:$A,Heron!$A$5,Xero!$E:$E,Heron!$A41)</f>
        <v>3224.52</v>
      </c>
      <c r="K41" s="99">
        <f>SUMIFS(Xero!$F:$F,Xero!$B:$B,Heron!K$9,Xero!$A:$A,Heron!$A$4,Xero!$E:$E,Heron!$A41)+SUMIFS(Xero!$F:$F,Xero!$B:$B,Heron!K$9,Xero!$A:$A,Heron!$A$5,Xero!$E:$E,Heron!$A41)</f>
        <v>36211</v>
      </c>
      <c r="L41" s="99">
        <f>SUMIFS(Xero!$F:$F,Xero!$B:$B,Heron!L$9,Xero!$A:$A,Heron!$A$4,Xero!$E:$E,Heron!$A41)+SUMIFS(Xero!$F:$F,Xero!$B:$B,Heron!L$9,Xero!$A:$A,Heron!$A$5,Xero!$E:$E,Heron!$A41)</f>
        <v>15319.5</v>
      </c>
      <c r="M41" s="99">
        <f>SUMIFS(Xero!$F:$F,Xero!$B:$B,Heron!M$9,Xero!$A:$A,Heron!$A$4,Xero!$E:$E,Heron!$A41)+SUMIFS(Xero!$F:$F,Xero!$B:$B,Heron!M$9,Xero!$A:$A,Heron!$A$5,Xero!$E:$E,Heron!$A41)</f>
        <v>1845</v>
      </c>
      <c r="N41" s="99">
        <f>SUMIFS(Xero!$F:$F,Xero!$B:$B,Heron!N$9,Xero!$A:$A,Heron!$A$4,Xero!$E:$E,Heron!$A41)+SUMIFS(Xero!$F:$F,Xero!$B:$B,Heron!N$9,Xero!$A:$A,Heron!$A$5,Xero!$E:$E,Heron!$A41)</f>
        <v>0</v>
      </c>
      <c r="O41" s="99">
        <f>SUMIFS(Xero!$F:$F,Xero!$B:$B,Heron!O$9,Xero!$A:$A,Heron!$A$4,Xero!$E:$E,Heron!$A41)+SUMIFS(Xero!$F:$F,Xero!$B:$B,Heron!O$9,Xero!$A:$A,Heron!$A$5,Xero!$E:$E,Heron!$A41)</f>
        <v>10510</v>
      </c>
      <c r="P41" s="99">
        <f>SUMIFS(Xero!$F:$F,Xero!$B:$B,Heron!P$9,Xero!$A:$A,Heron!$A$4,Xero!$E:$E,Heron!$A41)+SUMIFS(Xero!$F:$F,Xero!$B:$B,Heron!P$9,Xero!$A:$A,Heron!$A$5,Xero!$E:$E,Heron!$A41)</f>
        <v>550</v>
      </c>
      <c r="Q41" s="99">
        <f>SUMIFS(Xero!$F:$F,Xero!$B:$B,Heron!Q$9,Xero!$A:$A,Heron!$A$4,Xero!$E:$E,Heron!$A41)+SUMIFS(Xero!$F:$F,Xero!$B:$B,Heron!Q$9,Xero!$A:$A,Heron!$A$5,Xero!$E:$E,Heron!$A41)</f>
        <v>55237.86</v>
      </c>
      <c r="R41" s="99">
        <f>SUMIFS(Xero!$F:$F,Xero!$B:$B,Heron!R$9,Xero!$A:$A,Heron!$A$4,Xero!$E:$E,Heron!$A41)+SUMIFS(Xero!$F:$F,Xero!$B:$B,Heron!R$9,Xero!$A:$A,Heron!$A$5,Xero!$E:$E,Heron!$A41)</f>
        <v>7620</v>
      </c>
      <c r="S41" s="99">
        <f>SUMIFS(Xero!$F:$F,Xero!$B:$B,Heron!S$9,Xero!$A:$A,Heron!$A$4,Xero!$E:$E,Heron!$A41)+SUMIFS(Xero!$F:$F,Xero!$B:$B,Heron!S$9,Xero!$A:$A,Heron!$A$5,Xero!$E:$E,Heron!$A41)</f>
        <v>0</v>
      </c>
      <c r="T41" s="99">
        <f>SUMIFS(Xero!$F:$F,Xero!$B:$B,Heron!T$9,Xero!$A:$A,Heron!$A$4,Xero!$E:$E,Heron!$A41)+SUMIFS(Xero!$F:$F,Xero!$B:$B,Heron!T$9,Xero!$A:$A,Heron!$A$5,Xero!$E:$E,Heron!$A41)</f>
        <v>0</v>
      </c>
      <c r="U41" s="99">
        <f>SUMIFS(Xero!$F:$F,Xero!$B:$B,Heron!U$9,Xero!$A:$A,Heron!$A$4,Xero!$E:$E,Heron!$A41)+SUMIFS(Xero!$F:$F,Xero!$B:$B,Heron!U$9,Xero!$A:$A,Heron!$A$5,Xero!$E:$E,Heron!$A41)</f>
        <v>31550</v>
      </c>
      <c r="V41" s="99">
        <f>SUMIFS(Xero!$F:$F,Xero!$B:$B,Heron!V$9,Xero!$A:$A,Heron!$A$4,Xero!$E:$E,Heron!$A41)+SUMIFS(Xero!$F:$F,Xero!$B:$B,Heron!V$9,Xero!$A:$A,Heron!$A$5,Xero!$E:$E,Heron!$A41)</f>
        <v>7246</v>
      </c>
      <c r="W41" s="99">
        <f>SUMIFS(Xero!$F:$F,Xero!$B:$B,Heron!W$9,Xero!$A:$A,Heron!$A$4,Xero!$E:$E,Heron!$A41)+SUMIFS(Xero!$F:$F,Xero!$B:$B,Heron!W$9,Xero!$A:$A,Heron!$A$5,Xero!$E:$E,Heron!$A41)</f>
        <v>375</v>
      </c>
      <c r="X41" s="99">
        <f>SUMIFS(Xero!$F:$F,Xero!$B:$B,Heron!X$9,Xero!$A:$A,Heron!$A$4,Xero!$E:$E,Heron!$A41)+SUMIFS(Xero!$F:$F,Xero!$B:$B,Heron!X$9,Xero!$A:$A,Heron!$A$5,Xero!$E:$E,Heron!$A41)</f>
        <v>13705</v>
      </c>
      <c r="Y41" s="99">
        <f>SUMIFS(Xero!$F:$F,Xero!$B:$B,Heron!Y$9,Xero!$A:$A,Heron!$A$4,Xero!$E:$E,Heron!$A41)+SUMIFS(Xero!$F:$F,Xero!$B:$B,Heron!Y$9,Xero!$A:$A,Heron!$A$5,Xero!$E:$E,Heron!$A41)</f>
        <v>6300</v>
      </c>
      <c r="Z41" s="99">
        <f>SUMIFS(Xero!$F:$F,Xero!$B:$B,Heron!Z$9,Xero!$A:$A,Heron!$A$4,Xero!$E:$E,Heron!$A41)+SUMIFS(Xero!$F:$F,Xero!$B:$B,Heron!Z$9,Xero!$A:$A,Heron!$A$5,Xero!$E:$E,Heron!$A41)</f>
        <v>0</v>
      </c>
      <c r="AA41" s="99">
        <f>SUMIFS(Xero!$F:$F,Xero!$B:$B,Heron!AA$9,Xero!$A:$A,Heron!$A$4,Xero!$E:$E,Heron!$A41)+SUMIFS(Xero!$F:$F,Xero!$B:$B,Heron!AA$9,Xero!$A:$A,Heron!$A$5,Xero!$E:$E,Heron!$A41)</f>
        <v>13857.26</v>
      </c>
      <c r="AB41" s="99">
        <f>SUMIFS(Xero!$F:$F,Xero!$B:$B,Heron!AB$9,Xero!$A:$A,Heron!$A$4,Xero!$E:$E,Heron!$A41)+SUMIFS(Xero!$F:$F,Xero!$B:$B,Heron!AB$9,Xero!$A:$A,Heron!$A$5,Xero!$E:$E,Heron!$A41)</f>
        <v>47529.759999999995</v>
      </c>
      <c r="AC41" s="99">
        <f>SUMIFS(Xero!$F:$F,Xero!$B:$B,Heron!AC$9,Xero!$A:$A,Heron!$A$4,Xero!$E:$E,Heron!$A41)+SUMIFS(Xero!$F:$F,Xero!$B:$B,Heron!AC$9,Xero!$A:$A,Heron!$A$5,Xero!$E:$E,Heron!$A41)</f>
        <v>24865.22</v>
      </c>
      <c r="AD41" s="99">
        <f>SUMIFS(Xero!$F:$F,Xero!$B:$B,Heron!AD$9,Xero!$A:$A,Heron!$A$4,Xero!$E:$E,Heron!$A41)+SUMIFS(Xero!$F:$F,Xero!$B:$B,Heron!AD$9,Xero!$A:$A,Heron!$A$5,Xero!$E:$E,Heron!$A41)</f>
        <v>57869.53</v>
      </c>
      <c r="AE41" s="99">
        <f>SUMIFS(Xero!$F:$F,Xero!$B:$B,Heron!AE$9,Xero!$A:$A,Heron!$A$4,Xero!$E:$E,Heron!$A41)+SUMIFS(Xero!$F:$F,Xero!$B:$B,Heron!AE$9,Xero!$A:$A,Heron!$A$5,Xero!$E:$E,Heron!$A41)</f>
        <v>40882.879999999997</v>
      </c>
      <c r="AF41" s="99">
        <f>SUMIFS(Xero!$F:$F,Xero!$B:$B,Heron!AF$9,Xero!$A:$A,Heron!$A$4,Xero!$E:$E,Heron!$A41)+SUMIFS(Xero!$F:$F,Xero!$B:$B,Heron!AF$9,Xero!$A:$A,Heron!$A$5,Xero!$E:$E,Heron!$A41)</f>
        <v>33931.57</v>
      </c>
      <c r="AG41" s="99">
        <f>SUMIFS(Xero!$F:$F,Xero!$B:$B,Heron!AG$9,Xero!$A:$A,Heron!$A$4,Xero!$E:$E,Heron!$A41)+SUMIFS(Xero!$F:$F,Xero!$B:$B,Heron!AG$9,Xero!$A:$A,Heron!$A$5,Xero!$E:$E,Heron!$A41)</f>
        <v>5439.56</v>
      </c>
      <c r="AH41" s="99">
        <f>SUMIFS(Xero!$F:$F,Xero!$B:$B,Heron!AH$9,Xero!$A:$A,Heron!$A$4,Xero!$E:$E,Heron!$A41)+SUMIFS(Xero!$F:$F,Xero!$B:$B,Heron!AH$9,Xero!$A:$A,Heron!$A$5,Xero!$E:$E,Heron!$A41)</f>
        <v>10250</v>
      </c>
      <c r="AI41" s="99">
        <f>SUMIFS(Xero!$F:$F,Xero!$B:$B,Heron!AI$9,Xero!$A:$A,Heron!$A$4,Xero!$E:$E,Heron!$A41)+SUMIFS(Xero!$F:$F,Xero!$B:$B,Heron!AI$9,Xero!$A:$A,Heron!$A$5,Xero!$E:$E,Heron!$A41)</f>
        <v>2000</v>
      </c>
      <c r="AJ41" s="99">
        <f>SUMIFS(Xero!$F:$F,Xero!$B:$B,Heron!AJ$9,Xero!$A:$A,Heron!$A$4,Xero!$E:$E,Heron!$A41)+SUMIFS(Xero!$F:$F,Xero!$B:$B,Heron!AJ$9,Xero!$A:$A,Heron!$A$5,Xero!$E:$E,Heron!$A41)</f>
        <v>7641.04</v>
      </c>
      <c r="AK41" s="99">
        <f>SUMIFS(Xero!$F:$F,Xero!$B:$B,Heron!AK$9,Xero!$A:$A,Heron!$A$4,Xero!$E:$E,Heron!$A41)+SUMIFS(Xero!$F:$F,Xero!$B:$B,Heron!AK$9,Xero!$A:$A,Heron!$A$5,Xero!$E:$E,Heron!$A41)</f>
        <v>1362.5</v>
      </c>
      <c r="AL41" s="99">
        <f>SUMIFS(Xero!$F:$F,Xero!$B:$B,Heron!AL$9,Xero!$A:$A,Heron!$A$4,Xero!$E:$E,Heron!$A41)+SUMIFS(Xero!$F:$F,Xero!$B:$B,Heron!AL$9,Xero!$A:$A,Heron!$A$5,Xero!$E:$E,Heron!$A41)</f>
        <v>0</v>
      </c>
      <c r="AM41" s="99">
        <f>SUMIFS(Xero!$F:$F,Xero!$B:$B,Heron!AM$9,Xero!$A:$A,Heron!$A$4,Xero!$E:$E,Heron!$A41)+SUMIFS(Xero!$F:$F,Xero!$B:$B,Heron!AM$9,Xero!$A:$A,Heron!$A$5,Xero!$E:$E,Heron!$A41)</f>
        <v>500</v>
      </c>
      <c r="AN41" s="99">
        <f>SUMIFS(Xero!$F:$F,Xero!$B:$B,Heron!AN$9,Xero!$A:$A,Heron!$A$4,Xero!$E:$E,Heron!$A41)+SUMIFS(Xero!$F:$F,Xero!$B:$B,Heron!AN$9,Xero!$A:$A,Heron!$A$5,Xero!$E:$E,Heron!$A41)</f>
        <v>22000</v>
      </c>
      <c r="AO41" s="99">
        <f>SUMIFS(Xero!$F:$F,Xero!$B:$B,Heron!AO$9,Xero!$A:$A,Heron!$A$4,Xero!$E:$E,Heron!$A41)+SUMIFS(Xero!$F:$F,Xero!$B:$B,Heron!AO$9,Xero!$A:$A,Heron!$A$5,Xero!$E:$E,Heron!$A41)</f>
        <v>728.8</v>
      </c>
      <c r="AP41" s="99">
        <f>SUMIFS(Xero!$F:$F,Xero!$B:$B,Heron!AP$9,Xero!$A:$A,Heron!$A$4,Xero!$E:$E,Heron!$A41)+SUMIFS(Xero!$F:$F,Xero!$B:$B,Heron!AP$9,Xero!$A:$A,Heron!$A$5,Xero!$E:$E,Heron!$A41)</f>
        <v>3813.96</v>
      </c>
      <c r="AQ41" s="99">
        <f>SUMIFS(Xero!$F:$F,Xero!$B:$B,Heron!AQ$9,Xero!$A:$A,Heron!$A$4,Xero!$E:$E,Heron!$A41)+SUMIFS(Xero!$F:$F,Xero!$B:$B,Heron!AQ$9,Xero!$A:$A,Heron!$A$5,Xero!$E:$E,Heron!$A41)</f>
        <v>3200</v>
      </c>
      <c r="AR41" s="99">
        <f>SUMIFS(Xero!$F:$F,Xero!$B:$B,Heron!AR$9,Xero!$A:$A,Heron!$A$4,Xero!$E:$E,Heron!$A41)+SUMIFS(Xero!$F:$F,Xero!$B:$B,Heron!AR$9,Xero!$A:$A,Heron!$A$5,Xero!$E:$E,Heron!$A41)</f>
        <v>3396</v>
      </c>
      <c r="AS41" s="99">
        <f>SUMIFS(Xero!$F:$F,Xero!$B:$B,Heron!AS$9,Xero!$A:$A,Heron!$A$4,Xero!$E:$E,Heron!$A41)+SUMIFS(Xero!$F:$F,Xero!$B:$B,Heron!AS$9,Xero!$A:$A,Heron!$A$5,Xero!$E:$E,Heron!$A41)</f>
        <v>0</v>
      </c>
      <c r="AT41" s="99">
        <f>SUMIFS(Xero!$F:$F,Xero!$B:$B,Heron!AT$9,Xero!$A:$A,Heron!$A$4,Xero!$E:$E,Heron!$A41)+SUMIFS(Xero!$F:$F,Xero!$B:$B,Heron!AT$9,Xero!$A:$A,Heron!$A$5,Xero!$E:$E,Heron!$A41)</f>
        <v>0</v>
      </c>
      <c r="AU41" s="99">
        <f>SUMIFS(Xero!$F:$F,Xero!$B:$B,Heron!AU$9,Xero!$A:$A,Heron!$A$4,Xero!$E:$E,Heron!$A41)+SUMIFS(Xero!$F:$F,Xero!$B:$B,Heron!AU$9,Xero!$A:$A,Heron!$A$5,Xero!$E:$E,Heron!$A41)</f>
        <v>0</v>
      </c>
      <c r="AV41" s="99">
        <f>SUMIFS(Xero!$F:$F,Xero!$B:$B,Heron!AV$9,Xero!$A:$A,Heron!$A$4,Xero!$E:$E,Heron!$A41)+SUMIFS(Xero!$F:$F,Xero!$B:$B,Heron!AV$9,Xero!$A:$A,Heron!$A$5,Xero!$E:$E,Heron!$A41)</f>
        <v>0</v>
      </c>
      <c r="AW41" s="99">
        <f>SUMIFS(Xero!$F:$F,Xero!$B:$B,Heron!AW$9,Xero!$A:$A,Heron!$A$4,Xero!$E:$E,Heron!$A41)+SUMIFS(Xero!$F:$F,Xero!$B:$B,Heron!AW$9,Xero!$A:$A,Heron!$A$5,Xero!$E:$E,Heron!$A41)</f>
        <v>0</v>
      </c>
      <c r="AX41" s="99">
        <f>SUMIFS(Xero!$F:$F,Xero!$B:$B,Heron!AX$9,Xero!$A:$A,Heron!$A$4,Xero!$E:$E,Heron!$A41)+SUMIFS(Xero!$F:$F,Xero!$B:$B,Heron!AX$9,Xero!$A:$A,Heron!$A$5,Xero!$E:$E,Heron!$A41)</f>
        <v>0</v>
      </c>
      <c r="AY41" s="99">
        <f>SUMIFS(Xero!$F:$F,Xero!$B:$B,Heron!AY$9,Xero!$A:$A,Heron!$A$4,Xero!$E:$E,Heron!$A41)+SUMIFS(Xero!$F:$F,Xero!$B:$B,Heron!AY$9,Xero!$A:$A,Heron!$A$5,Xero!$E:$E,Heron!$A41)</f>
        <v>0</v>
      </c>
      <c r="AZ41" s="99">
        <f>SUMIFS(Xero!$F:$F,Xero!$B:$B,Heron!AZ$9,Xero!$A:$A,Heron!$A$4,Xero!$E:$E,Heron!$A41)+SUMIFS(Xero!$F:$F,Xero!$B:$B,Heron!AZ$9,Xero!$A:$A,Heron!$A$5,Xero!$E:$E,Heron!$A41)</f>
        <v>0</v>
      </c>
      <c r="BA41" s="99">
        <f>SUMIFS(Xero!$F:$F,Xero!$B:$B,Heron!BA$9,Xero!$A:$A,Heron!$A$4,Xero!$E:$E,Heron!$A41)+SUMIFS(Xero!$F:$F,Xero!$B:$B,Heron!BA$9,Xero!$A:$A,Heron!$A$5,Xero!$E:$E,Heron!$A41)</f>
        <v>0</v>
      </c>
      <c r="BB41" s="99">
        <f>SUMIFS(Xero!$F:$F,Xero!$B:$B,Heron!BB$9,Xero!$A:$A,Heron!$A$4,Xero!$E:$E,Heron!$A41)+SUMIFS(Xero!$F:$F,Xero!$B:$B,Heron!BB$9,Xero!$A:$A,Heron!$A$5,Xero!$E:$E,Heron!$A41)</f>
        <v>0</v>
      </c>
      <c r="BC41" s="99">
        <f>SUMIFS(Xero!$F:$F,Xero!$B:$B,Heron!BC$9,Xero!$A:$A,Heron!$A$4,Xero!$E:$E,Heron!$A41)+SUMIFS(Xero!$F:$F,Xero!$B:$B,Heron!BC$9,Xero!$A:$A,Heron!$A$5,Xero!$E:$E,Heron!$A41)</f>
        <v>0</v>
      </c>
      <c r="BD41" s="99">
        <f>SUMIFS(Xero!$F:$F,Xero!$B:$B,Heron!BD$9,Xero!$A:$A,Heron!$A$4,Xero!$E:$E,Heron!$A41)+SUMIFS(Xero!$F:$F,Xero!$B:$B,Heron!BD$9,Xero!$A:$A,Heron!$A$5,Xero!$E:$E,Heron!$A41)</f>
        <v>0</v>
      </c>
      <c r="BE41" s="99">
        <f>SUMIFS(Xero!$F:$F,Xero!$B:$B,Heron!BE$9,Xero!$A:$A,Heron!$A$4,Xero!$E:$E,Heron!$A41)+SUMIFS(Xero!$F:$F,Xero!$B:$B,Heron!BE$9,Xero!$A:$A,Heron!$A$5,Xero!$E:$E,Heron!$A41)</f>
        <v>0</v>
      </c>
      <c r="BF41" s="99">
        <f>SUMIFS(Xero!$F:$F,Xero!$B:$B,Heron!BF$9,Xero!$A:$A,Heron!$A$4,Xero!$E:$E,Heron!$A41)+SUMIFS(Xero!$F:$F,Xero!$B:$B,Heron!BF$9,Xero!$A:$A,Heron!$A$5,Xero!$E:$E,Heron!$A41)</f>
        <v>0</v>
      </c>
      <c r="BG41" s="99">
        <f>SUMIFS(Xero!$F:$F,Xero!$B:$B,Heron!BG$9,Xero!$A:$A,Heron!$A$4,Xero!$E:$E,Heron!$A41)+SUMIFS(Xero!$F:$F,Xero!$B:$B,Heron!BG$9,Xero!$A:$A,Heron!$A$5,Xero!$E:$E,Heron!$A41)</f>
        <v>0</v>
      </c>
      <c r="BH41" s="99">
        <f>SUMIFS(Xero!$F:$F,Xero!$B:$B,Heron!BH$9,Xero!$A:$A,Heron!$A$4,Xero!$E:$E,Heron!$A41)+SUMIFS(Xero!$F:$F,Xero!$B:$B,Heron!BH$9,Xero!$A:$A,Heron!$A$5,Xero!$E:$E,Heron!$A41)</f>
        <v>0</v>
      </c>
      <c r="BI41" s="99">
        <f>SUMIFS(Xero!$F:$F,Xero!$B:$B,Heron!BI$9,Xero!$A:$A,Heron!$A$4,Xero!$E:$E,Heron!$A41)+SUMIFS(Xero!$F:$F,Xero!$B:$B,Heron!BI$9,Xero!$A:$A,Heron!$A$5,Xero!$E:$E,Heron!$A41)</f>
        <v>0</v>
      </c>
      <c r="BJ41" s="99">
        <f>SUMIFS(Xero!$F:$F,Xero!$B:$B,Heron!BJ$9,Xero!$A:$A,Heron!$A$4,Xero!$E:$E,Heron!$A41)+SUMIFS(Xero!$F:$F,Xero!$B:$B,Heron!BJ$9,Xero!$A:$A,Heron!$A$5,Xero!$E:$E,Heron!$A41)</f>
        <v>0</v>
      </c>
      <c r="BK41" s="99">
        <f t="shared" si="4"/>
        <v>475731.96</v>
      </c>
    </row>
    <row r="42" spans="1:63" ht="16" x14ac:dyDescent="0.2">
      <c r="A42" s="98" t="s">
        <v>1085</v>
      </c>
      <c r="D42" s="99">
        <f>SUMIFS(Xero!$F:$F,Xero!$B:$B,Heron!D$9,Xero!$A:$A,Heron!$A$4,Xero!$E:$E,Heron!$A42)+SUMIFS(Xero!$F:$F,Xero!$B:$B,Heron!D$9,Xero!$A:$A,Heron!$A$5,Xero!$E:$E,Heron!$A42)</f>
        <v>0</v>
      </c>
      <c r="E42" s="99">
        <f>SUMIFS(Xero!$F:$F,Xero!$B:$B,Heron!E$9,Xero!$A:$A,Heron!$A$4,Xero!$E:$E,Heron!$A42)+SUMIFS(Xero!$F:$F,Xero!$B:$B,Heron!E$9,Xero!$A:$A,Heron!$A$5,Xero!$E:$E,Heron!$A42)</f>
        <v>140.21</v>
      </c>
      <c r="F42" s="99">
        <f>SUMIFS(Xero!$F:$F,Xero!$B:$B,Heron!F$9,Xero!$A:$A,Heron!$A$4,Xero!$E:$E,Heron!$A42)+SUMIFS(Xero!$F:$F,Xero!$B:$B,Heron!F$9,Xero!$A:$A,Heron!$A$5,Xero!$E:$E,Heron!$A42)</f>
        <v>116.5</v>
      </c>
      <c r="G42" s="99">
        <f>SUMIFS(Xero!$F:$F,Xero!$B:$B,Heron!G$9,Xero!$A:$A,Heron!$A$4,Xero!$E:$E,Heron!$A42)+SUMIFS(Xero!$F:$F,Xero!$B:$B,Heron!G$9,Xero!$A:$A,Heron!$A$5,Xero!$E:$E,Heron!$A42)</f>
        <v>758.04</v>
      </c>
      <c r="H42" s="99">
        <f>SUMIFS(Xero!$F:$F,Xero!$B:$B,Heron!H$9,Xero!$A:$A,Heron!$A$4,Xero!$E:$E,Heron!$A42)+SUMIFS(Xero!$F:$F,Xero!$B:$B,Heron!H$9,Xero!$A:$A,Heron!$A$5,Xero!$E:$E,Heron!$A42)</f>
        <v>162.02000000000001</v>
      </c>
      <c r="I42" s="99">
        <f>SUMIFS(Xero!$F:$F,Xero!$B:$B,Heron!I$9,Xero!$A:$A,Heron!$A$4,Xero!$E:$E,Heron!$A42)+SUMIFS(Xero!$F:$F,Xero!$B:$B,Heron!I$9,Xero!$A:$A,Heron!$A$5,Xero!$E:$E,Heron!$A42)</f>
        <v>295.94</v>
      </c>
      <c r="J42" s="99">
        <f>SUMIFS(Xero!$F:$F,Xero!$B:$B,Heron!J$9,Xero!$A:$A,Heron!$A$4,Xero!$E:$E,Heron!$A42)+SUMIFS(Xero!$F:$F,Xero!$B:$B,Heron!J$9,Xero!$A:$A,Heron!$A$5,Xero!$E:$E,Heron!$A42)</f>
        <v>303.01</v>
      </c>
      <c r="K42" s="99">
        <f>SUMIFS(Xero!$F:$F,Xero!$B:$B,Heron!K$9,Xero!$A:$A,Heron!$A$4,Xero!$E:$E,Heron!$A42)+SUMIFS(Xero!$F:$F,Xero!$B:$B,Heron!K$9,Xero!$A:$A,Heron!$A$5,Xero!$E:$E,Heron!$A42)</f>
        <v>411.55</v>
      </c>
      <c r="L42" s="99">
        <f>SUMIFS(Xero!$F:$F,Xero!$B:$B,Heron!L$9,Xero!$A:$A,Heron!$A$4,Xero!$E:$E,Heron!$A42)+SUMIFS(Xero!$F:$F,Xero!$B:$B,Heron!L$9,Xero!$A:$A,Heron!$A$5,Xero!$E:$E,Heron!$A42)</f>
        <v>530.11</v>
      </c>
      <c r="M42" s="99">
        <f>SUMIFS(Xero!$F:$F,Xero!$B:$B,Heron!M$9,Xero!$A:$A,Heron!$A$4,Xero!$E:$E,Heron!$A42)+SUMIFS(Xero!$F:$F,Xero!$B:$B,Heron!M$9,Xero!$A:$A,Heron!$A$5,Xero!$E:$E,Heron!$A42)</f>
        <v>530.11</v>
      </c>
      <c r="N42" s="99">
        <f>SUMIFS(Xero!$F:$F,Xero!$B:$B,Heron!N$9,Xero!$A:$A,Heron!$A$4,Xero!$E:$E,Heron!$A42)+SUMIFS(Xero!$F:$F,Xero!$B:$B,Heron!N$9,Xero!$A:$A,Heron!$A$5,Xero!$E:$E,Heron!$A42)</f>
        <v>540.89</v>
      </c>
      <c r="O42" s="99">
        <f>SUMIFS(Xero!$F:$F,Xero!$B:$B,Heron!O$9,Xero!$A:$A,Heron!$A$4,Xero!$E:$E,Heron!$A42)+SUMIFS(Xero!$F:$F,Xero!$B:$B,Heron!O$9,Xero!$A:$A,Heron!$A$5,Xero!$E:$E,Heron!$A42)</f>
        <v>512.54</v>
      </c>
      <c r="P42" s="99">
        <f>SUMIFS(Xero!$F:$F,Xero!$B:$B,Heron!P$9,Xero!$A:$A,Heron!$A$4,Xero!$E:$E,Heron!$A42)+SUMIFS(Xero!$F:$F,Xero!$B:$B,Heron!P$9,Xero!$A:$A,Heron!$A$5,Xero!$E:$E,Heron!$A42)</f>
        <v>653.70000000000005</v>
      </c>
      <c r="Q42" s="99">
        <f>SUMIFS(Xero!$F:$F,Xero!$B:$B,Heron!Q$9,Xero!$A:$A,Heron!$A$4,Xero!$E:$E,Heron!$A42)+SUMIFS(Xero!$F:$F,Xero!$B:$B,Heron!Q$9,Xero!$A:$A,Heron!$A$5,Xero!$E:$E,Heron!$A42)</f>
        <v>714.16</v>
      </c>
      <c r="R42" s="99">
        <f>SUMIFS(Xero!$F:$F,Xero!$B:$B,Heron!R$9,Xero!$A:$A,Heron!$A$4,Xero!$E:$E,Heron!$A42)+SUMIFS(Xero!$F:$F,Xero!$B:$B,Heron!R$9,Xero!$A:$A,Heron!$A$5,Xero!$E:$E,Heron!$A42)</f>
        <v>698.54</v>
      </c>
      <c r="S42" s="99">
        <f>SUMIFS(Xero!$F:$F,Xero!$B:$B,Heron!S$9,Xero!$A:$A,Heron!$A$4,Xero!$E:$E,Heron!$A42)+SUMIFS(Xero!$F:$F,Xero!$B:$B,Heron!S$9,Xero!$A:$A,Heron!$A$5,Xero!$E:$E,Heron!$A42)</f>
        <v>633.27</v>
      </c>
      <c r="T42" s="99">
        <f>SUMIFS(Xero!$F:$F,Xero!$B:$B,Heron!T$9,Xero!$A:$A,Heron!$A$4,Xero!$E:$E,Heron!$A42)+SUMIFS(Xero!$F:$F,Xero!$B:$B,Heron!T$9,Xero!$A:$A,Heron!$A$5,Xero!$E:$E,Heron!$A42)</f>
        <v>1218.08</v>
      </c>
      <c r="U42" s="99">
        <f>SUMIFS(Xero!$F:$F,Xero!$B:$B,Heron!U$9,Xero!$A:$A,Heron!$A$4,Xero!$E:$E,Heron!$A42)+SUMIFS(Xero!$F:$F,Xero!$B:$B,Heron!U$9,Xero!$A:$A,Heron!$A$5,Xero!$E:$E,Heron!$A42)</f>
        <v>832.43</v>
      </c>
      <c r="V42" s="99">
        <f>SUMIFS(Xero!$F:$F,Xero!$B:$B,Heron!V$9,Xero!$A:$A,Heron!$A$4,Xero!$E:$E,Heron!$A42)+SUMIFS(Xero!$F:$F,Xero!$B:$B,Heron!V$9,Xero!$A:$A,Heron!$A$5,Xero!$E:$E,Heron!$A42)</f>
        <v>726.9</v>
      </c>
      <c r="W42" s="99">
        <f>SUMIFS(Xero!$F:$F,Xero!$B:$B,Heron!W$9,Xero!$A:$A,Heron!$A$4,Xero!$E:$E,Heron!$A42)+SUMIFS(Xero!$F:$F,Xero!$B:$B,Heron!W$9,Xero!$A:$A,Heron!$A$5,Xero!$E:$E,Heron!$A42)</f>
        <v>261.49</v>
      </c>
      <c r="X42" s="99">
        <f>SUMIFS(Xero!$F:$F,Xero!$B:$B,Heron!X$9,Xero!$A:$A,Heron!$A$4,Xero!$E:$E,Heron!$A42)+SUMIFS(Xero!$F:$F,Xero!$B:$B,Heron!X$9,Xero!$A:$A,Heron!$A$5,Xero!$E:$E,Heron!$A42)</f>
        <v>290.77999999999997</v>
      </c>
      <c r="Y42" s="99">
        <f>SUMIFS(Xero!$F:$F,Xero!$B:$B,Heron!Y$9,Xero!$A:$A,Heron!$A$4,Xero!$E:$E,Heron!$A42)+SUMIFS(Xero!$F:$F,Xero!$B:$B,Heron!Y$9,Xero!$A:$A,Heron!$A$5,Xero!$E:$E,Heron!$A42)</f>
        <v>242.38</v>
      </c>
      <c r="Z42" s="99">
        <f>SUMIFS(Xero!$F:$F,Xero!$B:$B,Heron!Z$9,Xero!$A:$A,Heron!$A$4,Xero!$E:$E,Heron!$A42)+SUMIFS(Xero!$F:$F,Xero!$B:$B,Heron!Z$9,Xero!$A:$A,Heron!$A$5,Xero!$E:$E,Heron!$A42)</f>
        <v>406.48</v>
      </c>
      <c r="AA42" s="99">
        <f>SUMIFS(Xero!$F:$F,Xero!$B:$B,Heron!AA$9,Xero!$A:$A,Heron!$A$4,Xero!$E:$E,Heron!$A42)+SUMIFS(Xero!$F:$F,Xero!$B:$B,Heron!AA$9,Xero!$A:$A,Heron!$A$5,Xero!$E:$E,Heron!$A42)</f>
        <v>920.53</v>
      </c>
      <c r="AB42" s="99">
        <f>SUMIFS(Xero!$F:$F,Xero!$B:$B,Heron!AB$9,Xero!$A:$A,Heron!$A$4,Xero!$E:$E,Heron!$A42)+SUMIFS(Xero!$F:$F,Xero!$B:$B,Heron!AB$9,Xero!$A:$A,Heron!$A$5,Xero!$E:$E,Heron!$A42)</f>
        <v>582.98</v>
      </c>
      <c r="AC42" s="99">
        <f>SUMIFS(Xero!$F:$F,Xero!$B:$B,Heron!AC$9,Xero!$A:$A,Heron!$A$4,Xero!$E:$E,Heron!$A42)+SUMIFS(Xero!$F:$F,Xero!$B:$B,Heron!AC$9,Xero!$A:$A,Heron!$A$5,Xero!$E:$E,Heron!$A42)</f>
        <v>374.2</v>
      </c>
      <c r="AD42" s="99">
        <f>SUMIFS(Xero!$F:$F,Xero!$B:$B,Heron!AD$9,Xero!$A:$A,Heron!$A$4,Xero!$E:$E,Heron!$A42)+SUMIFS(Xero!$F:$F,Xero!$B:$B,Heron!AD$9,Xero!$A:$A,Heron!$A$5,Xero!$E:$E,Heron!$A42)</f>
        <v>449.38</v>
      </c>
      <c r="AE42" s="99">
        <f>SUMIFS(Xero!$F:$F,Xero!$B:$B,Heron!AE$9,Xero!$A:$A,Heron!$A$4,Xero!$E:$E,Heron!$A42)+SUMIFS(Xero!$F:$F,Xero!$B:$B,Heron!AE$9,Xero!$A:$A,Heron!$A$5,Xero!$E:$E,Heron!$A42)</f>
        <v>516.95000000000005</v>
      </c>
      <c r="AF42" s="99">
        <f>SUMIFS(Xero!$F:$F,Xero!$B:$B,Heron!AF$9,Xero!$A:$A,Heron!$A$4,Xero!$E:$E,Heron!$A42)+SUMIFS(Xero!$F:$F,Xero!$B:$B,Heron!AF$9,Xero!$A:$A,Heron!$A$5,Xero!$E:$E,Heron!$A42)</f>
        <v>644.16999999999996</v>
      </c>
      <c r="AG42" s="99">
        <f>SUMIFS(Xero!$F:$F,Xero!$B:$B,Heron!AG$9,Xero!$A:$A,Heron!$A$4,Xero!$E:$E,Heron!$A42)+SUMIFS(Xero!$F:$F,Xero!$B:$B,Heron!AG$9,Xero!$A:$A,Heron!$A$5,Xero!$E:$E,Heron!$A42)</f>
        <v>390.11</v>
      </c>
      <c r="AH42" s="99">
        <f>SUMIFS(Xero!$F:$F,Xero!$B:$B,Heron!AH$9,Xero!$A:$A,Heron!$A$4,Xero!$E:$E,Heron!$A42)+SUMIFS(Xero!$F:$F,Xero!$B:$B,Heron!AH$9,Xero!$A:$A,Heron!$A$5,Xero!$E:$E,Heron!$A42)</f>
        <v>256.55</v>
      </c>
      <c r="AI42" s="99">
        <f>SUMIFS(Xero!$F:$F,Xero!$B:$B,Heron!AI$9,Xero!$A:$A,Heron!$A$4,Xero!$E:$E,Heron!$A42)+SUMIFS(Xero!$F:$F,Xero!$B:$B,Heron!AI$9,Xero!$A:$A,Heron!$A$5,Xero!$E:$E,Heron!$A42)</f>
        <v>369.15</v>
      </c>
      <c r="AJ42" s="99">
        <f>SUMIFS(Xero!$F:$F,Xero!$B:$B,Heron!AJ$9,Xero!$A:$A,Heron!$A$4,Xero!$E:$E,Heron!$A42)+SUMIFS(Xero!$F:$F,Xero!$B:$B,Heron!AJ$9,Xero!$A:$A,Heron!$A$5,Xero!$E:$E,Heron!$A42)</f>
        <v>398.2</v>
      </c>
      <c r="AK42" s="99">
        <f>SUMIFS(Xero!$F:$F,Xero!$B:$B,Heron!AK$9,Xero!$A:$A,Heron!$A$4,Xero!$E:$E,Heron!$A42)+SUMIFS(Xero!$F:$F,Xero!$B:$B,Heron!AK$9,Xero!$A:$A,Heron!$A$5,Xero!$E:$E,Heron!$A42)</f>
        <v>369.23</v>
      </c>
      <c r="AL42" s="99">
        <f>SUMIFS(Xero!$F:$F,Xero!$B:$B,Heron!AL$9,Xero!$A:$A,Heron!$A$4,Xero!$E:$E,Heron!$A42)+SUMIFS(Xero!$F:$F,Xero!$B:$B,Heron!AL$9,Xero!$A:$A,Heron!$A$5,Xero!$E:$E,Heron!$A42)</f>
        <v>399.76</v>
      </c>
      <c r="AM42" s="99">
        <f>SUMIFS(Xero!$F:$F,Xero!$B:$B,Heron!AM$9,Xero!$A:$A,Heron!$A$4,Xero!$E:$E,Heron!$A42)+SUMIFS(Xero!$F:$F,Xero!$B:$B,Heron!AM$9,Xero!$A:$A,Heron!$A$5,Xero!$E:$E,Heron!$A42)</f>
        <v>0</v>
      </c>
      <c r="AN42" s="99">
        <f>SUMIFS(Xero!$F:$F,Xero!$B:$B,Heron!AN$9,Xero!$A:$A,Heron!$A$4,Xero!$E:$E,Heron!$A42)+SUMIFS(Xero!$F:$F,Xero!$B:$B,Heron!AN$9,Xero!$A:$A,Heron!$A$5,Xero!$E:$E,Heron!$A42)</f>
        <v>259.69</v>
      </c>
      <c r="AO42" s="99">
        <f>SUMIFS(Xero!$F:$F,Xero!$B:$B,Heron!AO$9,Xero!$A:$A,Heron!$A$4,Xero!$E:$E,Heron!$A42)+SUMIFS(Xero!$F:$F,Xero!$B:$B,Heron!AO$9,Xero!$A:$A,Heron!$A$5,Xero!$E:$E,Heron!$A42)</f>
        <v>0</v>
      </c>
      <c r="AP42" s="99">
        <f>SUMIFS(Xero!$F:$F,Xero!$B:$B,Heron!AP$9,Xero!$A:$A,Heron!$A$4,Xero!$E:$E,Heron!$A42)+SUMIFS(Xero!$F:$F,Xero!$B:$B,Heron!AP$9,Xero!$A:$A,Heron!$A$5,Xero!$E:$E,Heron!$A42)</f>
        <v>399.8</v>
      </c>
      <c r="AQ42" s="99">
        <f>SUMIFS(Xero!$F:$F,Xero!$B:$B,Heron!AQ$9,Xero!$A:$A,Heron!$A$4,Xero!$E:$E,Heron!$A42)+SUMIFS(Xero!$F:$F,Xero!$B:$B,Heron!AQ$9,Xero!$A:$A,Heron!$A$5,Xero!$E:$E,Heron!$A42)</f>
        <v>432.96</v>
      </c>
      <c r="AR42" s="99">
        <f>SUMIFS(Xero!$F:$F,Xero!$B:$B,Heron!AR$9,Xero!$A:$A,Heron!$A$4,Xero!$E:$E,Heron!$A42)+SUMIFS(Xero!$F:$F,Xero!$B:$B,Heron!AR$9,Xero!$A:$A,Heron!$A$5,Xero!$E:$E,Heron!$A42)</f>
        <v>426.08</v>
      </c>
      <c r="AS42" s="99">
        <f>SUMIFS(Xero!$F:$F,Xero!$B:$B,Heron!AS$9,Xero!$A:$A,Heron!$A$4,Xero!$E:$E,Heron!$A42)+SUMIFS(Xero!$F:$F,Xero!$B:$B,Heron!AS$9,Xero!$A:$A,Heron!$A$5,Xero!$E:$E,Heron!$A42)</f>
        <v>0</v>
      </c>
      <c r="AT42" s="99">
        <f>SUMIFS(Xero!$F:$F,Xero!$B:$B,Heron!AT$9,Xero!$A:$A,Heron!$A$4,Xero!$E:$E,Heron!$A42)+SUMIFS(Xero!$F:$F,Xero!$B:$B,Heron!AT$9,Xero!$A:$A,Heron!$A$5,Xero!$E:$E,Heron!$A42)</f>
        <v>0</v>
      </c>
      <c r="AU42" s="99">
        <f>SUMIFS(Xero!$F:$F,Xero!$B:$B,Heron!AU$9,Xero!$A:$A,Heron!$A$4,Xero!$E:$E,Heron!$A42)+SUMIFS(Xero!$F:$F,Xero!$B:$B,Heron!AU$9,Xero!$A:$A,Heron!$A$5,Xero!$E:$E,Heron!$A42)</f>
        <v>0</v>
      </c>
      <c r="AV42" s="99">
        <f>SUMIFS(Xero!$F:$F,Xero!$B:$B,Heron!AV$9,Xero!$A:$A,Heron!$A$4,Xero!$E:$E,Heron!$A42)+SUMIFS(Xero!$F:$F,Xero!$B:$B,Heron!AV$9,Xero!$A:$A,Heron!$A$5,Xero!$E:$E,Heron!$A42)</f>
        <v>0</v>
      </c>
      <c r="AW42" s="99">
        <f>SUMIFS(Xero!$F:$F,Xero!$B:$B,Heron!AW$9,Xero!$A:$A,Heron!$A$4,Xero!$E:$E,Heron!$A42)+SUMIFS(Xero!$F:$F,Xero!$B:$B,Heron!AW$9,Xero!$A:$A,Heron!$A$5,Xero!$E:$E,Heron!$A42)</f>
        <v>0</v>
      </c>
      <c r="AX42" s="99">
        <f>SUMIFS(Xero!$F:$F,Xero!$B:$B,Heron!AX$9,Xero!$A:$A,Heron!$A$4,Xero!$E:$E,Heron!$A42)+SUMIFS(Xero!$F:$F,Xero!$B:$B,Heron!AX$9,Xero!$A:$A,Heron!$A$5,Xero!$E:$E,Heron!$A42)</f>
        <v>0</v>
      </c>
      <c r="AY42" s="99">
        <f>SUMIFS(Xero!$F:$F,Xero!$B:$B,Heron!AY$9,Xero!$A:$A,Heron!$A$4,Xero!$E:$E,Heron!$A42)+SUMIFS(Xero!$F:$F,Xero!$B:$B,Heron!AY$9,Xero!$A:$A,Heron!$A$5,Xero!$E:$E,Heron!$A42)</f>
        <v>0</v>
      </c>
      <c r="AZ42" s="99">
        <f>SUMIFS(Xero!$F:$F,Xero!$B:$B,Heron!AZ$9,Xero!$A:$A,Heron!$A$4,Xero!$E:$E,Heron!$A42)+SUMIFS(Xero!$F:$F,Xero!$B:$B,Heron!AZ$9,Xero!$A:$A,Heron!$A$5,Xero!$E:$E,Heron!$A42)</f>
        <v>0</v>
      </c>
      <c r="BA42" s="99">
        <f>SUMIFS(Xero!$F:$F,Xero!$B:$B,Heron!BA$9,Xero!$A:$A,Heron!$A$4,Xero!$E:$E,Heron!$A42)+SUMIFS(Xero!$F:$F,Xero!$B:$B,Heron!BA$9,Xero!$A:$A,Heron!$A$5,Xero!$E:$E,Heron!$A42)</f>
        <v>0</v>
      </c>
      <c r="BB42" s="99">
        <f>SUMIFS(Xero!$F:$F,Xero!$B:$B,Heron!BB$9,Xero!$A:$A,Heron!$A$4,Xero!$E:$E,Heron!$A42)+SUMIFS(Xero!$F:$F,Xero!$B:$B,Heron!BB$9,Xero!$A:$A,Heron!$A$5,Xero!$E:$E,Heron!$A42)</f>
        <v>0</v>
      </c>
      <c r="BC42" s="99">
        <f>SUMIFS(Xero!$F:$F,Xero!$B:$B,Heron!BC$9,Xero!$A:$A,Heron!$A$4,Xero!$E:$E,Heron!$A42)+SUMIFS(Xero!$F:$F,Xero!$B:$B,Heron!BC$9,Xero!$A:$A,Heron!$A$5,Xero!$E:$E,Heron!$A42)</f>
        <v>0</v>
      </c>
      <c r="BD42" s="99">
        <f>SUMIFS(Xero!$F:$F,Xero!$B:$B,Heron!BD$9,Xero!$A:$A,Heron!$A$4,Xero!$E:$E,Heron!$A42)+SUMIFS(Xero!$F:$F,Xero!$B:$B,Heron!BD$9,Xero!$A:$A,Heron!$A$5,Xero!$E:$E,Heron!$A42)</f>
        <v>0</v>
      </c>
      <c r="BE42" s="99">
        <f>SUMIFS(Xero!$F:$F,Xero!$B:$B,Heron!BE$9,Xero!$A:$A,Heron!$A$4,Xero!$E:$E,Heron!$A42)+SUMIFS(Xero!$F:$F,Xero!$B:$B,Heron!BE$9,Xero!$A:$A,Heron!$A$5,Xero!$E:$E,Heron!$A42)</f>
        <v>0</v>
      </c>
      <c r="BF42" s="99">
        <f>SUMIFS(Xero!$F:$F,Xero!$B:$B,Heron!BF$9,Xero!$A:$A,Heron!$A$4,Xero!$E:$E,Heron!$A42)+SUMIFS(Xero!$F:$F,Xero!$B:$B,Heron!BF$9,Xero!$A:$A,Heron!$A$5,Xero!$E:$E,Heron!$A42)</f>
        <v>0</v>
      </c>
      <c r="BG42" s="99">
        <f>SUMIFS(Xero!$F:$F,Xero!$B:$B,Heron!BG$9,Xero!$A:$A,Heron!$A$4,Xero!$E:$E,Heron!$A42)+SUMIFS(Xero!$F:$F,Xero!$B:$B,Heron!BG$9,Xero!$A:$A,Heron!$A$5,Xero!$E:$E,Heron!$A42)</f>
        <v>0</v>
      </c>
      <c r="BH42" s="99">
        <f>SUMIFS(Xero!$F:$F,Xero!$B:$B,Heron!BH$9,Xero!$A:$A,Heron!$A$4,Xero!$E:$E,Heron!$A42)+SUMIFS(Xero!$F:$F,Xero!$B:$B,Heron!BH$9,Xero!$A:$A,Heron!$A$5,Xero!$E:$E,Heron!$A42)</f>
        <v>0</v>
      </c>
      <c r="BI42" s="99">
        <f>SUMIFS(Xero!$F:$F,Xero!$B:$B,Heron!BI$9,Xero!$A:$A,Heron!$A$4,Xero!$E:$E,Heron!$A42)+SUMIFS(Xero!$F:$F,Xero!$B:$B,Heron!BI$9,Xero!$A:$A,Heron!$A$5,Xero!$E:$E,Heron!$A42)</f>
        <v>0</v>
      </c>
      <c r="BJ42" s="99">
        <f>SUMIFS(Xero!$F:$F,Xero!$B:$B,Heron!BJ$9,Xero!$A:$A,Heron!$A$4,Xero!$E:$E,Heron!$A42)+SUMIFS(Xero!$F:$F,Xero!$B:$B,Heron!BJ$9,Xero!$A:$A,Heron!$A$5,Xero!$E:$E,Heron!$A42)</f>
        <v>0</v>
      </c>
      <c r="BK42" s="99">
        <f t="shared" si="4"/>
        <v>18168.87</v>
      </c>
    </row>
    <row r="43" spans="1:63" ht="16" x14ac:dyDescent="0.2">
      <c r="A43" s="98" t="s">
        <v>1768</v>
      </c>
      <c r="D43" s="99">
        <f>SUMIFS(Xero!$F:$F,Xero!$B:$B,Heron!D$9,Xero!$A:$A,Heron!$A$4,Xero!$E:$E,Heron!$A43)+SUMIFS(Xero!$F:$F,Xero!$B:$B,Heron!D$9,Xero!$A:$A,Heron!$A$5,Xero!$E:$E,Heron!$A43)</f>
        <v>0</v>
      </c>
      <c r="E43" s="99">
        <f>SUMIFS(Xero!$F:$F,Xero!$B:$B,Heron!E$9,Xero!$A:$A,Heron!$A$4,Xero!$E:$E,Heron!$A43)+SUMIFS(Xero!$F:$F,Xero!$B:$B,Heron!E$9,Xero!$A:$A,Heron!$A$5,Xero!$E:$E,Heron!$A43)</f>
        <v>0</v>
      </c>
      <c r="F43" s="99">
        <f>SUMIFS(Xero!$F:$F,Xero!$B:$B,Heron!F$9,Xero!$A:$A,Heron!$A$4,Xero!$E:$E,Heron!$A43)+SUMIFS(Xero!$F:$F,Xero!$B:$B,Heron!F$9,Xero!$A:$A,Heron!$A$5,Xero!$E:$E,Heron!$A43)</f>
        <v>0</v>
      </c>
      <c r="G43" s="99">
        <f>SUMIFS(Xero!$F:$F,Xero!$B:$B,Heron!G$9,Xero!$A:$A,Heron!$A$4,Xero!$E:$E,Heron!$A43)+SUMIFS(Xero!$F:$F,Xero!$B:$B,Heron!G$9,Xero!$A:$A,Heron!$A$5,Xero!$E:$E,Heron!$A43)</f>
        <v>0</v>
      </c>
      <c r="H43" s="99">
        <f>SUMIFS(Xero!$F:$F,Xero!$B:$B,Heron!H$9,Xero!$A:$A,Heron!$A$4,Xero!$E:$E,Heron!$A43)+SUMIFS(Xero!$F:$F,Xero!$B:$B,Heron!H$9,Xero!$A:$A,Heron!$A$5,Xero!$E:$E,Heron!$A43)</f>
        <v>0</v>
      </c>
      <c r="I43" s="99">
        <f>SUMIFS(Xero!$F:$F,Xero!$B:$B,Heron!I$9,Xero!$A:$A,Heron!$A$4,Xero!$E:$E,Heron!$A43)+SUMIFS(Xero!$F:$F,Xero!$B:$B,Heron!I$9,Xero!$A:$A,Heron!$A$5,Xero!$E:$E,Heron!$A43)</f>
        <v>0</v>
      </c>
      <c r="J43" s="99">
        <f>SUMIFS(Xero!$F:$F,Xero!$B:$B,Heron!J$9,Xero!$A:$A,Heron!$A$4,Xero!$E:$E,Heron!$A43)+SUMIFS(Xero!$F:$F,Xero!$B:$B,Heron!J$9,Xero!$A:$A,Heron!$A$5,Xero!$E:$E,Heron!$A43)</f>
        <v>0</v>
      </c>
      <c r="K43" s="99">
        <f>SUMIFS(Xero!$F:$F,Xero!$B:$B,Heron!K$9,Xero!$A:$A,Heron!$A$4,Xero!$E:$E,Heron!$A43)+SUMIFS(Xero!$F:$F,Xero!$B:$B,Heron!K$9,Xero!$A:$A,Heron!$A$5,Xero!$E:$E,Heron!$A43)</f>
        <v>0</v>
      </c>
      <c r="L43" s="99">
        <f>SUMIFS(Xero!$F:$F,Xero!$B:$B,Heron!L$9,Xero!$A:$A,Heron!$A$4,Xero!$E:$E,Heron!$A43)+SUMIFS(Xero!$F:$F,Xero!$B:$B,Heron!L$9,Xero!$A:$A,Heron!$A$5,Xero!$E:$E,Heron!$A43)</f>
        <v>0</v>
      </c>
      <c r="M43" s="99">
        <f>SUMIFS(Xero!$F:$F,Xero!$B:$B,Heron!M$9,Xero!$A:$A,Heron!$A$4,Xero!$E:$E,Heron!$A43)+SUMIFS(Xero!$F:$F,Xero!$B:$B,Heron!M$9,Xero!$A:$A,Heron!$A$5,Xero!$E:$E,Heron!$A43)</f>
        <v>0</v>
      </c>
      <c r="N43" s="99">
        <f>SUMIFS(Xero!$F:$F,Xero!$B:$B,Heron!N$9,Xero!$A:$A,Heron!$A$4,Xero!$E:$E,Heron!$A43)+SUMIFS(Xero!$F:$F,Xero!$B:$B,Heron!N$9,Xero!$A:$A,Heron!$A$5,Xero!$E:$E,Heron!$A43)</f>
        <v>0</v>
      </c>
      <c r="O43" s="99">
        <f>SUMIFS(Xero!$F:$F,Xero!$B:$B,Heron!O$9,Xero!$A:$A,Heron!$A$4,Xero!$E:$E,Heron!$A43)+SUMIFS(Xero!$F:$F,Xero!$B:$B,Heron!O$9,Xero!$A:$A,Heron!$A$5,Xero!$E:$E,Heron!$A43)</f>
        <v>0</v>
      </c>
      <c r="P43" s="99">
        <f>SUMIFS(Xero!$F:$F,Xero!$B:$B,Heron!P$9,Xero!$A:$A,Heron!$A$4,Xero!$E:$E,Heron!$A43)+SUMIFS(Xero!$F:$F,Xero!$B:$B,Heron!P$9,Xero!$A:$A,Heron!$A$5,Xero!$E:$E,Heron!$A43)</f>
        <v>0</v>
      </c>
      <c r="Q43" s="99">
        <f>SUMIFS(Xero!$F:$F,Xero!$B:$B,Heron!Q$9,Xero!$A:$A,Heron!$A$4,Xero!$E:$E,Heron!$A43)+SUMIFS(Xero!$F:$F,Xero!$B:$B,Heron!Q$9,Xero!$A:$A,Heron!$A$5,Xero!$E:$E,Heron!$A43)</f>
        <v>0</v>
      </c>
      <c r="R43" s="99">
        <f>SUMIFS(Xero!$F:$F,Xero!$B:$B,Heron!R$9,Xero!$A:$A,Heron!$A$4,Xero!$E:$E,Heron!$A43)+SUMIFS(Xero!$F:$F,Xero!$B:$B,Heron!R$9,Xero!$A:$A,Heron!$A$5,Xero!$E:$E,Heron!$A43)</f>
        <v>0</v>
      </c>
      <c r="S43" s="99">
        <f>SUMIFS(Xero!$F:$F,Xero!$B:$B,Heron!S$9,Xero!$A:$A,Heron!$A$4,Xero!$E:$E,Heron!$A43)+SUMIFS(Xero!$F:$F,Xero!$B:$B,Heron!S$9,Xero!$A:$A,Heron!$A$5,Xero!$E:$E,Heron!$A43)</f>
        <v>0</v>
      </c>
      <c r="T43" s="99">
        <f>SUMIFS(Xero!$F:$F,Xero!$B:$B,Heron!T$9,Xero!$A:$A,Heron!$A$4,Xero!$E:$E,Heron!$A43)+SUMIFS(Xero!$F:$F,Xero!$B:$B,Heron!T$9,Xero!$A:$A,Heron!$A$5,Xero!$E:$E,Heron!$A43)</f>
        <v>0</v>
      </c>
      <c r="U43" s="99">
        <f>SUMIFS(Xero!$F:$F,Xero!$B:$B,Heron!U$9,Xero!$A:$A,Heron!$A$4,Xero!$E:$E,Heron!$A43)+SUMIFS(Xero!$F:$F,Xero!$B:$B,Heron!U$9,Xero!$A:$A,Heron!$A$5,Xero!$E:$E,Heron!$A43)</f>
        <v>0</v>
      </c>
      <c r="V43" s="99">
        <f>SUMIFS(Xero!$F:$F,Xero!$B:$B,Heron!V$9,Xero!$A:$A,Heron!$A$4,Xero!$E:$E,Heron!$A43)+SUMIFS(Xero!$F:$F,Xero!$B:$B,Heron!V$9,Xero!$A:$A,Heron!$A$5,Xero!$E:$E,Heron!$A43)</f>
        <v>0</v>
      </c>
      <c r="W43" s="99">
        <f>SUMIFS(Xero!$F:$F,Xero!$B:$B,Heron!W$9,Xero!$A:$A,Heron!$A$4,Xero!$E:$E,Heron!$A43)+SUMIFS(Xero!$F:$F,Xero!$B:$B,Heron!W$9,Xero!$A:$A,Heron!$A$5,Xero!$E:$E,Heron!$A43)</f>
        <v>0</v>
      </c>
      <c r="X43" s="99">
        <f>SUMIFS(Xero!$F:$F,Xero!$B:$B,Heron!X$9,Xero!$A:$A,Heron!$A$4,Xero!$E:$E,Heron!$A43)+SUMIFS(Xero!$F:$F,Xero!$B:$B,Heron!X$9,Xero!$A:$A,Heron!$A$5,Xero!$E:$E,Heron!$A43)</f>
        <v>0</v>
      </c>
      <c r="Y43" s="99">
        <f>SUMIFS(Xero!$F:$F,Xero!$B:$B,Heron!Y$9,Xero!$A:$A,Heron!$A$4,Xero!$E:$E,Heron!$A43)+SUMIFS(Xero!$F:$F,Xero!$B:$B,Heron!Y$9,Xero!$A:$A,Heron!$A$5,Xero!$E:$E,Heron!$A43)</f>
        <v>0</v>
      </c>
      <c r="Z43" s="99">
        <f>SUMIFS(Xero!$F:$F,Xero!$B:$B,Heron!Z$9,Xero!$A:$A,Heron!$A$4,Xero!$E:$E,Heron!$A43)+SUMIFS(Xero!$F:$F,Xero!$B:$B,Heron!Z$9,Xero!$A:$A,Heron!$A$5,Xero!$E:$E,Heron!$A43)</f>
        <v>0</v>
      </c>
      <c r="AA43" s="99">
        <f>SUMIFS(Xero!$F:$F,Xero!$B:$B,Heron!AA$9,Xero!$A:$A,Heron!$A$4,Xero!$E:$E,Heron!$A43)+SUMIFS(Xero!$F:$F,Xero!$B:$B,Heron!AA$9,Xero!$A:$A,Heron!$A$5,Xero!$E:$E,Heron!$A43)</f>
        <v>0</v>
      </c>
      <c r="AB43" s="99">
        <f>SUMIFS(Xero!$F:$F,Xero!$B:$B,Heron!AB$9,Xero!$A:$A,Heron!$A$4,Xero!$E:$E,Heron!$A43)+SUMIFS(Xero!$F:$F,Xero!$B:$B,Heron!AB$9,Xero!$A:$A,Heron!$A$5,Xero!$E:$E,Heron!$A43)</f>
        <v>0</v>
      </c>
      <c r="AC43" s="99">
        <f>SUMIFS(Xero!$F:$F,Xero!$B:$B,Heron!AC$9,Xero!$A:$A,Heron!$A$4,Xero!$E:$E,Heron!$A43)+SUMIFS(Xero!$F:$F,Xero!$B:$B,Heron!AC$9,Xero!$A:$A,Heron!$A$5,Xero!$E:$E,Heron!$A43)</f>
        <v>0</v>
      </c>
      <c r="AD43" s="99">
        <f>SUMIFS(Xero!$F:$F,Xero!$B:$B,Heron!AD$9,Xero!$A:$A,Heron!$A$4,Xero!$E:$E,Heron!$A43)+SUMIFS(Xero!$F:$F,Xero!$B:$B,Heron!AD$9,Xero!$A:$A,Heron!$A$5,Xero!$E:$E,Heron!$A43)</f>
        <v>0</v>
      </c>
      <c r="AE43" s="99">
        <f>SUMIFS(Xero!$F:$F,Xero!$B:$B,Heron!AE$9,Xero!$A:$A,Heron!$A$4,Xero!$E:$E,Heron!$A43)+SUMIFS(Xero!$F:$F,Xero!$B:$B,Heron!AE$9,Xero!$A:$A,Heron!$A$5,Xero!$E:$E,Heron!$A43)</f>
        <v>0</v>
      </c>
      <c r="AF43" s="99">
        <f>SUMIFS(Xero!$F:$F,Xero!$B:$B,Heron!AF$9,Xero!$A:$A,Heron!$A$4,Xero!$E:$E,Heron!$A43)+SUMIFS(Xero!$F:$F,Xero!$B:$B,Heron!AF$9,Xero!$A:$A,Heron!$A$5,Xero!$E:$E,Heron!$A43)</f>
        <v>0</v>
      </c>
      <c r="AG43" s="99">
        <f>SUMIFS(Xero!$F:$F,Xero!$B:$B,Heron!AG$9,Xero!$A:$A,Heron!$A$4,Xero!$E:$E,Heron!$A43)+SUMIFS(Xero!$F:$F,Xero!$B:$B,Heron!AG$9,Xero!$A:$A,Heron!$A$5,Xero!$E:$E,Heron!$A43)</f>
        <v>0</v>
      </c>
      <c r="AH43" s="99">
        <f>SUMIFS(Xero!$F:$F,Xero!$B:$B,Heron!AH$9,Xero!$A:$A,Heron!$A$4,Xero!$E:$E,Heron!$A43)+SUMIFS(Xero!$F:$F,Xero!$B:$B,Heron!AH$9,Xero!$A:$A,Heron!$A$5,Xero!$E:$E,Heron!$A43)</f>
        <v>0</v>
      </c>
      <c r="AI43" s="99">
        <f>SUMIFS(Xero!$F:$F,Xero!$B:$B,Heron!AI$9,Xero!$A:$A,Heron!$A$4,Xero!$E:$E,Heron!$A43)+SUMIFS(Xero!$F:$F,Xero!$B:$B,Heron!AI$9,Xero!$A:$A,Heron!$A$5,Xero!$E:$E,Heron!$A43)</f>
        <v>0</v>
      </c>
      <c r="AJ43" s="99">
        <f>SUMIFS(Xero!$F:$F,Xero!$B:$B,Heron!AJ$9,Xero!$A:$A,Heron!$A$4,Xero!$E:$E,Heron!$A43)+SUMIFS(Xero!$F:$F,Xero!$B:$B,Heron!AJ$9,Xero!$A:$A,Heron!$A$5,Xero!$E:$E,Heron!$A43)</f>
        <v>0</v>
      </c>
      <c r="AK43" s="99">
        <f>SUMIFS(Xero!$F:$F,Xero!$B:$B,Heron!AK$9,Xero!$A:$A,Heron!$A$4,Xero!$E:$E,Heron!$A43)+SUMIFS(Xero!$F:$F,Xero!$B:$B,Heron!AK$9,Xero!$A:$A,Heron!$A$5,Xero!$E:$E,Heron!$A43)</f>
        <v>0</v>
      </c>
      <c r="AL43" s="99">
        <f>SUMIFS(Xero!$F:$F,Xero!$B:$B,Heron!AL$9,Xero!$A:$A,Heron!$A$4,Xero!$E:$E,Heron!$A43)+SUMIFS(Xero!$F:$F,Xero!$B:$B,Heron!AL$9,Xero!$A:$A,Heron!$A$5,Xero!$E:$E,Heron!$A43)</f>
        <v>0</v>
      </c>
      <c r="AM43" s="99">
        <f>SUMIFS(Xero!$F:$F,Xero!$B:$B,Heron!AM$9,Xero!$A:$A,Heron!$A$4,Xero!$E:$E,Heron!$A43)+SUMIFS(Xero!$F:$F,Xero!$B:$B,Heron!AM$9,Xero!$A:$A,Heron!$A$5,Xero!$E:$E,Heron!$A43)</f>
        <v>0</v>
      </c>
      <c r="AN43" s="99">
        <f>SUMIFS(Xero!$F:$F,Xero!$B:$B,Heron!AN$9,Xero!$A:$A,Heron!$A$4,Xero!$E:$E,Heron!$A43)+SUMIFS(Xero!$F:$F,Xero!$B:$B,Heron!AN$9,Xero!$A:$A,Heron!$A$5,Xero!$E:$E,Heron!$A43)</f>
        <v>0</v>
      </c>
      <c r="AO43" s="99">
        <f>SUMIFS(Xero!$F:$F,Xero!$B:$B,Heron!AO$9,Xero!$A:$A,Heron!$A$4,Xero!$E:$E,Heron!$A43)+SUMIFS(Xero!$F:$F,Xero!$B:$B,Heron!AO$9,Xero!$A:$A,Heron!$A$5,Xero!$E:$E,Heron!$A43)</f>
        <v>124268.36</v>
      </c>
      <c r="AP43" s="99">
        <f>SUMIFS(Xero!$F:$F,Xero!$B:$B,Heron!AP$9,Xero!$A:$A,Heron!$A$4,Xero!$E:$E,Heron!$A43)+SUMIFS(Xero!$F:$F,Xero!$B:$B,Heron!AP$9,Xero!$A:$A,Heron!$A$5,Xero!$E:$E,Heron!$A43)</f>
        <v>124268.36</v>
      </c>
      <c r="AQ43" s="99">
        <f>SUMIFS(Xero!$F:$F,Xero!$B:$B,Heron!AQ$9,Xero!$A:$A,Heron!$A$4,Xero!$E:$E,Heron!$A43)+SUMIFS(Xero!$F:$F,Xero!$B:$B,Heron!AQ$9,Xero!$A:$A,Heron!$A$5,Xero!$E:$E,Heron!$A43)</f>
        <v>1320.35</v>
      </c>
      <c r="AR43" s="99">
        <f>SUMIFS(Xero!$F:$F,Xero!$B:$B,Heron!AR$9,Xero!$A:$A,Heron!$A$4,Xero!$E:$E,Heron!$A43)+SUMIFS(Xero!$F:$F,Xero!$B:$B,Heron!AR$9,Xero!$A:$A,Heron!$A$5,Xero!$E:$E,Heron!$A43)</f>
        <v>0</v>
      </c>
      <c r="AS43" s="99">
        <f>SUMIFS(Xero!$F:$F,Xero!$B:$B,Heron!AS$9,Xero!$A:$A,Heron!$A$4,Xero!$E:$E,Heron!$A43)+SUMIFS(Xero!$F:$F,Xero!$B:$B,Heron!AS$9,Xero!$A:$A,Heron!$A$5,Xero!$E:$E,Heron!$A43)</f>
        <v>0</v>
      </c>
      <c r="AT43" s="99">
        <f>SUMIFS(Xero!$F:$F,Xero!$B:$B,Heron!AT$9,Xero!$A:$A,Heron!$A$4,Xero!$E:$E,Heron!$A43)+SUMIFS(Xero!$F:$F,Xero!$B:$B,Heron!AT$9,Xero!$A:$A,Heron!$A$5,Xero!$E:$E,Heron!$A43)</f>
        <v>0</v>
      </c>
      <c r="AU43" s="99">
        <f>SUMIFS(Xero!$F:$F,Xero!$B:$B,Heron!AU$9,Xero!$A:$A,Heron!$A$4,Xero!$E:$E,Heron!$A43)+SUMIFS(Xero!$F:$F,Xero!$B:$B,Heron!AU$9,Xero!$A:$A,Heron!$A$5,Xero!$E:$E,Heron!$A43)</f>
        <v>0</v>
      </c>
      <c r="AV43" s="99">
        <f>SUMIFS(Xero!$F:$F,Xero!$B:$B,Heron!AV$9,Xero!$A:$A,Heron!$A$4,Xero!$E:$E,Heron!$A43)+SUMIFS(Xero!$F:$F,Xero!$B:$B,Heron!AV$9,Xero!$A:$A,Heron!$A$5,Xero!$E:$E,Heron!$A43)</f>
        <v>0</v>
      </c>
      <c r="AW43" s="99">
        <f>SUMIFS(Xero!$F:$F,Xero!$B:$B,Heron!AW$9,Xero!$A:$A,Heron!$A$4,Xero!$E:$E,Heron!$A43)+SUMIFS(Xero!$F:$F,Xero!$B:$B,Heron!AW$9,Xero!$A:$A,Heron!$A$5,Xero!$E:$E,Heron!$A43)</f>
        <v>0</v>
      </c>
      <c r="AX43" s="99">
        <f>SUMIFS(Xero!$F:$F,Xero!$B:$B,Heron!AX$9,Xero!$A:$A,Heron!$A$4,Xero!$E:$E,Heron!$A43)+SUMIFS(Xero!$F:$F,Xero!$B:$B,Heron!AX$9,Xero!$A:$A,Heron!$A$5,Xero!$E:$E,Heron!$A43)</f>
        <v>0</v>
      </c>
      <c r="AY43" s="99">
        <f>SUMIFS(Xero!$F:$F,Xero!$B:$B,Heron!AY$9,Xero!$A:$A,Heron!$A$4,Xero!$E:$E,Heron!$A43)+SUMIFS(Xero!$F:$F,Xero!$B:$B,Heron!AY$9,Xero!$A:$A,Heron!$A$5,Xero!$E:$E,Heron!$A43)</f>
        <v>0</v>
      </c>
      <c r="AZ43" s="99">
        <f>SUMIFS(Xero!$F:$F,Xero!$B:$B,Heron!AZ$9,Xero!$A:$A,Heron!$A$4,Xero!$E:$E,Heron!$A43)+SUMIFS(Xero!$F:$F,Xero!$B:$B,Heron!AZ$9,Xero!$A:$A,Heron!$A$5,Xero!$E:$E,Heron!$A43)</f>
        <v>0</v>
      </c>
      <c r="BA43" s="99">
        <f>SUMIFS(Xero!$F:$F,Xero!$B:$B,Heron!BA$9,Xero!$A:$A,Heron!$A$4,Xero!$E:$E,Heron!$A43)+SUMIFS(Xero!$F:$F,Xero!$B:$B,Heron!BA$9,Xero!$A:$A,Heron!$A$5,Xero!$E:$E,Heron!$A43)</f>
        <v>0</v>
      </c>
      <c r="BB43" s="99">
        <f>SUMIFS(Xero!$F:$F,Xero!$B:$B,Heron!BB$9,Xero!$A:$A,Heron!$A$4,Xero!$E:$E,Heron!$A43)+SUMIFS(Xero!$F:$F,Xero!$B:$B,Heron!BB$9,Xero!$A:$A,Heron!$A$5,Xero!$E:$E,Heron!$A43)</f>
        <v>0</v>
      </c>
      <c r="BC43" s="99">
        <f>SUMIFS(Xero!$F:$F,Xero!$B:$B,Heron!BC$9,Xero!$A:$A,Heron!$A$4,Xero!$E:$E,Heron!$A43)+SUMIFS(Xero!$F:$F,Xero!$B:$B,Heron!BC$9,Xero!$A:$A,Heron!$A$5,Xero!$E:$E,Heron!$A43)</f>
        <v>0</v>
      </c>
      <c r="BD43" s="99">
        <f>SUMIFS(Xero!$F:$F,Xero!$B:$B,Heron!BD$9,Xero!$A:$A,Heron!$A$4,Xero!$E:$E,Heron!$A43)+SUMIFS(Xero!$F:$F,Xero!$B:$B,Heron!BD$9,Xero!$A:$A,Heron!$A$5,Xero!$E:$E,Heron!$A43)</f>
        <v>0</v>
      </c>
      <c r="BE43" s="99">
        <f>SUMIFS(Xero!$F:$F,Xero!$B:$B,Heron!BE$9,Xero!$A:$A,Heron!$A$4,Xero!$E:$E,Heron!$A43)+SUMIFS(Xero!$F:$F,Xero!$B:$B,Heron!BE$9,Xero!$A:$A,Heron!$A$5,Xero!$E:$E,Heron!$A43)</f>
        <v>0</v>
      </c>
      <c r="BF43" s="99">
        <f>SUMIFS(Xero!$F:$F,Xero!$B:$B,Heron!BF$9,Xero!$A:$A,Heron!$A$4,Xero!$E:$E,Heron!$A43)+SUMIFS(Xero!$F:$F,Xero!$B:$B,Heron!BF$9,Xero!$A:$A,Heron!$A$5,Xero!$E:$E,Heron!$A43)</f>
        <v>0</v>
      </c>
      <c r="BG43" s="99">
        <f>SUMIFS(Xero!$F:$F,Xero!$B:$B,Heron!BG$9,Xero!$A:$A,Heron!$A$4,Xero!$E:$E,Heron!$A43)+SUMIFS(Xero!$F:$F,Xero!$B:$B,Heron!BG$9,Xero!$A:$A,Heron!$A$5,Xero!$E:$E,Heron!$A43)</f>
        <v>0</v>
      </c>
      <c r="BH43" s="99">
        <f>SUMIFS(Xero!$F:$F,Xero!$B:$B,Heron!BH$9,Xero!$A:$A,Heron!$A$4,Xero!$E:$E,Heron!$A43)+SUMIFS(Xero!$F:$F,Xero!$B:$B,Heron!BH$9,Xero!$A:$A,Heron!$A$5,Xero!$E:$E,Heron!$A43)</f>
        <v>0</v>
      </c>
      <c r="BI43" s="99">
        <f>SUMIFS(Xero!$F:$F,Xero!$B:$B,Heron!BI$9,Xero!$A:$A,Heron!$A$4,Xero!$E:$E,Heron!$A43)+SUMIFS(Xero!$F:$F,Xero!$B:$B,Heron!BI$9,Xero!$A:$A,Heron!$A$5,Xero!$E:$E,Heron!$A43)</f>
        <v>0</v>
      </c>
      <c r="BJ43" s="99">
        <f>SUMIFS(Xero!$F:$F,Xero!$B:$B,Heron!BJ$9,Xero!$A:$A,Heron!$A$4,Xero!$E:$E,Heron!$A43)+SUMIFS(Xero!$F:$F,Xero!$B:$B,Heron!BJ$9,Xero!$A:$A,Heron!$A$5,Xero!$E:$E,Heron!$A43)</f>
        <v>0</v>
      </c>
      <c r="BK43" s="99">
        <f t="shared" si="4"/>
        <v>249857.07</v>
      </c>
    </row>
    <row r="44" spans="1:63" ht="16" x14ac:dyDescent="0.2">
      <c r="A44" s="98" t="s">
        <v>1559</v>
      </c>
      <c r="D44" s="99">
        <f>SUMIFS(Xero!$F:$F,Xero!$B:$B,Heron!D$9,Xero!$A:$A,Heron!$A$4,Xero!$E:$E,Heron!$A44)+SUMIFS(Xero!$F:$F,Xero!$B:$B,Heron!D$9,Xero!$A:$A,Heron!$A$5,Xero!$E:$E,Heron!$A44)+SUMIFS(Sales!$O:$O,Sales!$E:$E,FALSE,Sales!$A:$A,Heron!$B$4,Sales!$H:$H,"&lt;="&amp;Heron!D$9,Sales!$H:$H,"&gt;"&amp;Heron!C$9,Sales!$F:$F,1)/1.15</f>
        <v>0</v>
      </c>
      <c r="E44" s="99">
        <f>SUMIFS(Xero!$F:$F,Xero!$B:$B,Heron!E$9,Xero!$A:$A,Heron!$A$4,Xero!$E:$E,Heron!$A44)+SUMIFS(Xero!$F:$F,Xero!$B:$B,Heron!E$9,Xero!$A:$A,Heron!$A$5,Xero!$E:$E,Heron!$A44)+SUMIFS(Sales!$O:$O,Sales!$E:$E,FALSE,Sales!$A:$A,Heron!$B$4,Sales!$H:$H,"&lt;="&amp;Heron!E$9,Sales!$H:$H,"&gt;"&amp;Heron!D$9,Sales!$F:$F,1)/1.15</f>
        <v>0</v>
      </c>
      <c r="F44" s="99">
        <f>SUMIFS(Xero!$F:$F,Xero!$B:$B,Heron!F$9,Xero!$A:$A,Heron!$A$4,Xero!$E:$E,Heron!$A44)+SUMIFS(Xero!$F:$F,Xero!$B:$B,Heron!F$9,Xero!$A:$A,Heron!$A$5,Xero!$E:$E,Heron!$A44)+SUMIFS(Sales!$O:$O,Sales!$E:$E,FALSE,Sales!$A:$A,Heron!$B$4,Sales!$H:$H,"&lt;="&amp;Heron!F$9,Sales!$H:$H,"&gt;"&amp;Heron!E$9,Sales!$F:$F,1)/1.15</f>
        <v>0</v>
      </c>
      <c r="G44" s="99">
        <f>SUMIFS(Xero!$F:$F,Xero!$B:$B,Heron!G$9,Xero!$A:$A,Heron!$A$4,Xero!$E:$E,Heron!$A44)+SUMIFS(Xero!$F:$F,Xero!$B:$B,Heron!G$9,Xero!$A:$A,Heron!$A$5,Xero!$E:$E,Heron!$A44)+SUMIFS(Sales!$O:$O,Sales!$E:$E,FALSE,Sales!$A:$A,Heron!$B$4,Sales!$H:$H,"&lt;="&amp;Heron!G$9,Sales!$H:$H,"&gt;"&amp;Heron!F$9,Sales!$F:$F,1)/1.15</f>
        <v>0</v>
      </c>
      <c r="H44" s="99">
        <f>SUMIFS(Xero!$F:$F,Xero!$B:$B,Heron!H$9,Xero!$A:$A,Heron!$A$4,Xero!$E:$E,Heron!$A44)+SUMIFS(Xero!$F:$F,Xero!$B:$B,Heron!H$9,Xero!$A:$A,Heron!$A$5,Xero!$E:$E,Heron!$A44)+SUMIFS(Sales!$O:$O,Sales!$E:$E,FALSE,Sales!$A:$A,Heron!$B$4,Sales!$H:$H,"&lt;="&amp;Heron!H$9,Sales!$H:$H,"&gt;"&amp;Heron!G$9,Sales!$F:$F,1)/1.15</f>
        <v>0</v>
      </c>
      <c r="I44" s="99">
        <f>SUMIFS(Xero!$F:$F,Xero!$B:$B,Heron!I$9,Xero!$A:$A,Heron!$A$4,Xero!$E:$E,Heron!$A44)+SUMIFS(Xero!$F:$F,Xero!$B:$B,Heron!I$9,Xero!$A:$A,Heron!$A$5,Xero!$E:$E,Heron!$A44)+SUMIFS(Sales!$O:$O,Sales!$E:$E,FALSE,Sales!$A:$A,Heron!$B$4,Sales!$H:$H,"&lt;="&amp;Heron!I$9,Sales!$H:$H,"&gt;"&amp;Heron!H$9,Sales!$F:$F,1)/1.15</f>
        <v>0</v>
      </c>
      <c r="J44" s="99">
        <f>SUMIFS(Xero!$F:$F,Xero!$B:$B,Heron!J$9,Xero!$A:$A,Heron!$A$4,Xero!$E:$E,Heron!$A44)+SUMIFS(Xero!$F:$F,Xero!$B:$B,Heron!J$9,Xero!$A:$A,Heron!$A$5,Xero!$E:$E,Heron!$A44)+SUMIFS(Sales!$O:$O,Sales!$E:$E,FALSE,Sales!$A:$A,Heron!$B$4,Sales!$H:$H,"&lt;="&amp;Heron!J$9,Sales!$H:$H,"&gt;"&amp;Heron!I$9,Sales!$F:$F,1)/1.15</f>
        <v>0</v>
      </c>
      <c r="K44" s="99">
        <f>SUMIFS(Xero!$F:$F,Xero!$B:$B,Heron!K$9,Xero!$A:$A,Heron!$A$4,Xero!$E:$E,Heron!$A44)+SUMIFS(Xero!$F:$F,Xero!$B:$B,Heron!K$9,Xero!$A:$A,Heron!$A$5,Xero!$E:$E,Heron!$A44)+SUMIFS(Sales!$O:$O,Sales!$E:$E,FALSE,Sales!$A:$A,Heron!$B$4,Sales!$H:$H,"&lt;="&amp;Heron!K$9,Sales!$H:$H,"&gt;"&amp;Heron!J$9,Sales!$F:$F,1)/1.15</f>
        <v>0</v>
      </c>
      <c r="L44" s="99">
        <f>SUMIFS(Xero!$F:$F,Xero!$B:$B,Heron!L$9,Xero!$A:$A,Heron!$A$4,Xero!$E:$E,Heron!$A44)+SUMIFS(Xero!$F:$F,Xero!$B:$B,Heron!L$9,Xero!$A:$A,Heron!$A$5,Xero!$E:$E,Heron!$A44)+SUMIFS(Sales!$O:$O,Sales!$E:$E,FALSE,Sales!$A:$A,Heron!$B$4,Sales!$H:$H,"&lt;="&amp;Heron!L$9,Sales!$H:$H,"&gt;"&amp;Heron!K$9,Sales!$F:$F,1)/1.15</f>
        <v>0</v>
      </c>
      <c r="M44" s="99">
        <f>SUMIFS(Xero!$F:$F,Xero!$B:$B,Heron!M$9,Xero!$A:$A,Heron!$A$4,Xero!$E:$E,Heron!$A44)+SUMIFS(Xero!$F:$F,Xero!$B:$B,Heron!M$9,Xero!$A:$A,Heron!$A$5,Xero!$E:$E,Heron!$A44)+SUMIFS(Sales!$O:$O,Sales!$E:$E,FALSE,Sales!$A:$A,Heron!$B$4,Sales!$H:$H,"&lt;="&amp;Heron!M$9,Sales!$H:$H,"&gt;"&amp;Heron!L$9,Sales!$F:$F,1)/1.15</f>
        <v>0</v>
      </c>
      <c r="N44" s="99">
        <f>SUMIFS(Xero!$F:$F,Xero!$B:$B,Heron!N$9,Xero!$A:$A,Heron!$A$4,Xero!$E:$E,Heron!$A44)+SUMIFS(Xero!$F:$F,Xero!$B:$B,Heron!N$9,Xero!$A:$A,Heron!$A$5,Xero!$E:$E,Heron!$A44)+SUMIFS(Sales!$O:$O,Sales!$E:$E,FALSE,Sales!$A:$A,Heron!$B$4,Sales!$H:$H,"&lt;="&amp;Heron!N$9,Sales!$H:$H,"&gt;"&amp;Heron!M$9,Sales!$F:$F,1)/1.15</f>
        <v>0</v>
      </c>
      <c r="O44" s="99">
        <f>SUMIFS(Xero!$F:$F,Xero!$B:$B,Heron!O$9,Xero!$A:$A,Heron!$A$4,Xero!$E:$E,Heron!$A44)+SUMIFS(Xero!$F:$F,Xero!$B:$B,Heron!O$9,Xero!$A:$A,Heron!$A$5,Xero!$E:$E,Heron!$A44)+SUMIFS(Sales!$O:$O,Sales!$E:$E,FALSE,Sales!$A:$A,Heron!$B$4,Sales!$H:$H,"&lt;="&amp;Heron!O$9,Sales!$H:$H,"&gt;"&amp;Heron!N$9,Sales!$F:$F,1)/1.15</f>
        <v>0</v>
      </c>
      <c r="P44" s="99">
        <f>SUMIFS(Xero!$F:$F,Xero!$B:$B,Heron!P$9,Xero!$A:$A,Heron!$A$4,Xero!$E:$E,Heron!$A44)+SUMIFS(Xero!$F:$F,Xero!$B:$B,Heron!P$9,Xero!$A:$A,Heron!$A$5,Xero!$E:$E,Heron!$A44)+SUMIFS(Sales!$O:$O,Sales!$E:$E,FALSE,Sales!$A:$A,Heron!$B$4,Sales!$H:$H,"&lt;="&amp;Heron!P$9,Sales!$H:$H,"&gt;"&amp;Heron!O$9,Sales!$F:$F,1)/1.15</f>
        <v>0</v>
      </c>
      <c r="Q44" s="99">
        <f>SUMIFS(Xero!$F:$F,Xero!$B:$B,Heron!Q$9,Xero!$A:$A,Heron!$A$4,Xero!$E:$E,Heron!$A44)+SUMIFS(Xero!$F:$F,Xero!$B:$B,Heron!Q$9,Xero!$A:$A,Heron!$A$5,Xero!$E:$E,Heron!$A44)+SUMIFS(Sales!$O:$O,Sales!$E:$E,FALSE,Sales!$A:$A,Heron!$B$4,Sales!$H:$H,"&lt;="&amp;Heron!Q$9,Sales!$H:$H,"&gt;"&amp;Heron!P$9,Sales!$F:$F,1)/1.15</f>
        <v>0</v>
      </c>
      <c r="R44" s="99">
        <f>SUMIFS(Xero!$F:$F,Xero!$B:$B,Heron!R$9,Xero!$A:$A,Heron!$A$4,Xero!$E:$E,Heron!$A44)+SUMIFS(Xero!$F:$F,Xero!$B:$B,Heron!R$9,Xero!$A:$A,Heron!$A$5,Xero!$E:$E,Heron!$A44)+SUMIFS(Sales!$O:$O,Sales!$E:$E,FALSE,Sales!$A:$A,Heron!$B$4,Sales!$H:$H,"&lt;="&amp;Heron!R$9,Sales!$H:$H,"&gt;"&amp;Heron!Q$9,Sales!$F:$F,1)/1.15</f>
        <v>0</v>
      </c>
      <c r="S44" s="99">
        <f>SUMIFS(Xero!$F:$F,Xero!$B:$B,Heron!S$9,Xero!$A:$A,Heron!$A$4,Xero!$E:$E,Heron!$A44)+SUMIFS(Xero!$F:$F,Xero!$B:$B,Heron!S$9,Xero!$A:$A,Heron!$A$5,Xero!$E:$E,Heron!$A44)+SUMIFS(Sales!$O:$O,Sales!$E:$E,FALSE,Sales!$A:$A,Heron!$B$4,Sales!$H:$H,"&lt;="&amp;Heron!S$9,Sales!$H:$H,"&gt;"&amp;Heron!R$9,Sales!$F:$F,1)/1.15</f>
        <v>0</v>
      </c>
      <c r="T44" s="99">
        <f>SUMIFS(Xero!$F:$F,Xero!$B:$B,Heron!T$9,Xero!$A:$A,Heron!$A$4,Xero!$E:$E,Heron!$A44)+SUMIFS(Xero!$F:$F,Xero!$B:$B,Heron!T$9,Xero!$A:$A,Heron!$A$5,Xero!$E:$E,Heron!$A44)+SUMIFS(Sales!$O:$O,Sales!$E:$E,FALSE,Sales!$A:$A,Heron!$B$4,Sales!$H:$H,"&lt;="&amp;Heron!T$9,Sales!$H:$H,"&gt;"&amp;Heron!S$9,Sales!$F:$F,1)/1.15</f>
        <v>0</v>
      </c>
      <c r="U44" s="99">
        <f>SUMIFS(Xero!$F:$F,Xero!$B:$B,Heron!U$9,Xero!$A:$A,Heron!$A$4,Xero!$E:$E,Heron!$A44)+SUMIFS(Xero!$F:$F,Xero!$B:$B,Heron!U$9,Xero!$A:$A,Heron!$A$5,Xero!$E:$E,Heron!$A44)+SUMIFS(Sales!$O:$O,Sales!$E:$E,FALSE,Sales!$A:$A,Heron!$B$4,Sales!$H:$H,"&lt;="&amp;Heron!U$9,Sales!$H:$H,"&gt;"&amp;Heron!T$9,Sales!$F:$F,1)/1.15</f>
        <v>0</v>
      </c>
      <c r="V44" s="99">
        <f>SUMIFS(Xero!$F:$F,Xero!$B:$B,Heron!V$9,Xero!$A:$A,Heron!$A$4,Xero!$E:$E,Heron!$A44)+SUMIFS(Xero!$F:$F,Xero!$B:$B,Heron!V$9,Xero!$A:$A,Heron!$A$5,Xero!$E:$E,Heron!$A44)+SUMIFS(Sales!$O:$O,Sales!$E:$E,FALSE,Sales!$A:$A,Heron!$B$4,Sales!$H:$H,"&lt;="&amp;Heron!V$9,Sales!$H:$H,"&gt;"&amp;Heron!U$9,Sales!$F:$F,1)/1.15</f>
        <v>0</v>
      </c>
      <c r="W44" s="99">
        <f>SUMIFS(Xero!$F:$F,Xero!$B:$B,Heron!W$9,Xero!$A:$A,Heron!$A$4,Xero!$E:$E,Heron!$A44)+SUMIFS(Xero!$F:$F,Xero!$B:$B,Heron!W$9,Xero!$A:$A,Heron!$A$5,Xero!$E:$E,Heron!$A44)+SUMIFS(Sales!$O:$O,Sales!$E:$E,FALSE,Sales!$A:$A,Heron!$B$4,Sales!$H:$H,"&lt;="&amp;Heron!W$9,Sales!$H:$H,"&gt;"&amp;Heron!V$9,Sales!$F:$F,1)/1.15</f>
        <v>0</v>
      </c>
      <c r="X44" s="99">
        <f>SUMIFS(Xero!$F:$F,Xero!$B:$B,Heron!X$9,Xero!$A:$A,Heron!$A$4,Xero!$E:$E,Heron!$A44)+SUMIFS(Xero!$F:$F,Xero!$B:$B,Heron!X$9,Xero!$A:$A,Heron!$A$5,Xero!$E:$E,Heron!$A44)+SUMIFS(Sales!$O:$O,Sales!$E:$E,FALSE,Sales!$A:$A,Heron!$B$4,Sales!$H:$H,"&lt;="&amp;Heron!X$9,Sales!$H:$H,"&gt;"&amp;Heron!W$9,Sales!$F:$F,1)/1.15</f>
        <v>123904.35</v>
      </c>
      <c r="Y44" s="99">
        <f>SUMIFS(Xero!$F:$F,Xero!$B:$B,Heron!Y$9,Xero!$A:$A,Heron!$A$4,Xero!$E:$E,Heron!$A44)+SUMIFS(Xero!$F:$F,Xero!$B:$B,Heron!Y$9,Xero!$A:$A,Heron!$A$5,Xero!$E:$E,Heron!$A44)+SUMIFS(Sales!$O:$O,Sales!$E:$E,FALSE,Sales!$A:$A,Heron!$B$4,Sales!$H:$H,"&lt;="&amp;Heron!Y$9,Sales!$H:$H,"&gt;"&amp;Heron!X$9,Sales!$F:$F,1)/1.15</f>
        <v>257634.78</v>
      </c>
      <c r="Z44" s="99">
        <f>SUMIFS(Xero!$F:$F,Xero!$B:$B,Heron!Z$9,Xero!$A:$A,Heron!$A$4,Xero!$E:$E,Heron!$A44)+SUMIFS(Xero!$F:$F,Xero!$B:$B,Heron!Z$9,Xero!$A:$A,Heron!$A$5,Xero!$E:$E,Heron!$A44)+SUMIFS(Sales!$O:$O,Sales!$E:$E,FALSE,Sales!$A:$A,Heron!$B$4,Sales!$H:$H,"&lt;="&amp;Heron!Z$9,Sales!$H:$H,"&gt;"&amp;Heron!Y$9,Sales!$F:$F,1)/1.15</f>
        <v>974495.64</v>
      </c>
      <c r="AA44" s="99">
        <f>SUMIFS(Xero!$F:$F,Xero!$B:$B,Heron!AA$9,Xero!$A:$A,Heron!$A$4,Xero!$E:$E,Heron!$A44)+SUMIFS(Xero!$F:$F,Xero!$B:$B,Heron!AA$9,Xero!$A:$A,Heron!$A$5,Xero!$E:$E,Heron!$A44)+SUMIFS(Sales!$O:$O,Sales!$E:$E,FALSE,Sales!$A:$A,Heron!$B$4,Sales!$H:$H,"&lt;="&amp;Heron!AA$9,Sales!$H:$H,"&gt;"&amp;Heron!Z$9,Sales!$F:$F,1)/1.15</f>
        <v>466056.51</v>
      </c>
      <c r="AB44" s="99">
        <f>SUMIFS(Xero!$F:$F,Xero!$B:$B,Heron!AB$9,Xero!$A:$A,Heron!$A$4,Xero!$E:$E,Heron!$A44)+SUMIFS(Xero!$F:$F,Xero!$B:$B,Heron!AB$9,Xero!$A:$A,Heron!$A$5,Xero!$E:$E,Heron!$A44)+SUMIFS(Sales!$O:$O,Sales!$E:$E,FALSE,Sales!$A:$A,Heron!$B$4,Sales!$H:$H,"&lt;="&amp;Heron!AB$9,Sales!$H:$H,"&gt;"&amp;Heron!AA$9,Sales!$F:$F,1)/1.15</f>
        <v>465404.34</v>
      </c>
      <c r="AC44" s="99">
        <f>SUMIFS(Xero!$F:$F,Xero!$B:$B,Heron!AC$9,Xero!$A:$A,Heron!$A$4,Xero!$E:$E,Heron!$A44)+SUMIFS(Xero!$F:$F,Xero!$B:$B,Heron!AC$9,Xero!$A:$A,Heron!$A$5,Xero!$E:$E,Heron!$A44)+SUMIFS(Sales!$O:$O,Sales!$E:$E,FALSE,Sales!$A:$A,Heron!$B$4,Sales!$H:$H,"&lt;="&amp;Heron!AC$9,Sales!$H:$H,"&gt;"&amp;Heron!AB$9,Sales!$F:$F,1)/1.15</f>
        <v>448882.61</v>
      </c>
      <c r="AD44" s="99">
        <f>SUMIFS(Xero!$F:$F,Xero!$B:$B,Heron!AD$9,Xero!$A:$A,Heron!$A$4,Xero!$E:$E,Heron!$A44)+SUMIFS(Xero!$F:$F,Xero!$B:$B,Heron!AD$9,Xero!$A:$A,Heron!$A$5,Xero!$E:$E,Heron!$A44)+SUMIFS(Sales!$O:$O,Sales!$E:$E,FALSE,Sales!$A:$A,Heron!$B$4,Sales!$H:$H,"&lt;="&amp;Heron!AD$9,Sales!$H:$H,"&gt;"&amp;Heron!AC$9,Sales!$F:$F,1)/1.15</f>
        <v>242591.31</v>
      </c>
      <c r="AE44" s="99">
        <f>SUMIFS(Xero!$F:$F,Xero!$B:$B,Heron!AE$9,Xero!$A:$A,Heron!$A$4,Xero!$E:$E,Heron!$A44)+SUMIFS(Xero!$F:$F,Xero!$B:$B,Heron!AE$9,Xero!$A:$A,Heron!$A$5,Xero!$E:$E,Heron!$A44)+SUMIFS(Sales!$O:$O,Sales!$E:$E,FALSE,Sales!$A:$A,Heron!$B$4,Sales!$H:$H,"&lt;="&amp;Heron!AE$9,Sales!$H:$H,"&gt;"&amp;Heron!AD$9,Sales!$F:$F,1)/1.15</f>
        <v>62169.57</v>
      </c>
      <c r="AF44" s="99">
        <f>SUMIFS(Xero!$F:$F,Xero!$B:$B,Heron!AF$9,Xero!$A:$A,Heron!$A$4,Xero!$E:$E,Heron!$A44)+SUMIFS(Xero!$F:$F,Xero!$B:$B,Heron!AF$9,Xero!$A:$A,Heron!$A$5,Xero!$E:$E,Heron!$A44)+SUMIFS(Sales!$O:$O,Sales!$E:$E,FALSE,Sales!$A:$A,Heron!$B$4,Sales!$H:$H,"&lt;="&amp;Heron!AF$9,Sales!$H:$H,"&gt;"&amp;Heron!AE$9,Sales!$F:$F,1)/1.15</f>
        <v>61865.22</v>
      </c>
      <c r="AG44" s="99">
        <f>SUMIFS(Xero!$F:$F,Xero!$B:$B,Heron!AG$9,Xero!$A:$A,Heron!$A$4,Xero!$E:$E,Heron!$A44)+SUMIFS(Xero!$F:$F,Xero!$B:$B,Heron!AG$9,Xero!$A:$A,Heron!$A$5,Xero!$E:$E,Heron!$A44)+SUMIFS(Sales!$O:$O,Sales!$E:$E,FALSE,Sales!$A:$A,Heron!$B$4,Sales!$H:$H,"&lt;="&amp;Heron!AG$9,Sales!$H:$H,"&gt;"&amp;Heron!AF$9,Sales!$F:$F,1)/1.15</f>
        <v>62604.35</v>
      </c>
      <c r="AH44" s="99">
        <f>SUMIFS(Xero!$F:$F,Xero!$B:$B,Heron!AH$9,Xero!$A:$A,Heron!$A$4,Xero!$E:$E,Heron!$A44)+SUMIFS(Xero!$F:$F,Xero!$B:$B,Heron!AH$9,Xero!$A:$A,Heron!$A$5,Xero!$E:$E,Heron!$A44)+SUMIFS(Sales!$O:$O,Sales!$E:$E,FALSE,Sales!$A:$A,Heron!$B$4,Sales!$H:$H,"&lt;="&amp;Heron!AH$9,Sales!$H:$H,"&gt;"&amp;Heron!AG$9,Sales!$F:$F,1)/1.15</f>
        <v>0</v>
      </c>
      <c r="AI44" s="99">
        <f>SUMIFS(Xero!$F:$F,Xero!$B:$B,Heron!AI$9,Xero!$A:$A,Heron!$A$4,Xero!$E:$E,Heron!$A44)+SUMIFS(Xero!$F:$F,Xero!$B:$B,Heron!AI$9,Xero!$A:$A,Heron!$A$5,Xero!$E:$E,Heron!$A44)+SUMIFS(Sales!$O:$O,Sales!$E:$E,FALSE,Sales!$A:$A,Heron!$B$4,Sales!$H:$H,"&lt;="&amp;Heron!AI$9,Sales!$H:$H,"&gt;"&amp;Heron!AH$9,Sales!$F:$F,1)/1.15</f>
        <v>62169.57</v>
      </c>
      <c r="AJ44" s="99">
        <f>SUMIFS(Xero!$F:$F,Xero!$B:$B,Heron!AJ$9,Xero!$A:$A,Heron!$A$4,Xero!$E:$E,Heron!$A44)+SUMIFS(Xero!$F:$F,Xero!$B:$B,Heron!AJ$9,Xero!$A:$A,Heron!$A$5,Xero!$E:$E,Heron!$A44)+SUMIFS(Sales!$O:$O,Sales!$E:$E,FALSE,Sales!$A:$A,Heron!$B$4,Sales!$H:$H,"&lt;="&amp;Heron!AJ$9,Sales!$H:$H,"&gt;"&amp;Heron!AI$9,Sales!$F:$F,1)/1.15</f>
        <v>0</v>
      </c>
      <c r="AK44" s="99">
        <f>SUMIFS(Xero!$F:$F,Xero!$B:$B,Heron!AK$9,Xero!$A:$A,Heron!$A$4,Xero!$E:$E,Heron!$A44)+SUMIFS(Xero!$F:$F,Xero!$B:$B,Heron!AK$9,Xero!$A:$A,Heron!$A$5,Xero!$E:$E,Heron!$A44)+SUMIFS(Sales!$O:$O,Sales!$E:$E,FALSE,Sales!$A:$A,Heron!$B$4,Sales!$H:$H,"&lt;="&amp;Heron!AK$9,Sales!$H:$H,"&gt;"&amp;Heron!AJ$9,Sales!$F:$F,1)/1.15</f>
        <v>0</v>
      </c>
      <c r="AL44" s="99">
        <f>SUMIFS(Xero!$F:$F,Xero!$B:$B,Heron!AL$9,Xero!$A:$A,Heron!$A$4,Xero!$E:$E,Heron!$A44)+SUMIFS(Xero!$F:$F,Xero!$B:$B,Heron!AL$9,Xero!$A:$A,Heron!$A$5,Xero!$E:$E,Heron!$A44)+SUMIFS(Sales!$O:$O,Sales!$E:$E,FALSE,Sales!$A:$A,Heron!$B$4,Sales!$H:$H,"&lt;="&amp;Heron!AL$9,Sales!$H:$H,"&gt;"&amp;Heron!AK$9,Sales!$F:$F,1)/1.15</f>
        <v>0</v>
      </c>
      <c r="AM44" s="99">
        <f>SUMIFS(Xero!$F:$F,Xero!$B:$B,Heron!AM$9,Xero!$A:$A,Heron!$A$4,Xero!$E:$E,Heron!$A44)+SUMIFS(Xero!$F:$F,Xero!$B:$B,Heron!AM$9,Xero!$A:$A,Heron!$A$5,Xero!$E:$E,Heron!$A44)+SUMIFS(Sales!$O:$O,Sales!$E:$E,FALSE,Sales!$A:$A,Heron!$B$4,Sales!$H:$H,"&lt;="&amp;Heron!AM$9,Sales!$H:$H,"&gt;"&amp;Heron!AL$9,Sales!$F:$F,1)/1.15</f>
        <v>0</v>
      </c>
      <c r="AN44" s="99">
        <f>SUMIFS(Xero!$F:$F,Xero!$B:$B,Heron!AN$9,Xero!$A:$A,Heron!$A$4,Xero!$E:$E,Heron!$A44)+SUMIFS(Xero!$F:$F,Xero!$B:$B,Heron!AN$9,Xero!$A:$A,Heron!$A$5,Xero!$E:$E,Heron!$A44)+SUMIFS(Sales!$O:$O,Sales!$E:$E,FALSE,Sales!$A:$A,Heron!$B$4,Sales!$H:$H,"&lt;="&amp;Heron!AN$9,Sales!$H:$H,"&gt;"&amp;Heron!AM$9,Sales!$F:$F,1)/1.15</f>
        <v>0</v>
      </c>
      <c r="AO44" s="99">
        <f>SUMIFS(Xero!$F:$F,Xero!$B:$B,Heron!AO$9,Xero!$A:$A,Heron!$A$4,Xero!$E:$E,Heron!$A44)+SUMIFS(Xero!$F:$F,Xero!$B:$B,Heron!AO$9,Xero!$A:$A,Heron!$A$5,Xero!$E:$E,Heron!$A44)+SUMIFS(Sales!$O:$O,Sales!$E:$E,FALSE,Sales!$A:$A,Heron!$B$4,Sales!$H:$H,"&lt;="&amp;Heron!AO$9,Sales!$H:$H,"&gt;"&amp;Heron!AN$9,Sales!$F:$F,1)/1.15</f>
        <v>0</v>
      </c>
      <c r="AP44" s="99">
        <f>SUMIFS(Xero!$F:$F,Xero!$B:$B,Heron!AP$9,Xero!$A:$A,Heron!$A$4,Xero!$E:$E,Heron!$A44)+SUMIFS(Xero!$F:$F,Xero!$B:$B,Heron!AP$9,Xero!$A:$A,Heron!$A$5,Xero!$E:$E,Heron!$A44)+SUMIFS(Sales!$O:$O,Sales!$E:$E,FALSE,Sales!$A:$A,Heron!$B$4,Sales!$H:$H,"&lt;="&amp;Heron!AP$9,Sales!$H:$H,"&gt;"&amp;Heron!AO$9,Sales!$F:$F,1)/1.15</f>
        <v>0</v>
      </c>
      <c r="AQ44" s="99">
        <f>SUMIFS(Xero!$F:$F,Xero!$B:$B,Heron!AQ$9,Xero!$A:$A,Heron!$A$4,Xero!$E:$E,Heron!$A44)+SUMIFS(Xero!$F:$F,Xero!$B:$B,Heron!AQ$9,Xero!$A:$A,Heron!$A$5,Xero!$E:$E,Heron!$A44)+SUMIFS(Sales!$O:$O,Sales!$E:$E,FALSE,Sales!$A:$A,Heron!$B$4,Sales!$H:$H,"&lt;="&amp;Heron!AQ$9,Sales!$H:$H,"&gt;"&amp;Heron!AP$9,Sales!$F:$F,1)/1.15</f>
        <v>65213.04</v>
      </c>
      <c r="AR44" s="99">
        <f>SUMIFS(Xero!$F:$F,Xero!$B:$B,Heron!AR$9,Xero!$A:$A,Heron!$A$4,Xero!$E:$E,Heron!$A44)+SUMIFS(Xero!$F:$F,Xero!$B:$B,Heron!AR$9,Xero!$A:$A,Heron!$A$5,Xero!$E:$E,Heron!$A44)+SUMIFS(Sales!$O:$O,Sales!$E:$E,FALSE,Sales!$A:$A,Heron!$B$4,Sales!$H:$H,"&lt;="&amp;Heron!AR$9,Sales!$H:$H,"&gt;"&amp;Heron!AQ$9,Sales!$F:$F,1)/1.15</f>
        <v>0</v>
      </c>
      <c r="AS44" s="99">
        <f>SUMIFS(Xero!$F:$F,Xero!$B:$B,Heron!AS$9,Xero!$A:$A,Heron!$A$4,Xero!$E:$E,Heron!$A44)+SUMIFS(Xero!$F:$F,Xero!$B:$B,Heron!AS$9,Xero!$A:$A,Heron!$A$5,Xero!$E:$E,Heron!$A44)+SUMIFS(Sales!$O:$O,Sales!$E:$E,FALSE,Sales!$A:$A,Heron!$B$4,Sales!$H:$H,"&lt;="&amp;Heron!AS$9,Sales!$H:$H,"&gt;"&amp;Heron!AR$9,Sales!$F:$F,1)/1.15</f>
        <v>443013.04347826092</v>
      </c>
      <c r="AT44" s="99">
        <f>SUMIFS(Xero!$F:$F,Xero!$B:$B,Heron!AT$9,Xero!$A:$A,Heron!$A$4,Xero!$E:$E,Heron!$A44)+SUMIFS(Xero!$F:$F,Xero!$B:$B,Heron!AT$9,Xero!$A:$A,Heron!$A$5,Xero!$E:$E,Heron!$A44)+SUMIFS(Sales!$O:$O,Sales!$E:$E,FALSE,Sales!$A:$A,Heron!$B$4,Sales!$H:$H,"&lt;="&amp;Heron!AT$9,Sales!$H:$H,"&gt;"&amp;Heron!AS$9,Sales!$F:$F,1)/1.15</f>
        <v>0</v>
      </c>
      <c r="AU44" s="99">
        <f>SUMIFS(Xero!$F:$F,Xero!$B:$B,Heron!AU$9,Xero!$A:$A,Heron!$A$4,Xero!$E:$E,Heron!$A44)+SUMIFS(Xero!$F:$F,Xero!$B:$B,Heron!AU$9,Xero!$A:$A,Heron!$A$5,Xero!$E:$E,Heron!$A44)+SUMIFS(Sales!$O:$O,Sales!$E:$E,FALSE,Sales!$A:$A,Heron!$B$4,Sales!$H:$H,"&lt;="&amp;Heron!AU$9,Sales!$H:$H,"&gt;"&amp;Heron!AT$9,Sales!$F:$F,1)/1.15</f>
        <v>0</v>
      </c>
      <c r="AV44" s="99">
        <f>SUMIFS(Xero!$F:$F,Xero!$B:$B,Heron!AV$9,Xero!$A:$A,Heron!$A$4,Xero!$E:$E,Heron!$A44)+SUMIFS(Xero!$F:$F,Xero!$B:$B,Heron!AV$9,Xero!$A:$A,Heron!$A$5,Xero!$E:$E,Heron!$A44)+SUMIFS(Sales!$O:$O,Sales!$E:$E,FALSE,Sales!$A:$A,Heron!$B$4,Sales!$H:$H,"&lt;="&amp;Heron!AV$9,Sales!$H:$H,"&gt;"&amp;Heron!AU$9,Sales!$F:$F,1)/1.15</f>
        <v>0</v>
      </c>
      <c r="AW44" s="99">
        <f>SUMIFS(Xero!$F:$F,Xero!$B:$B,Heron!AW$9,Xero!$A:$A,Heron!$A$4,Xero!$E:$E,Heron!$A44)+SUMIFS(Xero!$F:$F,Xero!$B:$B,Heron!AW$9,Xero!$A:$A,Heron!$A$5,Xero!$E:$E,Heron!$A44)+SUMIFS(Sales!$O:$O,Sales!$E:$E,FALSE,Sales!$A:$A,Heron!$B$4,Sales!$H:$H,"&lt;="&amp;Heron!AW$9,Sales!$H:$H,"&gt;"&amp;Heron!AV$9,Sales!$F:$F,1)/1.15</f>
        <v>0</v>
      </c>
      <c r="AX44" s="99">
        <f>SUMIFS(Xero!$F:$F,Xero!$B:$B,Heron!AX$9,Xero!$A:$A,Heron!$A$4,Xero!$E:$E,Heron!$A44)+SUMIFS(Xero!$F:$F,Xero!$B:$B,Heron!AX$9,Xero!$A:$A,Heron!$A$5,Xero!$E:$E,Heron!$A44)+SUMIFS(Sales!$O:$O,Sales!$E:$E,FALSE,Sales!$A:$A,Heron!$B$4,Sales!$H:$H,"&lt;="&amp;Heron!AX$9,Sales!$H:$H,"&gt;"&amp;Heron!AW$9,Sales!$F:$F,1)/1.15</f>
        <v>0</v>
      </c>
      <c r="AY44" s="99">
        <f>SUMIFS(Xero!$F:$F,Xero!$B:$B,Heron!AY$9,Xero!$A:$A,Heron!$A$4,Xero!$E:$E,Heron!$A44)+SUMIFS(Xero!$F:$F,Xero!$B:$B,Heron!AY$9,Xero!$A:$A,Heron!$A$5,Xero!$E:$E,Heron!$A44)+SUMIFS(Sales!$O:$O,Sales!$E:$E,FALSE,Sales!$A:$A,Heron!$B$4,Sales!$H:$H,"&lt;="&amp;Heron!AY$9,Sales!$H:$H,"&gt;"&amp;Heron!AX$9,Sales!$F:$F,1)/1.15</f>
        <v>0</v>
      </c>
      <c r="AZ44" s="99">
        <f>SUMIFS(Xero!$F:$F,Xero!$B:$B,Heron!AZ$9,Xero!$A:$A,Heron!$A$4,Xero!$E:$E,Heron!$A44)+SUMIFS(Xero!$F:$F,Xero!$B:$B,Heron!AZ$9,Xero!$A:$A,Heron!$A$5,Xero!$E:$E,Heron!$A44)+SUMIFS(Sales!$O:$O,Sales!$E:$E,FALSE,Sales!$A:$A,Heron!$B$4,Sales!$H:$H,"&lt;="&amp;Heron!AZ$9,Sales!$H:$H,"&gt;"&amp;Heron!AY$9,Sales!$F:$F,1)/1.15</f>
        <v>0</v>
      </c>
      <c r="BA44" s="99">
        <f>SUMIFS(Xero!$F:$F,Xero!$B:$B,Heron!BA$9,Xero!$A:$A,Heron!$A$4,Xero!$E:$E,Heron!$A44)+SUMIFS(Xero!$F:$F,Xero!$B:$B,Heron!BA$9,Xero!$A:$A,Heron!$A$5,Xero!$E:$E,Heron!$A44)+SUMIFS(Sales!$O:$O,Sales!$E:$E,FALSE,Sales!$A:$A,Heron!$B$4,Sales!$H:$H,"&lt;="&amp;Heron!BA$9,Sales!$H:$H,"&gt;"&amp;Heron!AZ$9,Sales!$F:$F,1)/1.15</f>
        <v>0</v>
      </c>
      <c r="BB44" s="99">
        <f>SUMIFS(Xero!$F:$F,Xero!$B:$B,Heron!BB$9,Xero!$A:$A,Heron!$A$4,Xero!$E:$E,Heron!$A44)+SUMIFS(Xero!$F:$F,Xero!$B:$B,Heron!BB$9,Xero!$A:$A,Heron!$A$5,Xero!$E:$E,Heron!$A44)+SUMIFS(Sales!$O:$O,Sales!$E:$E,FALSE,Sales!$A:$A,Heron!$B$4,Sales!$H:$H,"&lt;="&amp;Heron!BB$9,Sales!$H:$H,"&gt;"&amp;Heron!BA$9,Sales!$F:$F,1)/1.15</f>
        <v>0</v>
      </c>
      <c r="BC44" s="99">
        <f>SUMIFS(Xero!$F:$F,Xero!$B:$B,Heron!BC$9,Xero!$A:$A,Heron!$A$4,Xero!$E:$E,Heron!$A44)+SUMIFS(Xero!$F:$F,Xero!$B:$B,Heron!BC$9,Xero!$A:$A,Heron!$A$5,Xero!$E:$E,Heron!$A44)+SUMIFS(Sales!$O:$O,Sales!$E:$E,FALSE,Sales!$A:$A,Heron!$B$4,Sales!$H:$H,"&lt;="&amp;Heron!BC$9,Sales!$H:$H,"&gt;"&amp;Heron!BB$9,Sales!$F:$F,1)/1.15</f>
        <v>0</v>
      </c>
      <c r="BD44" s="99">
        <f>SUMIFS(Xero!$F:$F,Xero!$B:$B,Heron!BD$9,Xero!$A:$A,Heron!$A$4,Xero!$E:$E,Heron!$A44)+SUMIFS(Xero!$F:$F,Xero!$B:$B,Heron!BD$9,Xero!$A:$A,Heron!$A$5,Xero!$E:$E,Heron!$A44)+SUMIFS(Sales!$O:$O,Sales!$E:$E,FALSE,Sales!$A:$A,Heron!$B$4,Sales!$H:$H,"&lt;="&amp;Heron!BD$9,Sales!$H:$H,"&gt;"&amp;Heron!BC$9,Sales!$F:$F,1)/1.15</f>
        <v>0</v>
      </c>
      <c r="BE44" s="99">
        <f>SUMIFS(Xero!$F:$F,Xero!$B:$B,Heron!BE$9,Xero!$A:$A,Heron!$A$4,Xero!$E:$E,Heron!$A44)+SUMIFS(Xero!$F:$F,Xero!$B:$B,Heron!BE$9,Xero!$A:$A,Heron!$A$5,Xero!$E:$E,Heron!$A44)+SUMIFS(Sales!$O:$O,Sales!$E:$E,FALSE,Sales!$A:$A,Heron!$B$4,Sales!$H:$H,"&lt;="&amp;Heron!BE$9,Sales!$H:$H,"&gt;"&amp;Heron!BD$9,Sales!$F:$F,1)/1.15</f>
        <v>0</v>
      </c>
      <c r="BF44" s="99">
        <f>SUMIFS(Xero!$F:$F,Xero!$B:$B,Heron!BF$9,Xero!$A:$A,Heron!$A$4,Xero!$E:$E,Heron!$A44)+SUMIFS(Xero!$F:$F,Xero!$B:$B,Heron!BF$9,Xero!$A:$A,Heron!$A$5,Xero!$E:$E,Heron!$A44)+SUMIFS(Sales!$O:$O,Sales!$E:$E,FALSE,Sales!$A:$A,Heron!$B$4,Sales!$H:$H,"&lt;="&amp;Heron!BF$9,Sales!$H:$H,"&gt;"&amp;Heron!BE$9,Sales!$F:$F,1)/1.15</f>
        <v>0</v>
      </c>
      <c r="BG44" s="99">
        <f>SUMIFS(Xero!$F:$F,Xero!$B:$B,Heron!BG$9,Xero!$A:$A,Heron!$A$4,Xero!$E:$E,Heron!$A44)+SUMIFS(Xero!$F:$F,Xero!$B:$B,Heron!BG$9,Xero!$A:$A,Heron!$A$5,Xero!$E:$E,Heron!$A44)+SUMIFS(Sales!$O:$O,Sales!$E:$E,FALSE,Sales!$A:$A,Heron!$B$4,Sales!$H:$H,"&lt;="&amp;Heron!BG$9,Sales!$H:$H,"&gt;"&amp;Heron!BF$9,Sales!$F:$F,1)/1.15</f>
        <v>0</v>
      </c>
      <c r="BH44" s="99">
        <f>SUMIFS(Xero!$F:$F,Xero!$B:$B,Heron!BH$9,Xero!$A:$A,Heron!$A$4,Xero!$E:$E,Heron!$A44)+SUMIFS(Xero!$F:$F,Xero!$B:$B,Heron!BH$9,Xero!$A:$A,Heron!$A$5,Xero!$E:$E,Heron!$A44)+SUMIFS(Sales!$O:$O,Sales!$E:$E,FALSE,Sales!$A:$A,Heron!$B$4,Sales!$H:$H,"&lt;="&amp;Heron!BH$9,Sales!$H:$H,"&gt;"&amp;Heron!BG$9,Sales!$F:$F,1)/1.15</f>
        <v>0</v>
      </c>
      <c r="BI44" s="99">
        <f>SUMIFS(Xero!$F:$F,Xero!$B:$B,Heron!BI$9,Xero!$A:$A,Heron!$A$4,Xero!$E:$E,Heron!$A44)+SUMIFS(Xero!$F:$F,Xero!$B:$B,Heron!BI$9,Xero!$A:$A,Heron!$A$5,Xero!$E:$E,Heron!$A44)+SUMIFS(Sales!$O:$O,Sales!$E:$E,FALSE,Sales!$A:$A,Heron!$B$4,Sales!$H:$H,"&lt;="&amp;Heron!BI$9,Sales!$H:$H,"&gt;"&amp;Heron!BH$9,Sales!$F:$F,1)/1.15</f>
        <v>0</v>
      </c>
      <c r="BJ44" s="99">
        <f>SUMIFS(Xero!$F:$F,Xero!$B:$B,Heron!BJ$9,Xero!$A:$A,Heron!$A$4,Xero!$E:$E,Heron!$A44)+SUMIFS(Xero!$F:$F,Xero!$B:$B,Heron!BJ$9,Xero!$A:$A,Heron!$A$5,Xero!$E:$E,Heron!$A44)+SUMIFS(Sales!$O:$O,Sales!$E:$E,FALSE,Sales!$A:$A,Heron!$B$4,Sales!$H:$H,"&lt;="&amp;Heron!BJ$9,Sales!$H:$H,"&gt;"&amp;Heron!BI$9,Sales!$F:$F,1)/1.15</f>
        <v>0</v>
      </c>
      <c r="BK44" s="99">
        <f t="shared" si="4"/>
        <v>3736004.3334782608</v>
      </c>
    </row>
    <row r="45" spans="1:63" ht="16" x14ac:dyDescent="0.2">
      <c r="A45" s="98" t="s">
        <v>1702</v>
      </c>
      <c r="D45" s="99">
        <f>SUMIFS(Xero!$F:$F,Xero!$B:$B,Heron!D$9,Xero!$A:$A,Heron!$A$4,Xero!$E:$E,Heron!$A45)+SUMIFS(Xero!$F:$F,Xero!$B:$B,Heron!D$9,Xero!$A:$A,Heron!$A$5,Xero!$E:$E,Heron!$A45)+SUMIFS(Sales!$O:$O,Sales!$E:$E,FALSE,Sales!$A:$A,Heron!$B$5,Sales!$H:$H,"&lt;="&amp;Heron!D$9,Sales!$H:$H,"&gt;"&amp;Heron!C$9,Sales!$F:$F,1)/1.15</f>
        <v>0</v>
      </c>
      <c r="E45" s="99">
        <f>SUMIFS(Xero!$F:$F,Xero!$B:$B,Heron!E$9,Xero!$A:$A,Heron!$A$4,Xero!$E:$E,Heron!$A45)+SUMIFS(Xero!$F:$F,Xero!$B:$B,Heron!E$9,Xero!$A:$A,Heron!$A$5,Xero!$E:$E,Heron!$A45)+SUMIFS(Sales!$O:$O,Sales!$E:$E,FALSE,Sales!$A:$A,Heron!$B$5,Sales!$H:$H,"&lt;="&amp;Heron!E$9,Sales!$H:$H,"&gt;"&amp;Heron!D$9,Sales!$F:$F,1)/1.15</f>
        <v>0</v>
      </c>
      <c r="F45" s="99">
        <f>SUMIFS(Xero!$F:$F,Xero!$B:$B,Heron!F$9,Xero!$A:$A,Heron!$A$4,Xero!$E:$E,Heron!$A45)+SUMIFS(Xero!$F:$F,Xero!$B:$B,Heron!F$9,Xero!$A:$A,Heron!$A$5,Xero!$E:$E,Heron!$A45)+SUMIFS(Sales!$O:$O,Sales!$E:$E,FALSE,Sales!$A:$A,Heron!$B$5,Sales!$H:$H,"&lt;="&amp;Heron!F$9,Sales!$H:$H,"&gt;"&amp;Heron!E$9,Sales!$F:$F,1)/1.15</f>
        <v>0</v>
      </c>
      <c r="G45" s="99">
        <f>SUMIFS(Xero!$F:$F,Xero!$B:$B,Heron!G$9,Xero!$A:$A,Heron!$A$4,Xero!$E:$E,Heron!$A45)+SUMIFS(Xero!$F:$F,Xero!$B:$B,Heron!G$9,Xero!$A:$A,Heron!$A$5,Xero!$E:$E,Heron!$A45)+SUMIFS(Sales!$O:$O,Sales!$E:$E,FALSE,Sales!$A:$A,Heron!$B$5,Sales!$H:$H,"&lt;="&amp;Heron!G$9,Sales!$H:$H,"&gt;"&amp;Heron!F$9,Sales!$F:$F,1)/1.15</f>
        <v>0</v>
      </c>
      <c r="H45" s="99">
        <f>SUMIFS(Xero!$F:$F,Xero!$B:$B,Heron!H$9,Xero!$A:$A,Heron!$A$4,Xero!$E:$E,Heron!$A45)+SUMIFS(Xero!$F:$F,Xero!$B:$B,Heron!H$9,Xero!$A:$A,Heron!$A$5,Xero!$E:$E,Heron!$A45)+SUMIFS(Sales!$O:$O,Sales!$E:$E,FALSE,Sales!$A:$A,Heron!$B$5,Sales!$H:$H,"&lt;="&amp;Heron!H$9,Sales!$H:$H,"&gt;"&amp;Heron!G$9,Sales!$F:$F,1)/1.15</f>
        <v>0</v>
      </c>
      <c r="I45" s="99">
        <f>SUMIFS(Xero!$F:$F,Xero!$B:$B,Heron!I$9,Xero!$A:$A,Heron!$A$4,Xero!$E:$E,Heron!$A45)+SUMIFS(Xero!$F:$F,Xero!$B:$B,Heron!I$9,Xero!$A:$A,Heron!$A$5,Xero!$E:$E,Heron!$A45)+SUMIFS(Sales!$O:$O,Sales!$E:$E,FALSE,Sales!$A:$A,Heron!$B$5,Sales!$H:$H,"&lt;="&amp;Heron!I$9,Sales!$H:$H,"&gt;"&amp;Heron!H$9,Sales!$F:$F,1)/1.15</f>
        <v>0</v>
      </c>
      <c r="J45" s="99">
        <f>SUMIFS(Xero!$F:$F,Xero!$B:$B,Heron!J$9,Xero!$A:$A,Heron!$A$4,Xero!$E:$E,Heron!$A45)+SUMIFS(Xero!$F:$F,Xero!$B:$B,Heron!J$9,Xero!$A:$A,Heron!$A$5,Xero!$E:$E,Heron!$A45)+SUMIFS(Sales!$O:$O,Sales!$E:$E,FALSE,Sales!$A:$A,Heron!$B$5,Sales!$H:$H,"&lt;="&amp;Heron!J$9,Sales!$H:$H,"&gt;"&amp;Heron!I$9,Sales!$F:$F,1)/1.15</f>
        <v>0</v>
      </c>
      <c r="K45" s="99">
        <f>SUMIFS(Xero!$F:$F,Xero!$B:$B,Heron!K$9,Xero!$A:$A,Heron!$A$4,Xero!$E:$E,Heron!$A45)+SUMIFS(Xero!$F:$F,Xero!$B:$B,Heron!K$9,Xero!$A:$A,Heron!$A$5,Xero!$E:$E,Heron!$A45)+SUMIFS(Sales!$O:$O,Sales!$E:$E,FALSE,Sales!$A:$A,Heron!$B$5,Sales!$H:$H,"&lt;="&amp;Heron!K$9,Sales!$H:$H,"&gt;"&amp;Heron!J$9,Sales!$F:$F,1)/1.15</f>
        <v>0</v>
      </c>
      <c r="L45" s="99">
        <f>SUMIFS(Xero!$F:$F,Xero!$B:$B,Heron!L$9,Xero!$A:$A,Heron!$A$4,Xero!$E:$E,Heron!$A45)+SUMIFS(Xero!$F:$F,Xero!$B:$B,Heron!L$9,Xero!$A:$A,Heron!$A$5,Xero!$E:$E,Heron!$A45)+SUMIFS(Sales!$O:$O,Sales!$E:$E,FALSE,Sales!$A:$A,Heron!$B$5,Sales!$H:$H,"&lt;="&amp;Heron!L$9,Sales!$H:$H,"&gt;"&amp;Heron!K$9,Sales!$F:$F,1)/1.15</f>
        <v>0</v>
      </c>
      <c r="M45" s="99">
        <f>SUMIFS(Xero!$F:$F,Xero!$B:$B,Heron!M$9,Xero!$A:$A,Heron!$A$4,Xero!$E:$E,Heron!$A45)+SUMIFS(Xero!$F:$F,Xero!$B:$B,Heron!M$9,Xero!$A:$A,Heron!$A$5,Xero!$E:$E,Heron!$A45)+SUMIFS(Sales!$O:$O,Sales!$E:$E,FALSE,Sales!$A:$A,Heron!$B$5,Sales!$H:$H,"&lt;="&amp;Heron!M$9,Sales!$H:$H,"&gt;"&amp;Heron!L$9,Sales!$F:$F,1)/1.15</f>
        <v>0</v>
      </c>
      <c r="N45" s="99">
        <f>SUMIFS(Xero!$F:$F,Xero!$B:$B,Heron!N$9,Xero!$A:$A,Heron!$A$4,Xero!$E:$E,Heron!$A45)+SUMIFS(Xero!$F:$F,Xero!$B:$B,Heron!N$9,Xero!$A:$A,Heron!$A$5,Xero!$E:$E,Heron!$A45)+SUMIFS(Sales!$O:$O,Sales!$E:$E,FALSE,Sales!$A:$A,Heron!$B$5,Sales!$H:$H,"&lt;="&amp;Heron!N$9,Sales!$H:$H,"&gt;"&amp;Heron!M$9,Sales!$F:$F,1)/1.15</f>
        <v>0</v>
      </c>
      <c r="O45" s="99">
        <f>SUMIFS(Xero!$F:$F,Xero!$B:$B,Heron!O$9,Xero!$A:$A,Heron!$A$4,Xero!$E:$E,Heron!$A45)+SUMIFS(Xero!$F:$F,Xero!$B:$B,Heron!O$9,Xero!$A:$A,Heron!$A$5,Xero!$E:$E,Heron!$A45)+SUMIFS(Sales!$O:$O,Sales!$E:$E,FALSE,Sales!$A:$A,Heron!$B$5,Sales!$H:$H,"&lt;="&amp;Heron!O$9,Sales!$H:$H,"&gt;"&amp;Heron!N$9,Sales!$F:$F,1)/1.15</f>
        <v>0</v>
      </c>
      <c r="P45" s="99">
        <f>SUMIFS(Xero!$F:$F,Xero!$B:$B,Heron!P$9,Xero!$A:$A,Heron!$A$4,Xero!$E:$E,Heron!$A45)+SUMIFS(Xero!$F:$F,Xero!$B:$B,Heron!P$9,Xero!$A:$A,Heron!$A$5,Xero!$E:$E,Heron!$A45)+SUMIFS(Sales!$O:$O,Sales!$E:$E,FALSE,Sales!$A:$A,Heron!$B$5,Sales!$H:$H,"&lt;="&amp;Heron!P$9,Sales!$H:$H,"&gt;"&amp;Heron!O$9,Sales!$F:$F,1)/1.15</f>
        <v>0</v>
      </c>
      <c r="Q45" s="99">
        <f>SUMIFS(Xero!$F:$F,Xero!$B:$B,Heron!Q$9,Xero!$A:$A,Heron!$A$4,Xero!$E:$E,Heron!$A45)+SUMIFS(Xero!$F:$F,Xero!$B:$B,Heron!Q$9,Xero!$A:$A,Heron!$A$5,Xero!$E:$E,Heron!$A45)+SUMIFS(Sales!$O:$O,Sales!$E:$E,FALSE,Sales!$A:$A,Heron!$B$5,Sales!$H:$H,"&lt;="&amp;Heron!Q$9,Sales!$H:$H,"&gt;"&amp;Heron!P$9,Sales!$F:$F,1)/1.15</f>
        <v>0</v>
      </c>
      <c r="R45" s="99">
        <f>SUMIFS(Xero!$F:$F,Xero!$B:$B,Heron!R$9,Xero!$A:$A,Heron!$A$4,Xero!$E:$E,Heron!$A45)+SUMIFS(Xero!$F:$F,Xero!$B:$B,Heron!R$9,Xero!$A:$A,Heron!$A$5,Xero!$E:$E,Heron!$A45)+SUMIFS(Sales!$O:$O,Sales!$E:$E,FALSE,Sales!$A:$A,Heron!$B$5,Sales!$H:$H,"&lt;="&amp;Heron!R$9,Sales!$H:$H,"&gt;"&amp;Heron!Q$9,Sales!$F:$F,1)/1.15</f>
        <v>0</v>
      </c>
      <c r="S45" s="99">
        <f>SUMIFS(Xero!$F:$F,Xero!$B:$B,Heron!S$9,Xero!$A:$A,Heron!$A$4,Xero!$E:$E,Heron!$A45)+SUMIFS(Xero!$F:$F,Xero!$B:$B,Heron!S$9,Xero!$A:$A,Heron!$A$5,Xero!$E:$E,Heron!$A45)+SUMIFS(Sales!$O:$O,Sales!$E:$E,FALSE,Sales!$A:$A,Heron!$B$5,Sales!$H:$H,"&lt;="&amp;Heron!S$9,Sales!$H:$H,"&gt;"&amp;Heron!R$9,Sales!$F:$F,1)/1.15</f>
        <v>0</v>
      </c>
      <c r="T45" s="99">
        <f>SUMIFS(Xero!$F:$F,Xero!$B:$B,Heron!T$9,Xero!$A:$A,Heron!$A$4,Xero!$E:$E,Heron!$A45)+SUMIFS(Xero!$F:$F,Xero!$B:$B,Heron!T$9,Xero!$A:$A,Heron!$A$5,Xero!$E:$E,Heron!$A45)+SUMIFS(Sales!$O:$O,Sales!$E:$E,FALSE,Sales!$A:$A,Heron!$B$5,Sales!$H:$H,"&lt;="&amp;Heron!T$9,Sales!$H:$H,"&gt;"&amp;Heron!S$9,Sales!$F:$F,1)/1.15</f>
        <v>0</v>
      </c>
      <c r="U45" s="99">
        <f>SUMIFS(Xero!$F:$F,Xero!$B:$B,Heron!U$9,Xero!$A:$A,Heron!$A$4,Xero!$E:$E,Heron!$A45)+SUMIFS(Xero!$F:$F,Xero!$B:$B,Heron!U$9,Xero!$A:$A,Heron!$A$5,Xero!$E:$E,Heron!$A45)+SUMIFS(Sales!$O:$O,Sales!$E:$E,FALSE,Sales!$A:$A,Heron!$B$5,Sales!$H:$H,"&lt;="&amp;Heron!U$9,Sales!$H:$H,"&gt;"&amp;Heron!T$9,Sales!$F:$F,1)/1.15</f>
        <v>0</v>
      </c>
      <c r="V45" s="99">
        <f>SUMIFS(Xero!$F:$F,Xero!$B:$B,Heron!V$9,Xero!$A:$A,Heron!$A$4,Xero!$E:$E,Heron!$A45)+SUMIFS(Xero!$F:$F,Xero!$B:$B,Heron!V$9,Xero!$A:$A,Heron!$A$5,Xero!$E:$E,Heron!$A45)+SUMIFS(Sales!$O:$O,Sales!$E:$E,FALSE,Sales!$A:$A,Heron!$B$5,Sales!$H:$H,"&lt;="&amp;Heron!V$9,Sales!$H:$H,"&gt;"&amp;Heron!U$9,Sales!$F:$F,1)/1.15</f>
        <v>0</v>
      </c>
      <c r="W45" s="99">
        <f>SUMIFS(Xero!$F:$F,Xero!$B:$B,Heron!W$9,Xero!$A:$A,Heron!$A$4,Xero!$E:$E,Heron!$A45)+SUMIFS(Xero!$F:$F,Xero!$B:$B,Heron!W$9,Xero!$A:$A,Heron!$A$5,Xero!$E:$E,Heron!$A45)+SUMIFS(Sales!$O:$O,Sales!$E:$E,FALSE,Sales!$A:$A,Heron!$B$5,Sales!$H:$H,"&lt;="&amp;Heron!W$9,Sales!$H:$H,"&gt;"&amp;Heron!V$9,Sales!$F:$F,1)/1.15</f>
        <v>0</v>
      </c>
      <c r="X45" s="99">
        <f>SUMIFS(Xero!$F:$F,Xero!$B:$B,Heron!X$9,Xero!$A:$A,Heron!$A$4,Xero!$E:$E,Heron!$A45)+SUMIFS(Xero!$F:$F,Xero!$B:$B,Heron!X$9,Xero!$A:$A,Heron!$A$5,Xero!$E:$E,Heron!$A45)+SUMIFS(Sales!$O:$O,Sales!$E:$E,FALSE,Sales!$A:$A,Heron!$B$5,Sales!$H:$H,"&lt;="&amp;Heron!X$9,Sales!$H:$H,"&gt;"&amp;Heron!W$9,Sales!$F:$F,1)/1.15</f>
        <v>0</v>
      </c>
      <c r="Y45" s="99">
        <f>SUMIFS(Xero!$F:$F,Xero!$B:$B,Heron!Y$9,Xero!$A:$A,Heron!$A$4,Xero!$E:$E,Heron!$A45)+SUMIFS(Xero!$F:$F,Xero!$B:$B,Heron!Y$9,Xero!$A:$A,Heron!$A$5,Xero!$E:$E,Heron!$A45)+SUMIFS(Sales!$O:$O,Sales!$E:$E,FALSE,Sales!$A:$A,Heron!$B$5,Sales!$H:$H,"&lt;="&amp;Heron!Y$9,Sales!$H:$H,"&gt;"&amp;Heron!X$9,Sales!$F:$F,1)/1.15</f>
        <v>0</v>
      </c>
      <c r="Z45" s="99">
        <f>SUMIFS(Xero!$F:$F,Xero!$B:$B,Heron!Z$9,Xero!$A:$A,Heron!$A$4,Xero!$E:$E,Heron!$A45)+SUMIFS(Xero!$F:$F,Xero!$B:$B,Heron!Z$9,Xero!$A:$A,Heron!$A$5,Xero!$E:$E,Heron!$A45)+SUMIFS(Sales!$O:$O,Sales!$E:$E,FALSE,Sales!$A:$A,Heron!$B$5,Sales!$H:$H,"&lt;="&amp;Heron!Z$9,Sales!$H:$H,"&gt;"&amp;Heron!Y$9,Sales!$F:$F,1)/1.15</f>
        <v>0</v>
      </c>
      <c r="AA45" s="99">
        <f>SUMIFS(Xero!$F:$F,Xero!$B:$B,Heron!AA$9,Xero!$A:$A,Heron!$A$4,Xero!$E:$E,Heron!$A45)+SUMIFS(Xero!$F:$F,Xero!$B:$B,Heron!AA$9,Xero!$A:$A,Heron!$A$5,Xero!$E:$E,Heron!$A45)+SUMIFS(Sales!$O:$O,Sales!$E:$E,FALSE,Sales!$A:$A,Heron!$B$5,Sales!$H:$H,"&lt;="&amp;Heron!AA$9,Sales!$H:$H,"&gt;"&amp;Heron!Z$9,Sales!$F:$F,1)/1.15</f>
        <v>0</v>
      </c>
      <c r="AB45" s="99">
        <f>SUMIFS(Xero!$F:$F,Xero!$B:$B,Heron!AB$9,Xero!$A:$A,Heron!$A$4,Xero!$E:$E,Heron!$A45)+SUMIFS(Xero!$F:$F,Xero!$B:$B,Heron!AB$9,Xero!$A:$A,Heron!$A$5,Xero!$E:$E,Heron!$A45)+SUMIFS(Sales!$O:$O,Sales!$E:$E,FALSE,Sales!$A:$A,Heron!$B$5,Sales!$H:$H,"&lt;="&amp;Heron!AB$9,Sales!$H:$H,"&gt;"&amp;Heron!AA$9,Sales!$F:$F,1)/1.15</f>
        <v>0</v>
      </c>
      <c r="AC45" s="99">
        <f>SUMIFS(Xero!$F:$F,Xero!$B:$B,Heron!AC$9,Xero!$A:$A,Heron!$A$4,Xero!$E:$E,Heron!$A45)+SUMIFS(Xero!$F:$F,Xero!$B:$B,Heron!AC$9,Xero!$A:$A,Heron!$A$5,Xero!$E:$E,Heron!$A45)+SUMIFS(Sales!$O:$O,Sales!$E:$E,FALSE,Sales!$A:$A,Heron!$B$5,Sales!$H:$H,"&lt;="&amp;Heron!AC$9,Sales!$H:$H,"&gt;"&amp;Heron!AB$9,Sales!$F:$F,1)/1.15</f>
        <v>0</v>
      </c>
      <c r="AD45" s="99">
        <f>SUMIFS(Xero!$F:$F,Xero!$B:$B,Heron!AD$9,Xero!$A:$A,Heron!$A$4,Xero!$E:$E,Heron!$A45)+SUMIFS(Xero!$F:$F,Xero!$B:$B,Heron!AD$9,Xero!$A:$A,Heron!$A$5,Xero!$E:$E,Heron!$A45)+SUMIFS(Sales!$O:$O,Sales!$E:$E,FALSE,Sales!$A:$A,Heron!$B$5,Sales!$H:$H,"&lt;="&amp;Heron!AD$9,Sales!$H:$H,"&gt;"&amp;Heron!AC$9,Sales!$F:$F,1)/1.15</f>
        <v>0</v>
      </c>
      <c r="AE45" s="99">
        <f>SUMIFS(Xero!$F:$F,Xero!$B:$B,Heron!AE$9,Xero!$A:$A,Heron!$A$4,Xero!$E:$E,Heron!$A45)+SUMIFS(Xero!$F:$F,Xero!$B:$B,Heron!AE$9,Xero!$A:$A,Heron!$A$5,Xero!$E:$E,Heron!$A45)+SUMIFS(Sales!$O:$O,Sales!$E:$E,FALSE,Sales!$A:$A,Heron!$B$5,Sales!$H:$H,"&lt;="&amp;Heron!AE$9,Sales!$H:$H,"&gt;"&amp;Heron!AD$9,Sales!$F:$F,1)/1.15</f>
        <v>0</v>
      </c>
      <c r="AF45" s="99">
        <f>SUMIFS(Xero!$F:$F,Xero!$B:$B,Heron!AF$9,Xero!$A:$A,Heron!$A$4,Xero!$E:$E,Heron!$A45)+SUMIFS(Xero!$F:$F,Xero!$B:$B,Heron!AF$9,Xero!$A:$A,Heron!$A$5,Xero!$E:$E,Heron!$A45)+SUMIFS(Sales!$O:$O,Sales!$E:$E,FALSE,Sales!$A:$A,Heron!$B$5,Sales!$H:$H,"&lt;="&amp;Heron!AF$9,Sales!$H:$H,"&gt;"&amp;Heron!AE$9,Sales!$F:$F,1)/1.15</f>
        <v>0</v>
      </c>
      <c r="AG45" s="99">
        <f>SUMIFS(Xero!$F:$F,Xero!$B:$B,Heron!AG$9,Xero!$A:$A,Heron!$A$4,Xero!$E:$E,Heron!$A45)+SUMIFS(Xero!$F:$F,Xero!$B:$B,Heron!AG$9,Xero!$A:$A,Heron!$A$5,Xero!$E:$E,Heron!$A45)+SUMIFS(Sales!$O:$O,Sales!$E:$E,FALSE,Sales!$A:$A,Heron!$B$5,Sales!$H:$H,"&lt;="&amp;Heron!AG$9,Sales!$H:$H,"&gt;"&amp;Heron!AF$9,Sales!$F:$F,1)/1.15</f>
        <v>343456.51</v>
      </c>
      <c r="AH45" s="99">
        <f>SUMIFS(Xero!$F:$F,Xero!$B:$B,Heron!AH$9,Xero!$A:$A,Heron!$A$4,Xero!$E:$E,Heron!$A45)+SUMIFS(Xero!$F:$F,Xero!$B:$B,Heron!AH$9,Xero!$A:$A,Heron!$A$5,Xero!$E:$E,Heron!$A45)+SUMIFS(Sales!$O:$O,Sales!$E:$E,FALSE,Sales!$A:$A,Heron!$B$5,Sales!$H:$H,"&lt;="&amp;Heron!AH$9,Sales!$H:$H,"&gt;"&amp;Heron!AG$9,Sales!$F:$F,1)/1.15</f>
        <v>650395.63</v>
      </c>
      <c r="AI45" s="99">
        <f>SUMIFS(Xero!$F:$F,Xero!$B:$B,Heron!AI$9,Xero!$A:$A,Heron!$A$4,Xero!$E:$E,Heron!$A45)+SUMIFS(Xero!$F:$F,Xero!$B:$B,Heron!AI$9,Xero!$A:$A,Heron!$A$5,Xero!$E:$E,Heron!$A45)+SUMIFS(Sales!$O:$O,Sales!$E:$E,FALSE,Sales!$A:$A,Heron!$B$5,Sales!$H:$H,"&lt;="&amp;Heron!AI$9,Sales!$H:$H,"&gt;"&amp;Heron!AH$9,Sales!$F:$F,1)/1.15</f>
        <v>0</v>
      </c>
      <c r="AJ45" s="99">
        <f>SUMIFS(Xero!$F:$F,Xero!$B:$B,Heron!AJ$9,Xero!$A:$A,Heron!$A$4,Xero!$E:$E,Heron!$A45)+SUMIFS(Xero!$F:$F,Xero!$B:$B,Heron!AJ$9,Xero!$A:$A,Heron!$A$5,Xero!$E:$E,Heron!$A45)+SUMIFS(Sales!$O:$O,Sales!$E:$E,FALSE,Sales!$A:$A,Heron!$B$5,Sales!$H:$H,"&lt;="&amp;Heron!AJ$9,Sales!$H:$H,"&gt;"&amp;Heron!AI$9,Sales!$F:$F,1)/1.15</f>
        <v>74778.259999999995</v>
      </c>
      <c r="AK45" s="99">
        <f>SUMIFS(Xero!$F:$F,Xero!$B:$B,Heron!AK$9,Xero!$A:$A,Heron!$A$4,Xero!$E:$E,Heron!$A45)+SUMIFS(Xero!$F:$F,Xero!$B:$B,Heron!AK$9,Xero!$A:$A,Heron!$A$5,Xero!$E:$E,Heron!$A45)+SUMIFS(Sales!$O:$O,Sales!$E:$E,FALSE,Sales!$A:$A,Heron!$B$5,Sales!$H:$H,"&lt;="&amp;Heron!AK$9,Sales!$H:$H,"&gt;"&amp;Heron!AJ$9,Sales!$F:$F,1)/1.15</f>
        <v>77386.960000000006</v>
      </c>
      <c r="AL45" s="99">
        <f>SUMIFS(Xero!$F:$F,Xero!$B:$B,Heron!AL$9,Xero!$A:$A,Heron!$A$4,Xero!$E:$E,Heron!$A45)+SUMIFS(Xero!$F:$F,Xero!$B:$B,Heron!AL$9,Xero!$A:$A,Heron!$A$5,Xero!$E:$E,Heron!$A45)+SUMIFS(Sales!$O:$O,Sales!$E:$E,FALSE,Sales!$A:$A,Heron!$B$5,Sales!$H:$H,"&lt;="&amp;Heron!AL$9,Sales!$H:$H,"&gt;"&amp;Heron!AK$9,Sales!$F:$F,1)/1.15</f>
        <v>349108.7</v>
      </c>
      <c r="AM45" s="99">
        <f>SUMIFS(Xero!$F:$F,Xero!$B:$B,Heron!AM$9,Xero!$A:$A,Heron!$A$4,Xero!$E:$E,Heron!$A45)+SUMIFS(Xero!$F:$F,Xero!$B:$B,Heron!AM$9,Xero!$A:$A,Heron!$A$5,Xero!$E:$E,Heron!$A45)+SUMIFS(Sales!$O:$O,Sales!$E:$E,FALSE,Sales!$A:$A,Heron!$B$5,Sales!$H:$H,"&lt;="&amp;Heron!AM$9,Sales!$H:$H,"&gt;"&amp;Heron!AL$9,Sales!$F:$F,1)/1.15</f>
        <v>73908.7</v>
      </c>
      <c r="AN45" s="99">
        <f>SUMIFS(Xero!$F:$F,Xero!$B:$B,Heron!AN$9,Xero!$A:$A,Heron!$A$4,Xero!$E:$E,Heron!$A45)+SUMIFS(Xero!$F:$F,Xero!$B:$B,Heron!AN$9,Xero!$A:$A,Heron!$A$5,Xero!$E:$E,Heron!$A45)+SUMIFS(Sales!$O:$O,Sales!$E:$E,FALSE,Sales!$A:$A,Heron!$B$5,Sales!$H:$H,"&lt;="&amp;Heron!AN$9,Sales!$H:$H,"&gt;"&amp;Heron!AM$9,Sales!$F:$F,1)/1.15</f>
        <v>556486.98</v>
      </c>
      <c r="AO45" s="99">
        <f>SUMIFS(Xero!$F:$F,Xero!$B:$B,Heron!AO$9,Xero!$A:$A,Heron!$A$4,Xero!$E:$E,Heron!$A45)+SUMIFS(Xero!$F:$F,Xero!$B:$B,Heron!AO$9,Xero!$A:$A,Heron!$A$5,Xero!$E:$E,Heron!$A45)+SUMIFS(Sales!$O:$O,Sales!$E:$E,FALSE,Sales!$A:$A,Heron!$B$5,Sales!$H:$H,"&lt;="&amp;Heron!AO$9,Sales!$H:$H,"&gt;"&amp;Heron!AN$9,Sales!$F:$F,1)/1.15</f>
        <v>0</v>
      </c>
      <c r="AP45" s="99">
        <f>SUMIFS(Xero!$F:$F,Xero!$B:$B,Heron!AP$9,Xero!$A:$A,Heron!$A$4,Xero!$E:$E,Heron!$A45)+SUMIFS(Xero!$F:$F,Xero!$B:$B,Heron!AP$9,Xero!$A:$A,Heron!$A$5,Xero!$E:$E,Heron!$A45)+SUMIFS(Sales!$O:$O,Sales!$E:$E,FALSE,Sales!$A:$A,Heron!$B$5,Sales!$H:$H,"&lt;="&amp;Heron!AP$9,Sales!$H:$H,"&gt;"&amp;Heron!AO$9,Sales!$F:$F,1)/1.15</f>
        <v>139991.31</v>
      </c>
      <c r="AQ45" s="99">
        <f>SUMIFS(Xero!$F:$F,Xero!$B:$B,Heron!AQ$9,Xero!$A:$A,Heron!$A$4,Xero!$E:$E,Heron!$A45)+SUMIFS(Xero!$F:$F,Xero!$B:$B,Heron!AQ$9,Xero!$A:$A,Heron!$A$5,Xero!$E:$E,Heron!$A45)+SUMIFS(Sales!$O:$O,Sales!$E:$E,FALSE,Sales!$A:$A,Heron!$B$5,Sales!$H:$H,"&lt;="&amp;Heron!AQ$9,Sales!$H:$H,"&gt;"&amp;Heron!AP$9,Sales!$F:$F,1)/1.15</f>
        <v>65647.83</v>
      </c>
      <c r="AR45" s="99">
        <f>SUMIFS(Xero!$F:$F,Xero!$B:$B,Heron!AR$9,Xero!$A:$A,Heron!$A$4,Xero!$E:$E,Heron!$A45)+SUMIFS(Xero!$F:$F,Xero!$B:$B,Heron!AR$9,Xero!$A:$A,Heron!$A$5,Xero!$E:$E,Heron!$A45)+SUMIFS(Sales!$O:$O,Sales!$E:$E,FALSE,Sales!$A:$A,Heron!$B$5,Sales!$H:$H,"&lt;="&amp;Heron!AR$9,Sales!$H:$H,"&gt;"&amp;Heron!AQ$9,Sales!$F:$F,1)/1.15</f>
        <v>73473.91</v>
      </c>
      <c r="AS45" s="99">
        <f>SUMIFS(Xero!$F:$F,Xero!$B:$B,Heron!AS$9,Xero!$A:$A,Heron!$A$4,Xero!$E:$E,Heron!$A45)+SUMIFS(Xero!$F:$F,Xero!$B:$B,Heron!AS$9,Xero!$A:$A,Heron!$A$5,Xero!$E:$E,Heron!$A45)+SUMIFS(Sales!$O:$O,Sales!$E:$E,FALSE,Sales!$A:$A,Heron!$B$5,Sales!$H:$H,"&lt;="&amp;Heron!AS$9,Sales!$H:$H,"&gt;"&amp;Heron!AR$9,Sales!$F:$F,1)/1.15</f>
        <v>326500</v>
      </c>
      <c r="AT45" s="99">
        <f>SUMIFS(Xero!$F:$F,Xero!$B:$B,Heron!AT$9,Xero!$A:$A,Heron!$A$4,Xero!$E:$E,Heron!$A45)+SUMIFS(Xero!$F:$F,Xero!$B:$B,Heron!AT$9,Xero!$A:$A,Heron!$A$5,Xero!$E:$E,Heron!$A45)+SUMIFS(Sales!$O:$O,Sales!$E:$E,FALSE,Sales!$A:$A,Heron!$B$5,Sales!$H:$H,"&lt;="&amp;Heron!AT$9,Sales!$H:$H,"&gt;"&amp;Heron!AS$9,Sales!$F:$F,1)/1.15</f>
        <v>791725.73913043493</v>
      </c>
      <c r="AU45" s="99">
        <f>SUMIFS(Xero!$F:$F,Xero!$B:$B,Heron!AU$9,Xero!$A:$A,Heron!$A$4,Xero!$E:$E,Heron!$A45)+SUMIFS(Xero!$F:$F,Xero!$B:$B,Heron!AU$9,Xero!$A:$A,Heron!$A$5,Xero!$E:$E,Heron!$A45)+SUMIFS(Sales!$O:$O,Sales!$E:$E,FALSE,Sales!$A:$A,Heron!$B$5,Sales!$H:$H,"&lt;="&amp;Heron!AU$9,Sales!$H:$H,"&gt;"&amp;Heron!AT$9,Sales!$F:$F,1)/1.15</f>
        <v>0</v>
      </c>
      <c r="AV45" s="99">
        <f>SUMIFS(Xero!$F:$F,Xero!$B:$B,Heron!AV$9,Xero!$A:$A,Heron!$A$4,Xero!$E:$E,Heron!$A45)+SUMIFS(Xero!$F:$F,Xero!$B:$B,Heron!AV$9,Xero!$A:$A,Heron!$A$5,Xero!$E:$E,Heron!$A45)+SUMIFS(Sales!$O:$O,Sales!$E:$E,FALSE,Sales!$A:$A,Heron!$B$5,Sales!$H:$H,"&lt;="&amp;Heron!AV$9,Sales!$H:$H,"&gt;"&amp;Heron!AU$9,Sales!$F:$F,1)/1.15</f>
        <v>0</v>
      </c>
      <c r="AW45" s="99">
        <f>SUMIFS(Xero!$F:$F,Xero!$B:$B,Heron!AW$9,Xero!$A:$A,Heron!$A$4,Xero!$E:$E,Heron!$A45)+SUMIFS(Xero!$F:$F,Xero!$B:$B,Heron!AW$9,Xero!$A:$A,Heron!$A$5,Xero!$E:$E,Heron!$A45)+SUMIFS(Sales!$O:$O,Sales!$E:$E,FALSE,Sales!$A:$A,Heron!$B$5,Sales!$H:$H,"&lt;="&amp;Heron!AW$9,Sales!$H:$H,"&gt;"&amp;Heron!AV$9,Sales!$F:$F,1)/1.15</f>
        <v>0</v>
      </c>
      <c r="AX45" s="99">
        <f>SUMIFS(Xero!$F:$F,Xero!$B:$B,Heron!AX$9,Xero!$A:$A,Heron!$A$4,Xero!$E:$E,Heron!$A45)+SUMIFS(Xero!$F:$F,Xero!$B:$B,Heron!AX$9,Xero!$A:$A,Heron!$A$5,Xero!$E:$E,Heron!$A45)+SUMIFS(Sales!$O:$O,Sales!$E:$E,FALSE,Sales!$A:$A,Heron!$B$5,Sales!$H:$H,"&lt;="&amp;Heron!AX$9,Sales!$H:$H,"&gt;"&amp;Heron!AW$9,Sales!$F:$F,1)/1.15</f>
        <v>0</v>
      </c>
      <c r="AY45" s="99">
        <f>SUMIFS(Xero!$F:$F,Xero!$B:$B,Heron!AY$9,Xero!$A:$A,Heron!$A$4,Xero!$E:$E,Heron!$A45)+SUMIFS(Xero!$F:$F,Xero!$B:$B,Heron!AY$9,Xero!$A:$A,Heron!$A$5,Xero!$E:$E,Heron!$A45)+SUMIFS(Sales!$O:$O,Sales!$E:$E,FALSE,Sales!$A:$A,Heron!$B$5,Sales!$H:$H,"&lt;="&amp;Heron!AY$9,Sales!$H:$H,"&gt;"&amp;Heron!AX$9,Sales!$F:$F,1)/1.15</f>
        <v>677347.82608695654</v>
      </c>
      <c r="AZ45" s="99">
        <f>SUMIFS(Xero!$F:$F,Xero!$B:$B,Heron!AZ$9,Xero!$A:$A,Heron!$A$4,Xero!$E:$E,Heron!$A45)+SUMIFS(Xero!$F:$F,Xero!$B:$B,Heron!AZ$9,Xero!$A:$A,Heron!$A$5,Xero!$E:$E,Heron!$A45)+SUMIFS(Sales!$O:$O,Sales!$E:$E,FALSE,Sales!$A:$A,Heron!$B$5,Sales!$H:$H,"&lt;="&amp;Heron!AZ$9,Sales!$H:$H,"&gt;"&amp;Heron!AY$9,Sales!$F:$F,1)/1.15</f>
        <v>0</v>
      </c>
      <c r="BA45" s="99">
        <f>SUMIFS(Xero!$F:$F,Xero!$B:$B,Heron!BA$9,Xero!$A:$A,Heron!$A$4,Xero!$E:$E,Heron!$A45)+SUMIFS(Xero!$F:$F,Xero!$B:$B,Heron!BA$9,Xero!$A:$A,Heron!$A$5,Xero!$E:$E,Heron!$A45)+SUMIFS(Sales!$O:$O,Sales!$E:$E,FALSE,Sales!$A:$A,Heron!$B$5,Sales!$H:$H,"&lt;="&amp;Heron!BA$9,Sales!$H:$H,"&gt;"&amp;Heron!AZ$9,Sales!$F:$F,1)/1.15</f>
        <v>0</v>
      </c>
      <c r="BB45" s="99">
        <f>SUMIFS(Xero!$F:$F,Xero!$B:$B,Heron!BB$9,Xero!$A:$A,Heron!$A$4,Xero!$E:$E,Heron!$A45)+SUMIFS(Xero!$F:$F,Xero!$B:$B,Heron!BB$9,Xero!$A:$A,Heron!$A$5,Xero!$E:$E,Heron!$A45)+SUMIFS(Sales!$O:$O,Sales!$E:$E,FALSE,Sales!$A:$A,Heron!$B$5,Sales!$H:$H,"&lt;="&amp;Heron!BB$9,Sales!$H:$H,"&gt;"&amp;Heron!BA$9,Sales!$F:$F,1)/1.15</f>
        <v>0</v>
      </c>
      <c r="BC45" s="99">
        <f>SUMIFS(Xero!$F:$F,Xero!$B:$B,Heron!BC$9,Xero!$A:$A,Heron!$A$4,Xero!$E:$E,Heron!$A45)+SUMIFS(Xero!$F:$F,Xero!$B:$B,Heron!BC$9,Xero!$A:$A,Heron!$A$5,Xero!$E:$E,Heron!$A45)+SUMIFS(Sales!$O:$O,Sales!$E:$E,FALSE,Sales!$A:$A,Heron!$B$5,Sales!$H:$H,"&lt;="&amp;Heron!BC$9,Sales!$H:$H,"&gt;"&amp;Heron!BB$9,Sales!$F:$F,1)/1.15</f>
        <v>0</v>
      </c>
      <c r="BD45" s="99">
        <f>SUMIFS(Xero!$F:$F,Xero!$B:$B,Heron!BD$9,Xero!$A:$A,Heron!$A$4,Xero!$E:$E,Heron!$A45)+SUMIFS(Xero!$F:$F,Xero!$B:$B,Heron!BD$9,Xero!$A:$A,Heron!$A$5,Xero!$E:$E,Heron!$A45)+SUMIFS(Sales!$O:$O,Sales!$E:$E,FALSE,Sales!$A:$A,Heron!$B$5,Sales!$H:$H,"&lt;="&amp;Heron!BD$9,Sales!$H:$H,"&gt;"&amp;Heron!BC$9,Sales!$F:$F,1)/1.15</f>
        <v>0</v>
      </c>
      <c r="BE45" s="99">
        <f>SUMIFS(Xero!$F:$F,Xero!$B:$B,Heron!BE$9,Xero!$A:$A,Heron!$A$4,Xero!$E:$E,Heron!$A45)+SUMIFS(Xero!$F:$F,Xero!$B:$B,Heron!BE$9,Xero!$A:$A,Heron!$A$5,Xero!$E:$E,Heron!$A45)+SUMIFS(Sales!$O:$O,Sales!$E:$E,FALSE,Sales!$A:$A,Heron!$B$5,Sales!$H:$H,"&lt;="&amp;Heron!BE$9,Sales!$H:$H,"&gt;"&amp;Heron!BD$9,Sales!$F:$F,1)/1.15</f>
        <v>0</v>
      </c>
      <c r="BF45" s="99">
        <f>SUMIFS(Xero!$F:$F,Xero!$B:$B,Heron!BF$9,Xero!$A:$A,Heron!$A$4,Xero!$E:$E,Heron!$A45)+SUMIFS(Xero!$F:$F,Xero!$B:$B,Heron!BF$9,Xero!$A:$A,Heron!$A$5,Xero!$E:$E,Heron!$A45)+SUMIFS(Sales!$O:$O,Sales!$E:$E,FALSE,Sales!$A:$A,Heron!$B$5,Sales!$H:$H,"&lt;="&amp;Heron!BF$9,Sales!$H:$H,"&gt;"&amp;Heron!BE$9,Sales!$F:$F,1)/1.15</f>
        <v>0</v>
      </c>
      <c r="BG45" s="99">
        <f>SUMIFS(Xero!$F:$F,Xero!$B:$B,Heron!BG$9,Xero!$A:$A,Heron!$A$4,Xero!$E:$E,Heron!$A45)+SUMIFS(Xero!$F:$F,Xero!$B:$B,Heron!BG$9,Xero!$A:$A,Heron!$A$5,Xero!$E:$E,Heron!$A45)+SUMIFS(Sales!$O:$O,Sales!$E:$E,FALSE,Sales!$A:$A,Heron!$B$5,Sales!$H:$H,"&lt;="&amp;Heron!BG$9,Sales!$H:$H,"&gt;"&amp;Heron!BF$9,Sales!$F:$F,1)/1.15</f>
        <v>0</v>
      </c>
      <c r="BH45" s="99">
        <f>SUMIFS(Xero!$F:$F,Xero!$B:$B,Heron!BH$9,Xero!$A:$A,Heron!$A$4,Xero!$E:$E,Heron!$A45)+SUMIFS(Xero!$F:$F,Xero!$B:$B,Heron!BH$9,Xero!$A:$A,Heron!$A$5,Xero!$E:$E,Heron!$A45)+SUMIFS(Sales!$O:$O,Sales!$E:$E,FALSE,Sales!$A:$A,Heron!$B$5,Sales!$H:$H,"&lt;="&amp;Heron!BH$9,Sales!$H:$H,"&gt;"&amp;Heron!BG$9,Sales!$F:$F,1)/1.15</f>
        <v>0</v>
      </c>
      <c r="BI45" s="99">
        <f>SUMIFS(Xero!$F:$F,Xero!$B:$B,Heron!BI$9,Xero!$A:$A,Heron!$A$4,Xero!$E:$E,Heron!$A45)+SUMIFS(Xero!$F:$F,Xero!$B:$B,Heron!BI$9,Xero!$A:$A,Heron!$A$5,Xero!$E:$E,Heron!$A45)+SUMIFS(Sales!$O:$O,Sales!$E:$E,FALSE,Sales!$A:$A,Heron!$B$5,Sales!$H:$H,"&lt;="&amp;Heron!BI$9,Sales!$H:$H,"&gt;"&amp;Heron!BH$9,Sales!$F:$F,1)/1.15</f>
        <v>0</v>
      </c>
      <c r="BJ45" s="99">
        <f>SUMIFS(Xero!$F:$F,Xero!$B:$B,Heron!BJ$9,Xero!$A:$A,Heron!$A$4,Xero!$E:$E,Heron!$A45)+SUMIFS(Xero!$F:$F,Xero!$B:$B,Heron!BJ$9,Xero!$A:$A,Heron!$A$5,Xero!$E:$E,Heron!$A45)+SUMIFS(Sales!$O:$O,Sales!$E:$E,FALSE,Sales!$A:$A,Heron!$B$5,Sales!$H:$H,"&lt;="&amp;Heron!BJ$9,Sales!$H:$H,"&gt;"&amp;Heron!BI$9,Sales!$F:$F,1)/1.15</f>
        <v>0</v>
      </c>
      <c r="BK45" s="99">
        <f t="shared" si="4"/>
        <v>4200208.3552173916</v>
      </c>
    </row>
    <row r="46" spans="1:63" ht="16" x14ac:dyDescent="0.2">
      <c r="A46" s="98" t="s">
        <v>1515</v>
      </c>
      <c r="D46" s="99">
        <f>SUMIFS(Xero!$F:$F,Xero!$B:$B,Heron!D$9,Xero!$A:$A,Heron!$A$4,Xero!$E:$E,Heron!$A46)+SUMIFS(Xero!$F:$F,Xero!$B:$B,Heron!D$9,Xero!$A:$A,Heron!$A$5,Xero!$E:$E,Heron!$A46)</f>
        <v>0</v>
      </c>
      <c r="E46" s="99">
        <f>SUMIFS(Xero!$F:$F,Xero!$B:$B,Heron!E$9,Xero!$A:$A,Heron!$A$4,Xero!$E:$E,Heron!$A46)+SUMIFS(Xero!$F:$F,Xero!$B:$B,Heron!E$9,Xero!$A:$A,Heron!$A$5,Xero!$E:$E,Heron!$A46)</f>
        <v>0</v>
      </c>
      <c r="F46" s="99">
        <f>SUMIFS(Xero!$F:$F,Xero!$B:$B,Heron!F$9,Xero!$A:$A,Heron!$A$4,Xero!$E:$E,Heron!$A46)+SUMIFS(Xero!$F:$F,Xero!$B:$B,Heron!F$9,Xero!$A:$A,Heron!$A$5,Xero!$E:$E,Heron!$A46)</f>
        <v>0</v>
      </c>
      <c r="G46" s="99">
        <f>SUMIFS(Xero!$F:$F,Xero!$B:$B,Heron!G$9,Xero!$A:$A,Heron!$A$4,Xero!$E:$E,Heron!$A46)+SUMIFS(Xero!$F:$F,Xero!$B:$B,Heron!G$9,Xero!$A:$A,Heron!$A$5,Xero!$E:$E,Heron!$A46)</f>
        <v>0</v>
      </c>
      <c r="H46" s="99">
        <f>SUMIFS(Xero!$F:$F,Xero!$B:$B,Heron!H$9,Xero!$A:$A,Heron!$A$4,Xero!$E:$E,Heron!$A46)+SUMIFS(Xero!$F:$F,Xero!$B:$B,Heron!H$9,Xero!$A:$A,Heron!$A$5,Xero!$E:$E,Heron!$A46)</f>
        <v>0</v>
      </c>
      <c r="I46" s="99">
        <f>SUMIFS(Xero!$F:$F,Xero!$B:$B,Heron!I$9,Xero!$A:$A,Heron!$A$4,Xero!$E:$E,Heron!$A46)+SUMIFS(Xero!$F:$F,Xero!$B:$B,Heron!I$9,Xero!$A:$A,Heron!$A$5,Xero!$E:$E,Heron!$A46)</f>
        <v>0</v>
      </c>
      <c r="J46" s="99">
        <f>SUMIFS(Xero!$F:$F,Xero!$B:$B,Heron!J$9,Xero!$A:$A,Heron!$A$4,Xero!$E:$E,Heron!$A46)+SUMIFS(Xero!$F:$F,Xero!$B:$B,Heron!J$9,Xero!$A:$A,Heron!$A$5,Xero!$E:$E,Heron!$A46)</f>
        <v>0</v>
      </c>
      <c r="K46" s="99">
        <f>SUMIFS(Xero!$F:$F,Xero!$B:$B,Heron!K$9,Xero!$A:$A,Heron!$A$4,Xero!$E:$E,Heron!$A46)+SUMIFS(Xero!$F:$F,Xero!$B:$B,Heron!K$9,Xero!$A:$A,Heron!$A$5,Xero!$E:$E,Heron!$A46)</f>
        <v>0</v>
      </c>
      <c r="L46" s="99">
        <f>SUMIFS(Xero!$F:$F,Xero!$B:$B,Heron!L$9,Xero!$A:$A,Heron!$A$4,Xero!$E:$E,Heron!$A46)+SUMIFS(Xero!$F:$F,Xero!$B:$B,Heron!L$9,Xero!$A:$A,Heron!$A$5,Xero!$E:$E,Heron!$A46)</f>
        <v>0</v>
      </c>
      <c r="M46" s="99">
        <f>SUMIFS(Xero!$F:$F,Xero!$B:$B,Heron!M$9,Xero!$A:$A,Heron!$A$4,Xero!$E:$E,Heron!$A46)+SUMIFS(Xero!$F:$F,Xero!$B:$B,Heron!M$9,Xero!$A:$A,Heron!$A$5,Xero!$E:$E,Heron!$A46)</f>
        <v>0</v>
      </c>
      <c r="N46" s="99">
        <f>SUMIFS(Xero!$F:$F,Xero!$B:$B,Heron!N$9,Xero!$A:$A,Heron!$A$4,Xero!$E:$E,Heron!$A46)+SUMIFS(Xero!$F:$F,Xero!$B:$B,Heron!N$9,Xero!$A:$A,Heron!$A$5,Xero!$E:$E,Heron!$A46)</f>
        <v>0</v>
      </c>
      <c r="O46" s="99">
        <f>SUMIFS(Xero!$F:$F,Xero!$B:$B,Heron!O$9,Xero!$A:$A,Heron!$A$4,Xero!$E:$E,Heron!$A46)+SUMIFS(Xero!$F:$F,Xero!$B:$B,Heron!O$9,Xero!$A:$A,Heron!$A$5,Xero!$E:$E,Heron!$A46)</f>
        <v>0</v>
      </c>
      <c r="P46" s="99">
        <f>SUMIFS(Xero!$F:$F,Xero!$B:$B,Heron!P$9,Xero!$A:$A,Heron!$A$4,Xero!$E:$E,Heron!$A46)+SUMIFS(Xero!$F:$F,Xero!$B:$B,Heron!P$9,Xero!$A:$A,Heron!$A$5,Xero!$E:$E,Heron!$A46)</f>
        <v>0</v>
      </c>
      <c r="Q46" s="99">
        <f>SUMIFS(Xero!$F:$F,Xero!$B:$B,Heron!Q$9,Xero!$A:$A,Heron!$A$4,Xero!$E:$E,Heron!$A46)+SUMIFS(Xero!$F:$F,Xero!$B:$B,Heron!Q$9,Xero!$A:$A,Heron!$A$5,Xero!$E:$E,Heron!$A46)</f>
        <v>0</v>
      </c>
      <c r="R46" s="99">
        <f>SUMIFS(Xero!$F:$F,Xero!$B:$B,Heron!R$9,Xero!$A:$A,Heron!$A$4,Xero!$E:$E,Heron!$A46)+SUMIFS(Xero!$F:$F,Xero!$B:$B,Heron!R$9,Xero!$A:$A,Heron!$A$5,Xero!$E:$E,Heron!$A46)</f>
        <v>0</v>
      </c>
      <c r="S46" s="99">
        <f>SUMIFS(Xero!$F:$F,Xero!$B:$B,Heron!S$9,Xero!$A:$A,Heron!$A$4,Xero!$E:$E,Heron!$A46)+SUMIFS(Xero!$F:$F,Xero!$B:$B,Heron!S$9,Xero!$A:$A,Heron!$A$5,Xero!$E:$E,Heron!$A46)</f>
        <v>86956.52</v>
      </c>
      <c r="T46" s="99">
        <f>SUMIFS(Xero!$F:$F,Xero!$B:$B,Heron!T$9,Xero!$A:$A,Heron!$A$4,Xero!$E:$E,Heron!$A46)+SUMIFS(Xero!$F:$F,Xero!$B:$B,Heron!T$9,Xero!$A:$A,Heron!$A$5,Xero!$E:$E,Heron!$A46)</f>
        <v>0</v>
      </c>
      <c r="U46" s="99">
        <f>SUMIFS(Xero!$F:$F,Xero!$B:$B,Heron!U$9,Xero!$A:$A,Heron!$A$4,Xero!$E:$E,Heron!$A46)+SUMIFS(Xero!$F:$F,Xero!$B:$B,Heron!U$9,Xero!$A:$A,Heron!$A$5,Xero!$E:$E,Heron!$A46)</f>
        <v>0</v>
      </c>
      <c r="V46" s="99">
        <f>SUMIFS(Xero!$F:$F,Xero!$B:$B,Heron!V$9,Xero!$A:$A,Heron!$A$4,Xero!$E:$E,Heron!$A46)+SUMIFS(Xero!$F:$F,Xero!$B:$B,Heron!V$9,Xero!$A:$A,Heron!$A$5,Xero!$E:$E,Heron!$A46)</f>
        <v>0</v>
      </c>
      <c r="W46" s="99">
        <f>SUMIFS(Xero!$F:$F,Xero!$B:$B,Heron!W$9,Xero!$A:$A,Heron!$A$4,Xero!$E:$E,Heron!$A46)+SUMIFS(Xero!$F:$F,Xero!$B:$B,Heron!W$9,Xero!$A:$A,Heron!$A$5,Xero!$E:$E,Heron!$A46)</f>
        <v>0</v>
      </c>
      <c r="X46" s="99">
        <f>SUMIFS(Xero!$F:$F,Xero!$B:$B,Heron!X$9,Xero!$A:$A,Heron!$A$4,Xero!$E:$E,Heron!$A46)+SUMIFS(Xero!$F:$F,Xero!$B:$B,Heron!X$9,Xero!$A:$A,Heron!$A$5,Xero!$E:$E,Heron!$A46)</f>
        <v>0</v>
      </c>
      <c r="Y46" s="99">
        <f>SUMIFS(Xero!$F:$F,Xero!$B:$B,Heron!Y$9,Xero!$A:$A,Heron!$A$4,Xero!$E:$E,Heron!$A46)+SUMIFS(Xero!$F:$F,Xero!$B:$B,Heron!Y$9,Xero!$A:$A,Heron!$A$5,Xero!$E:$E,Heron!$A46)</f>
        <v>0</v>
      </c>
      <c r="Z46" s="99">
        <f>SUMIFS(Xero!$F:$F,Xero!$B:$B,Heron!Z$9,Xero!$A:$A,Heron!$A$4,Xero!$E:$E,Heron!$A46)+SUMIFS(Xero!$F:$F,Xero!$B:$B,Heron!Z$9,Xero!$A:$A,Heron!$A$5,Xero!$E:$E,Heron!$A46)</f>
        <v>0</v>
      </c>
      <c r="AA46" s="99">
        <f>SUMIFS(Xero!$F:$F,Xero!$B:$B,Heron!AA$9,Xero!$A:$A,Heron!$A$4,Xero!$E:$E,Heron!$A46)+SUMIFS(Xero!$F:$F,Xero!$B:$B,Heron!AA$9,Xero!$A:$A,Heron!$A$5,Xero!$E:$E,Heron!$A46)</f>
        <v>0</v>
      </c>
      <c r="AB46" s="99">
        <f>SUMIFS(Xero!$F:$F,Xero!$B:$B,Heron!AB$9,Xero!$A:$A,Heron!$A$4,Xero!$E:$E,Heron!$A46)+SUMIFS(Xero!$F:$F,Xero!$B:$B,Heron!AB$9,Xero!$A:$A,Heron!$A$5,Xero!$E:$E,Heron!$A46)</f>
        <v>0</v>
      </c>
      <c r="AC46" s="99">
        <f>SUMIFS(Xero!$F:$F,Xero!$B:$B,Heron!AC$9,Xero!$A:$A,Heron!$A$4,Xero!$E:$E,Heron!$A46)+SUMIFS(Xero!$F:$F,Xero!$B:$B,Heron!AC$9,Xero!$A:$A,Heron!$A$5,Xero!$E:$E,Heron!$A46)</f>
        <v>0</v>
      </c>
      <c r="AD46" s="99">
        <f>SUMIFS(Xero!$F:$F,Xero!$B:$B,Heron!AD$9,Xero!$A:$A,Heron!$A$4,Xero!$E:$E,Heron!$A46)+SUMIFS(Xero!$F:$F,Xero!$B:$B,Heron!AD$9,Xero!$A:$A,Heron!$A$5,Xero!$E:$E,Heron!$A46)</f>
        <v>0</v>
      </c>
      <c r="AE46" s="99">
        <f>SUMIFS(Xero!$F:$F,Xero!$B:$B,Heron!AE$9,Xero!$A:$A,Heron!$A$4,Xero!$E:$E,Heron!$A46)+SUMIFS(Xero!$F:$F,Xero!$B:$B,Heron!AE$9,Xero!$A:$A,Heron!$A$5,Xero!$E:$E,Heron!$A46)</f>
        <v>0</v>
      </c>
      <c r="AF46" s="99">
        <f>SUMIFS(Xero!$F:$F,Xero!$B:$B,Heron!AF$9,Xero!$A:$A,Heron!$A$4,Xero!$E:$E,Heron!$A46)+SUMIFS(Xero!$F:$F,Xero!$B:$B,Heron!AF$9,Xero!$A:$A,Heron!$A$5,Xero!$E:$E,Heron!$A46)</f>
        <v>0</v>
      </c>
      <c r="AG46" s="99">
        <f>SUMIFS(Xero!$F:$F,Xero!$B:$B,Heron!AG$9,Xero!$A:$A,Heron!$A$4,Xero!$E:$E,Heron!$A46)+SUMIFS(Xero!$F:$F,Xero!$B:$B,Heron!AG$9,Xero!$A:$A,Heron!$A$5,Xero!$E:$E,Heron!$A46)</f>
        <v>0</v>
      </c>
      <c r="AH46" s="99">
        <f>SUMIFS(Xero!$F:$F,Xero!$B:$B,Heron!AH$9,Xero!$A:$A,Heron!$A$4,Xero!$E:$E,Heron!$A46)+SUMIFS(Xero!$F:$F,Xero!$B:$B,Heron!AH$9,Xero!$A:$A,Heron!$A$5,Xero!$E:$E,Heron!$A46)</f>
        <v>0</v>
      </c>
      <c r="AI46" s="99">
        <f>SUMIFS(Xero!$F:$F,Xero!$B:$B,Heron!AI$9,Xero!$A:$A,Heron!$A$4,Xero!$E:$E,Heron!$A46)+SUMIFS(Xero!$F:$F,Xero!$B:$B,Heron!AI$9,Xero!$A:$A,Heron!$A$5,Xero!$E:$E,Heron!$A46)</f>
        <v>0</v>
      </c>
      <c r="AJ46" s="99">
        <f>SUMIFS(Xero!$F:$F,Xero!$B:$B,Heron!AJ$9,Xero!$A:$A,Heron!$A$4,Xero!$E:$E,Heron!$A46)+SUMIFS(Xero!$F:$F,Xero!$B:$B,Heron!AJ$9,Xero!$A:$A,Heron!$A$5,Xero!$E:$E,Heron!$A46)</f>
        <v>0</v>
      </c>
      <c r="AK46" s="99">
        <f>SUMIFS(Xero!$F:$F,Xero!$B:$B,Heron!AK$9,Xero!$A:$A,Heron!$A$4,Xero!$E:$E,Heron!$A46)+SUMIFS(Xero!$F:$F,Xero!$B:$B,Heron!AK$9,Xero!$A:$A,Heron!$A$5,Xero!$E:$E,Heron!$A46)</f>
        <v>0</v>
      </c>
      <c r="AL46" s="99">
        <f>SUMIFS(Xero!$F:$F,Xero!$B:$B,Heron!AL$9,Xero!$A:$A,Heron!$A$4,Xero!$E:$E,Heron!$A46)+SUMIFS(Xero!$F:$F,Xero!$B:$B,Heron!AL$9,Xero!$A:$A,Heron!$A$5,Xero!$E:$E,Heron!$A46)</f>
        <v>0</v>
      </c>
      <c r="AM46" s="99">
        <f>SUMIFS(Xero!$F:$F,Xero!$B:$B,Heron!AM$9,Xero!$A:$A,Heron!$A$4,Xero!$E:$E,Heron!$A46)+SUMIFS(Xero!$F:$F,Xero!$B:$B,Heron!AM$9,Xero!$A:$A,Heron!$A$5,Xero!$E:$E,Heron!$A46)</f>
        <v>0</v>
      </c>
      <c r="AN46" s="99">
        <f>SUMIFS(Xero!$F:$F,Xero!$B:$B,Heron!AN$9,Xero!$A:$A,Heron!$A$4,Xero!$E:$E,Heron!$A46)+SUMIFS(Xero!$F:$F,Xero!$B:$B,Heron!AN$9,Xero!$A:$A,Heron!$A$5,Xero!$E:$E,Heron!$A46)</f>
        <v>0</v>
      </c>
      <c r="AO46" s="99">
        <f>SUMIFS(Xero!$F:$F,Xero!$B:$B,Heron!AO$9,Xero!$A:$A,Heron!$A$4,Xero!$E:$E,Heron!$A46)+SUMIFS(Xero!$F:$F,Xero!$B:$B,Heron!AO$9,Xero!$A:$A,Heron!$A$5,Xero!$E:$E,Heron!$A46)</f>
        <v>0</v>
      </c>
      <c r="AP46" s="99">
        <f>SUMIFS(Xero!$F:$F,Xero!$B:$B,Heron!AP$9,Xero!$A:$A,Heron!$A$4,Xero!$E:$E,Heron!$A46)+SUMIFS(Xero!$F:$F,Xero!$B:$B,Heron!AP$9,Xero!$A:$A,Heron!$A$5,Xero!$E:$E,Heron!$A46)</f>
        <v>0</v>
      </c>
      <c r="AQ46" s="99">
        <f>SUMIFS(Xero!$F:$F,Xero!$B:$B,Heron!AQ$9,Xero!$A:$A,Heron!$A$4,Xero!$E:$E,Heron!$A46)+SUMIFS(Xero!$F:$F,Xero!$B:$B,Heron!AQ$9,Xero!$A:$A,Heron!$A$5,Xero!$E:$E,Heron!$A46)</f>
        <v>0</v>
      </c>
      <c r="AR46" s="99">
        <f>SUMIFS(Xero!$F:$F,Xero!$B:$B,Heron!AR$9,Xero!$A:$A,Heron!$A$4,Xero!$E:$E,Heron!$A46)+SUMIFS(Xero!$F:$F,Xero!$B:$B,Heron!AR$9,Xero!$A:$A,Heron!$A$5,Xero!$E:$E,Heron!$A46)</f>
        <v>0</v>
      </c>
      <c r="AS46" s="99">
        <f>SUMIFS(Xero!$F:$F,Xero!$B:$B,Heron!AS$9,Xero!$A:$A,Heron!$A$4,Xero!$E:$E,Heron!$A46)+SUMIFS(Xero!$F:$F,Xero!$B:$B,Heron!AS$9,Xero!$A:$A,Heron!$A$5,Xero!$E:$E,Heron!$A46)</f>
        <v>0</v>
      </c>
      <c r="AT46" s="99">
        <f>SUMIFS(Xero!$F:$F,Xero!$B:$B,Heron!AT$9,Xero!$A:$A,Heron!$A$4,Xero!$E:$E,Heron!$A46)+SUMIFS(Xero!$F:$F,Xero!$B:$B,Heron!AT$9,Xero!$A:$A,Heron!$A$5,Xero!$E:$E,Heron!$A46)</f>
        <v>0</v>
      </c>
      <c r="AU46" s="99">
        <f>SUMIFS(Xero!$F:$F,Xero!$B:$B,Heron!AU$9,Xero!$A:$A,Heron!$A$4,Xero!$E:$E,Heron!$A46)+SUMIFS(Xero!$F:$F,Xero!$B:$B,Heron!AU$9,Xero!$A:$A,Heron!$A$5,Xero!$E:$E,Heron!$A46)</f>
        <v>0</v>
      </c>
      <c r="AV46" s="99">
        <f>SUMIFS(Xero!$F:$F,Xero!$B:$B,Heron!AV$9,Xero!$A:$A,Heron!$A$4,Xero!$E:$E,Heron!$A46)+SUMIFS(Xero!$F:$F,Xero!$B:$B,Heron!AV$9,Xero!$A:$A,Heron!$A$5,Xero!$E:$E,Heron!$A46)</f>
        <v>0</v>
      </c>
      <c r="AW46" s="99">
        <f>SUMIFS(Xero!$F:$F,Xero!$B:$B,Heron!AW$9,Xero!$A:$A,Heron!$A$4,Xero!$E:$E,Heron!$A46)+SUMIFS(Xero!$F:$F,Xero!$B:$B,Heron!AW$9,Xero!$A:$A,Heron!$A$5,Xero!$E:$E,Heron!$A46)</f>
        <v>0</v>
      </c>
      <c r="AX46" s="99">
        <f>SUMIFS(Xero!$F:$F,Xero!$B:$B,Heron!AX$9,Xero!$A:$A,Heron!$A$4,Xero!$E:$E,Heron!$A46)+SUMIFS(Xero!$F:$F,Xero!$B:$B,Heron!AX$9,Xero!$A:$A,Heron!$A$5,Xero!$E:$E,Heron!$A46)</f>
        <v>0</v>
      </c>
      <c r="AY46" s="99">
        <f>SUMIFS(Xero!$F:$F,Xero!$B:$B,Heron!AY$9,Xero!$A:$A,Heron!$A$4,Xero!$E:$E,Heron!$A46)+SUMIFS(Xero!$F:$F,Xero!$B:$B,Heron!AY$9,Xero!$A:$A,Heron!$A$5,Xero!$E:$E,Heron!$A46)</f>
        <v>0</v>
      </c>
      <c r="AZ46" s="99">
        <f>SUMIFS(Xero!$F:$F,Xero!$B:$B,Heron!AZ$9,Xero!$A:$A,Heron!$A$4,Xero!$E:$E,Heron!$A46)+SUMIFS(Xero!$F:$F,Xero!$B:$B,Heron!AZ$9,Xero!$A:$A,Heron!$A$5,Xero!$E:$E,Heron!$A46)</f>
        <v>0</v>
      </c>
      <c r="BA46" s="99">
        <f>SUMIFS(Xero!$F:$F,Xero!$B:$B,Heron!BA$9,Xero!$A:$A,Heron!$A$4,Xero!$E:$E,Heron!$A46)+SUMIFS(Xero!$F:$F,Xero!$B:$B,Heron!BA$9,Xero!$A:$A,Heron!$A$5,Xero!$E:$E,Heron!$A46)</f>
        <v>0</v>
      </c>
      <c r="BB46" s="99">
        <f>SUMIFS(Xero!$F:$F,Xero!$B:$B,Heron!BB$9,Xero!$A:$A,Heron!$A$4,Xero!$E:$E,Heron!$A46)+SUMIFS(Xero!$F:$F,Xero!$B:$B,Heron!BB$9,Xero!$A:$A,Heron!$A$5,Xero!$E:$E,Heron!$A46)</f>
        <v>0</v>
      </c>
      <c r="BC46" s="99">
        <f>SUMIFS(Xero!$F:$F,Xero!$B:$B,Heron!BC$9,Xero!$A:$A,Heron!$A$4,Xero!$E:$E,Heron!$A46)+SUMIFS(Xero!$F:$F,Xero!$B:$B,Heron!BC$9,Xero!$A:$A,Heron!$A$5,Xero!$E:$E,Heron!$A46)</f>
        <v>0</v>
      </c>
      <c r="BD46" s="99">
        <f>SUMIFS(Xero!$F:$F,Xero!$B:$B,Heron!BD$9,Xero!$A:$A,Heron!$A$4,Xero!$E:$E,Heron!$A46)+SUMIFS(Xero!$F:$F,Xero!$B:$B,Heron!BD$9,Xero!$A:$A,Heron!$A$5,Xero!$E:$E,Heron!$A46)</f>
        <v>0</v>
      </c>
      <c r="BE46" s="99">
        <f>SUMIFS(Xero!$F:$F,Xero!$B:$B,Heron!BE$9,Xero!$A:$A,Heron!$A$4,Xero!$E:$E,Heron!$A46)+SUMIFS(Xero!$F:$F,Xero!$B:$B,Heron!BE$9,Xero!$A:$A,Heron!$A$5,Xero!$E:$E,Heron!$A46)</f>
        <v>0</v>
      </c>
      <c r="BF46" s="99">
        <f>SUMIFS(Xero!$F:$F,Xero!$B:$B,Heron!BF$9,Xero!$A:$A,Heron!$A$4,Xero!$E:$E,Heron!$A46)+SUMIFS(Xero!$F:$F,Xero!$B:$B,Heron!BF$9,Xero!$A:$A,Heron!$A$5,Xero!$E:$E,Heron!$A46)</f>
        <v>0</v>
      </c>
      <c r="BG46" s="99">
        <f>SUMIFS(Xero!$F:$F,Xero!$B:$B,Heron!BG$9,Xero!$A:$A,Heron!$A$4,Xero!$E:$E,Heron!$A46)+SUMIFS(Xero!$F:$F,Xero!$B:$B,Heron!BG$9,Xero!$A:$A,Heron!$A$5,Xero!$E:$E,Heron!$A46)</f>
        <v>0</v>
      </c>
      <c r="BH46" s="99">
        <f>SUMIFS(Xero!$F:$F,Xero!$B:$B,Heron!BH$9,Xero!$A:$A,Heron!$A$4,Xero!$E:$E,Heron!$A46)+SUMIFS(Xero!$F:$F,Xero!$B:$B,Heron!BH$9,Xero!$A:$A,Heron!$A$5,Xero!$E:$E,Heron!$A46)</f>
        <v>0</v>
      </c>
      <c r="BI46" s="99">
        <f>SUMIFS(Xero!$F:$F,Xero!$B:$B,Heron!BI$9,Xero!$A:$A,Heron!$A$4,Xero!$E:$E,Heron!$A46)+SUMIFS(Xero!$F:$F,Xero!$B:$B,Heron!BI$9,Xero!$A:$A,Heron!$A$5,Xero!$E:$E,Heron!$A46)</f>
        <v>0</v>
      </c>
      <c r="BJ46" s="99">
        <f>SUMIFS(Xero!$F:$F,Xero!$B:$B,Heron!BJ$9,Xero!$A:$A,Heron!$A$4,Xero!$E:$E,Heron!$A46)+SUMIFS(Xero!$F:$F,Xero!$B:$B,Heron!BJ$9,Xero!$A:$A,Heron!$A$5,Xero!$E:$E,Heron!$A46)</f>
        <v>0</v>
      </c>
      <c r="BK46" s="99">
        <f t="shared" si="4"/>
        <v>86956.52</v>
      </c>
    </row>
    <row r="47" spans="1:63" ht="16" x14ac:dyDescent="0.2">
      <c r="A47" s="98" t="s">
        <v>1647</v>
      </c>
      <c r="D47" s="99">
        <f>SUMIFS(Xero!$F:$F,Xero!$B:$B,Heron!D$9,Xero!$A:$A,Heron!$A$4,Xero!$E:$E,Heron!$A47)+SUMIFS(Xero!$F:$F,Xero!$B:$B,Heron!D$9,Xero!$A:$A,Heron!$A$5,Xero!$E:$E,Heron!$A47)</f>
        <v>0</v>
      </c>
      <c r="E47" s="99">
        <f>SUMIFS(Xero!$F:$F,Xero!$B:$B,Heron!E$9,Xero!$A:$A,Heron!$A$4,Xero!$E:$E,Heron!$A47)+SUMIFS(Xero!$F:$F,Xero!$B:$B,Heron!E$9,Xero!$A:$A,Heron!$A$5,Xero!$E:$E,Heron!$A47)</f>
        <v>0</v>
      </c>
      <c r="F47" s="99">
        <f>SUMIFS(Xero!$F:$F,Xero!$B:$B,Heron!F$9,Xero!$A:$A,Heron!$A$4,Xero!$E:$E,Heron!$A47)+SUMIFS(Xero!$F:$F,Xero!$B:$B,Heron!F$9,Xero!$A:$A,Heron!$A$5,Xero!$E:$E,Heron!$A47)</f>
        <v>0</v>
      </c>
      <c r="G47" s="99">
        <f>SUMIFS(Xero!$F:$F,Xero!$B:$B,Heron!G$9,Xero!$A:$A,Heron!$A$4,Xero!$E:$E,Heron!$A47)+SUMIFS(Xero!$F:$F,Xero!$B:$B,Heron!G$9,Xero!$A:$A,Heron!$A$5,Xero!$E:$E,Heron!$A47)</f>
        <v>0</v>
      </c>
      <c r="H47" s="99">
        <f>SUMIFS(Xero!$F:$F,Xero!$B:$B,Heron!H$9,Xero!$A:$A,Heron!$A$4,Xero!$E:$E,Heron!$A47)+SUMIFS(Xero!$F:$F,Xero!$B:$B,Heron!H$9,Xero!$A:$A,Heron!$A$5,Xero!$E:$E,Heron!$A47)</f>
        <v>0</v>
      </c>
      <c r="I47" s="99">
        <f>SUMIFS(Xero!$F:$F,Xero!$B:$B,Heron!I$9,Xero!$A:$A,Heron!$A$4,Xero!$E:$E,Heron!$A47)+SUMIFS(Xero!$F:$F,Xero!$B:$B,Heron!I$9,Xero!$A:$A,Heron!$A$5,Xero!$E:$E,Heron!$A47)</f>
        <v>0</v>
      </c>
      <c r="J47" s="99">
        <f>SUMIFS(Xero!$F:$F,Xero!$B:$B,Heron!J$9,Xero!$A:$A,Heron!$A$4,Xero!$E:$E,Heron!$A47)+SUMIFS(Xero!$F:$F,Xero!$B:$B,Heron!J$9,Xero!$A:$A,Heron!$A$5,Xero!$E:$E,Heron!$A47)</f>
        <v>0</v>
      </c>
      <c r="K47" s="99">
        <f>SUMIFS(Xero!$F:$F,Xero!$B:$B,Heron!K$9,Xero!$A:$A,Heron!$A$4,Xero!$E:$E,Heron!$A47)+SUMIFS(Xero!$F:$F,Xero!$B:$B,Heron!K$9,Xero!$A:$A,Heron!$A$5,Xero!$E:$E,Heron!$A47)</f>
        <v>0</v>
      </c>
      <c r="L47" s="99">
        <f>SUMIFS(Xero!$F:$F,Xero!$B:$B,Heron!L$9,Xero!$A:$A,Heron!$A$4,Xero!$E:$E,Heron!$A47)+SUMIFS(Xero!$F:$F,Xero!$B:$B,Heron!L$9,Xero!$A:$A,Heron!$A$5,Xero!$E:$E,Heron!$A47)</f>
        <v>0</v>
      </c>
      <c r="M47" s="99">
        <f>SUMIFS(Xero!$F:$F,Xero!$B:$B,Heron!M$9,Xero!$A:$A,Heron!$A$4,Xero!$E:$E,Heron!$A47)+SUMIFS(Xero!$F:$F,Xero!$B:$B,Heron!M$9,Xero!$A:$A,Heron!$A$5,Xero!$E:$E,Heron!$A47)</f>
        <v>0</v>
      </c>
      <c r="N47" s="99">
        <f>SUMIFS(Xero!$F:$F,Xero!$B:$B,Heron!N$9,Xero!$A:$A,Heron!$A$4,Xero!$E:$E,Heron!$A47)+SUMIFS(Xero!$F:$F,Xero!$B:$B,Heron!N$9,Xero!$A:$A,Heron!$A$5,Xero!$E:$E,Heron!$A47)</f>
        <v>0</v>
      </c>
      <c r="O47" s="99">
        <f>SUMIFS(Xero!$F:$F,Xero!$B:$B,Heron!O$9,Xero!$A:$A,Heron!$A$4,Xero!$E:$E,Heron!$A47)+SUMIFS(Xero!$F:$F,Xero!$B:$B,Heron!O$9,Xero!$A:$A,Heron!$A$5,Xero!$E:$E,Heron!$A47)</f>
        <v>0</v>
      </c>
      <c r="P47" s="99">
        <f>SUMIFS(Xero!$F:$F,Xero!$B:$B,Heron!P$9,Xero!$A:$A,Heron!$A$4,Xero!$E:$E,Heron!$A47)+SUMIFS(Xero!$F:$F,Xero!$B:$B,Heron!P$9,Xero!$A:$A,Heron!$A$5,Xero!$E:$E,Heron!$A47)</f>
        <v>0</v>
      </c>
      <c r="Q47" s="99">
        <f>SUMIFS(Xero!$F:$F,Xero!$B:$B,Heron!Q$9,Xero!$A:$A,Heron!$A$4,Xero!$E:$E,Heron!$A47)+SUMIFS(Xero!$F:$F,Xero!$B:$B,Heron!Q$9,Xero!$A:$A,Heron!$A$5,Xero!$E:$E,Heron!$A47)</f>
        <v>0</v>
      </c>
      <c r="R47" s="99">
        <f>SUMIFS(Xero!$F:$F,Xero!$B:$B,Heron!R$9,Xero!$A:$A,Heron!$A$4,Xero!$E:$E,Heron!$A47)+SUMIFS(Xero!$F:$F,Xero!$B:$B,Heron!R$9,Xero!$A:$A,Heron!$A$5,Xero!$E:$E,Heron!$A47)</f>
        <v>0</v>
      </c>
      <c r="S47" s="99">
        <f>SUMIFS(Xero!$F:$F,Xero!$B:$B,Heron!S$9,Xero!$A:$A,Heron!$A$4,Xero!$E:$E,Heron!$A47)+SUMIFS(Xero!$F:$F,Xero!$B:$B,Heron!S$9,Xero!$A:$A,Heron!$A$5,Xero!$E:$E,Heron!$A47)</f>
        <v>0</v>
      </c>
      <c r="T47" s="99">
        <f>SUMIFS(Xero!$F:$F,Xero!$B:$B,Heron!T$9,Xero!$A:$A,Heron!$A$4,Xero!$E:$E,Heron!$A47)+SUMIFS(Xero!$F:$F,Xero!$B:$B,Heron!T$9,Xero!$A:$A,Heron!$A$5,Xero!$E:$E,Heron!$A47)</f>
        <v>0</v>
      </c>
      <c r="U47" s="99">
        <f>SUMIFS(Xero!$F:$F,Xero!$B:$B,Heron!U$9,Xero!$A:$A,Heron!$A$4,Xero!$E:$E,Heron!$A47)+SUMIFS(Xero!$F:$F,Xero!$B:$B,Heron!U$9,Xero!$A:$A,Heron!$A$5,Xero!$E:$E,Heron!$A47)</f>
        <v>0</v>
      </c>
      <c r="V47" s="99">
        <f>SUMIFS(Xero!$F:$F,Xero!$B:$B,Heron!V$9,Xero!$A:$A,Heron!$A$4,Xero!$E:$E,Heron!$A47)+SUMIFS(Xero!$F:$F,Xero!$B:$B,Heron!V$9,Xero!$A:$A,Heron!$A$5,Xero!$E:$E,Heron!$A47)</f>
        <v>0</v>
      </c>
      <c r="W47" s="99">
        <f>SUMIFS(Xero!$F:$F,Xero!$B:$B,Heron!W$9,Xero!$A:$A,Heron!$A$4,Xero!$E:$E,Heron!$A47)+SUMIFS(Xero!$F:$F,Xero!$B:$B,Heron!W$9,Xero!$A:$A,Heron!$A$5,Xero!$E:$E,Heron!$A47)</f>
        <v>0</v>
      </c>
      <c r="X47" s="99">
        <f>SUMIFS(Xero!$F:$F,Xero!$B:$B,Heron!X$9,Xero!$A:$A,Heron!$A$4,Xero!$E:$E,Heron!$A47)+SUMIFS(Xero!$F:$F,Xero!$B:$B,Heron!X$9,Xero!$A:$A,Heron!$A$5,Xero!$E:$E,Heron!$A47)</f>
        <v>0</v>
      </c>
      <c r="Y47" s="99">
        <f>SUMIFS(Xero!$F:$F,Xero!$B:$B,Heron!Y$9,Xero!$A:$A,Heron!$A$4,Xero!$E:$E,Heron!$A47)+SUMIFS(Xero!$F:$F,Xero!$B:$B,Heron!Y$9,Xero!$A:$A,Heron!$A$5,Xero!$E:$E,Heron!$A47)</f>
        <v>0</v>
      </c>
      <c r="Z47" s="99">
        <f>SUMIFS(Xero!$F:$F,Xero!$B:$B,Heron!Z$9,Xero!$A:$A,Heron!$A$4,Xero!$E:$E,Heron!$A47)+SUMIFS(Xero!$F:$F,Xero!$B:$B,Heron!Z$9,Xero!$A:$A,Heron!$A$5,Xero!$E:$E,Heron!$A47)</f>
        <v>0</v>
      </c>
      <c r="AA47" s="99">
        <f>SUMIFS(Xero!$F:$F,Xero!$B:$B,Heron!AA$9,Xero!$A:$A,Heron!$A$4,Xero!$E:$E,Heron!$A47)+SUMIFS(Xero!$F:$F,Xero!$B:$B,Heron!AA$9,Xero!$A:$A,Heron!$A$5,Xero!$E:$E,Heron!$A47)</f>
        <v>24427668.440000001</v>
      </c>
      <c r="AB47" s="99">
        <f>SUMIFS(Xero!$F:$F,Xero!$B:$B,Heron!AB$9,Xero!$A:$A,Heron!$A$4,Xero!$E:$E,Heron!$A47)+SUMIFS(Xero!$F:$F,Xero!$B:$B,Heron!AB$9,Xero!$A:$A,Heron!$A$5,Xero!$E:$E,Heron!$A47)</f>
        <v>0</v>
      </c>
      <c r="AC47" s="99">
        <f>SUMIFS(Xero!$F:$F,Xero!$B:$B,Heron!AC$9,Xero!$A:$A,Heron!$A$4,Xero!$E:$E,Heron!$A47)+SUMIFS(Xero!$F:$F,Xero!$B:$B,Heron!AC$9,Xero!$A:$A,Heron!$A$5,Xero!$E:$E,Heron!$A47)</f>
        <v>0</v>
      </c>
      <c r="AD47" s="99">
        <f>SUMIFS(Xero!$F:$F,Xero!$B:$B,Heron!AD$9,Xero!$A:$A,Heron!$A$4,Xero!$E:$E,Heron!$A47)+SUMIFS(Xero!$F:$F,Xero!$B:$B,Heron!AD$9,Xero!$A:$A,Heron!$A$5,Xero!$E:$E,Heron!$A47)</f>
        <v>0</v>
      </c>
      <c r="AE47" s="99">
        <f>SUMIFS(Xero!$F:$F,Xero!$B:$B,Heron!AE$9,Xero!$A:$A,Heron!$A$4,Xero!$E:$E,Heron!$A47)+SUMIFS(Xero!$F:$F,Xero!$B:$B,Heron!AE$9,Xero!$A:$A,Heron!$A$5,Xero!$E:$E,Heron!$A47)</f>
        <v>0</v>
      </c>
      <c r="AF47" s="99">
        <f>SUMIFS(Xero!$F:$F,Xero!$B:$B,Heron!AF$9,Xero!$A:$A,Heron!$A$4,Xero!$E:$E,Heron!$A47)+SUMIFS(Xero!$F:$F,Xero!$B:$B,Heron!AF$9,Xero!$A:$A,Heron!$A$5,Xero!$E:$E,Heron!$A47)</f>
        <v>0</v>
      </c>
      <c r="AG47" s="99">
        <f>SUMIFS(Xero!$F:$F,Xero!$B:$B,Heron!AG$9,Xero!$A:$A,Heron!$A$4,Xero!$E:$E,Heron!$A47)+SUMIFS(Xero!$F:$F,Xero!$B:$B,Heron!AG$9,Xero!$A:$A,Heron!$A$5,Xero!$E:$E,Heron!$A47)</f>
        <v>0</v>
      </c>
      <c r="AH47" s="99">
        <f>SUMIFS(Xero!$F:$F,Xero!$B:$B,Heron!AH$9,Xero!$A:$A,Heron!$A$4,Xero!$E:$E,Heron!$A47)+SUMIFS(Xero!$F:$F,Xero!$B:$B,Heron!AH$9,Xero!$A:$A,Heron!$A$5,Xero!$E:$E,Heron!$A47)</f>
        <v>0</v>
      </c>
      <c r="AI47" s="99">
        <f>SUMIFS(Xero!$F:$F,Xero!$B:$B,Heron!AI$9,Xero!$A:$A,Heron!$A$4,Xero!$E:$E,Heron!$A47)+SUMIFS(Xero!$F:$F,Xero!$B:$B,Heron!AI$9,Xero!$A:$A,Heron!$A$5,Xero!$E:$E,Heron!$A47)</f>
        <v>0</v>
      </c>
      <c r="AJ47" s="99">
        <f>SUMIFS(Xero!$F:$F,Xero!$B:$B,Heron!AJ$9,Xero!$A:$A,Heron!$A$4,Xero!$E:$E,Heron!$A47)+SUMIFS(Xero!$F:$F,Xero!$B:$B,Heron!AJ$9,Xero!$A:$A,Heron!$A$5,Xero!$E:$E,Heron!$A47)</f>
        <v>0</v>
      </c>
      <c r="AK47" s="99">
        <f>SUMIFS(Xero!$F:$F,Xero!$B:$B,Heron!AK$9,Xero!$A:$A,Heron!$A$4,Xero!$E:$E,Heron!$A47)+SUMIFS(Xero!$F:$F,Xero!$B:$B,Heron!AK$9,Xero!$A:$A,Heron!$A$5,Xero!$E:$E,Heron!$A47)</f>
        <v>0</v>
      </c>
      <c r="AL47" s="99">
        <f>SUMIFS(Xero!$F:$F,Xero!$B:$B,Heron!AL$9,Xero!$A:$A,Heron!$A$4,Xero!$E:$E,Heron!$A47)+SUMIFS(Xero!$F:$F,Xero!$B:$B,Heron!AL$9,Xero!$A:$A,Heron!$A$5,Xero!$E:$E,Heron!$A47)</f>
        <v>0</v>
      </c>
      <c r="AM47" s="99">
        <f>SUMIFS(Xero!$F:$F,Xero!$B:$B,Heron!AM$9,Xero!$A:$A,Heron!$A$4,Xero!$E:$E,Heron!$A47)+SUMIFS(Xero!$F:$F,Xero!$B:$B,Heron!AM$9,Xero!$A:$A,Heron!$A$5,Xero!$E:$E,Heron!$A47)</f>
        <v>0</v>
      </c>
      <c r="AN47" s="99">
        <f>SUMIFS(Xero!$F:$F,Xero!$B:$B,Heron!AN$9,Xero!$A:$A,Heron!$A$4,Xero!$E:$E,Heron!$A47)+SUMIFS(Xero!$F:$F,Xero!$B:$B,Heron!AN$9,Xero!$A:$A,Heron!$A$5,Xero!$E:$E,Heron!$A47)</f>
        <v>0</v>
      </c>
      <c r="AO47" s="99">
        <f>SUMIFS(Xero!$F:$F,Xero!$B:$B,Heron!AO$9,Xero!$A:$A,Heron!$A$4,Xero!$E:$E,Heron!$A47)+SUMIFS(Xero!$F:$F,Xero!$B:$B,Heron!AO$9,Xero!$A:$A,Heron!$A$5,Xero!$E:$E,Heron!$A47)</f>
        <v>0</v>
      </c>
      <c r="AP47" s="99">
        <f>SUMIFS(Xero!$F:$F,Xero!$B:$B,Heron!AP$9,Xero!$A:$A,Heron!$A$4,Xero!$E:$E,Heron!$A47)+SUMIFS(Xero!$F:$F,Xero!$B:$B,Heron!AP$9,Xero!$A:$A,Heron!$A$5,Xero!$E:$E,Heron!$A47)</f>
        <v>0</v>
      </c>
      <c r="AQ47" s="99">
        <f>SUMIFS(Xero!$F:$F,Xero!$B:$B,Heron!AQ$9,Xero!$A:$A,Heron!$A$4,Xero!$E:$E,Heron!$A47)+SUMIFS(Xero!$F:$F,Xero!$B:$B,Heron!AQ$9,Xero!$A:$A,Heron!$A$5,Xero!$E:$E,Heron!$A47)</f>
        <v>0</v>
      </c>
      <c r="AR47" s="99">
        <f>SUMIFS(Xero!$F:$F,Xero!$B:$B,Heron!AR$9,Xero!$A:$A,Heron!$A$4,Xero!$E:$E,Heron!$A47)+SUMIFS(Xero!$F:$F,Xero!$B:$B,Heron!AR$9,Xero!$A:$A,Heron!$A$5,Xero!$E:$E,Heron!$A47)</f>
        <v>0</v>
      </c>
      <c r="AS47" s="99">
        <f>SUMIFS(Xero!$F:$F,Xero!$B:$B,Heron!AS$9,Xero!$A:$A,Heron!$A$4,Xero!$E:$E,Heron!$A47)+SUMIFS(Xero!$F:$F,Xero!$B:$B,Heron!AS$9,Xero!$A:$A,Heron!$A$5,Xero!$E:$E,Heron!$A47)</f>
        <v>0</v>
      </c>
      <c r="AT47" s="99">
        <f>SUMIFS(Xero!$F:$F,Xero!$B:$B,Heron!AT$9,Xero!$A:$A,Heron!$A$4,Xero!$E:$E,Heron!$A47)+SUMIFS(Xero!$F:$F,Xero!$B:$B,Heron!AT$9,Xero!$A:$A,Heron!$A$5,Xero!$E:$E,Heron!$A47)</f>
        <v>0</v>
      </c>
      <c r="AU47" s="99">
        <f>SUMIFS(Xero!$F:$F,Xero!$B:$B,Heron!AU$9,Xero!$A:$A,Heron!$A$4,Xero!$E:$E,Heron!$A47)+SUMIFS(Xero!$F:$F,Xero!$B:$B,Heron!AU$9,Xero!$A:$A,Heron!$A$5,Xero!$E:$E,Heron!$A47)</f>
        <v>0</v>
      </c>
      <c r="AV47" s="99">
        <f>SUMIFS(Xero!$F:$F,Xero!$B:$B,Heron!AV$9,Xero!$A:$A,Heron!$A$4,Xero!$E:$E,Heron!$A47)+SUMIFS(Xero!$F:$F,Xero!$B:$B,Heron!AV$9,Xero!$A:$A,Heron!$A$5,Xero!$E:$E,Heron!$A47)</f>
        <v>0</v>
      </c>
      <c r="AW47" s="99">
        <f>SUMIFS(Xero!$F:$F,Xero!$B:$B,Heron!AW$9,Xero!$A:$A,Heron!$A$4,Xero!$E:$E,Heron!$A47)+SUMIFS(Xero!$F:$F,Xero!$B:$B,Heron!AW$9,Xero!$A:$A,Heron!$A$5,Xero!$E:$E,Heron!$A47)</f>
        <v>0</v>
      </c>
      <c r="AX47" s="99">
        <f>SUMIFS(Xero!$F:$F,Xero!$B:$B,Heron!AX$9,Xero!$A:$A,Heron!$A$4,Xero!$E:$E,Heron!$A47)+SUMIFS(Xero!$F:$F,Xero!$B:$B,Heron!AX$9,Xero!$A:$A,Heron!$A$5,Xero!$E:$E,Heron!$A47)</f>
        <v>0</v>
      </c>
      <c r="AY47" s="99">
        <f>SUMIFS(Xero!$F:$F,Xero!$B:$B,Heron!AY$9,Xero!$A:$A,Heron!$A$4,Xero!$E:$E,Heron!$A47)+SUMIFS(Xero!$F:$F,Xero!$B:$B,Heron!AY$9,Xero!$A:$A,Heron!$A$5,Xero!$E:$E,Heron!$A47)</f>
        <v>0</v>
      </c>
      <c r="AZ47" s="99">
        <f>SUMIFS(Xero!$F:$F,Xero!$B:$B,Heron!AZ$9,Xero!$A:$A,Heron!$A$4,Xero!$E:$E,Heron!$A47)+SUMIFS(Xero!$F:$F,Xero!$B:$B,Heron!AZ$9,Xero!$A:$A,Heron!$A$5,Xero!$E:$E,Heron!$A47)</f>
        <v>0</v>
      </c>
      <c r="BA47" s="99">
        <f>SUMIFS(Xero!$F:$F,Xero!$B:$B,Heron!BA$9,Xero!$A:$A,Heron!$A$4,Xero!$E:$E,Heron!$A47)+SUMIFS(Xero!$F:$F,Xero!$B:$B,Heron!BA$9,Xero!$A:$A,Heron!$A$5,Xero!$E:$E,Heron!$A47)</f>
        <v>0</v>
      </c>
      <c r="BB47" s="99">
        <f>SUMIFS(Xero!$F:$F,Xero!$B:$B,Heron!BB$9,Xero!$A:$A,Heron!$A$4,Xero!$E:$E,Heron!$A47)+SUMIFS(Xero!$F:$F,Xero!$B:$B,Heron!BB$9,Xero!$A:$A,Heron!$A$5,Xero!$E:$E,Heron!$A47)</f>
        <v>0</v>
      </c>
      <c r="BC47" s="99">
        <f>SUMIFS(Xero!$F:$F,Xero!$B:$B,Heron!BC$9,Xero!$A:$A,Heron!$A$4,Xero!$E:$E,Heron!$A47)+SUMIFS(Xero!$F:$F,Xero!$B:$B,Heron!BC$9,Xero!$A:$A,Heron!$A$5,Xero!$E:$E,Heron!$A47)</f>
        <v>0</v>
      </c>
      <c r="BD47" s="99">
        <f>SUMIFS(Xero!$F:$F,Xero!$B:$B,Heron!BD$9,Xero!$A:$A,Heron!$A$4,Xero!$E:$E,Heron!$A47)+SUMIFS(Xero!$F:$F,Xero!$B:$B,Heron!BD$9,Xero!$A:$A,Heron!$A$5,Xero!$E:$E,Heron!$A47)</f>
        <v>0</v>
      </c>
      <c r="BE47" s="99">
        <f>SUMIFS(Xero!$F:$F,Xero!$B:$B,Heron!BE$9,Xero!$A:$A,Heron!$A$4,Xero!$E:$E,Heron!$A47)+SUMIFS(Xero!$F:$F,Xero!$B:$B,Heron!BE$9,Xero!$A:$A,Heron!$A$5,Xero!$E:$E,Heron!$A47)</f>
        <v>0</v>
      </c>
      <c r="BF47" s="99">
        <f>SUMIFS(Xero!$F:$F,Xero!$B:$B,Heron!BF$9,Xero!$A:$A,Heron!$A$4,Xero!$E:$E,Heron!$A47)+SUMIFS(Xero!$F:$F,Xero!$B:$B,Heron!BF$9,Xero!$A:$A,Heron!$A$5,Xero!$E:$E,Heron!$A47)</f>
        <v>0</v>
      </c>
      <c r="BG47" s="99">
        <f>SUMIFS(Xero!$F:$F,Xero!$B:$B,Heron!BG$9,Xero!$A:$A,Heron!$A$4,Xero!$E:$E,Heron!$A47)+SUMIFS(Xero!$F:$F,Xero!$B:$B,Heron!BG$9,Xero!$A:$A,Heron!$A$5,Xero!$E:$E,Heron!$A47)</f>
        <v>0</v>
      </c>
      <c r="BH47" s="99">
        <f>SUMIFS(Xero!$F:$F,Xero!$B:$B,Heron!BH$9,Xero!$A:$A,Heron!$A$4,Xero!$E:$E,Heron!$A47)+SUMIFS(Xero!$F:$F,Xero!$B:$B,Heron!BH$9,Xero!$A:$A,Heron!$A$5,Xero!$E:$E,Heron!$A47)</f>
        <v>0</v>
      </c>
      <c r="BI47" s="99">
        <f>SUMIFS(Xero!$F:$F,Xero!$B:$B,Heron!BI$9,Xero!$A:$A,Heron!$A$4,Xero!$E:$E,Heron!$A47)+SUMIFS(Xero!$F:$F,Xero!$B:$B,Heron!BI$9,Xero!$A:$A,Heron!$A$5,Xero!$E:$E,Heron!$A47)</f>
        <v>0</v>
      </c>
      <c r="BJ47" s="99">
        <f>SUMIFS(Xero!$F:$F,Xero!$B:$B,Heron!BJ$9,Xero!$A:$A,Heron!$A$4,Xero!$E:$E,Heron!$A47)+SUMIFS(Xero!$F:$F,Xero!$B:$B,Heron!BJ$9,Xero!$A:$A,Heron!$A$5,Xero!$E:$E,Heron!$A47)</f>
        <v>0</v>
      </c>
      <c r="BK47" s="99">
        <f t="shared" si="4"/>
        <v>24427668.440000001</v>
      </c>
    </row>
    <row r="48" spans="1:63" ht="16" x14ac:dyDescent="0.2">
      <c r="A48" s="98" t="s">
        <v>1660</v>
      </c>
      <c r="D48" s="99">
        <f>SUMIFS(Xero!$F:$F,Xero!$B:$B,Heron!D$9,Xero!$A:$A,Heron!$A$4,Xero!$E:$E,Heron!$A48)+SUMIFS(Xero!$F:$F,Xero!$B:$B,Heron!D$9,Xero!$A:$A,Heron!$A$5,Xero!$E:$E,Heron!$A48)</f>
        <v>0</v>
      </c>
      <c r="E48" s="99">
        <f>SUMIFS(Xero!$F:$F,Xero!$B:$B,Heron!E$9,Xero!$A:$A,Heron!$A$4,Xero!$E:$E,Heron!$A48)+SUMIFS(Xero!$F:$F,Xero!$B:$B,Heron!E$9,Xero!$A:$A,Heron!$A$5,Xero!$E:$E,Heron!$A48)</f>
        <v>0</v>
      </c>
      <c r="F48" s="99">
        <f>SUMIFS(Xero!$F:$F,Xero!$B:$B,Heron!F$9,Xero!$A:$A,Heron!$A$4,Xero!$E:$E,Heron!$A48)+SUMIFS(Xero!$F:$F,Xero!$B:$B,Heron!F$9,Xero!$A:$A,Heron!$A$5,Xero!$E:$E,Heron!$A48)</f>
        <v>0</v>
      </c>
      <c r="G48" s="99">
        <f>SUMIFS(Xero!$F:$F,Xero!$B:$B,Heron!G$9,Xero!$A:$A,Heron!$A$4,Xero!$E:$E,Heron!$A48)+SUMIFS(Xero!$F:$F,Xero!$B:$B,Heron!G$9,Xero!$A:$A,Heron!$A$5,Xero!$E:$E,Heron!$A48)</f>
        <v>0</v>
      </c>
      <c r="H48" s="99">
        <f>SUMIFS(Xero!$F:$F,Xero!$B:$B,Heron!H$9,Xero!$A:$A,Heron!$A$4,Xero!$E:$E,Heron!$A48)+SUMIFS(Xero!$F:$F,Xero!$B:$B,Heron!H$9,Xero!$A:$A,Heron!$A$5,Xero!$E:$E,Heron!$A48)</f>
        <v>0</v>
      </c>
      <c r="I48" s="99">
        <f>SUMIFS(Xero!$F:$F,Xero!$B:$B,Heron!I$9,Xero!$A:$A,Heron!$A$4,Xero!$E:$E,Heron!$A48)+SUMIFS(Xero!$F:$F,Xero!$B:$B,Heron!I$9,Xero!$A:$A,Heron!$A$5,Xero!$E:$E,Heron!$A48)</f>
        <v>0</v>
      </c>
      <c r="J48" s="99">
        <f>SUMIFS(Xero!$F:$F,Xero!$B:$B,Heron!J$9,Xero!$A:$A,Heron!$A$4,Xero!$E:$E,Heron!$A48)+SUMIFS(Xero!$F:$F,Xero!$B:$B,Heron!J$9,Xero!$A:$A,Heron!$A$5,Xero!$E:$E,Heron!$A48)</f>
        <v>0</v>
      </c>
      <c r="K48" s="99">
        <f>SUMIFS(Xero!$F:$F,Xero!$B:$B,Heron!K$9,Xero!$A:$A,Heron!$A$4,Xero!$E:$E,Heron!$A48)+SUMIFS(Xero!$F:$F,Xero!$B:$B,Heron!K$9,Xero!$A:$A,Heron!$A$5,Xero!$E:$E,Heron!$A48)</f>
        <v>0</v>
      </c>
      <c r="L48" s="99">
        <f>SUMIFS(Xero!$F:$F,Xero!$B:$B,Heron!L$9,Xero!$A:$A,Heron!$A$4,Xero!$E:$E,Heron!$A48)+SUMIFS(Xero!$F:$F,Xero!$B:$B,Heron!L$9,Xero!$A:$A,Heron!$A$5,Xero!$E:$E,Heron!$A48)</f>
        <v>0</v>
      </c>
      <c r="M48" s="99">
        <f>SUMIFS(Xero!$F:$F,Xero!$B:$B,Heron!M$9,Xero!$A:$A,Heron!$A$4,Xero!$E:$E,Heron!$A48)+SUMIFS(Xero!$F:$F,Xero!$B:$B,Heron!M$9,Xero!$A:$A,Heron!$A$5,Xero!$E:$E,Heron!$A48)</f>
        <v>0</v>
      </c>
      <c r="N48" s="99">
        <f>SUMIFS(Xero!$F:$F,Xero!$B:$B,Heron!N$9,Xero!$A:$A,Heron!$A$4,Xero!$E:$E,Heron!$A48)+SUMIFS(Xero!$F:$F,Xero!$B:$B,Heron!N$9,Xero!$A:$A,Heron!$A$5,Xero!$E:$E,Heron!$A48)</f>
        <v>0</v>
      </c>
      <c r="O48" s="99">
        <f>SUMIFS(Xero!$F:$F,Xero!$B:$B,Heron!O$9,Xero!$A:$A,Heron!$A$4,Xero!$E:$E,Heron!$A48)+SUMIFS(Xero!$F:$F,Xero!$B:$B,Heron!O$9,Xero!$A:$A,Heron!$A$5,Xero!$E:$E,Heron!$A48)</f>
        <v>0</v>
      </c>
      <c r="P48" s="99">
        <f>SUMIFS(Xero!$F:$F,Xero!$B:$B,Heron!P$9,Xero!$A:$A,Heron!$A$4,Xero!$E:$E,Heron!$A48)+SUMIFS(Xero!$F:$F,Xero!$B:$B,Heron!P$9,Xero!$A:$A,Heron!$A$5,Xero!$E:$E,Heron!$A48)</f>
        <v>0</v>
      </c>
      <c r="Q48" s="99">
        <f>SUMIFS(Xero!$F:$F,Xero!$B:$B,Heron!Q$9,Xero!$A:$A,Heron!$A$4,Xero!$E:$E,Heron!$A48)+SUMIFS(Xero!$F:$F,Xero!$B:$B,Heron!Q$9,Xero!$A:$A,Heron!$A$5,Xero!$E:$E,Heron!$A48)</f>
        <v>0</v>
      </c>
      <c r="R48" s="99">
        <f>SUMIFS(Xero!$F:$F,Xero!$B:$B,Heron!R$9,Xero!$A:$A,Heron!$A$4,Xero!$E:$E,Heron!$A48)+SUMIFS(Xero!$F:$F,Xero!$B:$B,Heron!R$9,Xero!$A:$A,Heron!$A$5,Xero!$E:$E,Heron!$A48)</f>
        <v>0</v>
      </c>
      <c r="S48" s="99">
        <f>SUMIFS(Xero!$F:$F,Xero!$B:$B,Heron!S$9,Xero!$A:$A,Heron!$A$4,Xero!$E:$E,Heron!$A48)+SUMIFS(Xero!$F:$F,Xero!$B:$B,Heron!S$9,Xero!$A:$A,Heron!$A$5,Xero!$E:$E,Heron!$A48)</f>
        <v>0</v>
      </c>
      <c r="T48" s="99">
        <f>SUMIFS(Xero!$F:$F,Xero!$B:$B,Heron!T$9,Xero!$A:$A,Heron!$A$4,Xero!$E:$E,Heron!$A48)+SUMIFS(Xero!$F:$F,Xero!$B:$B,Heron!T$9,Xero!$A:$A,Heron!$A$5,Xero!$E:$E,Heron!$A48)</f>
        <v>0</v>
      </c>
      <c r="U48" s="99">
        <f>SUMIFS(Xero!$F:$F,Xero!$B:$B,Heron!U$9,Xero!$A:$A,Heron!$A$4,Xero!$E:$E,Heron!$A48)+SUMIFS(Xero!$F:$F,Xero!$B:$B,Heron!U$9,Xero!$A:$A,Heron!$A$5,Xero!$E:$E,Heron!$A48)</f>
        <v>0</v>
      </c>
      <c r="V48" s="99">
        <f>SUMIFS(Xero!$F:$F,Xero!$B:$B,Heron!V$9,Xero!$A:$A,Heron!$A$4,Xero!$E:$E,Heron!$A48)+SUMIFS(Xero!$F:$F,Xero!$B:$B,Heron!V$9,Xero!$A:$A,Heron!$A$5,Xero!$E:$E,Heron!$A48)</f>
        <v>0</v>
      </c>
      <c r="W48" s="99">
        <f>SUMIFS(Xero!$F:$F,Xero!$B:$B,Heron!W$9,Xero!$A:$A,Heron!$A$4,Xero!$E:$E,Heron!$A48)+SUMIFS(Xero!$F:$F,Xero!$B:$B,Heron!W$9,Xero!$A:$A,Heron!$A$5,Xero!$E:$E,Heron!$A48)</f>
        <v>0</v>
      </c>
      <c r="X48" s="99">
        <f>SUMIFS(Xero!$F:$F,Xero!$B:$B,Heron!X$9,Xero!$A:$A,Heron!$A$4,Xero!$E:$E,Heron!$A48)+SUMIFS(Xero!$F:$F,Xero!$B:$B,Heron!X$9,Xero!$A:$A,Heron!$A$5,Xero!$E:$E,Heron!$A48)</f>
        <v>0</v>
      </c>
      <c r="Y48" s="99">
        <f>SUMIFS(Xero!$F:$F,Xero!$B:$B,Heron!Y$9,Xero!$A:$A,Heron!$A$4,Xero!$E:$E,Heron!$A48)+SUMIFS(Xero!$F:$F,Xero!$B:$B,Heron!Y$9,Xero!$A:$A,Heron!$A$5,Xero!$E:$E,Heron!$A48)</f>
        <v>0</v>
      </c>
      <c r="Z48" s="99">
        <f>SUMIFS(Xero!$F:$F,Xero!$B:$B,Heron!Z$9,Xero!$A:$A,Heron!$A$4,Xero!$E:$E,Heron!$A48)+SUMIFS(Xero!$F:$F,Xero!$B:$B,Heron!Z$9,Xero!$A:$A,Heron!$A$5,Xero!$E:$E,Heron!$A48)</f>
        <v>0</v>
      </c>
      <c r="AA48" s="99">
        <f>SUMIFS(Xero!$F:$F,Xero!$B:$B,Heron!AA$9,Xero!$A:$A,Heron!$A$4,Xero!$E:$E,Heron!$A48)+SUMIFS(Xero!$F:$F,Xero!$B:$B,Heron!AA$9,Xero!$A:$A,Heron!$A$5,Xero!$E:$E,Heron!$A48)</f>
        <v>0</v>
      </c>
      <c r="AB48" s="99">
        <f>SUMIFS(Xero!$F:$F,Xero!$B:$B,Heron!AB$9,Xero!$A:$A,Heron!$A$4,Xero!$E:$E,Heron!$A48)+SUMIFS(Xero!$F:$F,Xero!$B:$B,Heron!AB$9,Xero!$A:$A,Heron!$A$5,Xero!$E:$E,Heron!$A48)</f>
        <v>750</v>
      </c>
      <c r="AC48" s="99">
        <f>SUMIFS(Xero!$F:$F,Xero!$B:$B,Heron!AC$9,Xero!$A:$A,Heron!$A$4,Xero!$E:$E,Heron!$A48)+SUMIFS(Xero!$F:$F,Xero!$B:$B,Heron!AC$9,Xero!$A:$A,Heron!$A$5,Xero!$E:$E,Heron!$A48)</f>
        <v>-500</v>
      </c>
      <c r="AD48" s="99">
        <f>SUMIFS(Xero!$F:$F,Xero!$B:$B,Heron!AD$9,Xero!$A:$A,Heron!$A$4,Xero!$E:$E,Heron!$A48)+SUMIFS(Xero!$F:$F,Xero!$B:$B,Heron!AD$9,Xero!$A:$A,Heron!$A$5,Xero!$E:$E,Heron!$A48)</f>
        <v>0</v>
      </c>
      <c r="AE48" s="99">
        <f>SUMIFS(Xero!$F:$F,Xero!$B:$B,Heron!AE$9,Xero!$A:$A,Heron!$A$4,Xero!$E:$E,Heron!$A48)+SUMIFS(Xero!$F:$F,Xero!$B:$B,Heron!AE$9,Xero!$A:$A,Heron!$A$5,Xero!$E:$E,Heron!$A48)</f>
        <v>0</v>
      </c>
      <c r="AF48" s="99">
        <f>SUMIFS(Xero!$F:$F,Xero!$B:$B,Heron!AF$9,Xero!$A:$A,Heron!$A$4,Xero!$E:$E,Heron!$A48)+SUMIFS(Xero!$F:$F,Xero!$B:$B,Heron!AF$9,Xero!$A:$A,Heron!$A$5,Xero!$E:$E,Heron!$A48)</f>
        <v>0</v>
      </c>
      <c r="AG48" s="99">
        <f>SUMIFS(Xero!$F:$F,Xero!$B:$B,Heron!AG$9,Xero!$A:$A,Heron!$A$4,Xero!$E:$E,Heron!$A48)+SUMIFS(Xero!$F:$F,Xero!$B:$B,Heron!AG$9,Xero!$A:$A,Heron!$A$5,Xero!$E:$E,Heron!$A48)</f>
        <v>0</v>
      </c>
      <c r="AH48" s="99">
        <f>SUMIFS(Xero!$F:$F,Xero!$B:$B,Heron!AH$9,Xero!$A:$A,Heron!$A$4,Xero!$E:$E,Heron!$A48)+SUMIFS(Xero!$F:$F,Xero!$B:$B,Heron!AH$9,Xero!$A:$A,Heron!$A$5,Xero!$E:$E,Heron!$A48)</f>
        <v>100</v>
      </c>
      <c r="AI48" s="99">
        <f>SUMIFS(Xero!$F:$F,Xero!$B:$B,Heron!AI$9,Xero!$A:$A,Heron!$A$4,Xero!$E:$E,Heron!$A48)+SUMIFS(Xero!$F:$F,Xero!$B:$B,Heron!AI$9,Xero!$A:$A,Heron!$A$5,Xero!$E:$E,Heron!$A48)</f>
        <v>86.96</v>
      </c>
      <c r="AJ48" s="99">
        <f>SUMIFS(Xero!$F:$F,Xero!$B:$B,Heron!AJ$9,Xero!$A:$A,Heron!$A$4,Xero!$E:$E,Heron!$A48)+SUMIFS(Xero!$F:$F,Xero!$B:$B,Heron!AJ$9,Xero!$A:$A,Heron!$A$5,Xero!$E:$E,Heron!$A48)</f>
        <v>86.96</v>
      </c>
      <c r="AK48" s="99">
        <f>SUMIFS(Xero!$F:$F,Xero!$B:$B,Heron!AK$9,Xero!$A:$A,Heron!$A$4,Xero!$E:$E,Heron!$A48)+SUMIFS(Xero!$F:$F,Xero!$B:$B,Heron!AK$9,Xero!$A:$A,Heron!$A$5,Xero!$E:$E,Heron!$A48)</f>
        <v>200</v>
      </c>
      <c r="AL48" s="99">
        <f>SUMIFS(Xero!$F:$F,Xero!$B:$B,Heron!AL$9,Xero!$A:$A,Heron!$A$4,Xero!$E:$E,Heron!$A48)+SUMIFS(Xero!$F:$F,Xero!$B:$B,Heron!AL$9,Xero!$A:$A,Heron!$A$5,Xero!$E:$E,Heron!$A48)</f>
        <v>0</v>
      </c>
      <c r="AM48" s="99">
        <f>SUMIFS(Xero!$F:$F,Xero!$B:$B,Heron!AM$9,Xero!$A:$A,Heron!$A$4,Xero!$E:$E,Heron!$A48)+SUMIFS(Xero!$F:$F,Xero!$B:$B,Heron!AM$9,Xero!$A:$A,Heron!$A$5,Xero!$E:$E,Heron!$A48)</f>
        <v>0</v>
      </c>
      <c r="AN48" s="99">
        <f>SUMIFS(Xero!$F:$F,Xero!$B:$B,Heron!AN$9,Xero!$A:$A,Heron!$A$4,Xero!$E:$E,Heron!$A48)+SUMIFS(Xero!$F:$F,Xero!$B:$B,Heron!AN$9,Xero!$A:$A,Heron!$A$5,Xero!$E:$E,Heron!$A48)</f>
        <v>700</v>
      </c>
      <c r="AO48" s="99">
        <f>SUMIFS(Xero!$F:$F,Xero!$B:$B,Heron!AO$9,Xero!$A:$A,Heron!$A$4,Xero!$E:$E,Heron!$A48)+SUMIFS(Xero!$F:$F,Xero!$B:$B,Heron!AO$9,Xero!$A:$A,Heron!$A$5,Xero!$E:$E,Heron!$A48)</f>
        <v>0</v>
      </c>
      <c r="AP48" s="99">
        <f>SUMIFS(Xero!$F:$F,Xero!$B:$B,Heron!AP$9,Xero!$A:$A,Heron!$A$4,Xero!$E:$E,Heron!$A48)+SUMIFS(Xero!$F:$F,Xero!$B:$B,Heron!AP$9,Xero!$A:$A,Heron!$A$5,Xero!$E:$E,Heron!$A48)</f>
        <v>0</v>
      </c>
      <c r="AQ48" s="99">
        <f>SUMIFS(Xero!$F:$F,Xero!$B:$B,Heron!AQ$9,Xero!$A:$A,Heron!$A$4,Xero!$E:$E,Heron!$A48)+SUMIFS(Xero!$F:$F,Xero!$B:$B,Heron!AQ$9,Xero!$A:$A,Heron!$A$5,Xero!$E:$E,Heron!$A48)</f>
        <v>0</v>
      </c>
      <c r="AR48" s="99">
        <f>SUMIFS(Xero!$F:$F,Xero!$B:$B,Heron!AR$9,Xero!$A:$A,Heron!$A$4,Xero!$E:$E,Heron!$A48)+SUMIFS(Xero!$F:$F,Xero!$B:$B,Heron!AR$9,Xero!$A:$A,Heron!$A$5,Xero!$E:$E,Heron!$A48)</f>
        <v>0</v>
      </c>
      <c r="AS48" s="99">
        <f>SUMIFS(Xero!$F:$F,Xero!$B:$B,Heron!AS$9,Xero!$A:$A,Heron!$A$4,Xero!$E:$E,Heron!$A48)+SUMIFS(Xero!$F:$F,Xero!$B:$B,Heron!AS$9,Xero!$A:$A,Heron!$A$5,Xero!$E:$E,Heron!$A48)</f>
        <v>0</v>
      </c>
      <c r="AT48" s="99">
        <f>SUMIFS(Xero!$F:$F,Xero!$B:$B,Heron!AT$9,Xero!$A:$A,Heron!$A$4,Xero!$E:$E,Heron!$A48)+SUMIFS(Xero!$F:$F,Xero!$B:$B,Heron!AT$9,Xero!$A:$A,Heron!$A$5,Xero!$E:$E,Heron!$A48)</f>
        <v>0</v>
      </c>
      <c r="AU48" s="99">
        <f>SUMIFS(Xero!$F:$F,Xero!$B:$B,Heron!AU$9,Xero!$A:$A,Heron!$A$4,Xero!$E:$E,Heron!$A48)+SUMIFS(Xero!$F:$F,Xero!$B:$B,Heron!AU$9,Xero!$A:$A,Heron!$A$5,Xero!$E:$E,Heron!$A48)</f>
        <v>0</v>
      </c>
      <c r="AV48" s="99">
        <f>SUMIFS(Xero!$F:$F,Xero!$B:$B,Heron!AV$9,Xero!$A:$A,Heron!$A$4,Xero!$E:$E,Heron!$A48)+SUMIFS(Xero!$F:$F,Xero!$B:$B,Heron!AV$9,Xero!$A:$A,Heron!$A$5,Xero!$E:$E,Heron!$A48)</f>
        <v>0</v>
      </c>
      <c r="AW48" s="99">
        <f>SUMIFS(Xero!$F:$F,Xero!$B:$B,Heron!AW$9,Xero!$A:$A,Heron!$A$4,Xero!$E:$E,Heron!$A48)+SUMIFS(Xero!$F:$F,Xero!$B:$B,Heron!AW$9,Xero!$A:$A,Heron!$A$5,Xero!$E:$E,Heron!$A48)</f>
        <v>0</v>
      </c>
      <c r="AX48" s="99">
        <f>SUMIFS(Xero!$F:$F,Xero!$B:$B,Heron!AX$9,Xero!$A:$A,Heron!$A$4,Xero!$E:$E,Heron!$A48)+SUMIFS(Xero!$F:$F,Xero!$B:$B,Heron!AX$9,Xero!$A:$A,Heron!$A$5,Xero!$E:$E,Heron!$A48)</f>
        <v>0</v>
      </c>
      <c r="AY48" s="99">
        <f>SUMIFS(Xero!$F:$F,Xero!$B:$B,Heron!AY$9,Xero!$A:$A,Heron!$A$4,Xero!$E:$E,Heron!$A48)+SUMIFS(Xero!$F:$F,Xero!$B:$B,Heron!AY$9,Xero!$A:$A,Heron!$A$5,Xero!$E:$E,Heron!$A48)</f>
        <v>0</v>
      </c>
      <c r="AZ48" s="99">
        <f>SUMIFS(Xero!$F:$F,Xero!$B:$B,Heron!AZ$9,Xero!$A:$A,Heron!$A$4,Xero!$E:$E,Heron!$A48)+SUMIFS(Xero!$F:$F,Xero!$B:$B,Heron!AZ$9,Xero!$A:$A,Heron!$A$5,Xero!$E:$E,Heron!$A48)</f>
        <v>0</v>
      </c>
      <c r="BA48" s="99">
        <f>SUMIFS(Xero!$F:$F,Xero!$B:$B,Heron!BA$9,Xero!$A:$A,Heron!$A$4,Xero!$E:$E,Heron!$A48)+SUMIFS(Xero!$F:$F,Xero!$B:$B,Heron!BA$9,Xero!$A:$A,Heron!$A$5,Xero!$E:$E,Heron!$A48)</f>
        <v>0</v>
      </c>
      <c r="BB48" s="99">
        <f>SUMIFS(Xero!$F:$F,Xero!$B:$B,Heron!BB$9,Xero!$A:$A,Heron!$A$4,Xero!$E:$E,Heron!$A48)+SUMIFS(Xero!$F:$F,Xero!$B:$B,Heron!BB$9,Xero!$A:$A,Heron!$A$5,Xero!$E:$E,Heron!$A48)</f>
        <v>0</v>
      </c>
      <c r="BC48" s="99">
        <f>SUMIFS(Xero!$F:$F,Xero!$B:$B,Heron!BC$9,Xero!$A:$A,Heron!$A$4,Xero!$E:$E,Heron!$A48)+SUMIFS(Xero!$F:$F,Xero!$B:$B,Heron!BC$9,Xero!$A:$A,Heron!$A$5,Xero!$E:$E,Heron!$A48)</f>
        <v>0</v>
      </c>
      <c r="BD48" s="99">
        <f>SUMIFS(Xero!$F:$F,Xero!$B:$B,Heron!BD$9,Xero!$A:$A,Heron!$A$4,Xero!$E:$E,Heron!$A48)+SUMIFS(Xero!$F:$F,Xero!$B:$B,Heron!BD$9,Xero!$A:$A,Heron!$A$5,Xero!$E:$E,Heron!$A48)</f>
        <v>0</v>
      </c>
      <c r="BE48" s="99">
        <f>SUMIFS(Xero!$F:$F,Xero!$B:$B,Heron!BE$9,Xero!$A:$A,Heron!$A$4,Xero!$E:$E,Heron!$A48)+SUMIFS(Xero!$F:$F,Xero!$B:$B,Heron!BE$9,Xero!$A:$A,Heron!$A$5,Xero!$E:$E,Heron!$A48)</f>
        <v>0</v>
      </c>
      <c r="BF48" s="99">
        <f>SUMIFS(Xero!$F:$F,Xero!$B:$B,Heron!BF$9,Xero!$A:$A,Heron!$A$4,Xero!$E:$E,Heron!$A48)+SUMIFS(Xero!$F:$F,Xero!$B:$B,Heron!BF$9,Xero!$A:$A,Heron!$A$5,Xero!$E:$E,Heron!$A48)</f>
        <v>0</v>
      </c>
      <c r="BG48" s="99">
        <f>SUMIFS(Xero!$F:$F,Xero!$B:$B,Heron!BG$9,Xero!$A:$A,Heron!$A$4,Xero!$E:$E,Heron!$A48)+SUMIFS(Xero!$F:$F,Xero!$B:$B,Heron!BG$9,Xero!$A:$A,Heron!$A$5,Xero!$E:$E,Heron!$A48)</f>
        <v>0</v>
      </c>
      <c r="BH48" s="99">
        <f>SUMIFS(Xero!$F:$F,Xero!$B:$B,Heron!BH$9,Xero!$A:$A,Heron!$A$4,Xero!$E:$E,Heron!$A48)+SUMIFS(Xero!$F:$F,Xero!$B:$B,Heron!BH$9,Xero!$A:$A,Heron!$A$5,Xero!$E:$E,Heron!$A48)</f>
        <v>0</v>
      </c>
      <c r="BI48" s="99">
        <f>SUMIFS(Xero!$F:$F,Xero!$B:$B,Heron!BI$9,Xero!$A:$A,Heron!$A$4,Xero!$E:$E,Heron!$A48)+SUMIFS(Xero!$F:$F,Xero!$B:$B,Heron!BI$9,Xero!$A:$A,Heron!$A$5,Xero!$E:$E,Heron!$A48)</f>
        <v>0</v>
      </c>
      <c r="BJ48" s="99">
        <f>SUMIFS(Xero!$F:$F,Xero!$B:$B,Heron!BJ$9,Xero!$A:$A,Heron!$A$4,Xero!$E:$E,Heron!$A48)+SUMIFS(Xero!$F:$F,Xero!$B:$B,Heron!BJ$9,Xero!$A:$A,Heron!$A$5,Xero!$E:$E,Heron!$A48)</f>
        <v>0</v>
      </c>
      <c r="BK48" s="99">
        <f t="shared" si="4"/>
        <v>1423.92</v>
      </c>
    </row>
    <row r="49" spans="1:63" ht="16" x14ac:dyDescent="0.2">
      <c r="A49" s="98" t="s">
        <v>1676</v>
      </c>
      <c r="D49" s="99">
        <f>SUMIFS(Xero!$F:$F,Xero!$B:$B,Heron!D$9,Xero!$A:$A,Heron!$A$4,Xero!$E:$E,Heron!$A49)+SUMIFS(Xero!$F:$F,Xero!$B:$B,Heron!D$9,Xero!$A:$A,Heron!$A$5,Xero!$E:$E,Heron!$A49)</f>
        <v>0</v>
      </c>
      <c r="E49" s="99">
        <f>SUMIFS(Xero!$F:$F,Xero!$B:$B,Heron!E$9,Xero!$A:$A,Heron!$A$4,Xero!$E:$E,Heron!$A49)+SUMIFS(Xero!$F:$F,Xero!$B:$B,Heron!E$9,Xero!$A:$A,Heron!$A$5,Xero!$E:$E,Heron!$A49)</f>
        <v>0</v>
      </c>
      <c r="F49" s="99">
        <f>SUMIFS(Xero!$F:$F,Xero!$B:$B,Heron!F$9,Xero!$A:$A,Heron!$A$4,Xero!$E:$E,Heron!$A49)+SUMIFS(Xero!$F:$F,Xero!$B:$B,Heron!F$9,Xero!$A:$A,Heron!$A$5,Xero!$E:$E,Heron!$A49)</f>
        <v>0</v>
      </c>
      <c r="G49" s="99">
        <f>SUMIFS(Xero!$F:$F,Xero!$B:$B,Heron!G$9,Xero!$A:$A,Heron!$A$4,Xero!$E:$E,Heron!$A49)+SUMIFS(Xero!$F:$F,Xero!$B:$B,Heron!G$9,Xero!$A:$A,Heron!$A$5,Xero!$E:$E,Heron!$A49)</f>
        <v>0</v>
      </c>
      <c r="H49" s="99">
        <f>SUMIFS(Xero!$F:$F,Xero!$B:$B,Heron!H$9,Xero!$A:$A,Heron!$A$4,Xero!$E:$E,Heron!$A49)+SUMIFS(Xero!$F:$F,Xero!$B:$B,Heron!H$9,Xero!$A:$A,Heron!$A$5,Xero!$E:$E,Heron!$A49)</f>
        <v>0</v>
      </c>
      <c r="I49" s="99">
        <f>SUMIFS(Xero!$F:$F,Xero!$B:$B,Heron!I$9,Xero!$A:$A,Heron!$A$4,Xero!$E:$E,Heron!$A49)+SUMIFS(Xero!$F:$F,Xero!$B:$B,Heron!I$9,Xero!$A:$A,Heron!$A$5,Xero!$E:$E,Heron!$A49)</f>
        <v>0</v>
      </c>
      <c r="J49" s="99">
        <f>SUMIFS(Xero!$F:$F,Xero!$B:$B,Heron!J$9,Xero!$A:$A,Heron!$A$4,Xero!$E:$E,Heron!$A49)+SUMIFS(Xero!$F:$F,Xero!$B:$B,Heron!J$9,Xero!$A:$A,Heron!$A$5,Xero!$E:$E,Heron!$A49)</f>
        <v>0</v>
      </c>
      <c r="K49" s="99">
        <f>SUMIFS(Xero!$F:$F,Xero!$B:$B,Heron!K$9,Xero!$A:$A,Heron!$A$4,Xero!$E:$E,Heron!$A49)+SUMIFS(Xero!$F:$F,Xero!$B:$B,Heron!K$9,Xero!$A:$A,Heron!$A$5,Xero!$E:$E,Heron!$A49)</f>
        <v>0</v>
      </c>
      <c r="L49" s="99">
        <f>SUMIFS(Xero!$F:$F,Xero!$B:$B,Heron!L$9,Xero!$A:$A,Heron!$A$4,Xero!$E:$E,Heron!$A49)+SUMIFS(Xero!$F:$F,Xero!$B:$B,Heron!L$9,Xero!$A:$A,Heron!$A$5,Xero!$E:$E,Heron!$A49)</f>
        <v>0</v>
      </c>
      <c r="M49" s="99">
        <f>SUMIFS(Xero!$F:$F,Xero!$B:$B,Heron!M$9,Xero!$A:$A,Heron!$A$4,Xero!$E:$E,Heron!$A49)+SUMIFS(Xero!$F:$F,Xero!$B:$B,Heron!M$9,Xero!$A:$A,Heron!$A$5,Xero!$E:$E,Heron!$A49)</f>
        <v>0</v>
      </c>
      <c r="N49" s="99">
        <f>SUMIFS(Xero!$F:$F,Xero!$B:$B,Heron!N$9,Xero!$A:$A,Heron!$A$4,Xero!$E:$E,Heron!$A49)+SUMIFS(Xero!$F:$F,Xero!$B:$B,Heron!N$9,Xero!$A:$A,Heron!$A$5,Xero!$E:$E,Heron!$A49)</f>
        <v>0</v>
      </c>
      <c r="O49" s="99">
        <f>SUMIFS(Xero!$F:$F,Xero!$B:$B,Heron!O$9,Xero!$A:$A,Heron!$A$4,Xero!$E:$E,Heron!$A49)+SUMIFS(Xero!$F:$F,Xero!$B:$B,Heron!O$9,Xero!$A:$A,Heron!$A$5,Xero!$E:$E,Heron!$A49)</f>
        <v>0</v>
      </c>
      <c r="P49" s="99">
        <f>SUMIFS(Xero!$F:$F,Xero!$B:$B,Heron!P$9,Xero!$A:$A,Heron!$A$4,Xero!$E:$E,Heron!$A49)+SUMIFS(Xero!$F:$F,Xero!$B:$B,Heron!P$9,Xero!$A:$A,Heron!$A$5,Xero!$E:$E,Heron!$A49)</f>
        <v>0</v>
      </c>
      <c r="Q49" s="99">
        <f>SUMIFS(Xero!$F:$F,Xero!$B:$B,Heron!Q$9,Xero!$A:$A,Heron!$A$4,Xero!$E:$E,Heron!$A49)+SUMIFS(Xero!$F:$F,Xero!$B:$B,Heron!Q$9,Xero!$A:$A,Heron!$A$5,Xero!$E:$E,Heron!$A49)</f>
        <v>0</v>
      </c>
      <c r="R49" s="99">
        <f>SUMIFS(Xero!$F:$F,Xero!$B:$B,Heron!R$9,Xero!$A:$A,Heron!$A$4,Xero!$E:$E,Heron!$A49)+SUMIFS(Xero!$F:$F,Xero!$B:$B,Heron!R$9,Xero!$A:$A,Heron!$A$5,Xero!$E:$E,Heron!$A49)</f>
        <v>0</v>
      </c>
      <c r="S49" s="99">
        <f>SUMIFS(Xero!$F:$F,Xero!$B:$B,Heron!S$9,Xero!$A:$A,Heron!$A$4,Xero!$E:$E,Heron!$A49)+SUMIFS(Xero!$F:$F,Xero!$B:$B,Heron!S$9,Xero!$A:$A,Heron!$A$5,Xero!$E:$E,Heron!$A49)</f>
        <v>0</v>
      </c>
      <c r="T49" s="99">
        <f>SUMIFS(Xero!$F:$F,Xero!$B:$B,Heron!T$9,Xero!$A:$A,Heron!$A$4,Xero!$E:$E,Heron!$A49)+SUMIFS(Xero!$F:$F,Xero!$B:$B,Heron!T$9,Xero!$A:$A,Heron!$A$5,Xero!$E:$E,Heron!$A49)</f>
        <v>0</v>
      </c>
      <c r="U49" s="99">
        <f>SUMIFS(Xero!$F:$F,Xero!$B:$B,Heron!U$9,Xero!$A:$A,Heron!$A$4,Xero!$E:$E,Heron!$A49)+SUMIFS(Xero!$F:$F,Xero!$B:$B,Heron!U$9,Xero!$A:$A,Heron!$A$5,Xero!$E:$E,Heron!$A49)</f>
        <v>0</v>
      </c>
      <c r="V49" s="99">
        <f>SUMIFS(Xero!$F:$F,Xero!$B:$B,Heron!V$9,Xero!$A:$A,Heron!$A$4,Xero!$E:$E,Heron!$A49)+SUMIFS(Xero!$F:$F,Xero!$B:$B,Heron!V$9,Xero!$A:$A,Heron!$A$5,Xero!$E:$E,Heron!$A49)</f>
        <v>0</v>
      </c>
      <c r="W49" s="99">
        <f>SUMIFS(Xero!$F:$F,Xero!$B:$B,Heron!W$9,Xero!$A:$A,Heron!$A$4,Xero!$E:$E,Heron!$A49)+SUMIFS(Xero!$F:$F,Xero!$B:$B,Heron!W$9,Xero!$A:$A,Heron!$A$5,Xero!$E:$E,Heron!$A49)</f>
        <v>0</v>
      </c>
      <c r="X49" s="99">
        <f>SUMIFS(Xero!$F:$F,Xero!$B:$B,Heron!X$9,Xero!$A:$A,Heron!$A$4,Xero!$E:$E,Heron!$A49)+SUMIFS(Xero!$F:$F,Xero!$B:$B,Heron!X$9,Xero!$A:$A,Heron!$A$5,Xero!$E:$E,Heron!$A49)</f>
        <v>0</v>
      </c>
      <c r="Y49" s="99">
        <f>SUMIFS(Xero!$F:$F,Xero!$B:$B,Heron!Y$9,Xero!$A:$A,Heron!$A$4,Xero!$E:$E,Heron!$A49)+SUMIFS(Xero!$F:$F,Xero!$B:$B,Heron!Y$9,Xero!$A:$A,Heron!$A$5,Xero!$E:$E,Heron!$A49)</f>
        <v>0</v>
      </c>
      <c r="Z49" s="99">
        <f>SUMIFS(Xero!$F:$F,Xero!$B:$B,Heron!Z$9,Xero!$A:$A,Heron!$A$4,Xero!$E:$E,Heron!$A49)+SUMIFS(Xero!$F:$F,Xero!$B:$B,Heron!Z$9,Xero!$A:$A,Heron!$A$5,Xero!$E:$E,Heron!$A49)</f>
        <v>0</v>
      </c>
      <c r="AA49" s="99">
        <f>SUMIFS(Xero!$F:$F,Xero!$B:$B,Heron!AA$9,Xero!$A:$A,Heron!$A$4,Xero!$E:$E,Heron!$A49)+SUMIFS(Xero!$F:$F,Xero!$B:$B,Heron!AA$9,Xero!$A:$A,Heron!$A$5,Xero!$E:$E,Heron!$A49)</f>
        <v>0</v>
      </c>
      <c r="AB49" s="99">
        <f>SUMIFS(Xero!$F:$F,Xero!$B:$B,Heron!AB$9,Xero!$A:$A,Heron!$A$4,Xero!$E:$E,Heron!$A49)+SUMIFS(Xero!$F:$F,Xero!$B:$B,Heron!AB$9,Xero!$A:$A,Heron!$A$5,Xero!$E:$E,Heron!$A49)</f>
        <v>0</v>
      </c>
      <c r="AC49" s="99">
        <f>SUMIFS(Xero!$F:$F,Xero!$B:$B,Heron!AC$9,Xero!$A:$A,Heron!$A$4,Xero!$E:$E,Heron!$A49)+SUMIFS(Xero!$F:$F,Xero!$B:$B,Heron!AC$9,Xero!$A:$A,Heron!$A$5,Xero!$E:$E,Heron!$A49)</f>
        <v>0</v>
      </c>
      <c r="AD49" s="99">
        <f>SUMIFS(Xero!$F:$F,Xero!$B:$B,Heron!AD$9,Xero!$A:$A,Heron!$A$4,Xero!$E:$E,Heron!$A49)+SUMIFS(Xero!$F:$F,Xero!$B:$B,Heron!AD$9,Xero!$A:$A,Heron!$A$5,Xero!$E:$E,Heron!$A49)</f>
        <v>192174.7</v>
      </c>
      <c r="AE49" s="99">
        <f>SUMIFS(Xero!$F:$F,Xero!$B:$B,Heron!AE$9,Xero!$A:$A,Heron!$A$4,Xero!$E:$E,Heron!$A49)+SUMIFS(Xero!$F:$F,Xero!$B:$B,Heron!AE$9,Xero!$A:$A,Heron!$A$5,Xero!$E:$E,Heron!$A49)</f>
        <v>0</v>
      </c>
      <c r="AF49" s="99">
        <f>SUMIFS(Xero!$F:$F,Xero!$B:$B,Heron!AF$9,Xero!$A:$A,Heron!$A$4,Xero!$E:$E,Heron!$A49)+SUMIFS(Xero!$F:$F,Xero!$B:$B,Heron!AF$9,Xero!$A:$A,Heron!$A$5,Xero!$E:$E,Heron!$A49)</f>
        <v>44968.24</v>
      </c>
      <c r="AG49" s="99">
        <f>SUMIFS(Xero!$F:$F,Xero!$B:$B,Heron!AG$9,Xero!$A:$A,Heron!$A$4,Xero!$E:$E,Heron!$A49)+SUMIFS(Xero!$F:$F,Xero!$B:$B,Heron!AG$9,Xero!$A:$A,Heron!$A$5,Xero!$E:$E,Heron!$A49)</f>
        <v>0</v>
      </c>
      <c r="AH49" s="99">
        <f>SUMIFS(Xero!$F:$F,Xero!$B:$B,Heron!AH$9,Xero!$A:$A,Heron!$A$4,Xero!$E:$E,Heron!$A49)+SUMIFS(Xero!$F:$F,Xero!$B:$B,Heron!AH$9,Xero!$A:$A,Heron!$A$5,Xero!$E:$E,Heron!$A49)</f>
        <v>0</v>
      </c>
      <c r="AI49" s="99">
        <f>SUMIFS(Xero!$F:$F,Xero!$B:$B,Heron!AI$9,Xero!$A:$A,Heron!$A$4,Xero!$E:$E,Heron!$A49)+SUMIFS(Xero!$F:$F,Xero!$B:$B,Heron!AI$9,Xero!$A:$A,Heron!$A$5,Xero!$E:$E,Heron!$A49)</f>
        <v>0</v>
      </c>
      <c r="AJ49" s="99">
        <f>SUMIFS(Xero!$F:$F,Xero!$B:$B,Heron!AJ$9,Xero!$A:$A,Heron!$A$4,Xero!$E:$E,Heron!$A49)+SUMIFS(Xero!$F:$F,Xero!$B:$B,Heron!AJ$9,Xero!$A:$A,Heron!$A$5,Xero!$E:$E,Heron!$A49)</f>
        <v>0</v>
      </c>
      <c r="AK49" s="99">
        <f>SUMIFS(Xero!$F:$F,Xero!$B:$B,Heron!AK$9,Xero!$A:$A,Heron!$A$4,Xero!$E:$E,Heron!$A49)+SUMIFS(Xero!$F:$F,Xero!$B:$B,Heron!AK$9,Xero!$A:$A,Heron!$A$5,Xero!$E:$E,Heron!$A49)</f>
        <v>0</v>
      </c>
      <c r="AL49" s="99">
        <f>SUMIFS(Xero!$F:$F,Xero!$B:$B,Heron!AL$9,Xero!$A:$A,Heron!$A$4,Xero!$E:$E,Heron!$A49)+SUMIFS(Xero!$F:$F,Xero!$B:$B,Heron!AL$9,Xero!$A:$A,Heron!$A$5,Xero!$E:$E,Heron!$A49)</f>
        <v>0</v>
      </c>
      <c r="AM49" s="99">
        <f>SUMIFS(Xero!$F:$F,Xero!$B:$B,Heron!AM$9,Xero!$A:$A,Heron!$A$4,Xero!$E:$E,Heron!$A49)+SUMIFS(Xero!$F:$F,Xero!$B:$B,Heron!AM$9,Xero!$A:$A,Heron!$A$5,Xero!$E:$E,Heron!$A49)</f>
        <v>0</v>
      </c>
      <c r="AN49" s="99">
        <f>SUMIFS(Xero!$F:$F,Xero!$B:$B,Heron!AN$9,Xero!$A:$A,Heron!$A$4,Xero!$E:$E,Heron!$A49)+SUMIFS(Xero!$F:$F,Xero!$B:$B,Heron!AN$9,Xero!$A:$A,Heron!$A$5,Xero!$E:$E,Heron!$A49)</f>
        <v>8890.9599999999991</v>
      </c>
      <c r="AO49" s="99">
        <f>SUMIFS(Xero!$F:$F,Xero!$B:$B,Heron!AO$9,Xero!$A:$A,Heron!$A$4,Xero!$E:$E,Heron!$A49)+SUMIFS(Xero!$F:$F,Xero!$B:$B,Heron!AO$9,Xero!$A:$A,Heron!$A$5,Xero!$E:$E,Heron!$A49)</f>
        <v>0</v>
      </c>
      <c r="AP49" s="99">
        <f>SUMIFS(Xero!$F:$F,Xero!$B:$B,Heron!AP$9,Xero!$A:$A,Heron!$A$4,Xero!$E:$E,Heron!$A49)+SUMIFS(Xero!$F:$F,Xero!$B:$B,Heron!AP$9,Xero!$A:$A,Heron!$A$5,Xero!$E:$E,Heron!$A49)</f>
        <v>5141.17</v>
      </c>
      <c r="AQ49" s="99">
        <f>SUMIFS(Xero!$F:$F,Xero!$B:$B,Heron!AQ$9,Xero!$A:$A,Heron!$A$4,Xero!$E:$E,Heron!$A49)+SUMIFS(Xero!$F:$F,Xero!$B:$B,Heron!AQ$9,Xero!$A:$A,Heron!$A$5,Xero!$E:$E,Heron!$A49)</f>
        <v>8072.94</v>
      </c>
      <c r="AR49" s="99">
        <f>SUMIFS(Xero!$F:$F,Xero!$B:$B,Heron!AR$9,Xero!$A:$A,Heron!$A$4,Xero!$E:$E,Heron!$A49)+SUMIFS(Xero!$F:$F,Xero!$B:$B,Heron!AR$9,Xero!$A:$A,Heron!$A$5,Xero!$E:$E,Heron!$A49)</f>
        <v>17392.37</v>
      </c>
      <c r="AS49" s="99">
        <f>SUMIFS(Xero!$F:$F,Xero!$B:$B,Heron!AS$9,Xero!$A:$A,Heron!$A$4,Xero!$E:$E,Heron!$A49)+SUMIFS(Xero!$F:$F,Xero!$B:$B,Heron!AS$9,Xero!$A:$A,Heron!$A$5,Xero!$E:$E,Heron!$A49)</f>
        <v>0</v>
      </c>
      <c r="AT49" s="99">
        <f>SUMIFS(Xero!$F:$F,Xero!$B:$B,Heron!AT$9,Xero!$A:$A,Heron!$A$4,Xero!$E:$E,Heron!$A49)+SUMIFS(Xero!$F:$F,Xero!$B:$B,Heron!AT$9,Xero!$A:$A,Heron!$A$5,Xero!$E:$E,Heron!$A49)</f>
        <v>0</v>
      </c>
      <c r="AU49" s="99">
        <f>SUMIFS(Xero!$F:$F,Xero!$B:$B,Heron!AU$9,Xero!$A:$A,Heron!$A$4,Xero!$E:$E,Heron!$A49)+SUMIFS(Xero!$F:$F,Xero!$B:$B,Heron!AU$9,Xero!$A:$A,Heron!$A$5,Xero!$E:$E,Heron!$A49)</f>
        <v>0</v>
      </c>
      <c r="AV49" s="99">
        <f>SUMIFS(Xero!$F:$F,Xero!$B:$B,Heron!AV$9,Xero!$A:$A,Heron!$A$4,Xero!$E:$E,Heron!$A49)+SUMIFS(Xero!$F:$F,Xero!$B:$B,Heron!AV$9,Xero!$A:$A,Heron!$A$5,Xero!$E:$E,Heron!$A49)</f>
        <v>0</v>
      </c>
      <c r="AW49" s="99">
        <f>SUMIFS(Xero!$F:$F,Xero!$B:$B,Heron!AW$9,Xero!$A:$A,Heron!$A$4,Xero!$E:$E,Heron!$A49)+SUMIFS(Xero!$F:$F,Xero!$B:$B,Heron!AW$9,Xero!$A:$A,Heron!$A$5,Xero!$E:$E,Heron!$A49)</f>
        <v>0</v>
      </c>
      <c r="AX49" s="99">
        <f>SUMIFS(Xero!$F:$F,Xero!$B:$B,Heron!AX$9,Xero!$A:$A,Heron!$A$4,Xero!$E:$E,Heron!$A49)+SUMIFS(Xero!$F:$F,Xero!$B:$B,Heron!AX$9,Xero!$A:$A,Heron!$A$5,Xero!$E:$E,Heron!$A49)</f>
        <v>0</v>
      </c>
      <c r="AY49" s="99">
        <f>SUMIFS(Xero!$F:$F,Xero!$B:$B,Heron!AY$9,Xero!$A:$A,Heron!$A$4,Xero!$E:$E,Heron!$A49)+SUMIFS(Xero!$F:$F,Xero!$B:$B,Heron!AY$9,Xero!$A:$A,Heron!$A$5,Xero!$E:$E,Heron!$A49)</f>
        <v>0</v>
      </c>
      <c r="AZ49" s="99">
        <f>SUMIFS(Xero!$F:$F,Xero!$B:$B,Heron!AZ$9,Xero!$A:$A,Heron!$A$4,Xero!$E:$E,Heron!$A49)+SUMIFS(Xero!$F:$F,Xero!$B:$B,Heron!AZ$9,Xero!$A:$A,Heron!$A$5,Xero!$E:$E,Heron!$A49)</f>
        <v>0</v>
      </c>
      <c r="BA49" s="99">
        <f>SUMIFS(Xero!$F:$F,Xero!$B:$B,Heron!BA$9,Xero!$A:$A,Heron!$A$4,Xero!$E:$E,Heron!$A49)+SUMIFS(Xero!$F:$F,Xero!$B:$B,Heron!BA$9,Xero!$A:$A,Heron!$A$5,Xero!$E:$E,Heron!$A49)</f>
        <v>0</v>
      </c>
      <c r="BB49" s="99">
        <f>SUMIFS(Xero!$F:$F,Xero!$B:$B,Heron!BB$9,Xero!$A:$A,Heron!$A$4,Xero!$E:$E,Heron!$A49)+SUMIFS(Xero!$F:$F,Xero!$B:$B,Heron!BB$9,Xero!$A:$A,Heron!$A$5,Xero!$E:$E,Heron!$A49)</f>
        <v>0</v>
      </c>
      <c r="BC49" s="99">
        <f>SUMIFS(Xero!$F:$F,Xero!$B:$B,Heron!BC$9,Xero!$A:$A,Heron!$A$4,Xero!$E:$E,Heron!$A49)+SUMIFS(Xero!$F:$F,Xero!$B:$B,Heron!BC$9,Xero!$A:$A,Heron!$A$5,Xero!$E:$E,Heron!$A49)</f>
        <v>0</v>
      </c>
      <c r="BD49" s="99">
        <f>SUMIFS(Xero!$F:$F,Xero!$B:$B,Heron!BD$9,Xero!$A:$A,Heron!$A$4,Xero!$E:$E,Heron!$A49)+SUMIFS(Xero!$F:$F,Xero!$B:$B,Heron!BD$9,Xero!$A:$A,Heron!$A$5,Xero!$E:$E,Heron!$A49)</f>
        <v>0</v>
      </c>
      <c r="BE49" s="99">
        <f>SUMIFS(Xero!$F:$F,Xero!$B:$B,Heron!BE$9,Xero!$A:$A,Heron!$A$4,Xero!$E:$E,Heron!$A49)+SUMIFS(Xero!$F:$F,Xero!$B:$B,Heron!BE$9,Xero!$A:$A,Heron!$A$5,Xero!$E:$E,Heron!$A49)</f>
        <v>0</v>
      </c>
      <c r="BF49" s="99">
        <f>SUMIFS(Xero!$F:$F,Xero!$B:$B,Heron!BF$9,Xero!$A:$A,Heron!$A$4,Xero!$E:$E,Heron!$A49)+SUMIFS(Xero!$F:$F,Xero!$B:$B,Heron!BF$9,Xero!$A:$A,Heron!$A$5,Xero!$E:$E,Heron!$A49)</f>
        <v>0</v>
      </c>
      <c r="BG49" s="99">
        <f>SUMIFS(Xero!$F:$F,Xero!$B:$B,Heron!BG$9,Xero!$A:$A,Heron!$A$4,Xero!$E:$E,Heron!$A49)+SUMIFS(Xero!$F:$F,Xero!$B:$B,Heron!BG$9,Xero!$A:$A,Heron!$A$5,Xero!$E:$E,Heron!$A49)</f>
        <v>0</v>
      </c>
      <c r="BH49" s="99">
        <f>SUMIFS(Xero!$F:$F,Xero!$B:$B,Heron!BH$9,Xero!$A:$A,Heron!$A$4,Xero!$E:$E,Heron!$A49)+SUMIFS(Xero!$F:$F,Xero!$B:$B,Heron!BH$9,Xero!$A:$A,Heron!$A$5,Xero!$E:$E,Heron!$A49)</f>
        <v>0</v>
      </c>
      <c r="BI49" s="99">
        <f>SUMIFS(Xero!$F:$F,Xero!$B:$B,Heron!BI$9,Xero!$A:$A,Heron!$A$4,Xero!$E:$E,Heron!$A49)+SUMIFS(Xero!$F:$F,Xero!$B:$B,Heron!BI$9,Xero!$A:$A,Heron!$A$5,Xero!$E:$E,Heron!$A49)</f>
        <v>0</v>
      </c>
      <c r="BJ49" s="99">
        <f>SUMIFS(Xero!$F:$F,Xero!$B:$B,Heron!BJ$9,Xero!$A:$A,Heron!$A$4,Xero!$E:$E,Heron!$A49)+SUMIFS(Xero!$F:$F,Xero!$B:$B,Heron!BJ$9,Xero!$A:$A,Heron!$A$5,Xero!$E:$E,Heron!$A49)</f>
        <v>0</v>
      </c>
      <c r="BK49" s="99">
        <f t="shared" si="4"/>
        <v>276640.38</v>
      </c>
    </row>
    <row r="50" spans="1:63" ht="16" x14ac:dyDescent="0.2">
      <c r="A50" s="98" t="s">
        <v>1539</v>
      </c>
      <c r="D50" s="99">
        <f>SUMIFS(Xero!$F:$F,Xero!$B:$B,Heron!D$9,Xero!$A:$A,Heron!$A$4,Xero!$E:$E,Heron!$A50)+SUMIFS(Xero!$F:$F,Xero!$B:$B,Heron!D$9,Xero!$A:$A,Heron!$A$5,Xero!$E:$E,Heron!$A50)</f>
        <v>0</v>
      </c>
      <c r="E50" s="99">
        <f>SUMIFS(Xero!$F:$F,Xero!$B:$B,Heron!E$9,Xero!$A:$A,Heron!$A$4,Xero!$E:$E,Heron!$A50)+SUMIFS(Xero!$F:$F,Xero!$B:$B,Heron!E$9,Xero!$A:$A,Heron!$A$5,Xero!$E:$E,Heron!$A50)</f>
        <v>0</v>
      </c>
      <c r="F50" s="99">
        <f>SUMIFS(Xero!$F:$F,Xero!$B:$B,Heron!F$9,Xero!$A:$A,Heron!$A$4,Xero!$E:$E,Heron!$A50)+SUMIFS(Xero!$F:$F,Xero!$B:$B,Heron!F$9,Xero!$A:$A,Heron!$A$5,Xero!$E:$E,Heron!$A50)</f>
        <v>0</v>
      </c>
      <c r="G50" s="99">
        <f>SUMIFS(Xero!$F:$F,Xero!$B:$B,Heron!G$9,Xero!$A:$A,Heron!$A$4,Xero!$E:$E,Heron!$A50)+SUMIFS(Xero!$F:$F,Xero!$B:$B,Heron!G$9,Xero!$A:$A,Heron!$A$5,Xero!$E:$E,Heron!$A50)</f>
        <v>0</v>
      </c>
      <c r="H50" s="99">
        <f>SUMIFS(Xero!$F:$F,Xero!$B:$B,Heron!H$9,Xero!$A:$A,Heron!$A$4,Xero!$E:$E,Heron!$A50)+SUMIFS(Xero!$F:$F,Xero!$B:$B,Heron!H$9,Xero!$A:$A,Heron!$A$5,Xero!$E:$E,Heron!$A50)</f>
        <v>0</v>
      </c>
      <c r="I50" s="99">
        <f>SUMIFS(Xero!$F:$F,Xero!$B:$B,Heron!I$9,Xero!$A:$A,Heron!$A$4,Xero!$E:$E,Heron!$A50)+SUMIFS(Xero!$F:$F,Xero!$B:$B,Heron!I$9,Xero!$A:$A,Heron!$A$5,Xero!$E:$E,Heron!$A50)</f>
        <v>0</v>
      </c>
      <c r="J50" s="99">
        <f>SUMIFS(Xero!$F:$F,Xero!$B:$B,Heron!J$9,Xero!$A:$A,Heron!$A$4,Xero!$E:$E,Heron!$A50)+SUMIFS(Xero!$F:$F,Xero!$B:$B,Heron!J$9,Xero!$A:$A,Heron!$A$5,Xero!$E:$E,Heron!$A50)</f>
        <v>0</v>
      </c>
      <c r="K50" s="99">
        <f>SUMIFS(Xero!$F:$F,Xero!$B:$B,Heron!K$9,Xero!$A:$A,Heron!$A$4,Xero!$E:$E,Heron!$A50)+SUMIFS(Xero!$F:$F,Xero!$B:$B,Heron!K$9,Xero!$A:$A,Heron!$A$5,Xero!$E:$E,Heron!$A50)</f>
        <v>0</v>
      </c>
      <c r="L50" s="99">
        <f>SUMIFS(Xero!$F:$F,Xero!$B:$B,Heron!L$9,Xero!$A:$A,Heron!$A$4,Xero!$E:$E,Heron!$A50)+SUMIFS(Xero!$F:$F,Xero!$B:$B,Heron!L$9,Xero!$A:$A,Heron!$A$5,Xero!$E:$E,Heron!$A50)</f>
        <v>0</v>
      </c>
      <c r="M50" s="99">
        <f>SUMIFS(Xero!$F:$F,Xero!$B:$B,Heron!M$9,Xero!$A:$A,Heron!$A$4,Xero!$E:$E,Heron!$A50)+SUMIFS(Xero!$F:$F,Xero!$B:$B,Heron!M$9,Xero!$A:$A,Heron!$A$5,Xero!$E:$E,Heron!$A50)</f>
        <v>0</v>
      </c>
      <c r="N50" s="99">
        <f>SUMIFS(Xero!$F:$F,Xero!$B:$B,Heron!N$9,Xero!$A:$A,Heron!$A$4,Xero!$E:$E,Heron!$A50)+SUMIFS(Xero!$F:$F,Xero!$B:$B,Heron!N$9,Xero!$A:$A,Heron!$A$5,Xero!$E:$E,Heron!$A50)</f>
        <v>0</v>
      </c>
      <c r="O50" s="99">
        <f>SUMIFS(Xero!$F:$F,Xero!$B:$B,Heron!O$9,Xero!$A:$A,Heron!$A$4,Xero!$E:$E,Heron!$A50)+SUMIFS(Xero!$F:$F,Xero!$B:$B,Heron!O$9,Xero!$A:$A,Heron!$A$5,Xero!$E:$E,Heron!$A50)</f>
        <v>0</v>
      </c>
      <c r="P50" s="99">
        <f>SUMIFS(Xero!$F:$F,Xero!$B:$B,Heron!P$9,Xero!$A:$A,Heron!$A$4,Xero!$E:$E,Heron!$A50)+SUMIFS(Xero!$F:$F,Xero!$B:$B,Heron!P$9,Xero!$A:$A,Heron!$A$5,Xero!$E:$E,Heron!$A50)</f>
        <v>0</v>
      </c>
      <c r="Q50" s="99">
        <f>SUMIFS(Xero!$F:$F,Xero!$B:$B,Heron!Q$9,Xero!$A:$A,Heron!$A$4,Xero!$E:$E,Heron!$A50)+SUMIFS(Xero!$F:$F,Xero!$B:$B,Heron!Q$9,Xero!$A:$A,Heron!$A$5,Xero!$E:$E,Heron!$A50)</f>
        <v>0</v>
      </c>
      <c r="R50" s="99">
        <f>SUMIFS(Xero!$F:$F,Xero!$B:$B,Heron!R$9,Xero!$A:$A,Heron!$A$4,Xero!$E:$E,Heron!$A50)+SUMIFS(Xero!$F:$F,Xero!$B:$B,Heron!R$9,Xero!$A:$A,Heron!$A$5,Xero!$E:$E,Heron!$A50)</f>
        <v>0</v>
      </c>
      <c r="S50" s="99">
        <f>SUMIFS(Xero!$F:$F,Xero!$B:$B,Heron!S$9,Xero!$A:$A,Heron!$A$4,Xero!$E:$E,Heron!$A50)+SUMIFS(Xero!$F:$F,Xero!$B:$B,Heron!S$9,Xero!$A:$A,Heron!$A$5,Xero!$E:$E,Heron!$A50)</f>
        <v>0</v>
      </c>
      <c r="T50" s="99">
        <f>SUMIFS(Xero!$F:$F,Xero!$B:$B,Heron!T$9,Xero!$A:$A,Heron!$A$4,Xero!$E:$E,Heron!$A50)+SUMIFS(Xero!$F:$F,Xero!$B:$B,Heron!T$9,Xero!$A:$A,Heron!$A$5,Xero!$E:$E,Heron!$A50)</f>
        <v>0</v>
      </c>
      <c r="U50" s="99">
        <f>SUMIFS(Xero!$F:$F,Xero!$B:$B,Heron!U$9,Xero!$A:$A,Heron!$A$4,Xero!$E:$E,Heron!$A50)+SUMIFS(Xero!$F:$F,Xero!$B:$B,Heron!U$9,Xero!$A:$A,Heron!$A$5,Xero!$E:$E,Heron!$A50)</f>
        <v>0</v>
      </c>
      <c r="V50" s="99">
        <f>SUMIFS(Xero!$F:$F,Xero!$B:$B,Heron!V$9,Xero!$A:$A,Heron!$A$4,Xero!$E:$E,Heron!$A50)+SUMIFS(Xero!$F:$F,Xero!$B:$B,Heron!V$9,Xero!$A:$A,Heron!$A$5,Xero!$E:$E,Heron!$A50)</f>
        <v>678.59</v>
      </c>
      <c r="W50" s="99">
        <f>SUMIFS(Xero!$F:$F,Xero!$B:$B,Heron!W$9,Xero!$A:$A,Heron!$A$4,Xero!$E:$E,Heron!$A50)+SUMIFS(Xero!$F:$F,Xero!$B:$B,Heron!W$9,Xero!$A:$A,Heron!$A$5,Xero!$E:$E,Heron!$A50)</f>
        <v>0</v>
      </c>
      <c r="X50" s="99">
        <f>SUMIFS(Xero!$F:$F,Xero!$B:$B,Heron!X$9,Xero!$A:$A,Heron!$A$4,Xero!$E:$E,Heron!$A50)+SUMIFS(Xero!$F:$F,Xero!$B:$B,Heron!X$9,Xero!$A:$A,Heron!$A$5,Xero!$E:$E,Heron!$A50)</f>
        <v>0</v>
      </c>
      <c r="Y50" s="99">
        <f>SUMIFS(Xero!$F:$F,Xero!$B:$B,Heron!Y$9,Xero!$A:$A,Heron!$A$4,Xero!$E:$E,Heron!$A50)+SUMIFS(Xero!$F:$F,Xero!$B:$B,Heron!Y$9,Xero!$A:$A,Heron!$A$5,Xero!$E:$E,Heron!$A50)</f>
        <v>0</v>
      </c>
      <c r="Z50" s="99">
        <f>SUMIFS(Xero!$F:$F,Xero!$B:$B,Heron!Z$9,Xero!$A:$A,Heron!$A$4,Xero!$E:$E,Heron!$A50)+SUMIFS(Xero!$F:$F,Xero!$B:$B,Heron!Z$9,Xero!$A:$A,Heron!$A$5,Xero!$E:$E,Heron!$A50)</f>
        <v>0</v>
      </c>
      <c r="AA50" s="99">
        <f>SUMIFS(Xero!$F:$F,Xero!$B:$B,Heron!AA$9,Xero!$A:$A,Heron!$A$4,Xero!$E:$E,Heron!$A50)+SUMIFS(Xero!$F:$F,Xero!$B:$B,Heron!AA$9,Xero!$A:$A,Heron!$A$5,Xero!$E:$E,Heron!$A50)</f>
        <v>0</v>
      </c>
      <c r="AB50" s="99">
        <f>SUMIFS(Xero!$F:$F,Xero!$B:$B,Heron!AB$9,Xero!$A:$A,Heron!$A$4,Xero!$E:$E,Heron!$A50)+SUMIFS(Xero!$F:$F,Xero!$B:$B,Heron!AB$9,Xero!$A:$A,Heron!$A$5,Xero!$E:$E,Heron!$A50)</f>
        <v>0</v>
      </c>
      <c r="AC50" s="99">
        <f>SUMIFS(Xero!$F:$F,Xero!$B:$B,Heron!AC$9,Xero!$A:$A,Heron!$A$4,Xero!$E:$E,Heron!$A50)+SUMIFS(Xero!$F:$F,Xero!$B:$B,Heron!AC$9,Xero!$A:$A,Heron!$A$5,Xero!$E:$E,Heron!$A50)</f>
        <v>0</v>
      </c>
      <c r="AD50" s="99">
        <f>SUMIFS(Xero!$F:$F,Xero!$B:$B,Heron!AD$9,Xero!$A:$A,Heron!$A$4,Xero!$E:$E,Heron!$A50)+SUMIFS(Xero!$F:$F,Xero!$B:$B,Heron!AD$9,Xero!$A:$A,Heron!$A$5,Xero!$E:$E,Heron!$A50)</f>
        <v>0</v>
      </c>
      <c r="AE50" s="99">
        <f>SUMIFS(Xero!$F:$F,Xero!$B:$B,Heron!AE$9,Xero!$A:$A,Heron!$A$4,Xero!$E:$E,Heron!$A50)+SUMIFS(Xero!$F:$F,Xero!$B:$B,Heron!AE$9,Xero!$A:$A,Heron!$A$5,Xero!$E:$E,Heron!$A50)</f>
        <v>0</v>
      </c>
      <c r="AF50" s="99">
        <f>SUMIFS(Xero!$F:$F,Xero!$B:$B,Heron!AF$9,Xero!$A:$A,Heron!$A$4,Xero!$E:$E,Heron!$A50)+SUMIFS(Xero!$F:$F,Xero!$B:$B,Heron!AF$9,Xero!$A:$A,Heron!$A$5,Xero!$E:$E,Heron!$A50)</f>
        <v>0</v>
      </c>
      <c r="AG50" s="99">
        <f>SUMIFS(Xero!$F:$F,Xero!$B:$B,Heron!AG$9,Xero!$A:$A,Heron!$A$4,Xero!$E:$E,Heron!$A50)+SUMIFS(Xero!$F:$F,Xero!$B:$B,Heron!AG$9,Xero!$A:$A,Heron!$A$5,Xero!$E:$E,Heron!$A50)</f>
        <v>0</v>
      </c>
      <c r="AH50" s="99">
        <f>SUMIFS(Xero!$F:$F,Xero!$B:$B,Heron!AH$9,Xero!$A:$A,Heron!$A$4,Xero!$E:$E,Heron!$A50)+SUMIFS(Xero!$F:$F,Xero!$B:$B,Heron!AH$9,Xero!$A:$A,Heron!$A$5,Xero!$E:$E,Heron!$A50)</f>
        <v>0</v>
      </c>
      <c r="AI50" s="99">
        <f>SUMIFS(Xero!$F:$F,Xero!$B:$B,Heron!AI$9,Xero!$A:$A,Heron!$A$4,Xero!$E:$E,Heron!$A50)+SUMIFS(Xero!$F:$F,Xero!$B:$B,Heron!AI$9,Xero!$A:$A,Heron!$A$5,Xero!$E:$E,Heron!$A50)</f>
        <v>0</v>
      </c>
      <c r="AJ50" s="99">
        <f>SUMIFS(Xero!$F:$F,Xero!$B:$B,Heron!AJ$9,Xero!$A:$A,Heron!$A$4,Xero!$E:$E,Heron!$A50)+SUMIFS(Xero!$F:$F,Xero!$B:$B,Heron!AJ$9,Xero!$A:$A,Heron!$A$5,Xero!$E:$E,Heron!$A50)</f>
        <v>0</v>
      </c>
      <c r="AK50" s="99">
        <f>SUMIFS(Xero!$F:$F,Xero!$B:$B,Heron!AK$9,Xero!$A:$A,Heron!$A$4,Xero!$E:$E,Heron!$A50)+SUMIFS(Xero!$F:$F,Xero!$B:$B,Heron!AK$9,Xero!$A:$A,Heron!$A$5,Xero!$E:$E,Heron!$A50)</f>
        <v>0</v>
      </c>
      <c r="AL50" s="99">
        <f>SUMIFS(Xero!$F:$F,Xero!$B:$B,Heron!AL$9,Xero!$A:$A,Heron!$A$4,Xero!$E:$E,Heron!$A50)+SUMIFS(Xero!$F:$F,Xero!$B:$B,Heron!AL$9,Xero!$A:$A,Heron!$A$5,Xero!$E:$E,Heron!$A50)</f>
        <v>0</v>
      </c>
      <c r="AM50" s="99">
        <f>SUMIFS(Xero!$F:$F,Xero!$B:$B,Heron!AM$9,Xero!$A:$A,Heron!$A$4,Xero!$E:$E,Heron!$A50)+SUMIFS(Xero!$F:$F,Xero!$B:$B,Heron!AM$9,Xero!$A:$A,Heron!$A$5,Xero!$E:$E,Heron!$A50)</f>
        <v>0</v>
      </c>
      <c r="AN50" s="99">
        <f>SUMIFS(Xero!$F:$F,Xero!$B:$B,Heron!AN$9,Xero!$A:$A,Heron!$A$4,Xero!$E:$E,Heron!$A50)+SUMIFS(Xero!$F:$F,Xero!$B:$B,Heron!AN$9,Xero!$A:$A,Heron!$A$5,Xero!$E:$E,Heron!$A50)</f>
        <v>0</v>
      </c>
      <c r="AO50" s="99">
        <f>SUMIFS(Xero!$F:$F,Xero!$B:$B,Heron!AO$9,Xero!$A:$A,Heron!$A$4,Xero!$E:$E,Heron!$A50)+SUMIFS(Xero!$F:$F,Xero!$B:$B,Heron!AO$9,Xero!$A:$A,Heron!$A$5,Xero!$E:$E,Heron!$A50)</f>
        <v>0</v>
      </c>
      <c r="AP50" s="99">
        <f>SUMIFS(Xero!$F:$F,Xero!$B:$B,Heron!AP$9,Xero!$A:$A,Heron!$A$4,Xero!$E:$E,Heron!$A50)+SUMIFS(Xero!$F:$F,Xero!$B:$B,Heron!AP$9,Xero!$A:$A,Heron!$A$5,Xero!$E:$E,Heron!$A50)</f>
        <v>0</v>
      </c>
      <c r="AQ50" s="99">
        <f>SUMIFS(Xero!$F:$F,Xero!$B:$B,Heron!AQ$9,Xero!$A:$A,Heron!$A$4,Xero!$E:$E,Heron!$A50)+SUMIFS(Xero!$F:$F,Xero!$B:$B,Heron!AQ$9,Xero!$A:$A,Heron!$A$5,Xero!$E:$E,Heron!$A50)</f>
        <v>0</v>
      </c>
      <c r="AR50" s="99">
        <f>SUMIFS(Xero!$F:$F,Xero!$B:$B,Heron!AR$9,Xero!$A:$A,Heron!$A$4,Xero!$E:$E,Heron!$A50)+SUMIFS(Xero!$F:$F,Xero!$B:$B,Heron!AR$9,Xero!$A:$A,Heron!$A$5,Xero!$E:$E,Heron!$A50)</f>
        <v>0</v>
      </c>
      <c r="AS50" s="99">
        <f>SUMIFS(Xero!$F:$F,Xero!$B:$B,Heron!AS$9,Xero!$A:$A,Heron!$A$4,Xero!$E:$E,Heron!$A50)+SUMIFS(Xero!$F:$F,Xero!$B:$B,Heron!AS$9,Xero!$A:$A,Heron!$A$5,Xero!$E:$E,Heron!$A50)</f>
        <v>0</v>
      </c>
      <c r="AT50" s="99">
        <f>SUMIFS(Xero!$F:$F,Xero!$B:$B,Heron!AT$9,Xero!$A:$A,Heron!$A$4,Xero!$E:$E,Heron!$A50)+SUMIFS(Xero!$F:$F,Xero!$B:$B,Heron!AT$9,Xero!$A:$A,Heron!$A$5,Xero!$E:$E,Heron!$A50)</f>
        <v>0</v>
      </c>
      <c r="AU50" s="99">
        <f>SUMIFS(Xero!$F:$F,Xero!$B:$B,Heron!AU$9,Xero!$A:$A,Heron!$A$4,Xero!$E:$E,Heron!$A50)+SUMIFS(Xero!$F:$F,Xero!$B:$B,Heron!AU$9,Xero!$A:$A,Heron!$A$5,Xero!$E:$E,Heron!$A50)</f>
        <v>0</v>
      </c>
      <c r="AV50" s="99">
        <f>SUMIFS(Xero!$F:$F,Xero!$B:$B,Heron!AV$9,Xero!$A:$A,Heron!$A$4,Xero!$E:$E,Heron!$A50)+SUMIFS(Xero!$F:$F,Xero!$B:$B,Heron!AV$9,Xero!$A:$A,Heron!$A$5,Xero!$E:$E,Heron!$A50)</f>
        <v>0</v>
      </c>
      <c r="AW50" s="99">
        <f>SUMIFS(Xero!$F:$F,Xero!$B:$B,Heron!AW$9,Xero!$A:$A,Heron!$A$4,Xero!$E:$E,Heron!$A50)+SUMIFS(Xero!$F:$F,Xero!$B:$B,Heron!AW$9,Xero!$A:$A,Heron!$A$5,Xero!$E:$E,Heron!$A50)</f>
        <v>0</v>
      </c>
      <c r="AX50" s="99">
        <f>SUMIFS(Xero!$F:$F,Xero!$B:$B,Heron!AX$9,Xero!$A:$A,Heron!$A$4,Xero!$E:$E,Heron!$A50)+SUMIFS(Xero!$F:$F,Xero!$B:$B,Heron!AX$9,Xero!$A:$A,Heron!$A$5,Xero!$E:$E,Heron!$A50)</f>
        <v>0</v>
      </c>
      <c r="AY50" s="99">
        <f>SUMIFS(Xero!$F:$F,Xero!$B:$B,Heron!AY$9,Xero!$A:$A,Heron!$A$4,Xero!$E:$E,Heron!$A50)+SUMIFS(Xero!$F:$F,Xero!$B:$B,Heron!AY$9,Xero!$A:$A,Heron!$A$5,Xero!$E:$E,Heron!$A50)</f>
        <v>0</v>
      </c>
      <c r="AZ50" s="99">
        <f>SUMIFS(Xero!$F:$F,Xero!$B:$B,Heron!AZ$9,Xero!$A:$A,Heron!$A$4,Xero!$E:$E,Heron!$A50)+SUMIFS(Xero!$F:$F,Xero!$B:$B,Heron!AZ$9,Xero!$A:$A,Heron!$A$5,Xero!$E:$E,Heron!$A50)</f>
        <v>0</v>
      </c>
      <c r="BA50" s="99">
        <f>SUMIFS(Xero!$F:$F,Xero!$B:$B,Heron!BA$9,Xero!$A:$A,Heron!$A$4,Xero!$E:$E,Heron!$A50)+SUMIFS(Xero!$F:$F,Xero!$B:$B,Heron!BA$9,Xero!$A:$A,Heron!$A$5,Xero!$E:$E,Heron!$A50)</f>
        <v>0</v>
      </c>
      <c r="BB50" s="99">
        <f>SUMIFS(Xero!$F:$F,Xero!$B:$B,Heron!BB$9,Xero!$A:$A,Heron!$A$4,Xero!$E:$E,Heron!$A50)+SUMIFS(Xero!$F:$F,Xero!$B:$B,Heron!BB$9,Xero!$A:$A,Heron!$A$5,Xero!$E:$E,Heron!$A50)</f>
        <v>0</v>
      </c>
      <c r="BC50" s="99">
        <f>SUMIFS(Xero!$F:$F,Xero!$B:$B,Heron!BC$9,Xero!$A:$A,Heron!$A$4,Xero!$E:$E,Heron!$A50)+SUMIFS(Xero!$F:$F,Xero!$B:$B,Heron!BC$9,Xero!$A:$A,Heron!$A$5,Xero!$E:$E,Heron!$A50)</f>
        <v>0</v>
      </c>
      <c r="BD50" s="99">
        <f>SUMIFS(Xero!$F:$F,Xero!$B:$B,Heron!BD$9,Xero!$A:$A,Heron!$A$4,Xero!$E:$E,Heron!$A50)+SUMIFS(Xero!$F:$F,Xero!$B:$B,Heron!BD$9,Xero!$A:$A,Heron!$A$5,Xero!$E:$E,Heron!$A50)</f>
        <v>0</v>
      </c>
      <c r="BE50" s="99">
        <f>SUMIFS(Xero!$F:$F,Xero!$B:$B,Heron!BE$9,Xero!$A:$A,Heron!$A$4,Xero!$E:$E,Heron!$A50)+SUMIFS(Xero!$F:$F,Xero!$B:$B,Heron!BE$9,Xero!$A:$A,Heron!$A$5,Xero!$E:$E,Heron!$A50)</f>
        <v>0</v>
      </c>
      <c r="BF50" s="99">
        <f>SUMIFS(Xero!$F:$F,Xero!$B:$B,Heron!BF$9,Xero!$A:$A,Heron!$A$4,Xero!$E:$E,Heron!$A50)+SUMIFS(Xero!$F:$F,Xero!$B:$B,Heron!BF$9,Xero!$A:$A,Heron!$A$5,Xero!$E:$E,Heron!$A50)</f>
        <v>0</v>
      </c>
      <c r="BG50" s="99">
        <f>SUMIFS(Xero!$F:$F,Xero!$B:$B,Heron!BG$9,Xero!$A:$A,Heron!$A$4,Xero!$E:$E,Heron!$A50)+SUMIFS(Xero!$F:$F,Xero!$B:$B,Heron!BG$9,Xero!$A:$A,Heron!$A$5,Xero!$E:$E,Heron!$A50)</f>
        <v>0</v>
      </c>
      <c r="BH50" s="99">
        <f>SUMIFS(Xero!$F:$F,Xero!$B:$B,Heron!BH$9,Xero!$A:$A,Heron!$A$4,Xero!$E:$E,Heron!$A50)+SUMIFS(Xero!$F:$F,Xero!$B:$B,Heron!BH$9,Xero!$A:$A,Heron!$A$5,Xero!$E:$E,Heron!$A50)</f>
        <v>0</v>
      </c>
      <c r="BI50" s="99">
        <f>SUMIFS(Xero!$F:$F,Xero!$B:$B,Heron!BI$9,Xero!$A:$A,Heron!$A$4,Xero!$E:$E,Heron!$A50)+SUMIFS(Xero!$F:$F,Xero!$B:$B,Heron!BI$9,Xero!$A:$A,Heron!$A$5,Xero!$E:$E,Heron!$A50)</f>
        <v>0</v>
      </c>
      <c r="BJ50" s="99">
        <f>SUMIFS(Xero!$F:$F,Xero!$B:$B,Heron!BJ$9,Xero!$A:$A,Heron!$A$4,Xero!$E:$E,Heron!$A50)+SUMIFS(Xero!$F:$F,Xero!$B:$B,Heron!BJ$9,Xero!$A:$A,Heron!$A$5,Xero!$E:$E,Heron!$A50)</f>
        <v>0</v>
      </c>
      <c r="BK50" s="99">
        <f t="shared" si="4"/>
        <v>678.59</v>
      </c>
    </row>
    <row r="51" spans="1:63" ht="16" x14ac:dyDescent="0.2">
      <c r="A51" s="98" t="s">
        <v>1688</v>
      </c>
      <c r="D51" s="99">
        <f>SUMIFS(Xero!$F:$F,Xero!$B:$B,Heron!D$9,Xero!$A:$A,Heron!$A$4,Xero!$E:$E,Heron!$A51)+SUMIFS(Xero!$F:$F,Xero!$B:$B,Heron!D$9,Xero!$A:$A,Heron!$A$5,Xero!$E:$E,Heron!$A51)</f>
        <v>0</v>
      </c>
      <c r="E51" s="99">
        <f>SUMIFS(Xero!$F:$F,Xero!$B:$B,Heron!E$9,Xero!$A:$A,Heron!$A$4,Xero!$E:$E,Heron!$A51)+SUMIFS(Xero!$F:$F,Xero!$B:$B,Heron!E$9,Xero!$A:$A,Heron!$A$5,Xero!$E:$E,Heron!$A51)</f>
        <v>0</v>
      </c>
      <c r="F51" s="99">
        <f>SUMIFS(Xero!$F:$F,Xero!$B:$B,Heron!F$9,Xero!$A:$A,Heron!$A$4,Xero!$E:$E,Heron!$A51)+SUMIFS(Xero!$F:$F,Xero!$B:$B,Heron!F$9,Xero!$A:$A,Heron!$A$5,Xero!$E:$E,Heron!$A51)</f>
        <v>0</v>
      </c>
      <c r="G51" s="99">
        <f>SUMIFS(Xero!$F:$F,Xero!$B:$B,Heron!G$9,Xero!$A:$A,Heron!$A$4,Xero!$E:$E,Heron!$A51)+SUMIFS(Xero!$F:$F,Xero!$B:$B,Heron!G$9,Xero!$A:$A,Heron!$A$5,Xero!$E:$E,Heron!$A51)</f>
        <v>0</v>
      </c>
      <c r="H51" s="99">
        <f>SUMIFS(Xero!$F:$F,Xero!$B:$B,Heron!H$9,Xero!$A:$A,Heron!$A$4,Xero!$E:$E,Heron!$A51)+SUMIFS(Xero!$F:$F,Xero!$B:$B,Heron!H$9,Xero!$A:$A,Heron!$A$5,Xero!$E:$E,Heron!$A51)</f>
        <v>0</v>
      </c>
      <c r="I51" s="99">
        <f>SUMIFS(Xero!$F:$F,Xero!$B:$B,Heron!I$9,Xero!$A:$A,Heron!$A$4,Xero!$E:$E,Heron!$A51)+SUMIFS(Xero!$F:$F,Xero!$B:$B,Heron!I$9,Xero!$A:$A,Heron!$A$5,Xero!$E:$E,Heron!$A51)</f>
        <v>0</v>
      </c>
      <c r="J51" s="99">
        <f>SUMIFS(Xero!$F:$F,Xero!$B:$B,Heron!J$9,Xero!$A:$A,Heron!$A$4,Xero!$E:$E,Heron!$A51)+SUMIFS(Xero!$F:$F,Xero!$B:$B,Heron!J$9,Xero!$A:$A,Heron!$A$5,Xero!$E:$E,Heron!$A51)</f>
        <v>0</v>
      </c>
      <c r="K51" s="99">
        <f>SUMIFS(Xero!$F:$F,Xero!$B:$B,Heron!K$9,Xero!$A:$A,Heron!$A$4,Xero!$E:$E,Heron!$A51)+SUMIFS(Xero!$F:$F,Xero!$B:$B,Heron!K$9,Xero!$A:$A,Heron!$A$5,Xero!$E:$E,Heron!$A51)</f>
        <v>0</v>
      </c>
      <c r="L51" s="99">
        <f>SUMIFS(Xero!$F:$F,Xero!$B:$B,Heron!L$9,Xero!$A:$A,Heron!$A$4,Xero!$E:$E,Heron!$A51)+SUMIFS(Xero!$F:$F,Xero!$B:$B,Heron!L$9,Xero!$A:$A,Heron!$A$5,Xero!$E:$E,Heron!$A51)</f>
        <v>0</v>
      </c>
      <c r="M51" s="99">
        <f>SUMIFS(Xero!$F:$F,Xero!$B:$B,Heron!M$9,Xero!$A:$A,Heron!$A$4,Xero!$E:$E,Heron!$A51)+SUMIFS(Xero!$F:$F,Xero!$B:$B,Heron!M$9,Xero!$A:$A,Heron!$A$5,Xero!$E:$E,Heron!$A51)</f>
        <v>0</v>
      </c>
      <c r="N51" s="99">
        <f>SUMIFS(Xero!$F:$F,Xero!$B:$B,Heron!N$9,Xero!$A:$A,Heron!$A$4,Xero!$E:$E,Heron!$A51)+SUMIFS(Xero!$F:$F,Xero!$B:$B,Heron!N$9,Xero!$A:$A,Heron!$A$5,Xero!$E:$E,Heron!$A51)</f>
        <v>0</v>
      </c>
      <c r="O51" s="99">
        <f>SUMIFS(Xero!$F:$F,Xero!$B:$B,Heron!O$9,Xero!$A:$A,Heron!$A$4,Xero!$E:$E,Heron!$A51)+SUMIFS(Xero!$F:$F,Xero!$B:$B,Heron!O$9,Xero!$A:$A,Heron!$A$5,Xero!$E:$E,Heron!$A51)</f>
        <v>0</v>
      </c>
      <c r="P51" s="99">
        <f>SUMIFS(Xero!$F:$F,Xero!$B:$B,Heron!P$9,Xero!$A:$A,Heron!$A$4,Xero!$E:$E,Heron!$A51)+SUMIFS(Xero!$F:$F,Xero!$B:$B,Heron!P$9,Xero!$A:$A,Heron!$A$5,Xero!$E:$E,Heron!$A51)</f>
        <v>0</v>
      </c>
      <c r="Q51" s="99">
        <f>SUMIFS(Xero!$F:$F,Xero!$B:$B,Heron!Q$9,Xero!$A:$A,Heron!$A$4,Xero!$E:$E,Heron!$A51)+SUMIFS(Xero!$F:$F,Xero!$B:$B,Heron!Q$9,Xero!$A:$A,Heron!$A$5,Xero!$E:$E,Heron!$A51)</f>
        <v>0</v>
      </c>
      <c r="R51" s="99">
        <f>SUMIFS(Xero!$F:$F,Xero!$B:$B,Heron!R$9,Xero!$A:$A,Heron!$A$4,Xero!$E:$E,Heron!$A51)+SUMIFS(Xero!$F:$F,Xero!$B:$B,Heron!R$9,Xero!$A:$A,Heron!$A$5,Xero!$E:$E,Heron!$A51)</f>
        <v>0</v>
      </c>
      <c r="S51" s="99">
        <f>SUMIFS(Xero!$F:$F,Xero!$B:$B,Heron!S$9,Xero!$A:$A,Heron!$A$4,Xero!$E:$E,Heron!$A51)+SUMIFS(Xero!$F:$F,Xero!$B:$B,Heron!S$9,Xero!$A:$A,Heron!$A$5,Xero!$E:$E,Heron!$A51)</f>
        <v>0</v>
      </c>
      <c r="T51" s="99">
        <f>SUMIFS(Xero!$F:$F,Xero!$B:$B,Heron!T$9,Xero!$A:$A,Heron!$A$4,Xero!$E:$E,Heron!$A51)+SUMIFS(Xero!$F:$F,Xero!$B:$B,Heron!T$9,Xero!$A:$A,Heron!$A$5,Xero!$E:$E,Heron!$A51)</f>
        <v>0</v>
      </c>
      <c r="U51" s="99">
        <f>SUMIFS(Xero!$F:$F,Xero!$B:$B,Heron!U$9,Xero!$A:$A,Heron!$A$4,Xero!$E:$E,Heron!$A51)+SUMIFS(Xero!$F:$F,Xero!$B:$B,Heron!U$9,Xero!$A:$A,Heron!$A$5,Xero!$E:$E,Heron!$A51)</f>
        <v>0</v>
      </c>
      <c r="V51" s="99">
        <f>SUMIFS(Xero!$F:$F,Xero!$B:$B,Heron!V$9,Xero!$A:$A,Heron!$A$4,Xero!$E:$E,Heron!$A51)+SUMIFS(Xero!$F:$F,Xero!$B:$B,Heron!V$9,Xero!$A:$A,Heron!$A$5,Xero!$E:$E,Heron!$A51)</f>
        <v>0</v>
      </c>
      <c r="W51" s="99">
        <f>SUMIFS(Xero!$F:$F,Xero!$B:$B,Heron!W$9,Xero!$A:$A,Heron!$A$4,Xero!$E:$E,Heron!$A51)+SUMIFS(Xero!$F:$F,Xero!$B:$B,Heron!W$9,Xero!$A:$A,Heron!$A$5,Xero!$E:$E,Heron!$A51)</f>
        <v>0</v>
      </c>
      <c r="X51" s="99">
        <f>SUMIFS(Xero!$F:$F,Xero!$B:$B,Heron!X$9,Xero!$A:$A,Heron!$A$4,Xero!$E:$E,Heron!$A51)+SUMIFS(Xero!$F:$F,Xero!$B:$B,Heron!X$9,Xero!$A:$A,Heron!$A$5,Xero!$E:$E,Heron!$A51)</f>
        <v>0</v>
      </c>
      <c r="Y51" s="99">
        <f>SUMIFS(Xero!$F:$F,Xero!$B:$B,Heron!Y$9,Xero!$A:$A,Heron!$A$4,Xero!$E:$E,Heron!$A51)+SUMIFS(Xero!$F:$F,Xero!$B:$B,Heron!Y$9,Xero!$A:$A,Heron!$A$5,Xero!$E:$E,Heron!$A51)</f>
        <v>0</v>
      </c>
      <c r="Z51" s="99">
        <f>SUMIFS(Xero!$F:$F,Xero!$B:$B,Heron!Z$9,Xero!$A:$A,Heron!$A$4,Xero!$E:$E,Heron!$A51)+SUMIFS(Xero!$F:$F,Xero!$B:$B,Heron!Z$9,Xero!$A:$A,Heron!$A$5,Xero!$E:$E,Heron!$A51)</f>
        <v>0</v>
      </c>
      <c r="AA51" s="99">
        <f>SUMIFS(Xero!$F:$F,Xero!$B:$B,Heron!AA$9,Xero!$A:$A,Heron!$A$4,Xero!$E:$E,Heron!$A51)+SUMIFS(Xero!$F:$F,Xero!$B:$B,Heron!AA$9,Xero!$A:$A,Heron!$A$5,Xero!$E:$E,Heron!$A51)</f>
        <v>0</v>
      </c>
      <c r="AB51" s="99">
        <f>SUMIFS(Xero!$F:$F,Xero!$B:$B,Heron!AB$9,Xero!$A:$A,Heron!$A$4,Xero!$E:$E,Heron!$A51)+SUMIFS(Xero!$F:$F,Xero!$B:$B,Heron!AB$9,Xero!$A:$A,Heron!$A$5,Xero!$E:$E,Heron!$A51)</f>
        <v>0</v>
      </c>
      <c r="AC51" s="99">
        <f>SUMIFS(Xero!$F:$F,Xero!$B:$B,Heron!AC$9,Xero!$A:$A,Heron!$A$4,Xero!$E:$E,Heron!$A51)+SUMIFS(Xero!$F:$F,Xero!$B:$B,Heron!AC$9,Xero!$A:$A,Heron!$A$5,Xero!$E:$E,Heron!$A51)</f>
        <v>0</v>
      </c>
      <c r="AD51" s="99">
        <f>SUMIFS(Xero!$F:$F,Xero!$B:$B,Heron!AD$9,Xero!$A:$A,Heron!$A$4,Xero!$E:$E,Heron!$A51)+SUMIFS(Xero!$F:$F,Xero!$B:$B,Heron!AD$9,Xero!$A:$A,Heron!$A$5,Xero!$E:$E,Heron!$A51)</f>
        <v>0</v>
      </c>
      <c r="AE51" s="99">
        <f>SUMIFS(Xero!$F:$F,Xero!$B:$B,Heron!AE$9,Xero!$A:$A,Heron!$A$4,Xero!$E:$E,Heron!$A51)+SUMIFS(Xero!$F:$F,Xero!$B:$B,Heron!AE$9,Xero!$A:$A,Heron!$A$5,Xero!$E:$E,Heron!$A51)</f>
        <v>0</v>
      </c>
      <c r="AF51" s="99">
        <f>SUMIFS(Xero!$F:$F,Xero!$B:$B,Heron!AF$9,Xero!$A:$A,Heron!$A$4,Xero!$E:$E,Heron!$A51)+SUMIFS(Xero!$F:$F,Xero!$B:$B,Heron!AF$9,Xero!$A:$A,Heron!$A$5,Xero!$E:$E,Heron!$A51)</f>
        <v>45300.43</v>
      </c>
      <c r="AG51" s="99">
        <f>SUMIFS(Xero!$F:$F,Xero!$B:$B,Heron!AG$9,Xero!$A:$A,Heron!$A$4,Xero!$E:$E,Heron!$A51)+SUMIFS(Xero!$F:$F,Xero!$B:$B,Heron!AG$9,Xero!$A:$A,Heron!$A$5,Xero!$E:$E,Heron!$A51)</f>
        <v>0</v>
      </c>
      <c r="AH51" s="99">
        <f>SUMIFS(Xero!$F:$F,Xero!$B:$B,Heron!AH$9,Xero!$A:$A,Heron!$A$4,Xero!$E:$E,Heron!$A51)+SUMIFS(Xero!$F:$F,Xero!$B:$B,Heron!AH$9,Xero!$A:$A,Heron!$A$5,Xero!$E:$E,Heron!$A51)</f>
        <v>0</v>
      </c>
      <c r="AI51" s="99">
        <f>SUMIFS(Xero!$F:$F,Xero!$B:$B,Heron!AI$9,Xero!$A:$A,Heron!$A$4,Xero!$E:$E,Heron!$A51)+SUMIFS(Xero!$F:$F,Xero!$B:$B,Heron!AI$9,Xero!$A:$A,Heron!$A$5,Xero!$E:$E,Heron!$A51)</f>
        <v>0</v>
      </c>
      <c r="AJ51" s="99">
        <f>SUMIFS(Xero!$F:$F,Xero!$B:$B,Heron!AJ$9,Xero!$A:$A,Heron!$A$4,Xero!$E:$E,Heron!$A51)+SUMIFS(Xero!$F:$F,Xero!$B:$B,Heron!AJ$9,Xero!$A:$A,Heron!$A$5,Xero!$E:$E,Heron!$A51)</f>
        <v>0</v>
      </c>
      <c r="AK51" s="99">
        <f>SUMIFS(Xero!$F:$F,Xero!$B:$B,Heron!AK$9,Xero!$A:$A,Heron!$A$4,Xero!$E:$E,Heron!$A51)+SUMIFS(Xero!$F:$F,Xero!$B:$B,Heron!AK$9,Xero!$A:$A,Heron!$A$5,Xero!$E:$E,Heron!$A51)</f>
        <v>0</v>
      </c>
      <c r="AL51" s="99">
        <f>SUMIFS(Xero!$F:$F,Xero!$B:$B,Heron!AL$9,Xero!$A:$A,Heron!$A$4,Xero!$E:$E,Heron!$A51)+SUMIFS(Xero!$F:$F,Xero!$B:$B,Heron!AL$9,Xero!$A:$A,Heron!$A$5,Xero!$E:$E,Heron!$A51)</f>
        <v>0</v>
      </c>
      <c r="AM51" s="99">
        <f>SUMIFS(Xero!$F:$F,Xero!$B:$B,Heron!AM$9,Xero!$A:$A,Heron!$A$4,Xero!$E:$E,Heron!$A51)+SUMIFS(Xero!$F:$F,Xero!$B:$B,Heron!AM$9,Xero!$A:$A,Heron!$A$5,Xero!$E:$E,Heron!$A51)</f>
        <v>0</v>
      </c>
      <c r="AN51" s="99">
        <f>SUMIFS(Xero!$F:$F,Xero!$B:$B,Heron!AN$9,Xero!$A:$A,Heron!$A$4,Xero!$E:$E,Heron!$A51)+SUMIFS(Xero!$F:$F,Xero!$B:$B,Heron!AN$9,Xero!$A:$A,Heron!$A$5,Xero!$E:$E,Heron!$A51)</f>
        <v>0</v>
      </c>
      <c r="AO51" s="99">
        <f>SUMIFS(Xero!$F:$F,Xero!$B:$B,Heron!AO$9,Xero!$A:$A,Heron!$A$4,Xero!$E:$E,Heron!$A51)+SUMIFS(Xero!$F:$F,Xero!$B:$B,Heron!AO$9,Xero!$A:$A,Heron!$A$5,Xero!$E:$E,Heron!$A51)</f>
        <v>0</v>
      </c>
      <c r="AP51" s="99">
        <f>SUMIFS(Xero!$F:$F,Xero!$B:$B,Heron!AP$9,Xero!$A:$A,Heron!$A$4,Xero!$E:$E,Heron!$A51)+SUMIFS(Xero!$F:$F,Xero!$B:$B,Heron!AP$9,Xero!$A:$A,Heron!$A$5,Xero!$E:$E,Heron!$A51)</f>
        <v>0</v>
      </c>
      <c r="AQ51" s="99">
        <f>SUMIFS(Xero!$F:$F,Xero!$B:$B,Heron!AQ$9,Xero!$A:$A,Heron!$A$4,Xero!$E:$E,Heron!$A51)+SUMIFS(Xero!$F:$F,Xero!$B:$B,Heron!AQ$9,Xero!$A:$A,Heron!$A$5,Xero!$E:$E,Heron!$A51)</f>
        <v>0</v>
      </c>
      <c r="AR51" s="99">
        <f>SUMIFS(Xero!$F:$F,Xero!$B:$B,Heron!AR$9,Xero!$A:$A,Heron!$A$4,Xero!$E:$E,Heron!$A51)+SUMIFS(Xero!$F:$F,Xero!$B:$B,Heron!AR$9,Xero!$A:$A,Heron!$A$5,Xero!$E:$E,Heron!$A51)</f>
        <v>0</v>
      </c>
      <c r="AS51" s="99">
        <f>SUMIFS(Xero!$F:$F,Xero!$B:$B,Heron!AS$9,Xero!$A:$A,Heron!$A$4,Xero!$E:$E,Heron!$A51)+SUMIFS(Xero!$F:$F,Xero!$B:$B,Heron!AS$9,Xero!$A:$A,Heron!$A$5,Xero!$E:$E,Heron!$A51)</f>
        <v>0</v>
      </c>
      <c r="AT51" s="99">
        <f>SUMIFS(Xero!$F:$F,Xero!$B:$B,Heron!AT$9,Xero!$A:$A,Heron!$A$4,Xero!$E:$E,Heron!$A51)+SUMIFS(Xero!$F:$F,Xero!$B:$B,Heron!AT$9,Xero!$A:$A,Heron!$A$5,Xero!$E:$E,Heron!$A51)</f>
        <v>0</v>
      </c>
      <c r="AU51" s="99">
        <f>SUMIFS(Xero!$F:$F,Xero!$B:$B,Heron!AU$9,Xero!$A:$A,Heron!$A$4,Xero!$E:$E,Heron!$A51)+SUMIFS(Xero!$F:$F,Xero!$B:$B,Heron!AU$9,Xero!$A:$A,Heron!$A$5,Xero!$E:$E,Heron!$A51)</f>
        <v>0</v>
      </c>
      <c r="AV51" s="99">
        <f>SUMIFS(Xero!$F:$F,Xero!$B:$B,Heron!AV$9,Xero!$A:$A,Heron!$A$4,Xero!$E:$E,Heron!$A51)+SUMIFS(Xero!$F:$F,Xero!$B:$B,Heron!AV$9,Xero!$A:$A,Heron!$A$5,Xero!$E:$E,Heron!$A51)</f>
        <v>0</v>
      </c>
      <c r="AW51" s="99">
        <f>SUMIFS(Xero!$F:$F,Xero!$B:$B,Heron!AW$9,Xero!$A:$A,Heron!$A$4,Xero!$E:$E,Heron!$A51)+SUMIFS(Xero!$F:$F,Xero!$B:$B,Heron!AW$9,Xero!$A:$A,Heron!$A$5,Xero!$E:$E,Heron!$A51)</f>
        <v>0</v>
      </c>
      <c r="AX51" s="99">
        <f>SUMIFS(Xero!$F:$F,Xero!$B:$B,Heron!AX$9,Xero!$A:$A,Heron!$A$4,Xero!$E:$E,Heron!$A51)+SUMIFS(Xero!$F:$F,Xero!$B:$B,Heron!AX$9,Xero!$A:$A,Heron!$A$5,Xero!$E:$E,Heron!$A51)</f>
        <v>0</v>
      </c>
      <c r="AY51" s="99">
        <f>SUMIFS(Xero!$F:$F,Xero!$B:$B,Heron!AY$9,Xero!$A:$A,Heron!$A$4,Xero!$E:$E,Heron!$A51)+SUMIFS(Xero!$F:$F,Xero!$B:$B,Heron!AY$9,Xero!$A:$A,Heron!$A$5,Xero!$E:$E,Heron!$A51)</f>
        <v>0</v>
      </c>
      <c r="AZ51" s="99">
        <f>SUMIFS(Xero!$F:$F,Xero!$B:$B,Heron!AZ$9,Xero!$A:$A,Heron!$A$4,Xero!$E:$E,Heron!$A51)+SUMIFS(Xero!$F:$F,Xero!$B:$B,Heron!AZ$9,Xero!$A:$A,Heron!$A$5,Xero!$E:$E,Heron!$A51)</f>
        <v>0</v>
      </c>
      <c r="BA51" s="99">
        <f>SUMIFS(Xero!$F:$F,Xero!$B:$B,Heron!BA$9,Xero!$A:$A,Heron!$A$4,Xero!$E:$E,Heron!$A51)+SUMIFS(Xero!$F:$F,Xero!$B:$B,Heron!BA$9,Xero!$A:$A,Heron!$A$5,Xero!$E:$E,Heron!$A51)</f>
        <v>0</v>
      </c>
      <c r="BB51" s="99">
        <f>SUMIFS(Xero!$F:$F,Xero!$B:$B,Heron!BB$9,Xero!$A:$A,Heron!$A$4,Xero!$E:$E,Heron!$A51)+SUMIFS(Xero!$F:$F,Xero!$B:$B,Heron!BB$9,Xero!$A:$A,Heron!$A$5,Xero!$E:$E,Heron!$A51)</f>
        <v>0</v>
      </c>
      <c r="BC51" s="99">
        <f>SUMIFS(Xero!$F:$F,Xero!$B:$B,Heron!BC$9,Xero!$A:$A,Heron!$A$4,Xero!$E:$E,Heron!$A51)+SUMIFS(Xero!$F:$F,Xero!$B:$B,Heron!BC$9,Xero!$A:$A,Heron!$A$5,Xero!$E:$E,Heron!$A51)</f>
        <v>0</v>
      </c>
      <c r="BD51" s="99">
        <f>SUMIFS(Xero!$F:$F,Xero!$B:$B,Heron!BD$9,Xero!$A:$A,Heron!$A$4,Xero!$E:$E,Heron!$A51)+SUMIFS(Xero!$F:$F,Xero!$B:$B,Heron!BD$9,Xero!$A:$A,Heron!$A$5,Xero!$E:$E,Heron!$A51)</f>
        <v>0</v>
      </c>
      <c r="BE51" s="99">
        <f>SUMIFS(Xero!$F:$F,Xero!$B:$B,Heron!BE$9,Xero!$A:$A,Heron!$A$4,Xero!$E:$E,Heron!$A51)+SUMIFS(Xero!$F:$F,Xero!$B:$B,Heron!BE$9,Xero!$A:$A,Heron!$A$5,Xero!$E:$E,Heron!$A51)</f>
        <v>0</v>
      </c>
      <c r="BF51" s="99">
        <f>SUMIFS(Xero!$F:$F,Xero!$B:$B,Heron!BF$9,Xero!$A:$A,Heron!$A$4,Xero!$E:$E,Heron!$A51)+SUMIFS(Xero!$F:$F,Xero!$B:$B,Heron!BF$9,Xero!$A:$A,Heron!$A$5,Xero!$E:$E,Heron!$A51)</f>
        <v>0</v>
      </c>
      <c r="BG51" s="99">
        <f>SUMIFS(Xero!$F:$F,Xero!$B:$B,Heron!BG$9,Xero!$A:$A,Heron!$A$4,Xero!$E:$E,Heron!$A51)+SUMIFS(Xero!$F:$F,Xero!$B:$B,Heron!BG$9,Xero!$A:$A,Heron!$A$5,Xero!$E:$E,Heron!$A51)</f>
        <v>0</v>
      </c>
      <c r="BH51" s="99">
        <f>SUMIFS(Xero!$F:$F,Xero!$B:$B,Heron!BH$9,Xero!$A:$A,Heron!$A$4,Xero!$E:$E,Heron!$A51)+SUMIFS(Xero!$F:$F,Xero!$B:$B,Heron!BH$9,Xero!$A:$A,Heron!$A$5,Xero!$E:$E,Heron!$A51)</f>
        <v>0</v>
      </c>
      <c r="BI51" s="99">
        <f>SUMIFS(Xero!$F:$F,Xero!$B:$B,Heron!BI$9,Xero!$A:$A,Heron!$A$4,Xero!$E:$E,Heron!$A51)+SUMIFS(Xero!$F:$F,Xero!$B:$B,Heron!BI$9,Xero!$A:$A,Heron!$A$5,Xero!$E:$E,Heron!$A51)</f>
        <v>0</v>
      </c>
      <c r="BJ51" s="99">
        <f>SUMIFS(Xero!$F:$F,Xero!$B:$B,Heron!BJ$9,Xero!$A:$A,Heron!$A$4,Xero!$E:$E,Heron!$A51)+SUMIFS(Xero!$F:$F,Xero!$B:$B,Heron!BJ$9,Xero!$A:$A,Heron!$A$5,Xero!$E:$E,Heron!$A51)</f>
        <v>0</v>
      </c>
      <c r="BK51" s="99">
        <f t="shared" si="4"/>
        <v>45300.43</v>
      </c>
    </row>
    <row r="52" spans="1:63" ht="16" x14ac:dyDescent="0.2">
      <c r="A52" s="98" t="s">
        <v>1248</v>
      </c>
      <c r="D52" s="99">
        <f>SUMIFS(Xero!$F:$F,Xero!$B:$B,Heron!D$9,Xero!$A:$A,Heron!$A$4,Xero!$E:$E,Heron!$A52)+SUMIFS(Xero!$F:$F,Xero!$B:$B,Heron!D$9,Xero!$A:$A,Heron!$A$5,Xero!$E:$E,Heron!$A52)</f>
        <v>0</v>
      </c>
      <c r="E52" s="99">
        <f>SUMIFS(Xero!$F:$F,Xero!$B:$B,Heron!E$9,Xero!$A:$A,Heron!$A$4,Xero!$E:$E,Heron!$A52)+SUMIFS(Xero!$F:$F,Xero!$B:$B,Heron!E$9,Xero!$A:$A,Heron!$A$5,Xero!$E:$E,Heron!$A52)</f>
        <v>0</v>
      </c>
      <c r="F52" s="99">
        <f>SUMIFS(Xero!$F:$F,Xero!$B:$B,Heron!F$9,Xero!$A:$A,Heron!$A$4,Xero!$E:$E,Heron!$A52)+SUMIFS(Xero!$F:$F,Xero!$B:$B,Heron!F$9,Xero!$A:$A,Heron!$A$5,Xero!$E:$E,Heron!$A52)</f>
        <v>0</v>
      </c>
      <c r="G52" s="99">
        <f>SUMIFS(Xero!$F:$F,Xero!$B:$B,Heron!G$9,Xero!$A:$A,Heron!$A$4,Xero!$E:$E,Heron!$A52)+SUMIFS(Xero!$F:$F,Xero!$B:$B,Heron!G$9,Xero!$A:$A,Heron!$A$5,Xero!$E:$E,Heron!$A52)</f>
        <v>0</v>
      </c>
      <c r="H52" s="99">
        <f>SUMIFS(Xero!$F:$F,Xero!$B:$B,Heron!H$9,Xero!$A:$A,Heron!$A$4,Xero!$E:$E,Heron!$A52)+SUMIFS(Xero!$F:$F,Xero!$B:$B,Heron!H$9,Xero!$A:$A,Heron!$A$5,Xero!$E:$E,Heron!$A52)</f>
        <v>0</v>
      </c>
      <c r="I52" s="99">
        <f>SUMIFS(Xero!$F:$F,Xero!$B:$B,Heron!I$9,Xero!$A:$A,Heron!$A$4,Xero!$E:$E,Heron!$A52)+SUMIFS(Xero!$F:$F,Xero!$B:$B,Heron!I$9,Xero!$A:$A,Heron!$A$5,Xero!$E:$E,Heron!$A52)</f>
        <v>0</v>
      </c>
      <c r="J52" s="99">
        <f>SUMIFS(Xero!$F:$F,Xero!$B:$B,Heron!J$9,Xero!$A:$A,Heron!$A$4,Xero!$E:$E,Heron!$A52)+SUMIFS(Xero!$F:$F,Xero!$B:$B,Heron!J$9,Xero!$A:$A,Heron!$A$5,Xero!$E:$E,Heron!$A52)</f>
        <v>3380</v>
      </c>
      <c r="K52" s="99">
        <f>SUMIFS(Xero!$F:$F,Xero!$B:$B,Heron!K$9,Xero!$A:$A,Heron!$A$4,Xero!$E:$E,Heron!$A52)+SUMIFS(Xero!$F:$F,Xero!$B:$B,Heron!K$9,Xero!$A:$A,Heron!$A$5,Xero!$E:$E,Heron!$A52)</f>
        <v>2850</v>
      </c>
      <c r="L52" s="99">
        <f>SUMIFS(Xero!$F:$F,Xero!$B:$B,Heron!L$9,Xero!$A:$A,Heron!$A$4,Xero!$E:$E,Heron!$A52)+SUMIFS(Xero!$F:$F,Xero!$B:$B,Heron!L$9,Xero!$A:$A,Heron!$A$5,Xero!$E:$E,Heron!$A52)</f>
        <v>2084</v>
      </c>
      <c r="M52" s="99">
        <f>SUMIFS(Xero!$F:$F,Xero!$B:$B,Heron!M$9,Xero!$A:$A,Heron!$A$4,Xero!$E:$E,Heron!$A52)+SUMIFS(Xero!$F:$F,Xero!$B:$B,Heron!M$9,Xero!$A:$A,Heron!$A$5,Xero!$E:$E,Heron!$A52)</f>
        <v>1500</v>
      </c>
      <c r="N52" s="99">
        <f>SUMIFS(Xero!$F:$F,Xero!$B:$B,Heron!N$9,Xero!$A:$A,Heron!$A$4,Xero!$E:$E,Heron!$A52)+SUMIFS(Xero!$F:$F,Xero!$B:$B,Heron!N$9,Xero!$A:$A,Heron!$A$5,Xero!$E:$E,Heron!$A52)</f>
        <v>0</v>
      </c>
      <c r="O52" s="99">
        <f>SUMIFS(Xero!$F:$F,Xero!$B:$B,Heron!O$9,Xero!$A:$A,Heron!$A$4,Xero!$E:$E,Heron!$A52)+SUMIFS(Xero!$F:$F,Xero!$B:$B,Heron!O$9,Xero!$A:$A,Heron!$A$5,Xero!$E:$E,Heron!$A52)</f>
        <v>0</v>
      </c>
      <c r="P52" s="99">
        <f>SUMIFS(Xero!$F:$F,Xero!$B:$B,Heron!P$9,Xero!$A:$A,Heron!$A$4,Xero!$E:$E,Heron!$A52)+SUMIFS(Xero!$F:$F,Xero!$B:$B,Heron!P$9,Xero!$A:$A,Heron!$A$5,Xero!$E:$E,Heron!$A52)</f>
        <v>0</v>
      </c>
      <c r="Q52" s="99">
        <f>SUMIFS(Xero!$F:$F,Xero!$B:$B,Heron!Q$9,Xero!$A:$A,Heron!$A$4,Xero!$E:$E,Heron!$A52)+SUMIFS(Xero!$F:$F,Xero!$B:$B,Heron!Q$9,Xero!$A:$A,Heron!$A$5,Xero!$E:$E,Heron!$A52)</f>
        <v>0</v>
      </c>
      <c r="R52" s="99">
        <f>SUMIFS(Xero!$F:$F,Xero!$B:$B,Heron!R$9,Xero!$A:$A,Heron!$A$4,Xero!$E:$E,Heron!$A52)+SUMIFS(Xero!$F:$F,Xero!$B:$B,Heron!R$9,Xero!$A:$A,Heron!$A$5,Xero!$E:$E,Heron!$A52)</f>
        <v>0</v>
      </c>
      <c r="S52" s="99">
        <f>SUMIFS(Xero!$F:$F,Xero!$B:$B,Heron!S$9,Xero!$A:$A,Heron!$A$4,Xero!$E:$E,Heron!$A52)+SUMIFS(Xero!$F:$F,Xero!$B:$B,Heron!S$9,Xero!$A:$A,Heron!$A$5,Xero!$E:$E,Heron!$A52)</f>
        <v>0</v>
      </c>
      <c r="T52" s="99">
        <f>SUMIFS(Xero!$F:$F,Xero!$B:$B,Heron!T$9,Xero!$A:$A,Heron!$A$4,Xero!$E:$E,Heron!$A52)+SUMIFS(Xero!$F:$F,Xero!$B:$B,Heron!T$9,Xero!$A:$A,Heron!$A$5,Xero!$E:$E,Heron!$A52)</f>
        <v>0</v>
      </c>
      <c r="U52" s="99">
        <f>SUMIFS(Xero!$F:$F,Xero!$B:$B,Heron!U$9,Xero!$A:$A,Heron!$A$4,Xero!$E:$E,Heron!$A52)+SUMIFS(Xero!$F:$F,Xero!$B:$B,Heron!U$9,Xero!$A:$A,Heron!$A$5,Xero!$E:$E,Heron!$A52)</f>
        <v>0</v>
      </c>
      <c r="V52" s="99">
        <f>SUMIFS(Xero!$F:$F,Xero!$B:$B,Heron!V$9,Xero!$A:$A,Heron!$A$4,Xero!$E:$E,Heron!$A52)+SUMIFS(Xero!$F:$F,Xero!$B:$B,Heron!V$9,Xero!$A:$A,Heron!$A$5,Xero!$E:$E,Heron!$A52)</f>
        <v>0</v>
      </c>
      <c r="W52" s="99">
        <f>SUMIFS(Xero!$F:$F,Xero!$B:$B,Heron!W$9,Xero!$A:$A,Heron!$A$4,Xero!$E:$E,Heron!$A52)+SUMIFS(Xero!$F:$F,Xero!$B:$B,Heron!W$9,Xero!$A:$A,Heron!$A$5,Xero!$E:$E,Heron!$A52)</f>
        <v>0</v>
      </c>
      <c r="X52" s="99">
        <f>SUMIFS(Xero!$F:$F,Xero!$B:$B,Heron!X$9,Xero!$A:$A,Heron!$A$4,Xero!$E:$E,Heron!$A52)+SUMIFS(Xero!$F:$F,Xero!$B:$B,Heron!X$9,Xero!$A:$A,Heron!$A$5,Xero!$E:$E,Heron!$A52)</f>
        <v>0</v>
      </c>
      <c r="Y52" s="99">
        <f>SUMIFS(Xero!$F:$F,Xero!$B:$B,Heron!Y$9,Xero!$A:$A,Heron!$A$4,Xero!$E:$E,Heron!$A52)+SUMIFS(Xero!$F:$F,Xero!$B:$B,Heron!Y$9,Xero!$A:$A,Heron!$A$5,Xero!$E:$E,Heron!$A52)</f>
        <v>0</v>
      </c>
      <c r="Z52" s="99">
        <f>SUMIFS(Xero!$F:$F,Xero!$B:$B,Heron!Z$9,Xero!$A:$A,Heron!$A$4,Xero!$E:$E,Heron!$A52)+SUMIFS(Xero!$F:$F,Xero!$B:$B,Heron!Z$9,Xero!$A:$A,Heron!$A$5,Xero!$E:$E,Heron!$A52)</f>
        <v>0</v>
      </c>
      <c r="AA52" s="99">
        <f>SUMIFS(Xero!$F:$F,Xero!$B:$B,Heron!AA$9,Xero!$A:$A,Heron!$A$4,Xero!$E:$E,Heron!$A52)+SUMIFS(Xero!$F:$F,Xero!$B:$B,Heron!AA$9,Xero!$A:$A,Heron!$A$5,Xero!$E:$E,Heron!$A52)</f>
        <v>0</v>
      </c>
      <c r="AB52" s="99">
        <f>SUMIFS(Xero!$F:$F,Xero!$B:$B,Heron!AB$9,Xero!$A:$A,Heron!$A$4,Xero!$E:$E,Heron!$A52)+SUMIFS(Xero!$F:$F,Xero!$B:$B,Heron!AB$9,Xero!$A:$A,Heron!$A$5,Xero!$E:$E,Heron!$A52)</f>
        <v>0</v>
      </c>
      <c r="AC52" s="99">
        <f>SUMIFS(Xero!$F:$F,Xero!$B:$B,Heron!AC$9,Xero!$A:$A,Heron!$A$4,Xero!$E:$E,Heron!$A52)+SUMIFS(Xero!$F:$F,Xero!$B:$B,Heron!AC$9,Xero!$A:$A,Heron!$A$5,Xero!$E:$E,Heron!$A52)</f>
        <v>0</v>
      </c>
      <c r="AD52" s="99">
        <f>SUMIFS(Xero!$F:$F,Xero!$B:$B,Heron!AD$9,Xero!$A:$A,Heron!$A$4,Xero!$E:$E,Heron!$A52)+SUMIFS(Xero!$F:$F,Xero!$B:$B,Heron!AD$9,Xero!$A:$A,Heron!$A$5,Xero!$E:$E,Heron!$A52)</f>
        <v>0</v>
      </c>
      <c r="AE52" s="99">
        <f>SUMIFS(Xero!$F:$F,Xero!$B:$B,Heron!AE$9,Xero!$A:$A,Heron!$A$4,Xero!$E:$E,Heron!$A52)+SUMIFS(Xero!$F:$F,Xero!$B:$B,Heron!AE$9,Xero!$A:$A,Heron!$A$5,Xero!$E:$E,Heron!$A52)</f>
        <v>0</v>
      </c>
      <c r="AF52" s="99">
        <f>SUMIFS(Xero!$F:$F,Xero!$B:$B,Heron!AF$9,Xero!$A:$A,Heron!$A$4,Xero!$E:$E,Heron!$A52)+SUMIFS(Xero!$F:$F,Xero!$B:$B,Heron!AF$9,Xero!$A:$A,Heron!$A$5,Xero!$E:$E,Heron!$A52)</f>
        <v>0</v>
      </c>
      <c r="AG52" s="99">
        <f>SUMIFS(Xero!$F:$F,Xero!$B:$B,Heron!AG$9,Xero!$A:$A,Heron!$A$4,Xero!$E:$E,Heron!$A52)+SUMIFS(Xero!$F:$F,Xero!$B:$B,Heron!AG$9,Xero!$A:$A,Heron!$A$5,Xero!$E:$E,Heron!$A52)</f>
        <v>0</v>
      </c>
      <c r="AH52" s="99">
        <f>SUMIFS(Xero!$F:$F,Xero!$B:$B,Heron!AH$9,Xero!$A:$A,Heron!$A$4,Xero!$E:$E,Heron!$A52)+SUMIFS(Xero!$F:$F,Xero!$B:$B,Heron!AH$9,Xero!$A:$A,Heron!$A$5,Xero!$E:$E,Heron!$A52)</f>
        <v>0</v>
      </c>
      <c r="AI52" s="99">
        <f>SUMIFS(Xero!$F:$F,Xero!$B:$B,Heron!AI$9,Xero!$A:$A,Heron!$A$4,Xero!$E:$E,Heron!$A52)+SUMIFS(Xero!$F:$F,Xero!$B:$B,Heron!AI$9,Xero!$A:$A,Heron!$A$5,Xero!$E:$E,Heron!$A52)</f>
        <v>0</v>
      </c>
      <c r="AJ52" s="99">
        <f>SUMIFS(Xero!$F:$F,Xero!$B:$B,Heron!AJ$9,Xero!$A:$A,Heron!$A$4,Xero!$E:$E,Heron!$A52)+SUMIFS(Xero!$F:$F,Xero!$B:$B,Heron!AJ$9,Xero!$A:$A,Heron!$A$5,Xero!$E:$E,Heron!$A52)</f>
        <v>0</v>
      </c>
      <c r="AK52" s="99">
        <f>SUMIFS(Xero!$F:$F,Xero!$B:$B,Heron!AK$9,Xero!$A:$A,Heron!$A$4,Xero!$E:$E,Heron!$A52)+SUMIFS(Xero!$F:$F,Xero!$B:$B,Heron!AK$9,Xero!$A:$A,Heron!$A$5,Xero!$E:$E,Heron!$A52)</f>
        <v>0</v>
      </c>
      <c r="AL52" s="99">
        <f>SUMIFS(Xero!$F:$F,Xero!$B:$B,Heron!AL$9,Xero!$A:$A,Heron!$A$4,Xero!$E:$E,Heron!$A52)+SUMIFS(Xero!$F:$F,Xero!$B:$B,Heron!AL$9,Xero!$A:$A,Heron!$A$5,Xero!$E:$E,Heron!$A52)</f>
        <v>0</v>
      </c>
      <c r="AM52" s="99">
        <f>SUMIFS(Xero!$F:$F,Xero!$B:$B,Heron!AM$9,Xero!$A:$A,Heron!$A$4,Xero!$E:$E,Heron!$A52)+SUMIFS(Xero!$F:$F,Xero!$B:$B,Heron!AM$9,Xero!$A:$A,Heron!$A$5,Xero!$E:$E,Heron!$A52)</f>
        <v>0</v>
      </c>
      <c r="AN52" s="99">
        <f>SUMIFS(Xero!$F:$F,Xero!$B:$B,Heron!AN$9,Xero!$A:$A,Heron!$A$4,Xero!$E:$E,Heron!$A52)+SUMIFS(Xero!$F:$F,Xero!$B:$B,Heron!AN$9,Xero!$A:$A,Heron!$A$5,Xero!$E:$E,Heron!$A52)</f>
        <v>0</v>
      </c>
      <c r="AO52" s="99">
        <f>SUMIFS(Xero!$F:$F,Xero!$B:$B,Heron!AO$9,Xero!$A:$A,Heron!$A$4,Xero!$E:$E,Heron!$A52)+SUMIFS(Xero!$F:$F,Xero!$B:$B,Heron!AO$9,Xero!$A:$A,Heron!$A$5,Xero!$E:$E,Heron!$A52)</f>
        <v>0</v>
      </c>
      <c r="AP52" s="99">
        <f>SUMIFS(Xero!$F:$F,Xero!$B:$B,Heron!AP$9,Xero!$A:$A,Heron!$A$4,Xero!$E:$E,Heron!$A52)+SUMIFS(Xero!$F:$F,Xero!$B:$B,Heron!AP$9,Xero!$A:$A,Heron!$A$5,Xero!$E:$E,Heron!$A52)</f>
        <v>0</v>
      </c>
      <c r="AQ52" s="99">
        <f>SUMIFS(Xero!$F:$F,Xero!$B:$B,Heron!AQ$9,Xero!$A:$A,Heron!$A$4,Xero!$E:$E,Heron!$A52)+SUMIFS(Xero!$F:$F,Xero!$B:$B,Heron!AQ$9,Xero!$A:$A,Heron!$A$5,Xero!$E:$E,Heron!$A52)</f>
        <v>0</v>
      </c>
      <c r="AR52" s="99">
        <f>SUMIFS(Xero!$F:$F,Xero!$B:$B,Heron!AR$9,Xero!$A:$A,Heron!$A$4,Xero!$E:$E,Heron!$A52)+SUMIFS(Xero!$F:$F,Xero!$B:$B,Heron!AR$9,Xero!$A:$A,Heron!$A$5,Xero!$E:$E,Heron!$A52)</f>
        <v>0</v>
      </c>
      <c r="AS52" s="99">
        <f>SUMIFS(Xero!$F:$F,Xero!$B:$B,Heron!AS$9,Xero!$A:$A,Heron!$A$4,Xero!$E:$E,Heron!$A52)+SUMIFS(Xero!$F:$F,Xero!$B:$B,Heron!AS$9,Xero!$A:$A,Heron!$A$5,Xero!$E:$E,Heron!$A52)</f>
        <v>0</v>
      </c>
      <c r="AT52" s="99">
        <f>SUMIFS(Xero!$F:$F,Xero!$B:$B,Heron!AT$9,Xero!$A:$A,Heron!$A$4,Xero!$E:$E,Heron!$A52)+SUMIFS(Xero!$F:$F,Xero!$B:$B,Heron!AT$9,Xero!$A:$A,Heron!$A$5,Xero!$E:$E,Heron!$A52)</f>
        <v>0</v>
      </c>
      <c r="AU52" s="99">
        <f>SUMIFS(Xero!$F:$F,Xero!$B:$B,Heron!AU$9,Xero!$A:$A,Heron!$A$4,Xero!$E:$E,Heron!$A52)+SUMIFS(Xero!$F:$F,Xero!$B:$B,Heron!AU$9,Xero!$A:$A,Heron!$A$5,Xero!$E:$E,Heron!$A52)</f>
        <v>0</v>
      </c>
      <c r="AV52" s="99">
        <f>SUMIFS(Xero!$F:$F,Xero!$B:$B,Heron!AV$9,Xero!$A:$A,Heron!$A$4,Xero!$E:$E,Heron!$A52)+SUMIFS(Xero!$F:$F,Xero!$B:$B,Heron!AV$9,Xero!$A:$A,Heron!$A$5,Xero!$E:$E,Heron!$A52)</f>
        <v>0</v>
      </c>
      <c r="AW52" s="99">
        <f>SUMIFS(Xero!$F:$F,Xero!$B:$B,Heron!AW$9,Xero!$A:$A,Heron!$A$4,Xero!$E:$E,Heron!$A52)+SUMIFS(Xero!$F:$F,Xero!$B:$B,Heron!AW$9,Xero!$A:$A,Heron!$A$5,Xero!$E:$E,Heron!$A52)</f>
        <v>0</v>
      </c>
      <c r="AX52" s="99">
        <f>SUMIFS(Xero!$F:$F,Xero!$B:$B,Heron!AX$9,Xero!$A:$A,Heron!$A$4,Xero!$E:$E,Heron!$A52)+SUMIFS(Xero!$F:$F,Xero!$B:$B,Heron!AX$9,Xero!$A:$A,Heron!$A$5,Xero!$E:$E,Heron!$A52)</f>
        <v>0</v>
      </c>
      <c r="AY52" s="99">
        <f>SUMIFS(Xero!$F:$F,Xero!$B:$B,Heron!AY$9,Xero!$A:$A,Heron!$A$4,Xero!$E:$E,Heron!$A52)+SUMIFS(Xero!$F:$F,Xero!$B:$B,Heron!AY$9,Xero!$A:$A,Heron!$A$5,Xero!$E:$E,Heron!$A52)</f>
        <v>0</v>
      </c>
      <c r="AZ52" s="99">
        <f>SUMIFS(Xero!$F:$F,Xero!$B:$B,Heron!AZ$9,Xero!$A:$A,Heron!$A$4,Xero!$E:$E,Heron!$A52)+SUMIFS(Xero!$F:$F,Xero!$B:$B,Heron!AZ$9,Xero!$A:$A,Heron!$A$5,Xero!$E:$E,Heron!$A52)</f>
        <v>0</v>
      </c>
      <c r="BA52" s="99">
        <f>SUMIFS(Xero!$F:$F,Xero!$B:$B,Heron!BA$9,Xero!$A:$A,Heron!$A$4,Xero!$E:$E,Heron!$A52)+SUMIFS(Xero!$F:$F,Xero!$B:$B,Heron!BA$9,Xero!$A:$A,Heron!$A$5,Xero!$E:$E,Heron!$A52)</f>
        <v>0</v>
      </c>
      <c r="BB52" s="99">
        <f>SUMIFS(Xero!$F:$F,Xero!$B:$B,Heron!BB$9,Xero!$A:$A,Heron!$A$4,Xero!$E:$E,Heron!$A52)+SUMIFS(Xero!$F:$F,Xero!$B:$B,Heron!BB$9,Xero!$A:$A,Heron!$A$5,Xero!$E:$E,Heron!$A52)</f>
        <v>0</v>
      </c>
      <c r="BC52" s="99">
        <f>SUMIFS(Xero!$F:$F,Xero!$B:$B,Heron!BC$9,Xero!$A:$A,Heron!$A$4,Xero!$E:$E,Heron!$A52)+SUMIFS(Xero!$F:$F,Xero!$B:$B,Heron!BC$9,Xero!$A:$A,Heron!$A$5,Xero!$E:$E,Heron!$A52)</f>
        <v>0</v>
      </c>
      <c r="BD52" s="99">
        <f>SUMIFS(Xero!$F:$F,Xero!$B:$B,Heron!BD$9,Xero!$A:$A,Heron!$A$4,Xero!$E:$E,Heron!$A52)+SUMIFS(Xero!$F:$F,Xero!$B:$B,Heron!BD$9,Xero!$A:$A,Heron!$A$5,Xero!$E:$E,Heron!$A52)</f>
        <v>0</v>
      </c>
      <c r="BE52" s="99">
        <f>SUMIFS(Xero!$F:$F,Xero!$B:$B,Heron!BE$9,Xero!$A:$A,Heron!$A$4,Xero!$E:$E,Heron!$A52)+SUMIFS(Xero!$F:$F,Xero!$B:$B,Heron!BE$9,Xero!$A:$A,Heron!$A$5,Xero!$E:$E,Heron!$A52)</f>
        <v>0</v>
      </c>
      <c r="BF52" s="99">
        <f>SUMIFS(Xero!$F:$F,Xero!$B:$B,Heron!BF$9,Xero!$A:$A,Heron!$A$4,Xero!$E:$E,Heron!$A52)+SUMIFS(Xero!$F:$F,Xero!$B:$B,Heron!BF$9,Xero!$A:$A,Heron!$A$5,Xero!$E:$E,Heron!$A52)</f>
        <v>0</v>
      </c>
      <c r="BG52" s="99">
        <f>SUMIFS(Xero!$F:$F,Xero!$B:$B,Heron!BG$9,Xero!$A:$A,Heron!$A$4,Xero!$E:$E,Heron!$A52)+SUMIFS(Xero!$F:$F,Xero!$B:$B,Heron!BG$9,Xero!$A:$A,Heron!$A$5,Xero!$E:$E,Heron!$A52)</f>
        <v>0</v>
      </c>
      <c r="BH52" s="99">
        <f>SUMIFS(Xero!$F:$F,Xero!$B:$B,Heron!BH$9,Xero!$A:$A,Heron!$A$4,Xero!$E:$E,Heron!$A52)+SUMIFS(Xero!$F:$F,Xero!$B:$B,Heron!BH$9,Xero!$A:$A,Heron!$A$5,Xero!$E:$E,Heron!$A52)</f>
        <v>0</v>
      </c>
      <c r="BI52" s="99">
        <f>SUMIFS(Xero!$F:$F,Xero!$B:$B,Heron!BI$9,Xero!$A:$A,Heron!$A$4,Xero!$E:$E,Heron!$A52)+SUMIFS(Xero!$F:$F,Xero!$B:$B,Heron!BI$9,Xero!$A:$A,Heron!$A$5,Xero!$E:$E,Heron!$A52)</f>
        <v>0</v>
      </c>
      <c r="BJ52" s="99">
        <f>SUMIFS(Xero!$F:$F,Xero!$B:$B,Heron!BJ$9,Xero!$A:$A,Heron!$A$4,Xero!$E:$E,Heron!$A52)+SUMIFS(Xero!$F:$F,Xero!$B:$B,Heron!BJ$9,Xero!$A:$A,Heron!$A$5,Xero!$E:$E,Heron!$A52)</f>
        <v>0</v>
      </c>
      <c r="BK52" s="99">
        <f t="shared" si="4"/>
        <v>9814</v>
      </c>
    </row>
    <row r="53" spans="1:63" ht="16" x14ac:dyDescent="0.2">
      <c r="A53" s="98" t="s">
        <v>1679</v>
      </c>
      <c r="D53" s="99">
        <f>SUMIFS(Xero!$F:$F,Xero!$B:$B,Heron!D$9,Xero!$A:$A,Heron!$A$4,Xero!$E:$E,Heron!$A53)+SUMIFS(Xero!$F:$F,Xero!$B:$B,Heron!D$9,Xero!$A:$A,Heron!$A$5,Xero!$E:$E,Heron!$A53)</f>
        <v>0</v>
      </c>
      <c r="E53" s="99">
        <f>SUMIFS(Xero!$F:$F,Xero!$B:$B,Heron!E$9,Xero!$A:$A,Heron!$A$4,Xero!$E:$E,Heron!$A53)+SUMIFS(Xero!$F:$F,Xero!$B:$B,Heron!E$9,Xero!$A:$A,Heron!$A$5,Xero!$E:$E,Heron!$A53)</f>
        <v>0</v>
      </c>
      <c r="F53" s="99">
        <f>SUMIFS(Xero!$F:$F,Xero!$B:$B,Heron!F$9,Xero!$A:$A,Heron!$A$4,Xero!$E:$E,Heron!$A53)+SUMIFS(Xero!$F:$F,Xero!$B:$B,Heron!F$9,Xero!$A:$A,Heron!$A$5,Xero!$E:$E,Heron!$A53)</f>
        <v>0</v>
      </c>
      <c r="G53" s="99">
        <f>SUMIFS(Xero!$F:$F,Xero!$B:$B,Heron!G$9,Xero!$A:$A,Heron!$A$4,Xero!$E:$E,Heron!$A53)+SUMIFS(Xero!$F:$F,Xero!$B:$B,Heron!G$9,Xero!$A:$A,Heron!$A$5,Xero!$E:$E,Heron!$A53)</f>
        <v>0</v>
      </c>
      <c r="H53" s="99">
        <f>SUMIFS(Xero!$F:$F,Xero!$B:$B,Heron!H$9,Xero!$A:$A,Heron!$A$4,Xero!$E:$E,Heron!$A53)+SUMIFS(Xero!$F:$F,Xero!$B:$B,Heron!H$9,Xero!$A:$A,Heron!$A$5,Xero!$E:$E,Heron!$A53)</f>
        <v>0</v>
      </c>
      <c r="I53" s="99">
        <f>SUMIFS(Xero!$F:$F,Xero!$B:$B,Heron!I$9,Xero!$A:$A,Heron!$A$4,Xero!$E:$E,Heron!$A53)+SUMIFS(Xero!$F:$F,Xero!$B:$B,Heron!I$9,Xero!$A:$A,Heron!$A$5,Xero!$E:$E,Heron!$A53)</f>
        <v>0</v>
      </c>
      <c r="J53" s="99">
        <f>SUMIFS(Xero!$F:$F,Xero!$B:$B,Heron!J$9,Xero!$A:$A,Heron!$A$4,Xero!$E:$E,Heron!$A53)+SUMIFS(Xero!$F:$F,Xero!$B:$B,Heron!J$9,Xero!$A:$A,Heron!$A$5,Xero!$E:$E,Heron!$A53)</f>
        <v>0</v>
      </c>
      <c r="K53" s="99">
        <f>SUMIFS(Xero!$F:$F,Xero!$B:$B,Heron!K$9,Xero!$A:$A,Heron!$A$4,Xero!$E:$E,Heron!$A53)+SUMIFS(Xero!$F:$F,Xero!$B:$B,Heron!K$9,Xero!$A:$A,Heron!$A$5,Xero!$E:$E,Heron!$A53)</f>
        <v>0</v>
      </c>
      <c r="L53" s="99">
        <f>SUMIFS(Xero!$F:$F,Xero!$B:$B,Heron!L$9,Xero!$A:$A,Heron!$A$4,Xero!$E:$E,Heron!$A53)+SUMIFS(Xero!$F:$F,Xero!$B:$B,Heron!L$9,Xero!$A:$A,Heron!$A$5,Xero!$E:$E,Heron!$A53)</f>
        <v>0</v>
      </c>
      <c r="M53" s="99">
        <f>SUMIFS(Xero!$F:$F,Xero!$B:$B,Heron!M$9,Xero!$A:$A,Heron!$A$4,Xero!$E:$E,Heron!$A53)+SUMIFS(Xero!$F:$F,Xero!$B:$B,Heron!M$9,Xero!$A:$A,Heron!$A$5,Xero!$E:$E,Heron!$A53)</f>
        <v>0</v>
      </c>
      <c r="N53" s="99">
        <f>SUMIFS(Xero!$F:$F,Xero!$B:$B,Heron!N$9,Xero!$A:$A,Heron!$A$4,Xero!$E:$E,Heron!$A53)+SUMIFS(Xero!$F:$F,Xero!$B:$B,Heron!N$9,Xero!$A:$A,Heron!$A$5,Xero!$E:$E,Heron!$A53)</f>
        <v>0</v>
      </c>
      <c r="O53" s="99">
        <f>SUMIFS(Xero!$F:$F,Xero!$B:$B,Heron!O$9,Xero!$A:$A,Heron!$A$4,Xero!$E:$E,Heron!$A53)+SUMIFS(Xero!$F:$F,Xero!$B:$B,Heron!O$9,Xero!$A:$A,Heron!$A$5,Xero!$E:$E,Heron!$A53)</f>
        <v>0</v>
      </c>
      <c r="P53" s="99">
        <f>SUMIFS(Xero!$F:$F,Xero!$B:$B,Heron!P$9,Xero!$A:$A,Heron!$A$4,Xero!$E:$E,Heron!$A53)+SUMIFS(Xero!$F:$F,Xero!$B:$B,Heron!P$9,Xero!$A:$A,Heron!$A$5,Xero!$E:$E,Heron!$A53)</f>
        <v>0</v>
      </c>
      <c r="Q53" s="99">
        <f>SUMIFS(Xero!$F:$F,Xero!$B:$B,Heron!Q$9,Xero!$A:$A,Heron!$A$4,Xero!$E:$E,Heron!$A53)+SUMIFS(Xero!$F:$F,Xero!$B:$B,Heron!Q$9,Xero!$A:$A,Heron!$A$5,Xero!$E:$E,Heron!$A53)</f>
        <v>0</v>
      </c>
      <c r="R53" s="99">
        <f>SUMIFS(Xero!$F:$F,Xero!$B:$B,Heron!R$9,Xero!$A:$A,Heron!$A$4,Xero!$E:$E,Heron!$A53)+SUMIFS(Xero!$F:$F,Xero!$B:$B,Heron!R$9,Xero!$A:$A,Heron!$A$5,Xero!$E:$E,Heron!$A53)</f>
        <v>0</v>
      </c>
      <c r="S53" s="99">
        <f>SUMIFS(Xero!$F:$F,Xero!$B:$B,Heron!S$9,Xero!$A:$A,Heron!$A$4,Xero!$E:$E,Heron!$A53)+SUMIFS(Xero!$F:$F,Xero!$B:$B,Heron!S$9,Xero!$A:$A,Heron!$A$5,Xero!$E:$E,Heron!$A53)</f>
        <v>0</v>
      </c>
      <c r="T53" s="99">
        <f>SUMIFS(Xero!$F:$F,Xero!$B:$B,Heron!T$9,Xero!$A:$A,Heron!$A$4,Xero!$E:$E,Heron!$A53)+SUMIFS(Xero!$F:$F,Xero!$B:$B,Heron!T$9,Xero!$A:$A,Heron!$A$5,Xero!$E:$E,Heron!$A53)</f>
        <v>0</v>
      </c>
      <c r="U53" s="99">
        <f>SUMIFS(Xero!$F:$F,Xero!$B:$B,Heron!U$9,Xero!$A:$A,Heron!$A$4,Xero!$E:$E,Heron!$A53)+SUMIFS(Xero!$F:$F,Xero!$B:$B,Heron!U$9,Xero!$A:$A,Heron!$A$5,Xero!$E:$E,Heron!$A53)</f>
        <v>0</v>
      </c>
      <c r="V53" s="99">
        <f>SUMIFS(Xero!$F:$F,Xero!$B:$B,Heron!V$9,Xero!$A:$A,Heron!$A$4,Xero!$E:$E,Heron!$A53)+SUMIFS(Xero!$F:$F,Xero!$B:$B,Heron!V$9,Xero!$A:$A,Heron!$A$5,Xero!$E:$E,Heron!$A53)</f>
        <v>0</v>
      </c>
      <c r="W53" s="99">
        <f>SUMIFS(Xero!$F:$F,Xero!$B:$B,Heron!W$9,Xero!$A:$A,Heron!$A$4,Xero!$E:$E,Heron!$A53)+SUMIFS(Xero!$F:$F,Xero!$B:$B,Heron!W$9,Xero!$A:$A,Heron!$A$5,Xero!$E:$E,Heron!$A53)</f>
        <v>0</v>
      </c>
      <c r="X53" s="99">
        <f>SUMIFS(Xero!$F:$F,Xero!$B:$B,Heron!X$9,Xero!$A:$A,Heron!$A$4,Xero!$E:$E,Heron!$A53)+SUMIFS(Xero!$F:$F,Xero!$B:$B,Heron!X$9,Xero!$A:$A,Heron!$A$5,Xero!$E:$E,Heron!$A53)</f>
        <v>0</v>
      </c>
      <c r="Y53" s="99">
        <f>SUMIFS(Xero!$F:$F,Xero!$B:$B,Heron!Y$9,Xero!$A:$A,Heron!$A$4,Xero!$E:$E,Heron!$A53)+SUMIFS(Xero!$F:$F,Xero!$B:$B,Heron!Y$9,Xero!$A:$A,Heron!$A$5,Xero!$E:$E,Heron!$A53)</f>
        <v>0</v>
      </c>
      <c r="Z53" s="99">
        <f>SUMIFS(Xero!$F:$F,Xero!$B:$B,Heron!Z$9,Xero!$A:$A,Heron!$A$4,Xero!$E:$E,Heron!$A53)+SUMIFS(Xero!$F:$F,Xero!$B:$B,Heron!Z$9,Xero!$A:$A,Heron!$A$5,Xero!$E:$E,Heron!$A53)</f>
        <v>0</v>
      </c>
      <c r="AA53" s="99">
        <f>SUMIFS(Xero!$F:$F,Xero!$B:$B,Heron!AA$9,Xero!$A:$A,Heron!$A$4,Xero!$E:$E,Heron!$A53)+SUMIFS(Xero!$F:$F,Xero!$B:$B,Heron!AA$9,Xero!$A:$A,Heron!$A$5,Xero!$E:$E,Heron!$A53)</f>
        <v>0</v>
      </c>
      <c r="AB53" s="99">
        <f>SUMIFS(Xero!$F:$F,Xero!$B:$B,Heron!AB$9,Xero!$A:$A,Heron!$A$4,Xero!$E:$E,Heron!$A53)+SUMIFS(Xero!$F:$F,Xero!$B:$B,Heron!AB$9,Xero!$A:$A,Heron!$A$5,Xero!$E:$E,Heron!$A53)</f>
        <v>0</v>
      </c>
      <c r="AC53" s="99">
        <f>SUMIFS(Xero!$F:$F,Xero!$B:$B,Heron!AC$9,Xero!$A:$A,Heron!$A$4,Xero!$E:$E,Heron!$A53)+SUMIFS(Xero!$F:$F,Xero!$B:$B,Heron!AC$9,Xero!$A:$A,Heron!$A$5,Xero!$E:$E,Heron!$A53)</f>
        <v>0</v>
      </c>
      <c r="AD53" s="99">
        <f>SUMIFS(Xero!$F:$F,Xero!$B:$B,Heron!AD$9,Xero!$A:$A,Heron!$A$4,Xero!$E:$E,Heron!$A53)+SUMIFS(Xero!$F:$F,Xero!$B:$B,Heron!AD$9,Xero!$A:$A,Heron!$A$5,Xero!$E:$E,Heron!$A53)</f>
        <v>0</v>
      </c>
      <c r="AE53" s="99">
        <f>SUMIFS(Xero!$F:$F,Xero!$B:$B,Heron!AE$9,Xero!$A:$A,Heron!$A$4,Xero!$E:$E,Heron!$A53)+SUMIFS(Xero!$F:$F,Xero!$B:$B,Heron!AE$9,Xero!$A:$A,Heron!$A$5,Xero!$E:$E,Heron!$A53)</f>
        <v>31600</v>
      </c>
      <c r="AF53" s="99">
        <f>SUMIFS(Xero!$F:$F,Xero!$B:$B,Heron!AF$9,Xero!$A:$A,Heron!$A$4,Xero!$E:$E,Heron!$A53)+SUMIFS(Xero!$F:$F,Xero!$B:$B,Heron!AF$9,Xero!$A:$A,Heron!$A$5,Xero!$E:$E,Heron!$A53)</f>
        <v>0</v>
      </c>
      <c r="AG53" s="99">
        <f>SUMIFS(Xero!$F:$F,Xero!$B:$B,Heron!AG$9,Xero!$A:$A,Heron!$A$4,Xero!$E:$E,Heron!$A53)+SUMIFS(Xero!$F:$F,Xero!$B:$B,Heron!AG$9,Xero!$A:$A,Heron!$A$5,Xero!$E:$E,Heron!$A53)</f>
        <v>0</v>
      </c>
      <c r="AH53" s="99">
        <f>SUMIFS(Xero!$F:$F,Xero!$B:$B,Heron!AH$9,Xero!$A:$A,Heron!$A$4,Xero!$E:$E,Heron!$A53)+SUMIFS(Xero!$F:$F,Xero!$B:$B,Heron!AH$9,Xero!$A:$A,Heron!$A$5,Xero!$E:$E,Heron!$A53)</f>
        <v>0</v>
      </c>
      <c r="AI53" s="99">
        <f>SUMIFS(Xero!$F:$F,Xero!$B:$B,Heron!AI$9,Xero!$A:$A,Heron!$A$4,Xero!$E:$E,Heron!$A53)+SUMIFS(Xero!$F:$F,Xero!$B:$B,Heron!AI$9,Xero!$A:$A,Heron!$A$5,Xero!$E:$E,Heron!$A53)</f>
        <v>0</v>
      </c>
      <c r="AJ53" s="99">
        <f>SUMIFS(Xero!$F:$F,Xero!$B:$B,Heron!AJ$9,Xero!$A:$A,Heron!$A$4,Xero!$E:$E,Heron!$A53)+SUMIFS(Xero!$F:$F,Xero!$B:$B,Heron!AJ$9,Xero!$A:$A,Heron!$A$5,Xero!$E:$E,Heron!$A53)</f>
        <v>0</v>
      </c>
      <c r="AK53" s="99">
        <f>SUMIFS(Xero!$F:$F,Xero!$B:$B,Heron!AK$9,Xero!$A:$A,Heron!$A$4,Xero!$E:$E,Heron!$A53)+SUMIFS(Xero!$F:$F,Xero!$B:$B,Heron!AK$9,Xero!$A:$A,Heron!$A$5,Xero!$E:$E,Heron!$A53)</f>
        <v>0</v>
      </c>
      <c r="AL53" s="99">
        <f>SUMIFS(Xero!$F:$F,Xero!$B:$B,Heron!AL$9,Xero!$A:$A,Heron!$A$4,Xero!$E:$E,Heron!$A53)+SUMIFS(Xero!$F:$F,Xero!$B:$B,Heron!AL$9,Xero!$A:$A,Heron!$A$5,Xero!$E:$E,Heron!$A53)</f>
        <v>0</v>
      </c>
      <c r="AM53" s="99">
        <f>SUMIFS(Xero!$F:$F,Xero!$B:$B,Heron!AM$9,Xero!$A:$A,Heron!$A$4,Xero!$E:$E,Heron!$A53)+SUMIFS(Xero!$F:$F,Xero!$B:$B,Heron!AM$9,Xero!$A:$A,Heron!$A$5,Xero!$E:$E,Heron!$A53)</f>
        <v>0</v>
      </c>
      <c r="AN53" s="99">
        <f>SUMIFS(Xero!$F:$F,Xero!$B:$B,Heron!AN$9,Xero!$A:$A,Heron!$A$4,Xero!$E:$E,Heron!$A53)+SUMIFS(Xero!$F:$F,Xero!$B:$B,Heron!AN$9,Xero!$A:$A,Heron!$A$5,Xero!$E:$E,Heron!$A53)</f>
        <v>0</v>
      </c>
      <c r="AO53" s="99">
        <f>SUMIFS(Xero!$F:$F,Xero!$B:$B,Heron!AO$9,Xero!$A:$A,Heron!$A$4,Xero!$E:$E,Heron!$A53)+SUMIFS(Xero!$F:$F,Xero!$B:$B,Heron!AO$9,Xero!$A:$A,Heron!$A$5,Xero!$E:$E,Heron!$A53)</f>
        <v>0</v>
      </c>
      <c r="AP53" s="99">
        <f>SUMIFS(Xero!$F:$F,Xero!$B:$B,Heron!AP$9,Xero!$A:$A,Heron!$A$4,Xero!$E:$E,Heron!$A53)+SUMIFS(Xero!$F:$F,Xero!$B:$B,Heron!AP$9,Xero!$A:$A,Heron!$A$5,Xero!$E:$E,Heron!$A53)</f>
        <v>0</v>
      </c>
      <c r="AQ53" s="99">
        <f>SUMIFS(Xero!$F:$F,Xero!$B:$B,Heron!AQ$9,Xero!$A:$A,Heron!$A$4,Xero!$E:$E,Heron!$A53)+SUMIFS(Xero!$F:$F,Xero!$B:$B,Heron!AQ$9,Xero!$A:$A,Heron!$A$5,Xero!$E:$E,Heron!$A53)</f>
        <v>0</v>
      </c>
      <c r="AR53" s="99">
        <f>SUMIFS(Xero!$F:$F,Xero!$B:$B,Heron!AR$9,Xero!$A:$A,Heron!$A$4,Xero!$E:$E,Heron!$A53)+SUMIFS(Xero!$F:$F,Xero!$B:$B,Heron!AR$9,Xero!$A:$A,Heron!$A$5,Xero!$E:$E,Heron!$A53)</f>
        <v>0</v>
      </c>
      <c r="AS53" s="99">
        <f>SUMIFS(Xero!$F:$F,Xero!$B:$B,Heron!AS$9,Xero!$A:$A,Heron!$A$4,Xero!$E:$E,Heron!$A53)+SUMIFS(Xero!$F:$F,Xero!$B:$B,Heron!AS$9,Xero!$A:$A,Heron!$A$5,Xero!$E:$E,Heron!$A53)</f>
        <v>0</v>
      </c>
      <c r="AT53" s="99">
        <f>SUMIFS(Xero!$F:$F,Xero!$B:$B,Heron!AT$9,Xero!$A:$A,Heron!$A$4,Xero!$E:$E,Heron!$A53)+SUMIFS(Xero!$F:$F,Xero!$B:$B,Heron!AT$9,Xero!$A:$A,Heron!$A$5,Xero!$E:$E,Heron!$A53)</f>
        <v>0</v>
      </c>
      <c r="AU53" s="99">
        <f>SUMIFS(Xero!$F:$F,Xero!$B:$B,Heron!AU$9,Xero!$A:$A,Heron!$A$4,Xero!$E:$E,Heron!$A53)+SUMIFS(Xero!$F:$F,Xero!$B:$B,Heron!AU$9,Xero!$A:$A,Heron!$A$5,Xero!$E:$E,Heron!$A53)</f>
        <v>0</v>
      </c>
      <c r="AV53" s="99">
        <f>SUMIFS(Xero!$F:$F,Xero!$B:$B,Heron!AV$9,Xero!$A:$A,Heron!$A$4,Xero!$E:$E,Heron!$A53)+SUMIFS(Xero!$F:$F,Xero!$B:$B,Heron!AV$9,Xero!$A:$A,Heron!$A$5,Xero!$E:$E,Heron!$A53)</f>
        <v>0</v>
      </c>
      <c r="AW53" s="99">
        <f>SUMIFS(Xero!$F:$F,Xero!$B:$B,Heron!AW$9,Xero!$A:$A,Heron!$A$4,Xero!$E:$E,Heron!$A53)+SUMIFS(Xero!$F:$F,Xero!$B:$B,Heron!AW$9,Xero!$A:$A,Heron!$A$5,Xero!$E:$E,Heron!$A53)</f>
        <v>0</v>
      </c>
      <c r="AX53" s="99">
        <f>SUMIFS(Xero!$F:$F,Xero!$B:$B,Heron!AX$9,Xero!$A:$A,Heron!$A$4,Xero!$E:$E,Heron!$A53)+SUMIFS(Xero!$F:$F,Xero!$B:$B,Heron!AX$9,Xero!$A:$A,Heron!$A$5,Xero!$E:$E,Heron!$A53)</f>
        <v>0</v>
      </c>
      <c r="AY53" s="99">
        <f>SUMIFS(Xero!$F:$F,Xero!$B:$B,Heron!AY$9,Xero!$A:$A,Heron!$A$4,Xero!$E:$E,Heron!$A53)+SUMIFS(Xero!$F:$F,Xero!$B:$B,Heron!AY$9,Xero!$A:$A,Heron!$A$5,Xero!$E:$E,Heron!$A53)</f>
        <v>0</v>
      </c>
      <c r="AZ53" s="99">
        <f>SUMIFS(Xero!$F:$F,Xero!$B:$B,Heron!AZ$9,Xero!$A:$A,Heron!$A$4,Xero!$E:$E,Heron!$A53)+SUMIFS(Xero!$F:$F,Xero!$B:$B,Heron!AZ$9,Xero!$A:$A,Heron!$A$5,Xero!$E:$E,Heron!$A53)</f>
        <v>0</v>
      </c>
      <c r="BA53" s="99">
        <f>SUMIFS(Xero!$F:$F,Xero!$B:$B,Heron!BA$9,Xero!$A:$A,Heron!$A$4,Xero!$E:$E,Heron!$A53)+SUMIFS(Xero!$F:$F,Xero!$B:$B,Heron!BA$9,Xero!$A:$A,Heron!$A$5,Xero!$E:$E,Heron!$A53)</f>
        <v>0</v>
      </c>
      <c r="BB53" s="99">
        <f>SUMIFS(Xero!$F:$F,Xero!$B:$B,Heron!BB$9,Xero!$A:$A,Heron!$A$4,Xero!$E:$E,Heron!$A53)+SUMIFS(Xero!$F:$F,Xero!$B:$B,Heron!BB$9,Xero!$A:$A,Heron!$A$5,Xero!$E:$E,Heron!$A53)</f>
        <v>0</v>
      </c>
      <c r="BC53" s="99">
        <f>SUMIFS(Xero!$F:$F,Xero!$B:$B,Heron!BC$9,Xero!$A:$A,Heron!$A$4,Xero!$E:$E,Heron!$A53)+SUMIFS(Xero!$F:$F,Xero!$B:$B,Heron!BC$9,Xero!$A:$A,Heron!$A$5,Xero!$E:$E,Heron!$A53)</f>
        <v>0</v>
      </c>
      <c r="BD53" s="99">
        <f>SUMIFS(Xero!$F:$F,Xero!$B:$B,Heron!BD$9,Xero!$A:$A,Heron!$A$4,Xero!$E:$E,Heron!$A53)+SUMIFS(Xero!$F:$F,Xero!$B:$B,Heron!BD$9,Xero!$A:$A,Heron!$A$5,Xero!$E:$E,Heron!$A53)</f>
        <v>0</v>
      </c>
      <c r="BE53" s="99">
        <f>SUMIFS(Xero!$F:$F,Xero!$B:$B,Heron!BE$9,Xero!$A:$A,Heron!$A$4,Xero!$E:$E,Heron!$A53)+SUMIFS(Xero!$F:$F,Xero!$B:$B,Heron!BE$9,Xero!$A:$A,Heron!$A$5,Xero!$E:$E,Heron!$A53)</f>
        <v>0</v>
      </c>
      <c r="BF53" s="99">
        <f>SUMIFS(Xero!$F:$F,Xero!$B:$B,Heron!BF$9,Xero!$A:$A,Heron!$A$4,Xero!$E:$E,Heron!$A53)+SUMIFS(Xero!$F:$F,Xero!$B:$B,Heron!BF$9,Xero!$A:$A,Heron!$A$5,Xero!$E:$E,Heron!$A53)</f>
        <v>0</v>
      </c>
      <c r="BG53" s="99">
        <f>SUMIFS(Xero!$F:$F,Xero!$B:$B,Heron!BG$9,Xero!$A:$A,Heron!$A$4,Xero!$E:$E,Heron!$A53)+SUMIFS(Xero!$F:$F,Xero!$B:$B,Heron!BG$9,Xero!$A:$A,Heron!$A$5,Xero!$E:$E,Heron!$A53)</f>
        <v>0</v>
      </c>
      <c r="BH53" s="99">
        <f>SUMIFS(Xero!$F:$F,Xero!$B:$B,Heron!BH$9,Xero!$A:$A,Heron!$A$4,Xero!$E:$E,Heron!$A53)+SUMIFS(Xero!$F:$F,Xero!$B:$B,Heron!BH$9,Xero!$A:$A,Heron!$A$5,Xero!$E:$E,Heron!$A53)</f>
        <v>0</v>
      </c>
      <c r="BI53" s="99">
        <f>SUMIFS(Xero!$F:$F,Xero!$B:$B,Heron!BI$9,Xero!$A:$A,Heron!$A$4,Xero!$E:$E,Heron!$A53)+SUMIFS(Xero!$F:$F,Xero!$B:$B,Heron!BI$9,Xero!$A:$A,Heron!$A$5,Xero!$E:$E,Heron!$A53)</f>
        <v>0</v>
      </c>
      <c r="BJ53" s="99">
        <f>SUMIFS(Xero!$F:$F,Xero!$B:$B,Heron!BJ$9,Xero!$A:$A,Heron!$A$4,Xero!$E:$E,Heron!$A53)+SUMIFS(Xero!$F:$F,Xero!$B:$B,Heron!BJ$9,Xero!$A:$A,Heron!$A$5,Xero!$E:$E,Heron!$A53)</f>
        <v>0</v>
      </c>
      <c r="BK53" s="99">
        <f t="shared" si="4"/>
        <v>31600</v>
      </c>
    </row>
    <row r="54" spans="1:63" ht="16" x14ac:dyDescent="0.2">
      <c r="A54" s="98" t="s">
        <v>1532</v>
      </c>
      <c r="D54" s="99">
        <f>SUMIFS(Xero!$F:$F,Xero!$B:$B,Heron!D$9,Xero!$A:$A,Heron!$A$4,Xero!$E:$E,Heron!$A54)+SUMIFS(Xero!$F:$F,Xero!$B:$B,Heron!D$9,Xero!$A:$A,Heron!$A$5,Xero!$E:$E,Heron!$A54)+SUMIFS(Sales!$L:$L,Sales!$E:$E,FALSE,Sales!$A:$A,"&lt;&gt;"&amp;"Endulini",Sales!$H:$H,"&lt;="&amp;Heron!D$9,Sales!$H:$H,"&gt;"&amp;Heron!C$9,Sales!$F:$F,1)+SUMIFS(Sales!$M:$M,Sales!$E:$E,FALSE,Sales!$A:$A,"&lt;&gt;"&amp;"Endulini",Sales!$H:$H,"&lt;="&amp;Heron!D$9,Sales!$H:$H,"&gt;"&amp;Heron!C$9,Sales!$F:$F,1)+SUMIFS(Sales!$N:$N,Sales!$E:$E,FALSE,Sales!$A:$A,"&lt;&gt;"&amp;"Endulini",Sales!$H:$H,"&lt;="&amp;Heron!D$9,Sales!$H:$H,"&gt;"&amp;Heron!C$9,Sales!$F:$F,1)+SUMIFS(Sales!$P:$P,Sales!$E:$E,FALSE,Sales!$A:$A,"&lt;&gt;"&amp;"Endulini",Sales!$H:$H,"&lt;="&amp;Heron!D$9,Sales!$H:$H,"&gt;"&amp;Heron!C$9,Sales!$F:$F,1)</f>
        <v>0</v>
      </c>
      <c r="E54" s="99">
        <f>SUMIFS(Xero!$F:$F,Xero!$B:$B,Heron!E$9,Xero!$A:$A,Heron!$A$4,Xero!$E:$E,Heron!$A54)+SUMIFS(Xero!$F:$F,Xero!$B:$B,Heron!E$9,Xero!$A:$A,Heron!$A$5,Xero!$E:$E,Heron!$A54)+SUMIFS(Sales!$L:$L,Sales!$E:$E,FALSE,Sales!$A:$A,"&lt;&gt;"&amp;"Endulini",Sales!$H:$H,"&lt;="&amp;Heron!E$9,Sales!$H:$H,"&gt;"&amp;Heron!D$9,Sales!$F:$F,1)+SUMIFS(Sales!$M:$M,Sales!$E:$E,FALSE,Sales!$A:$A,"&lt;&gt;"&amp;"Endulini",Sales!$H:$H,"&lt;="&amp;Heron!E$9,Sales!$H:$H,"&gt;"&amp;Heron!D$9,Sales!$F:$F,1)+SUMIFS(Sales!$N:$N,Sales!$E:$E,FALSE,Sales!$A:$A,"&lt;&gt;"&amp;"Endulini",Sales!$H:$H,"&lt;="&amp;Heron!E$9,Sales!$H:$H,"&gt;"&amp;Heron!D$9,Sales!$F:$F,1)+SUMIFS(Sales!$P:$P,Sales!$E:$E,FALSE,Sales!$A:$A,"&lt;&gt;"&amp;"Endulini",Sales!$H:$H,"&lt;="&amp;Heron!E$9,Sales!$H:$H,"&gt;"&amp;Heron!D$9,Sales!$F:$F,1)</f>
        <v>0</v>
      </c>
      <c r="F54" s="99">
        <f>SUMIFS(Xero!$F:$F,Xero!$B:$B,Heron!F$9,Xero!$A:$A,Heron!$A$4,Xero!$E:$E,Heron!$A54)+SUMIFS(Xero!$F:$F,Xero!$B:$B,Heron!F$9,Xero!$A:$A,Heron!$A$5,Xero!$E:$E,Heron!$A54)+SUMIFS(Sales!$L:$L,Sales!$E:$E,FALSE,Sales!$A:$A,"&lt;&gt;"&amp;"Endulini",Sales!$H:$H,"&lt;="&amp;Heron!F$9,Sales!$H:$H,"&gt;"&amp;Heron!E$9,Sales!$F:$F,1)+SUMIFS(Sales!$M:$M,Sales!$E:$E,FALSE,Sales!$A:$A,"&lt;&gt;"&amp;"Endulini",Sales!$H:$H,"&lt;="&amp;Heron!F$9,Sales!$H:$H,"&gt;"&amp;Heron!E$9,Sales!$F:$F,1)+SUMIFS(Sales!$N:$N,Sales!$E:$E,FALSE,Sales!$A:$A,"&lt;&gt;"&amp;"Endulini",Sales!$H:$H,"&lt;="&amp;Heron!F$9,Sales!$H:$H,"&gt;"&amp;Heron!E$9,Sales!$F:$F,1)+SUMIFS(Sales!$P:$P,Sales!$E:$E,FALSE,Sales!$A:$A,"&lt;&gt;"&amp;"Endulini",Sales!$H:$H,"&lt;="&amp;Heron!F$9,Sales!$H:$H,"&gt;"&amp;Heron!E$9,Sales!$F:$F,1)</f>
        <v>0</v>
      </c>
      <c r="G54" s="99">
        <f>SUMIFS(Xero!$F:$F,Xero!$B:$B,Heron!G$9,Xero!$A:$A,Heron!$A$4,Xero!$E:$E,Heron!$A54)+SUMIFS(Xero!$F:$F,Xero!$B:$B,Heron!G$9,Xero!$A:$A,Heron!$A$5,Xero!$E:$E,Heron!$A54)+SUMIFS(Sales!$L:$L,Sales!$E:$E,FALSE,Sales!$A:$A,"&lt;&gt;"&amp;"Endulini",Sales!$H:$H,"&lt;="&amp;Heron!G$9,Sales!$H:$H,"&gt;"&amp;Heron!F$9,Sales!$F:$F,1)+SUMIFS(Sales!$M:$M,Sales!$E:$E,FALSE,Sales!$A:$A,"&lt;&gt;"&amp;"Endulini",Sales!$H:$H,"&lt;="&amp;Heron!G$9,Sales!$H:$H,"&gt;"&amp;Heron!F$9,Sales!$F:$F,1)+SUMIFS(Sales!$N:$N,Sales!$E:$E,FALSE,Sales!$A:$A,"&lt;&gt;"&amp;"Endulini",Sales!$H:$H,"&lt;="&amp;Heron!G$9,Sales!$H:$H,"&gt;"&amp;Heron!F$9,Sales!$F:$F,1)+SUMIFS(Sales!$P:$P,Sales!$E:$E,FALSE,Sales!$A:$A,"&lt;&gt;"&amp;"Endulini",Sales!$H:$H,"&lt;="&amp;Heron!G$9,Sales!$H:$H,"&gt;"&amp;Heron!F$9,Sales!$F:$F,1)</f>
        <v>0</v>
      </c>
      <c r="H54" s="99">
        <f>SUMIFS(Xero!$F:$F,Xero!$B:$B,Heron!H$9,Xero!$A:$A,Heron!$A$4,Xero!$E:$E,Heron!$A54)+SUMIFS(Xero!$F:$F,Xero!$B:$B,Heron!H$9,Xero!$A:$A,Heron!$A$5,Xero!$E:$E,Heron!$A54)+SUMIFS(Sales!$L:$L,Sales!$E:$E,FALSE,Sales!$A:$A,"&lt;&gt;"&amp;"Endulini",Sales!$H:$H,"&lt;="&amp;Heron!H$9,Sales!$H:$H,"&gt;"&amp;Heron!G$9,Sales!$F:$F,1)+SUMIFS(Sales!$M:$M,Sales!$E:$E,FALSE,Sales!$A:$A,"&lt;&gt;"&amp;"Endulini",Sales!$H:$H,"&lt;="&amp;Heron!H$9,Sales!$H:$H,"&gt;"&amp;Heron!G$9,Sales!$F:$F,1)+SUMIFS(Sales!$N:$N,Sales!$E:$E,FALSE,Sales!$A:$A,"&lt;&gt;"&amp;"Endulini",Sales!$H:$H,"&lt;="&amp;Heron!H$9,Sales!$H:$H,"&gt;"&amp;Heron!G$9,Sales!$F:$F,1)+SUMIFS(Sales!$P:$P,Sales!$E:$E,FALSE,Sales!$A:$A,"&lt;&gt;"&amp;"Endulini",Sales!$H:$H,"&lt;="&amp;Heron!H$9,Sales!$H:$H,"&gt;"&amp;Heron!G$9,Sales!$F:$F,1)</f>
        <v>0</v>
      </c>
      <c r="I54" s="99">
        <f>SUMIFS(Xero!$F:$F,Xero!$B:$B,Heron!I$9,Xero!$A:$A,Heron!$A$4,Xero!$E:$E,Heron!$A54)+SUMIFS(Xero!$F:$F,Xero!$B:$B,Heron!I$9,Xero!$A:$A,Heron!$A$5,Xero!$E:$E,Heron!$A54)+SUMIFS(Sales!$L:$L,Sales!$E:$E,FALSE,Sales!$A:$A,"&lt;&gt;"&amp;"Endulini",Sales!$H:$H,"&lt;="&amp;Heron!I$9,Sales!$H:$H,"&gt;"&amp;Heron!H$9,Sales!$F:$F,1)+SUMIFS(Sales!$M:$M,Sales!$E:$E,FALSE,Sales!$A:$A,"&lt;&gt;"&amp;"Endulini",Sales!$H:$H,"&lt;="&amp;Heron!I$9,Sales!$H:$H,"&gt;"&amp;Heron!H$9,Sales!$F:$F,1)+SUMIFS(Sales!$N:$N,Sales!$E:$E,FALSE,Sales!$A:$A,"&lt;&gt;"&amp;"Endulini",Sales!$H:$H,"&lt;="&amp;Heron!I$9,Sales!$H:$H,"&gt;"&amp;Heron!H$9,Sales!$F:$F,1)+SUMIFS(Sales!$P:$P,Sales!$E:$E,FALSE,Sales!$A:$A,"&lt;&gt;"&amp;"Endulini",Sales!$H:$H,"&lt;="&amp;Heron!I$9,Sales!$H:$H,"&gt;"&amp;Heron!H$9,Sales!$F:$F,1)</f>
        <v>0</v>
      </c>
      <c r="J54" s="99">
        <f>SUMIFS(Xero!$F:$F,Xero!$B:$B,Heron!J$9,Xero!$A:$A,Heron!$A$4,Xero!$E:$E,Heron!$A54)+SUMIFS(Xero!$F:$F,Xero!$B:$B,Heron!J$9,Xero!$A:$A,Heron!$A$5,Xero!$E:$E,Heron!$A54)+SUMIFS(Sales!$L:$L,Sales!$E:$E,FALSE,Sales!$A:$A,"&lt;&gt;"&amp;"Endulini",Sales!$H:$H,"&lt;="&amp;Heron!J$9,Sales!$H:$H,"&gt;"&amp;Heron!I$9,Sales!$F:$F,1)+SUMIFS(Sales!$M:$M,Sales!$E:$E,FALSE,Sales!$A:$A,"&lt;&gt;"&amp;"Endulini",Sales!$H:$H,"&lt;="&amp;Heron!J$9,Sales!$H:$H,"&gt;"&amp;Heron!I$9,Sales!$F:$F,1)+SUMIFS(Sales!$N:$N,Sales!$E:$E,FALSE,Sales!$A:$A,"&lt;&gt;"&amp;"Endulini",Sales!$H:$H,"&lt;="&amp;Heron!J$9,Sales!$H:$H,"&gt;"&amp;Heron!I$9,Sales!$F:$F,1)+SUMIFS(Sales!$P:$P,Sales!$E:$E,FALSE,Sales!$A:$A,"&lt;&gt;"&amp;"Endulini",Sales!$H:$H,"&lt;="&amp;Heron!J$9,Sales!$H:$H,"&gt;"&amp;Heron!I$9,Sales!$F:$F,1)</f>
        <v>0</v>
      </c>
      <c r="K54" s="99">
        <f>SUMIFS(Xero!$F:$F,Xero!$B:$B,Heron!K$9,Xero!$A:$A,Heron!$A$4,Xero!$E:$E,Heron!$A54)+SUMIFS(Xero!$F:$F,Xero!$B:$B,Heron!K$9,Xero!$A:$A,Heron!$A$5,Xero!$E:$E,Heron!$A54)+SUMIFS(Sales!$L:$L,Sales!$E:$E,FALSE,Sales!$A:$A,"&lt;&gt;"&amp;"Endulini",Sales!$H:$H,"&lt;="&amp;Heron!K$9,Sales!$H:$H,"&gt;"&amp;Heron!J$9,Sales!$F:$F,1)+SUMIFS(Sales!$M:$M,Sales!$E:$E,FALSE,Sales!$A:$A,"&lt;&gt;"&amp;"Endulini",Sales!$H:$H,"&lt;="&amp;Heron!K$9,Sales!$H:$H,"&gt;"&amp;Heron!J$9,Sales!$F:$F,1)+SUMIFS(Sales!$N:$N,Sales!$E:$E,FALSE,Sales!$A:$A,"&lt;&gt;"&amp;"Endulini",Sales!$H:$H,"&lt;="&amp;Heron!K$9,Sales!$H:$H,"&gt;"&amp;Heron!J$9,Sales!$F:$F,1)+SUMIFS(Sales!$P:$P,Sales!$E:$E,FALSE,Sales!$A:$A,"&lt;&gt;"&amp;"Endulini",Sales!$H:$H,"&lt;="&amp;Heron!K$9,Sales!$H:$H,"&gt;"&amp;Heron!J$9,Sales!$F:$F,1)</f>
        <v>0</v>
      </c>
      <c r="L54" s="99">
        <f>SUMIFS(Xero!$F:$F,Xero!$B:$B,Heron!L$9,Xero!$A:$A,Heron!$A$4,Xero!$E:$E,Heron!$A54)+SUMIFS(Xero!$F:$F,Xero!$B:$B,Heron!L$9,Xero!$A:$A,Heron!$A$5,Xero!$E:$E,Heron!$A54)+SUMIFS(Sales!$L:$L,Sales!$E:$E,FALSE,Sales!$A:$A,"&lt;&gt;"&amp;"Endulini",Sales!$H:$H,"&lt;="&amp;Heron!L$9,Sales!$H:$H,"&gt;"&amp;Heron!K$9,Sales!$F:$F,1)+SUMIFS(Sales!$M:$M,Sales!$E:$E,FALSE,Sales!$A:$A,"&lt;&gt;"&amp;"Endulini",Sales!$H:$H,"&lt;="&amp;Heron!L$9,Sales!$H:$H,"&gt;"&amp;Heron!K$9,Sales!$F:$F,1)+SUMIFS(Sales!$N:$N,Sales!$E:$E,FALSE,Sales!$A:$A,"&lt;&gt;"&amp;"Endulini",Sales!$H:$H,"&lt;="&amp;Heron!L$9,Sales!$H:$H,"&gt;"&amp;Heron!K$9,Sales!$F:$F,1)+SUMIFS(Sales!$P:$P,Sales!$E:$E,FALSE,Sales!$A:$A,"&lt;&gt;"&amp;"Endulini",Sales!$H:$H,"&lt;="&amp;Heron!L$9,Sales!$H:$H,"&gt;"&amp;Heron!K$9,Sales!$F:$F,1)</f>
        <v>0</v>
      </c>
      <c r="M54" s="99">
        <f>SUMIFS(Xero!$F:$F,Xero!$B:$B,Heron!M$9,Xero!$A:$A,Heron!$A$4,Xero!$E:$E,Heron!$A54)+SUMIFS(Xero!$F:$F,Xero!$B:$B,Heron!M$9,Xero!$A:$A,Heron!$A$5,Xero!$E:$E,Heron!$A54)+SUMIFS(Sales!$L:$L,Sales!$E:$E,FALSE,Sales!$A:$A,"&lt;&gt;"&amp;"Endulini",Sales!$H:$H,"&lt;="&amp;Heron!M$9,Sales!$H:$H,"&gt;"&amp;Heron!L$9,Sales!$F:$F,1)+SUMIFS(Sales!$M:$M,Sales!$E:$E,FALSE,Sales!$A:$A,"&lt;&gt;"&amp;"Endulini",Sales!$H:$H,"&lt;="&amp;Heron!M$9,Sales!$H:$H,"&gt;"&amp;Heron!L$9,Sales!$F:$F,1)+SUMIFS(Sales!$N:$N,Sales!$E:$E,FALSE,Sales!$A:$A,"&lt;&gt;"&amp;"Endulini",Sales!$H:$H,"&lt;="&amp;Heron!M$9,Sales!$H:$H,"&gt;"&amp;Heron!L$9,Sales!$F:$F,1)+SUMIFS(Sales!$P:$P,Sales!$E:$E,FALSE,Sales!$A:$A,"&lt;&gt;"&amp;"Endulini",Sales!$H:$H,"&lt;="&amp;Heron!M$9,Sales!$H:$H,"&gt;"&amp;Heron!L$9,Sales!$F:$F,1)</f>
        <v>0</v>
      </c>
      <c r="N54" s="99">
        <f>SUMIFS(Xero!$F:$F,Xero!$B:$B,Heron!N$9,Xero!$A:$A,Heron!$A$4,Xero!$E:$E,Heron!$A54)+SUMIFS(Xero!$F:$F,Xero!$B:$B,Heron!N$9,Xero!$A:$A,Heron!$A$5,Xero!$E:$E,Heron!$A54)+SUMIFS(Sales!$L:$L,Sales!$E:$E,FALSE,Sales!$A:$A,"&lt;&gt;"&amp;"Endulini",Sales!$H:$H,"&lt;="&amp;Heron!N$9,Sales!$H:$H,"&gt;"&amp;Heron!M$9,Sales!$F:$F,1)+SUMIFS(Sales!$M:$M,Sales!$E:$E,FALSE,Sales!$A:$A,"&lt;&gt;"&amp;"Endulini",Sales!$H:$H,"&lt;="&amp;Heron!N$9,Sales!$H:$H,"&gt;"&amp;Heron!M$9,Sales!$F:$F,1)+SUMIFS(Sales!$N:$N,Sales!$E:$E,FALSE,Sales!$A:$A,"&lt;&gt;"&amp;"Endulini",Sales!$H:$H,"&lt;="&amp;Heron!N$9,Sales!$H:$H,"&gt;"&amp;Heron!M$9,Sales!$F:$F,1)+SUMIFS(Sales!$P:$P,Sales!$E:$E,FALSE,Sales!$A:$A,"&lt;&gt;"&amp;"Endulini",Sales!$H:$H,"&lt;="&amp;Heron!N$9,Sales!$H:$H,"&gt;"&amp;Heron!M$9,Sales!$F:$F,1)</f>
        <v>0</v>
      </c>
      <c r="O54" s="99">
        <f>SUMIFS(Xero!$F:$F,Xero!$B:$B,Heron!O$9,Xero!$A:$A,Heron!$A$4,Xero!$E:$E,Heron!$A54)+SUMIFS(Xero!$F:$F,Xero!$B:$B,Heron!O$9,Xero!$A:$A,Heron!$A$5,Xero!$E:$E,Heron!$A54)+SUMIFS(Sales!$L:$L,Sales!$E:$E,FALSE,Sales!$A:$A,"&lt;&gt;"&amp;"Endulini",Sales!$H:$H,"&lt;="&amp;Heron!O$9,Sales!$H:$H,"&gt;"&amp;Heron!N$9,Sales!$F:$F,1)+SUMIFS(Sales!$M:$M,Sales!$E:$E,FALSE,Sales!$A:$A,"&lt;&gt;"&amp;"Endulini",Sales!$H:$H,"&lt;="&amp;Heron!O$9,Sales!$H:$H,"&gt;"&amp;Heron!N$9,Sales!$F:$F,1)+SUMIFS(Sales!$N:$N,Sales!$E:$E,FALSE,Sales!$A:$A,"&lt;&gt;"&amp;"Endulini",Sales!$H:$H,"&lt;="&amp;Heron!O$9,Sales!$H:$H,"&gt;"&amp;Heron!N$9,Sales!$F:$F,1)+SUMIFS(Sales!$P:$P,Sales!$E:$E,FALSE,Sales!$A:$A,"&lt;&gt;"&amp;"Endulini",Sales!$H:$H,"&lt;="&amp;Heron!O$9,Sales!$H:$H,"&gt;"&amp;Heron!N$9,Sales!$F:$F,1)</f>
        <v>0</v>
      </c>
      <c r="P54" s="99">
        <f>SUMIFS(Xero!$F:$F,Xero!$B:$B,Heron!P$9,Xero!$A:$A,Heron!$A$4,Xero!$E:$E,Heron!$A54)+SUMIFS(Xero!$F:$F,Xero!$B:$B,Heron!P$9,Xero!$A:$A,Heron!$A$5,Xero!$E:$E,Heron!$A54)+SUMIFS(Sales!$L:$L,Sales!$E:$E,FALSE,Sales!$A:$A,"&lt;&gt;"&amp;"Endulini",Sales!$H:$H,"&lt;="&amp;Heron!P$9,Sales!$H:$H,"&gt;"&amp;Heron!O$9,Sales!$F:$F,1)+SUMIFS(Sales!$M:$M,Sales!$E:$E,FALSE,Sales!$A:$A,"&lt;&gt;"&amp;"Endulini",Sales!$H:$H,"&lt;="&amp;Heron!P$9,Sales!$H:$H,"&gt;"&amp;Heron!O$9,Sales!$F:$F,1)+SUMIFS(Sales!$N:$N,Sales!$E:$E,FALSE,Sales!$A:$A,"&lt;&gt;"&amp;"Endulini",Sales!$H:$H,"&lt;="&amp;Heron!P$9,Sales!$H:$H,"&gt;"&amp;Heron!O$9,Sales!$F:$F,1)+SUMIFS(Sales!$P:$P,Sales!$E:$E,FALSE,Sales!$A:$A,"&lt;&gt;"&amp;"Endulini",Sales!$H:$H,"&lt;="&amp;Heron!P$9,Sales!$H:$H,"&gt;"&amp;Heron!O$9,Sales!$F:$F,1)</f>
        <v>0</v>
      </c>
      <c r="Q54" s="99">
        <f>SUMIFS(Xero!$F:$F,Xero!$B:$B,Heron!Q$9,Xero!$A:$A,Heron!$A$4,Xero!$E:$E,Heron!$A54)+SUMIFS(Xero!$F:$F,Xero!$B:$B,Heron!Q$9,Xero!$A:$A,Heron!$A$5,Xero!$E:$E,Heron!$A54)+SUMIFS(Sales!$L:$L,Sales!$E:$E,FALSE,Sales!$A:$A,"&lt;&gt;"&amp;"Endulini",Sales!$H:$H,"&lt;="&amp;Heron!Q$9,Sales!$H:$H,"&gt;"&amp;Heron!P$9,Sales!$F:$F,1)+SUMIFS(Sales!$M:$M,Sales!$E:$E,FALSE,Sales!$A:$A,"&lt;&gt;"&amp;"Endulini",Sales!$H:$H,"&lt;="&amp;Heron!Q$9,Sales!$H:$H,"&gt;"&amp;Heron!P$9,Sales!$F:$F,1)+SUMIFS(Sales!$N:$N,Sales!$E:$E,FALSE,Sales!$A:$A,"&lt;&gt;"&amp;"Endulini",Sales!$H:$H,"&lt;="&amp;Heron!Q$9,Sales!$H:$H,"&gt;"&amp;Heron!P$9,Sales!$F:$F,1)+SUMIFS(Sales!$P:$P,Sales!$E:$E,FALSE,Sales!$A:$A,"&lt;&gt;"&amp;"Endulini",Sales!$H:$H,"&lt;="&amp;Heron!Q$9,Sales!$H:$H,"&gt;"&amp;Heron!P$9,Sales!$F:$F,1)</f>
        <v>0</v>
      </c>
      <c r="R54" s="99">
        <f>SUMIFS(Xero!$F:$F,Xero!$B:$B,Heron!R$9,Xero!$A:$A,Heron!$A$4,Xero!$E:$E,Heron!$A54)+SUMIFS(Xero!$F:$F,Xero!$B:$B,Heron!R$9,Xero!$A:$A,Heron!$A$5,Xero!$E:$E,Heron!$A54)+SUMIFS(Sales!$L:$L,Sales!$E:$E,FALSE,Sales!$A:$A,"&lt;&gt;"&amp;"Endulini",Sales!$H:$H,"&lt;="&amp;Heron!R$9,Sales!$H:$H,"&gt;"&amp;Heron!Q$9,Sales!$F:$F,1)+SUMIFS(Sales!$M:$M,Sales!$E:$E,FALSE,Sales!$A:$A,"&lt;&gt;"&amp;"Endulini",Sales!$H:$H,"&lt;="&amp;Heron!R$9,Sales!$H:$H,"&gt;"&amp;Heron!Q$9,Sales!$F:$F,1)+SUMIFS(Sales!$N:$N,Sales!$E:$E,FALSE,Sales!$A:$A,"&lt;&gt;"&amp;"Endulini",Sales!$H:$H,"&lt;="&amp;Heron!R$9,Sales!$H:$H,"&gt;"&amp;Heron!Q$9,Sales!$F:$F,1)+SUMIFS(Sales!$P:$P,Sales!$E:$E,FALSE,Sales!$A:$A,"&lt;&gt;"&amp;"Endulini",Sales!$H:$H,"&lt;="&amp;Heron!R$9,Sales!$H:$H,"&gt;"&amp;Heron!Q$9,Sales!$F:$F,1)</f>
        <v>0</v>
      </c>
      <c r="S54" s="99">
        <f>SUMIFS(Xero!$F:$F,Xero!$B:$B,Heron!S$9,Xero!$A:$A,Heron!$A$4,Xero!$E:$E,Heron!$A54)+SUMIFS(Xero!$F:$F,Xero!$B:$B,Heron!S$9,Xero!$A:$A,Heron!$A$5,Xero!$E:$E,Heron!$A54)+SUMIFS(Sales!$L:$L,Sales!$E:$E,FALSE,Sales!$A:$A,"&lt;&gt;"&amp;"Endulini",Sales!$H:$H,"&lt;="&amp;Heron!S$9,Sales!$H:$H,"&gt;"&amp;Heron!R$9,Sales!$F:$F,1)+SUMIFS(Sales!$M:$M,Sales!$E:$E,FALSE,Sales!$A:$A,"&lt;&gt;"&amp;"Endulini",Sales!$H:$H,"&lt;="&amp;Heron!S$9,Sales!$H:$H,"&gt;"&amp;Heron!R$9,Sales!$F:$F,1)+SUMIFS(Sales!$N:$N,Sales!$E:$E,FALSE,Sales!$A:$A,"&lt;&gt;"&amp;"Endulini",Sales!$H:$H,"&lt;="&amp;Heron!S$9,Sales!$H:$H,"&gt;"&amp;Heron!R$9,Sales!$F:$F,1)+SUMIFS(Sales!$P:$P,Sales!$E:$E,FALSE,Sales!$A:$A,"&lt;&gt;"&amp;"Endulini",Sales!$H:$H,"&lt;="&amp;Heron!S$9,Sales!$H:$H,"&gt;"&amp;Heron!R$9,Sales!$F:$F,1)</f>
        <v>0</v>
      </c>
      <c r="T54" s="99">
        <f>SUMIFS(Xero!$F:$F,Xero!$B:$B,Heron!T$9,Xero!$A:$A,Heron!$A$4,Xero!$E:$E,Heron!$A54)+SUMIFS(Xero!$F:$F,Xero!$B:$B,Heron!T$9,Xero!$A:$A,Heron!$A$5,Xero!$E:$E,Heron!$A54)+SUMIFS(Sales!$L:$L,Sales!$E:$E,FALSE,Sales!$A:$A,"&lt;&gt;"&amp;"Endulini",Sales!$H:$H,"&lt;="&amp;Heron!T$9,Sales!$H:$H,"&gt;"&amp;Heron!S$9,Sales!$F:$F,1)+SUMIFS(Sales!$M:$M,Sales!$E:$E,FALSE,Sales!$A:$A,"&lt;&gt;"&amp;"Endulini",Sales!$H:$H,"&lt;="&amp;Heron!T$9,Sales!$H:$H,"&gt;"&amp;Heron!S$9,Sales!$F:$F,1)+SUMIFS(Sales!$N:$N,Sales!$E:$E,FALSE,Sales!$A:$A,"&lt;&gt;"&amp;"Endulini",Sales!$H:$H,"&lt;="&amp;Heron!T$9,Sales!$H:$H,"&gt;"&amp;Heron!S$9,Sales!$F:$F,1)+SUMIFS(Sales!$P:$P,Sales!$E:$E,FALSE,Sales!$A:$A,"&lt;&gt;"&amp;"Endulini",Sales!$H:$H,"&lt;="&amp;Heron!T$9,Sales!$H:$H,"&gt;"&amp;Heron!S$9,Sales!$F:$F,1)</f>
        <v>0</v>
      </c>
      <c r="U54" s="99">
        <f>SUMIFS(Xero!$F:$F,Xero!$B:$B,Heron!U$9,Xero!$A:$A,Heron!$A$4,Xero!$E:$E,Heron!$A54)+SUMIFS(Xero!$F:$F,Xero!$B:$B,Heron!U$9,Xero!$A:$A,Heron!$A$5,Xero!$E:$E,Heron!$A54)+SUMIFS(Sales!$L:$L,Sales!$E:$E,FALSE,Sales!$A:$A,"&lt;&gt;"&amp;"Endulini",Sales!$H:$H,"&lt;="&amp;Heron!U$9,Sales!$H:$H,"&gt;"&amp;Heron!T$9,Sales!$F:$F,1)+SUMIFS(Sales!$M:$M,Sales!$E:$E,FALSE,Sales!$A:$A,"&lt;&gt;"&amp;"Endulini",Sales!$H:$H,"&lt;="&amp;Heron!U$9,Sales!$H:$H,"&gt;"&amp;Heron!T$9,Sales!$F:$F,1)+SUMIFS(Sales!$N:$N,Sales!$E:$E,FALSE,Sales!$A:$A,"&lt;&gt;"&amp;"Endulini",Sales!$H:$H,"&lt;="&amp;Heron!U$9,Sales!$H:$H,"&gt;"&amp;Heron!T$9,Sales!$F:$F,1)+SUMIFS(Sales!$P:$P,Sales!$E:$E,FALSE,Sales!$A:$A,"&lt;&gt;"&amp;"Endulini",Sales!$H:$H,"&lt;="&amp;Heron!U$9,Sales!$H:$H,"&gt;"&amp;Heron!T$9,Sales!$F:$F,1)</f>
        <v>20693</v>
      </c>
      <c r="V54" s="99">
        <f>SUMIFS(Xero!$F:$F,Xero!$B:$B,Heron!V$9,Xero!$A:$A,Heron!$A$4,Xero!$E:$E,Heron!$A54)+SUMIFS(Xero!$F:$F,Xero!$B:$B,Heron!V$9,Xero!$A:$A,Heron!$A$5,Xero!$E:$E,Heron!$A54)+SUMIFS(Sales!$L:$L,Sales!$E:$E,FALSE,Sales!$A:$A,"&lt;&gt;"&amp;"Endulini",Sales!$H:$H,"&lt;="&amp;Heron!V$9,Sales!$H:$H,"&gt;"&amp;Heron!U$9,Sales!$F:$F,1)+SUMIFS(Sales!$M:$M,Sales!$E:$E,FALSE,Sales!$A:$A,"&lt;&gt;"&amp;"Endulini",Sales!$H:$H,"&lt;="&amp;Heron!V$9,Sales!$H:$H,"&gt;"&amp;Heron!U$9,Sales!$F:$F,1)+SUMIFS(Sales!$N:$N,Sales!$E:$E,FALSE,Sales!$A:$A,"&lt;&gt;"&amp;"Endulini",Sales!$H:$H,"&lt;="&amp;Heron!V$9,Sales!$H:$H,"&gt;"&amp;Heron!U$9,Sales!$F:$F,1)+SUMIFS(Sales!$P:$P,Sales!$E:$E,FALSE,Sales!$A:$A,"&lt;&gt;"&amp;"Endulini",Sales!$H:$H,"&lt;="&amp;Heron!V$9,Sales!$H:$H,"&gt;"&amp;Heron!U$9,Sales!$F:$F,1)</f>
        <v>0</v>
      </c>
      <c r="W54" s="99">
        <f>SUMIFS(Xero!$F:$F,Xero!$B:$B,Heron!W$9,Xero!$A:$A,Heron!$A$4,Xero!$E:$E,Heron!$A54)+SUMIFS(Xero!$F:$F,Xero!$B:$B,Heron!W$9,Xero!$A:$A,Heron!$A$5,Xero!$E:$E,Heron!$A54)+SUMIFS(Sales!$L:$L,Sales!$E:$E,FALSE,Sales!$A:$A,"&lt;&gt;"&amp;"Endulini",Sales!$H:$H,"&lt;="&amp;Heron!W$9,Sales!$H:$H,"&gt;"&amp;Heron!V$9,Sales!$F:$F,1)+SUMIFS(Sales!$M:$M,Sales!$E:$E,FALSE,Sales!$A:$A,"&lt;&gt;"&amp;"Endulini",Sales!$H:$H,"&lt;="&amp;Heron!W$9,Sales!$H:$H,"&gt;"&amp;Heron!V$9,Sales!$F:$F,1)+SUMIFS(Sales!$N:$N,Sales!$E:$E,FALSE,Sales!$A:$A,"&lt;&gt;"&amp;"Endulini",Sales!$H:$H,"&lt;="&amp;Heron!W$9,Sales!$H:$H,"&gt;"&amp;Heron!V$9,Sales!$F:$F,1)+SUMIFS(Sales!$P:$P,Sales!$E:$E,FALSE,Sales!$A:$A,"&lt;&gt;"&amp;"Endulini",Sales!$H:$H,"&lt;="&amp;Heron!W$9,Sales!$H:$H,"&gt;"&amp;Heron!V$9,Sales!$F:$F,1)</f>
        <v>37150.94</v>
      </c>
      <c r="X54" s="99">
        <f>SUMIFS(Xero!$F:$F,Xero!$B:$B,Heron!X$9,Xero!$A:$A,Heron!$A$4,Xero!$E:$E,Heron!$A54)+SUMIFS(Xero!$F:$F,Xero!$B:$B,Heron!X$9,Xero!$A:$A,Heron!$A$5,Xero!$E:$E,Heron!$A54)+SUMIFS(Sales!$L:$L,Sales!$E:$E,FALSE,Sales!$A:$A,"&lt;&gt;"&amp;"Endulini",Sales!$H:$H,"&lt;="&amp;Heron!X$9,Sales!$H:$H,"&gt;"&amp;Heron!W$9,Sales!$F:$F,1)+SUMIFS(Sales!$M:$M,Sales!$E:$E,FALSE,Sales!$A:$A,"&lt;&gt;"&amp;"Endulini",Sales!$H:$H,"&lt;="&amp;Heron!X$9,Sales!$H:$H,"&gt;"&amp;Heron!W$9,Sales!$F:$F,1)+SUMIFS(Sales!$N:$N,Sales!$E:$E,FALSE,Sales!$A:$A,"&lt;&gt;"&amp;"Endulini",Sales!$H:$H,"&lt;="&amp;Heron!X$9,Sales!$H:$H,"&gt;"&amp;Heron!W$9,Sales!$F:$F,1)+SUMIFS(Sales!$P:$P,Sales!$E:$E,FALSE,Sales!$A:$A,"&lt;&gt;"&amp;"Endulini",Sales!$H:$H,"&lt;="&amp;Heron!X$9,Sales!$H:$H,"&gt;"&amp;Heron!W$9,Sales!$F:$F,1)</f>
        <v>375272.82</v>
      </c>
      <c r="Y54" s="99">
        <f>SUMIFS(Xero!$F:$F,Xero!$B:$B,Heron!Y$9,Xero!$A:$A,Heron!$A$4,Xero!$E:$E,Heron!$A54)+SUMIFS(Xero!$F:$F,Xero!$B:$B,Heron!Y$9,Xero!$A:$A,Heron!$A$5,Xero!$E:$E,Heron!$A54)+SUMIFS(Sales!$L:$L,Sales!$E:$E,FALSE,Sales!$A:$A,"&lt;&gt;"&amp;"Endulini",Sales!$H:$H,"&lt;="&amp;Heron!Y$9,Sales!$H:$H,"&gt;"&amp;Heron!X$9,Sales!$F:$F,1)+SUMIFS(Sales!$M:$M,Sales!$E:$E,FALSE,Sales!$A:$A,"&lt;&gt;"&amp;"Endulini",Sales!$H:$H,"&lt;="&amp;Heron!Y$9,Sales!$H:$H,"&gt;"&amp;Heron!X$9,Sales!$F:$F,1)+SUMIFS(Sales!$N:$N,Sales!$E:$E,FALSE,Sales!$A:$A,"&lt;&gt;"&amp;"Endulini",Sales!$H:$H,"&lt;="&amp;Heron!Y$9,Sales!$H:$H,"&gt;"&amp;Heron!X$9,Sales!$F:$F,1)+SUMIFS(Sales!$P:$P,Sales!$E:$E,FALSE,Sales!$A:$A,"&lt;&gt;"&amp;"Endulini",Sales!$H:$H,"&lt;="&amp;Heron!Y$9,Sales!$H:$H,"&gt;"&amp;Heron!X$9,Sales!$F:$F,1)</f>
        <v>157031.19</v>
      </c>
      <c r="Z54" s="99">
        <f>SUMIFS(Xero!$F:$F,Xero!$B:$B,Heron!Z$9,Xero!$A:$A,Heron!$A$4,Xero!$E:$E,Heron!$A54)+SUMIFS(Xero!$F:$F,Xero!$B:$B,Heron!Z$9,Xero!$A:$A,Heron!$A$5,Xero!$E:$E,Heron!$A54)+SUMIFS(Sales!$L:$L,Sales!$E:$E,FALSE,Sales!$A:$A,"&lt;&gt;"&amp;"Endulini",Sales!$H:$H,"&lt;="&amp;Heron!Z$9,Sales!$H:$H,"&gt;"&amp;Heron!Y$9,Sales!$F:$F,1)+SUMIFS(Sales!$M:$M,Sales!$E:$E,FALSE,Sales!$A:$A,"&lt;&gt;"&amp;"Endulini",Sales!$H:$H,"&lt;="&amp;Heron!Z$9,Sales!$H:$H,"&gt;"&amp;Heron!Y$9,Sales!$F:$F,1)+SUMIFS(Sales!$N:$N,Sales!$E:$E,FALSE,Sales!$A:$A,"&lt;&gt;"&amp;"Endulini",Sales!$H:$H,"&lt;="&amp;Heron!Z$9,Sales!$H:$H,"&gt;"&amp;Heron!Y$9,Sales!$F:$F,1)+SUMIFS(Sales!$P:$P,Sales!$E:$E,FALSE,Sales!$A:$A,"&lt;&gt;"&amp;"Endulini",Sales!$H:$H,"&lt;="&amp;Heron!Z$9,Sales!$H:$H,"&gt;"&amp;Heron!Y$9,Sales!$F:$F,1)</f>
        <v>190695.35</v>
      </c>
      <c r="AA54" s="99">
        <f>SUMIFS(Xero!$F:$F,Xero!$B:$B,Heron!AA$9,Xero!$A:$A,Heron!$A$4,Xero!$E:$E,Heron!$A54)+SUMIFS(Xero!$F:$F,Xero!$B:$B,Heron!AA$9,Xero!$A:$A,Heron!$A$5,Xero!$E:$E,Heron!$A54)+SUMIFS(Sales!$L:$L,Sales!$E:$E,FALSE,Sales!$A:$A,"&lt;&gt;"&amp;"Endulini",Sales!$H:$H,"&lt;="&amp;Heron!AA$9,Sales!$H:$H,"&gt;"&amp;Heron!Z$9,Sales!$F:$F,1)+SUMIFS(Sales!$M:$M,Sales!$E:$E,FALSE,Sales!$A:$A,"&lt;&gt;"&amp;"Endulini",Sales!$H:$H,"&lt;="&amp;Heron!AA$9,Sales!$H:$H,"&gt;"&amp;Heron!Z$9,Sales!$F:$F,1)+SUMIFS(Sales!$N:$N,Sales!$E:$E,FALSE,Sales!$A:$A,"&lt;&gt;"&amp;"Endulini",Sales!$H:$H,"&lt;="&amp;Heron!AA$9,Sales!$H:$H,"&gt;"&amp;Heron!Z$9,Sales!$F:$F,1)+SUMIFS(Sales!$P:$P,Sales!$E:$E,FALSE,Sales!$A:$A,"&lt;&gt;"&amp;"Endulini",Sales!$H:$H,"&lt;="&amp;Heron!AA$9,Sales!$H:$H,"&gt;"&amp;Heron!Z$9,Sales!$F:$F,1)</f>
        <v>143541.28</v>
      </c>
      <c r="AB54" s="99">
        <f>SUMIFS(Xero!$F:$F,Xero!$B:$B,Heron!AB$9,Xero!$A:$A,Heron!$A$4,Xero!$E:$E,Heron!$A54)+SUMIFS(Xero!$F:$F,Xero!$B:$B,Heron!AB$9,Xero!$A:$A,Heron!$A$5,Xero!$E:$E,Heron!$A54)+SUMIFS(Sales!$L:$L,Sales!$E:$E,FALSE,Sales!$A:$A,"&lt;&gt;"&amp;"Endulini",Sales!$H:$H,"&lt;="&amp;Heron!AB$9,Sales!$H:$H,"&gt;"&amp;Heron!AA$9,Sales!$F:$F,1)+SUMIFS(Sales!$M:$M,Sales!$E:$E,FALSE,Sales!$A:$A,"&lt;&gt;"&amp;"Endulini",Sales!$H:$H,"&lt;="&amp;Heron!AB$9,Sales!$H:$H,"&gt;"&amp;Heron!AA$9,Sales!$F:$F,1)+SUMIFS(Sales!$N:$N,Sales!$E:$E,FALSE,Sales!$A:$A,"&lt;&gt;"&amp;"Endulini",Sales!$H:$H,"&lt;="&amp;Heron!AB$9,Sales!$H:$H,"&gt;"&amp;Heron!AA$9,Sales!$F:$F,1)+SUMIFS(Sales!$P:$P,Sales!$E:$E,FALSE,Sales!$A:$A,"&lt;&gt;"&amp;"Endulini",Sales!$H:$H,"&lt;="&amp;Heron!AB$9,Sales!$H:$H,"&gt;"&amp;Heron!AA$9,Sales!$F:$F,1)</f>
        <v>193858.36</v>
      </c>
      <c r="AC54" s="99">
        <f>SUMIFS(Xero!$F:$F,Xero!$B:$B,Heron!AC$9,Xero!$A:$A,Heron!$A$4,Xero!$E:$E,Heron!$A54)+SUMIFS(Xero!$F:$F,Xero!$B:$B,Heron!AC$9,Xero!$A:$A,Heron!$A$5,Xero!$E:$E,Heron!$A54)+SUMIFS(Sales!$L:$L,Sales!$E:$E,FALSE,Sales!$A:$A,"&lt;&gt;"&amp;"Endulini",Sales!$H:$H,"&lt;="&amp;Heron!AC$9,Sales!$H:$H,"&gt;"&amp;Heron!AB$9,Sales!$F:$F,1)+SUMIFS(Sales!$M:$M,Sales!$E:$E,FALSE,Sales!$A:$A,"&lt;&gt;"&amp;"Endulini",Sales!$H:$H,"&lt;="&amp;Heron!AC$9,Sales!$H:$H,"&gt;"&amp;Heron!AB$9,Sales!$F:$F,1)+SUMIFS(Sales!$N:$N,Sales!$E:$E,FALSE,Sales!$A:$A,"&lt;&gt;"&amp;"Endulini",Sales!$H:$H,"&lt;="&amp;Heron!AC$9,Sales!$H:$H,"&gt;"&amp;Heron!AB$9,Sales!$F:$F,1)+SUMIFS(Sales!$P:$P,Sales!$E:$E,FALSE,Sales!$A:$A,"&lt;&gt;"&amp;"Endulini",Sales!$H:$H,"&lt;="&amp;Heron!AC$9,Sales!$H:$H,"&gt;"&amp;Heron!AB$9,Sales!$F:$F,1)</f>
        <v>230143.86</v>
      </c>
      <c r="AD54" s="99">
        <f>SUMIFS(Xero!$F:$F,Xero!$B:$B,Heron!AD$9,Xero!$A:$A,Heron!$A$4,Xero!$E:$E,Heron!$A54)+SUMIFS(Xero!$F:$F,Xero!$B:$B,Heron!AD$9,Xero!$A:$A,Heron!$A$5,Xero!$E:$E,Heron!$A54)+SUMIFS(Sales!$L:$L,Sales!$E:$E,FALSE,Sales!$A:$A,"&lt;&gt;"&amp;"Endulini",Sales!$H:$H,"&lt;="&amp;Heron!AD$9,Sales!$H:$H,"&gt;"&amp;Heron!AC$9,Sales!$F:$F,1)+SUMIFS(Sales!$M:$M,Sales!$E:$E,FALSE,Sales!$A:$A,"&lt;&gt;"&amp;"Endulini",Sales!$H:$H,"&lt;="&amp;Heron!AD$9,Sales!$H:$H,"&gt;"&amp;Heron!AC$9,Sales!$F:$F,1)+SUMIFS(Sales!$N:$N,Sales!$E:$E,FALSE,Sales!$A:$A,"&lt;&gt;"&amp;"Endulini",Sales!$H:$H,"&lt;="&amp;Heron!AD$9,Sales!$H:$H,"&gt;"&amp;Heron!AC$9,Sales!$F:$F,1)+SUMIFS(Sales!$P:$P,Sales!$E:$E,FALSE,Sales!$A:$A,"&lt;&gt;"&amp;"Endulini",Sales!$H:$H,"&lt;="&amp;Heron!AD$9,Sales!$H:$H,"&gt;"&amp;Heron!AC$9,Sales!$F:$F,1)</f>
        <v>135356.82999999999</v>
      </c>
      <c r="AE54" s="99">
        <f>SUMIFS(Xero!$F:$F,Xero!$B:$B,Heron!AE$9,Xero!$A:$A,Heron!$A$4,Xero!$E:$E,Heron!$A54)+SUMIFS(Xero!$F:$F,Xero!$B:$B,Heron!AE$9,Xero!$A:$A,Heron!$A$5,Xero!$E:$E,Heron!$A54)+SUMIFS(Sales!$L:$L,Sales!$E:$E,FALSE,Sales!$A:$A,"&lt;&gt;"&amp;"Endulini",Sales!$H:$H,"&lt;="&amp;Heron!AE$9,Sales!$H:$H,"&gt;"&amp;Heron!AD$9,Sales!$F:$F,1)+SUMIFS(Sales!$M:$M,Sales!$E:$E,FALSE,Sales!$A:$A,"&lt;&gt;"&amp;"Endulini",Sales!$H:$H,"&lt;="&amp;Heron!AE$9,Sales!$H:$H,"&gt;"&amp;Heron!AD$9,Sales!$F:$F,1)+SUMIFS(Sales!$N:$N,Sales!$E:$E,FALSE,Sales!$A:$A,"&lt;&gt;"&amp;"Endulini",Sales!$H:$H,"&lt;="&amp;Heron!AE$9,Sales!$H:$H,"&gt;"&amp;Heron!AD$9,Sales!$F:$F,1)+SUMIFS(Sales!$P:$P,Sales!$E:$E,FALSE,Sales!$A:$A,"&lt;&gt;"&amp;"Endulini",Sales!$H:$H,"&lt;="&amp;Heron!AE$9,Sales!$H:$H,"&gt;"&amp;Heron!AD$9,Sales!$F:$F,1)</f>
        <v>18544.25</v>
      </c>
      <c r="AF54" s="99">
        <f>SUMIFS(Xero!$F:$F,Xero!$B:$B,Heron!AF$9,Xero!$A:$A,Heron!$A$4,Xero!$E:$E,Heron!$A54)+SUMIFS(Xero!$F:$F,Xero!$B:$B,Heron!AF$9,Xero!$A:$A,Heron!$A$5,Xero!$E:$E,Heron!$A54)+SUMIFS(Sales!$L:$L,Sales!$E:$E,FALSE,Sales!$A:$A,"&lt;&gt;"&amp;"Endulini",Sales!$H:$H,"&lt;="&amp;Heron!AF$9,Sales!$H:$H,"&gt;"&amp;Heron!AE$9,Sales!$F:$F,1)+SUMIFS(Sales!$M:$M,Sales!$E:$E,FALSE,Sales!$A:$A,"&lt;&gt;"&amp;"Endulini",Sales!$H:$H,"&lt;="&amp;Heron!AF$9,Sales!$H:$H,"&gt;"&amp;Heron!AE$9,Sales!$F:$F,1)+SUMIFS(Sales!$N:$N,Sales!$E:$E,FALSE,Sales!$A:$A,"&lt;&gt;"&amp;"Endulini",Sales!$H:$H,"&lt;="&amp;Heron!AF$9,Sales!$H:$H,"&gt;"&amp;Heron!AE$9,Sales!$F:$F,1)+SUMIFS(Sales!$P:$P,Sales!$E:$E,FALSE,Sales!$A:$A,"&lt;&gt;"&amp;"Endulini",Sales!$H:$H,"&lt;="&amp;Heron!AF$9,Sales!$H:$H,"&gt;"&amp;Heron!AE$9,Sales!$F:$F,1)</f>
        <v>71053.34</v>
      </c>
      <c r="AG54" s="99">
        <f>SUMIFS(Xero!$F:$F,Xero!$B:$B,Heron!AG$9,Xero!$A:$A,Heron!$A$4,Xero!$E:$E,Heron!$A54)+SUMIFS(Xero!$F:$F,Xero!$B:$B,Heron!AG$9,Xero!$A:$A,Heron!$A$5,Xero!$E:$E,Heron!$A54)+SUMIFS(Sales!$L:$L,Sales!$E:$E,FALSE,Sales!$A:$A,"&lt;&gt;"&amp;"Endulini",Sales!$H:$H,"&lt;="&amp;Heron!AG$9,Sales!$H:$H,"&gt;"&amp;Heron!AF$9,Sales!$F:$F,1)+SUMIFS(Sales!$M:$M,Sales!$E:$E,FALSE,Sales!$A:$A,"&lt;&gt;"&amp;"Endulini",Sales!$H:$H,"&lt;="&amp;Heron!AG$9,Sales!$H:$H,"&gt;"&amp;Heron!AF$9,Sales!$F:$F,1)+SUMIFS(Sales!$N:$N,Sales!$E:$E,FALSE,Sales!$A:$A,"&lt;&gt;"&amp;"Endulini",Sales!$H:$H,"&lt;="&amp;Heron!AG$9,Sales!$H:$H,"&gt;"&amp;Heron!AF$9,Sales!$F:$F,1)+SUMIFS(Sales!$P:$P,Sales!$E:$E,FALSE,Sales!$A:$A,"&lt;&gt;"&amp;"Endulini",Sales!$H:$H,"&lt;="&amp;Heron!AG$9,Sales!$H:$H,"&gt;"&amp;Heron!AF$9,Sales!$F:$F,1)</f>
        <v>134265.54</v>
      </c>
      <c r="AH54" s="99">
        <f>SUMIFS(Xero!$F:$F,Xero!$B:$B,Heron!AH$9,Xero!$A:$A,Heron!$A$4,Xero!$E:$E,Heron!$A54)+SUMIFS(Xero!$F:$F,Xero!$B:$B,Heron!AH$9,Xero!$A:$A,Heron!$A$5,Xero!$E:$E,Heron!$A54)+SUMIFS(Sales!$L:$L,Sales!$E:$E,FALSE,Sales!$A:$A,"&lt;&gt;"&amp;"Endulini",Sales!$H:$H,"&lt;="&amp;Heron!AH$9,Sales!$H:$H,"&gt;"&amp;Heron!AG$9,Sales!$F:$F,1)+SUMIFS(Sales!$M:$M,Sales!$E:$E,FALSE,Sales!$A:$A,"&lt;&gt;"&amp;"Endulini",Sales!$H:$H,"&lt;="&amp;Heron!AH$9,Sales!$H:$H,"&gt;"&amp;Heron!AG$9,Sales!$F:$F,1)+SUMIFS(Sales!$N:$N,Sales!$E:$E,FALSE,Sales!$A:$A,"&lt;&gt;"&amp;"Endulini",Sales!$H:$H,"&lt;="&amp;Heron!AH$9,Sales!$H:$H,"&gt;"&amp;Heron!AG$9,Sales!$F:$F,1)+SUMIFS(Sales!$P:$P,Sales!$E:$E,FALSE,Sales!$A:$A,"&lt;&gt;"&amp;"Endulini",Sales!$H:$H,"&lt;="&amp;Heron!AH$9,Sales!$H:$H,"&gt;"&amp;Heron!AG$9,Sales!$F:$F,1)</f>
        <v>316983.01</v>
      </c>
      <c r="AI54" s="99">
        <f>SUMIFS(Xero!$F:$F,Xero!$B:$B,Heron!AI$9,Xero!$A:$A,Heron!$A$4,Xero!$E:$E,Heron!$A54)+SUMIFS(Xero!$F:$F,Xero!$B:$B,Heron!AI$9,Xero!$A:$A,Heron!$A$5,Xero!$E:$E,Heron!$A54)+SUMIFS(Sales!$L:$L,Sales!$E:$E,FALSE,Sales!$A:$A,"&lt;&gt;"&amp;"Endulini",Sales!$H:$H,"&lt;="&amp;Heron!AI$9,Sales!$H:$H,"&gt;"&amp;Heron!AH$9,Sales!$F:$F,1)+SUMIFS(Sales!$M:$M,Sales!$E:$E,FALSE,Sales!$A:$A,"&lt;&gt;"&amp;"Endulini",Sales!$H:$H,"&lt;="&amp;Heron!AI$9,Sales!$H:$H,"&gt;"&amp;Heron!AH$9,Sales!$F:$F,1)+SUMIFS(Sales!$N:$N,Sales!$E:$E,FALSE,Sales!$A:$A,"&lt;&gt;"&amp;"Endulini",Sales!$H:$H,"&lt;="&amp;Heron!AI$9,Sales!$H:$H,"&gt;"&amp;Heron!AH$9,Sales!$F:$F,1)+SUMIFS(Sales!$P:$P,Sales!$E:$E,FALSE,Sales!$A:$A,"&lt;&gt;"&amp;"Endulini",Sales!$H:$H,"&lt;="&amp;Heron!AI$9,Sales!$H:$H,"&gt;"&amp;Heron!AH$9,Sales!$F:$F,1)</f>
        <v>36756.85</v>
      </c>
      <c r="AJ54" s="99">
        <f>SUMIFS(Xero!$F:$F,Xero!$B:$B,Heron!AJ$9,Xero!$A:$A,Heron!$A$4,Xero!$E:$E,Heron!$A54)+SUMIFS(Xero!$F:$F,Xero!$B:$B,Heron!AJ$9,Xero!$A:$A,Heron!$A$5,Xero!$E:$E,Heron!$A54)+SUMIFS(Sales!$L:$L,Sales!$E:$E,FALSE,Sales!$A:$A,"&lt;&gt;"&amp;"Endulini",Sales!$H:$H,"&lt;="&amp;Heron!AJ$9,Sales!$H:$H,"&gt;"&amp;Heron!AI$9,Sales!$F:$F,1)+SUMIFS(Sales!$M:$M,Sales!$E:$E,FALSE,Sales!$A:$A,"&lt;&gt;"&amp;"Endulini",Sales!$H:$H,"&lt;="&amp;Heron!AJ$9,Sales!$H:$H,"&gt;"&amp;Heron!AI$9,Sales!$F:$F,1)+SUMIFS(Sales!$N:$N,Sales!$E:$E,FALSE,Sales!$A:$A,"&lt;&gt;"&amp;"Endulini",Sales!$H:$H,"&lt;="&amp;Heron!AJ$9,Sales!$H:$H,"&gt;"&amp;Heron!AI$9,Sales!$F:$F,1)+SUMIFS(Sales!$P:$P,Sales!$E:$E,FALSE,Sales!$A:$A,"&lt;&gt;"&amp;"Endulini",Sales!$H:$H,"&lt;="&amp;Heron!AJ$9,Sales!$H:$H,"&gt;"&amp;Heron!AI$9,Sales!$F:$F,1)</f>
        <v>23865.75</v>
      </c>
      <c r="AK54" s="99">
        <f>SUMIFS(Xero!$F:$F,Xero!$B:$B,Heron!AK$9,Xero!$A:$A,Heron!$A$4,Xero!$E:$E,Heron!$A54)+SUMIFS(Xero!$F:$F,Xero!$B:$B,Heron!AK$9,Xero!$A:$A,Heron!$A$5,Xero!$E:$E,Heron!$A54)+SUMIFS(Sales!$L:$L,Sales!$E:$E,FALSE,Sales!$A:$A,"&lt;&gt;"&amp;"Endulini",Sales!$H:$H,"&lt;="&amp;Heron!AK$9,Sales!$H:$H,"&gt;"&amp;Heron!AJ$9,Sales!$F:$F,1)+SUMIFS(Sales!$M:$M,Sales!$E:$E,FALSE,Sales!$A:$A,"&lt;&gt;"&amp;"Endulini",Sales!$H:$H,"&lt;="&amp;Heron!AK$9,Sales!$H:$H,"&gt;"&amp;Heron!AJ$9,Sales!$F:$F,1)+SUMIFS(Sales!$N:$N,Sales!$E:$E,FALSE,Sales!$A:$A,"&lt;&gt;"&amp;"Endulini",Sales!$H:$H,"&lt;="&amp;Heron!AK$9,Sales!$H:$H,"&gt;"&amp;Heron!AJ$9,Sales!$F:$F,1)+SUMIFS(Sales!$P:$P,Sales!$E:$E,FALSE,Sales!$A:$A,"&lt;&gt;"&amp;"Endulini",Sales!$H:$H,"&lt;="&amp;Heron!AK$9,Sales!$H:$H,"&gt;"&amp;Heron!AJ$9,Sales!$F:$F,1)</f>
        <v>39833.629999999997</v>
      </c>
      <c r="AL54" s="99">
        <f>SUMIFS(Xero!$F:$F,Xero!$B:$B,Heron!AL$9,Xero!$A:$A,Heron!$A$4,Xero!$E:$E,Heron!$A54)+SUMIFS(Xero!$F:$F,Xero!$B:$B,Heron!AL$9,Xero!$A:$A,Heron!$A$5,Xero!$E:$E,Heron!$A54)+SUMIFS(Sales!$L:$L,Sales!$E:$E,FALSE,Sales!$A:$A,"&lt;&gt;"&amp;"Endulini",Sales!$H:$H,"&lt;="&amp;Heron!AL$9,Sales!$H:$H,"&gt;"&amp;Heron!AK$9,Sales!$F:$F,1)+SUMIFS(Sales!$M:$M,Sales!$E:$E,FALSE,Sales!$A:$A,"&lt;&gt;"&amp;"Endulini",Sales!$H:$H,"&lt;="&amp;Heron!AL$9,Sales!$H:$H,"&gt;"&amp;Heron!AK$9,Sales!$F:$F,1)+SUMIFS(Sales!$N:$N,Sales!$E:$E,FALSE,Sales!$A:$A,"&lt;&gt;"&amp;"Endulini",Sales!$H:$H,"&lt;="&amp;Heron!AL$9,Sales!$H:$H,"&gt;"&amp;Heron!AK$9,Sales!$F:$F,1)+SUMIFS(Sales!$P:$P,Sales!$E:$E,FALSE,Sales!$A:$A,"&lt;&gt;"&amp;"Endulini",Sales!$H:$H,"&lt;="&amp;Heron!AL$9,Sales!$H:$H,"&gt;"&amp;Heron!AK$9,Sales!$F:$F,1)</f>
        <v>155834.92000000001</v>
      </c>
      <c r="AM54" s="99">
        <f>SUMIFS(Xero!$F:$F,Xero!$B:$B,Heron!AM$9,Xero!$A:$A,Heron!$A$4,Xero!$E:$E,Heron!$A54)+SUMIFS(Xero!$F:$F,Xero!$B:$B,Heron!AM$9,Xero!$A:$A,Heron!$A$5,Xero!$E:$E,Heron!$A54)+SUMIFS(Sales!$L:$L,Sales!$E:$E,FALSE,Sales!$A:$A,"&lt;&gt;"&amp;"Endulini",Sales!$H:$H,"&lt;="&amp;Heron!AM$9,Sales!$H:$H,"&gt;"&amp;Heron!AL$9,Sales!$F:$F,1)+SUMIFS(Sales!$M:$M,Sales!$E:$E,FALSE,Sales!$A:$A,"&lt;&gt;"&amp;"Endulini",Sales!$H:$H,"&lt;="&amp;Heron!AM$9,Sales!$H:$H,"&gt;"&amp;Heron!AL$9,Sales!$F:$F,1)+SUMIFS(Sales!$N:$N,Sales!$E:$E,FALSE,Sales!$A:$A,"&lt;&gt;"&amp;"Endulini",Sales!$H:$H,"&lt;="&amp;Heron!AM$9,Sales!$H:$H,"&gt;"&amp;Heron!AL$9,Sales!$F:$F,1)+SUMIFS(Sales!$P:$P,Sales!$E:$E,FALSE,Sales!$A:$A,"&lt;&gt;"&amp;"Endulini",Sales!$H:$H,"&lt;="&amp;Heron!AM$9,Sales!$H:$H,"&gt;"&amp;Heron!AL$9,Sales!$F:$F,1)</f>
        <v>79153.850000000006</v>
      </c>
      <c r="AN54" s="99">
        <f>SUMIFS(Xero!$F:$F,Xero!$B:$B,Heron!AN$9,Xero!$A:$A,Heron!$A$4,Xero!$E:$E,Heron!$A54)+SUMIFS(Xero!$F:$F,Xero!$B:$B,Heron!AN$9,Xero!$A:$A,Heron!$A$5,Xero!$E:$E,Heron!$A54)+SUMIFS(Sales!$L:$L,Sales!$E:$E,FALSE,Sales!$A:$A,"&lt;&gt;"&amp;"Endulini",Sales!$H:$H,"&lt;="&amp;Heron!AN$9,Sales!$H:$H,"&gt;"&amp;Heron!AM$9,Sales!$F:$F,1)+SUMIFS(Sales!$M:$M,Sales!$E:$E,FALSE,Sales!$A:$A,"&lt;&gt;"&amp;"Endulini",Sales!$H:$H,"&lt;="&amp;Heron!AN$9,Sales!$H:$H,"&gt;"&amp;Heron!AM$9,Sales!$F:$F,1)+SUMIFS(Sales!$N:$N,Sales!$E:$E,FALSE,Sales!$A:$A,"&lt;&gt;"&amp;"Endulini",Sales!$H:$H,"&lt;="&amp;Heron!AN$9,Sales!$H:$H,"&gt;"&amp;Heron!AM$9,Sales!$F:$F,1)+SUMIFS(Sales!$P:$P,Sales!$E:$E,FALSE,Sales!$A:$A,"&lt;&gt;"&amp;"Endulini",Sales!$H:$H,"&lt;="&amp;Heron!AN$9,Sales!$H:$H,"&gt;"&amp;Heron!AM$9,Sales!$F:$F,1)</f>
        <v>276922.46000000002</v>
      </c>
      <c r="AO54" s="99">
        <f>SUMIFS(Xero!$F:$F,Xero!$B:$B,Heron!AO$9,Xero!$A:$A,Heron!$A$4,Xero!$E:$E,Heron!$A54)+SUMIFS(Xero!$F:$F,Xero!$B:$B,Heron!AO$9,Xero!$A:$A,Heron!$A$5,Xero!$E:$E,Heron!$A54)+SUMIFS(Sales!$L:$L,Sales!$E:$E,FALSE,Sales!$A:$A,"&lt;&gt;"&amp;"Endulini",Sales!$H:$H,"&lt;="&amp;Heron!AO$9,Sales!$H:$H,"&gt;"&amp;Heron!AN$9,Sales!$F:$F,1)+SUMIFS(Sales!$M:$M,Sales!$E:$E,FALSE,Sales!$A:$A,"&lt;&gt;"&amp;"Endulini",Sales!$H:$H,"&lt;="&amp;Heron!AO$9,Sales!$H:$H,"&gt;"&amp;Heron!AN$9,Sales!$F:$F,1)+SUMIFS(Sales!$N:$N,Sales!$E:$E,FALSE,Sales!$A:$A,"&lt;&gt;"&amp;"Endulini",Sales!$H:$H,"&lt;="&amp;Heron!AO$9,Sales!$H:$H,"&gt;"&amp;Heron!AN$9,Sales!$F:$F,1)+SUMIFS(Sales!$P:$P,Sales!$E:$E,FALSE,Sales!$A:$A,"&lt;&gt;"&amp;"Endulini",Sales!$H:$H,"&lt;="&amp;Heron!AO$9,Sales!$H:$H,"&gt;"&amp;Heron!AN$9,Sales!$F:$F,1)</f>
        <v>0</v>
      </c>
      <c r="AP54" s="99">
        <f>SUMIFS(Xero!$F:$F,Xero!$B:$B,Heron!AP$9,Xero!$A:$A,Heron!$A$4,Xero!$E:$E,Heron!$A54)+SUMIFS(Xero!$F:$F,Xero!$B:$B,Heron!AP$9,Xero!$A:$A,Heron!$A$5,Xero!$E:$E,Heron!$A54)+SUMIFS(Sales!$L:$L,Sales!$E:$E,FALSE,Sales!$A:$A,"&lt;&gt;"&amp;"Endulini",Sales!$H:$H,"&lt;="&amp;Heron!AP$9,Sales!$H:$H,"&gt;"&amp;Heron!AO$9,Sales!$F:$F,1)+SUMIFS(Sales!$M:$M,Sales!$E:$E,FALSE,Sales!$A:$A,"&lt;&gt;"&amp;"Endulini",Sales!$H:$H,"&lt;="&amp;Heron!AP$9,Sales!$H:$H,"&gt;"&amp;Heron!AO$9,Sales!$F:$F,1)+SUMIFS(Sales!$N:$N,Sales!$E:$E,FALSE,Sales!$A:$A,"&lt;&gt;"&amp;"Endulini",Sales!$H:$H,"&lt;="&amp;Heron!AP$9,Sales!$H:$H,"&gt;"&amp;Heron!AO$9,Sales!$F:$F,1)+SUMIFS(Sales!$P:$P,Sales!$E:$E,FALSE,Sales!$A:$A,"&lt;&gt;"&amp;"Endulini",Sales!$H:$H,"&lt;="&amp;Heron!AP$9,Sales!$H:$H,"&gt;"&amp;Heron!AO$9,Sales!$F:$F,1)</f>
        <v>77984.570000000007</v>
      </c>
      <c r="AQ54" s="99">
        <f>SUMIFS(Xero!$F:$F,Xero!$B:$B,Heron!AQ$9,Xero!$A:$A,Heron!$A$4,Xero!$E:$E,Heron!$A54)+SUMIFS(Xero!$F:$F,Xero!$B:$B,Heron!AQ$9,Xero!$A:$A,Heron!$A$5,Xero!$E:$E,Heron!$A54)+SUMIFS(Sales!$L:$L,Sales!$E:$E,FALSE,Sales!$A:$A,"&lt;&gt;"&amp;"Endulini",Sales!$H:$H,"&lt;="&amp;Heron!AQ$9,Sales!$H:$H,"&gt;"&amp;Heron!AP$9,Sales!$F:$F,1)+SUMIFS(Sales!$M:$M,Sales!$E:$E,FALSE,Sales!$A:$A,"&lt;&gt;"&amp;"Endulini",Sales!$H:$H,"&lt;="&amp;Heron!AQ$9,Sales!$H:$H,"&gt;"&amp;Heron!AP$9,Sales!$F:$F,1)+SUMIFS(Sales!$N:$N,Sales!$E:$E,FALSE,Sales!$A:$A,"&lt;&gt;"&amp;"Endulini",Sales!$H:$H,"&lt;="&amp;Heron!AQ$9,Sales!$H:$H,"&gt;"&amp;Heron!AP$9,Sales!$F:$F,1)+SUMIFS(Sales!$P:$P,Sales!$E:$E,FALSE,Sales!$A:$A,"&lt;&gt;"&amp;"Endulini",Sales!$H:$H,"&lt;="&amp;Heron!AQ$9,Sales!$H:$H,"&gt;"&amp;Heron!AP$9,Sales!$F:$F,1)</f>
        <v>57946.19</v>
      </c>
      <c r="AR54" s="99">
        <f>SUMIFS(Xero!$F:$F,Xero!$B:$B,Heron!AR$9,Xero!$A:$A,Heron!$A$4,Xero!$E:$E,Heron!$A54)+SUMIFS(Xero!$F:$F,Xero!$B:$B,Heron!AR$9,Xero!$A:$A,Heron!$A$5,Xero!$E:$E,Heron!$A54)+SUMIFS(Sales!$L:$L,Sales!$E:$E,FALSE,Sales!$A:$A,"&lt;&gt;"&amp;"Endulini",Sales!$H:$H,"&lt;="&amp;Heron!AR$9,Sales!$H:$H,"&gt;"&amp;Heron!AQ$9,Sales!$F:$F,1)+SUMIFS(Sales!$M:$M,Sales!$E:$E,FALSE,Sales!$A:$A,"&lt;&gt;"&amp;"Endulini",Sales!$H:$H,"&lt;="&amp;Heron!AR$9,Sales!$H:$H,"&gt;"&amp;Heron!AQ$9,Sales!$F:$F,1)+SUMIFS(Sales!$N:$N,Sales!$E:$E,FALSE,Sales!$A:$A,"&lt;&gt;"&amp;"Endulini",Sales!$H:$H,"&lt;="&amp;Heron!AR$9,Sales!$H:$H,"&gt;"&amp;Heron!AQ$9,Sales!$F:$F,1)+SUMIFS(Sales!$P:$P,Sales!$E:$E,FALSE,Sales!$A:$A,"&lt;&gt;"&amp;"Endulini",Sales!$H:$H,"&lt;="&amp;Heron!AR$9,Sales!$H:$H,"&gt;"&amp;Heron!AQ$9,Sales!$F:$F,1)</f>
        <v>40024.61</v>
      </c>
      <c r="AS54" s="99">
        <f>SUMIFS(Xero!$F:$F,Xero!$B:$B,Heron!AS$9,Xero!$A:$A,Heron!$A$4,Xero!$E:$E,Heron!$A54)+SUMIFS(Xero!$F:$F,Xero!$B:$B,Heron!AS$9,Xero!$A:$A,Heron!$A$5,Xero!$E:$E,Heron!$A54)+SUMIFS(Sales!$L:$L,Sales!$E:$E,FALSE,Sales!$A:$A,"&lt;&gt;"&amp;"Endulini",Sales!$H:$H,"&lt;="&amp;Heron!AS$9,Sales!$H:$H,"&gt;"&amp;Heron!AR$9,Sales!$F:$F,1)+SUMIFS(Sales!$M:$M,Sales!$E:$E,FALSE,Sales!$A:$A,"&lt;&gt;"&amp;"Endulini",Sales!$H:$H,"&lt;="&amp;Heron!AS$9,Sales!$H:$H,"&gt;"&amp;Heron!AR$9,Sales!$F:$F,1)+SUMIFS(Sales!$N:$N,Sales!$E:$E,FALSE,Sales!$A:$A,"&lt;&gt;"&amp;"Endulini",Sales!$H:$H,"&lt;="&amp;Heron!AS$9,Sales!$H:$H,"&gt;"&amp;Heron!AR$9,Sales!$F:$F,1)+SUMIFS(Sales!$P:$P,Sales!$E:$E,FALSE,Sales!$A:$A,"&lt;&gt;"&amp;"Endulini",Sales!$H:$H,"&lt;="&amp;Heron!AS$9,Sales!$H:$H,"&gt;"&amp;Heron!AR$9,Sales!$F:$F,1)</f>
        <v>562679.4</v>
      </c>
      <c r="AT54" s="99">
        <f>SUMIFS(Xero!$F:$F,Xero!$B:$B,Heron!AT$9,Xero!$A:$A,Heron!$A$4,Xero!$E:$E,Heron!$A54)+SUMIFS(Xero!$F:$F,Xero!$B:$B,Heron!AT$9,Xero!$A:$A,Heron!$A$5,Xero!$E:$E,Heron!$A54)+SUMIFS(Sales!$L:$L,Sales!$E:$E,FALSE,Sales!$A:$A,"&lt;&gt;"&amp;"Endulini",Sales!$H:$H,"&lt;="&amp;Heron!AT$9,Sales!$H:$H,"&gt;"&amp;Heron!AS$9,Sales!$F:$F,1)+SUMIFS(Sales!$M:$M,Sales!$E:$E,FALSE,Sales!$A:$A,"&lt;&gt;"&amp;"Endulini",Sales!$H:$H,"&lt;="&amp;Heron!AT$9,Sales!$H:$H,"&gt;"&amp;Heron!AS$9,Sales!$F:$F,1)+SUMIFS(Sales!$N:$N,Sales!$E:$E,FALSE,Sales!$A:$A,"&lt;&gt;"&amp;"Endulini",Sales!$H:$H,"&lt;="&amp;Heron!AT$9,Sales!$H:$H,"&gt;"&amp;Heron!AS$9,Sales!$F:$F,1)+SUMIFS(Sales!$P:$P,Sales!$E:$E,FALSE,Sales!$A:$A,"&lt;&gt;"&amp;"Endulini",Sales!$H:$H,"&lt;="&amp;Heron!AT$9,Sales!$H:$H,"&gt;"&amp;Heron!AS$9,Sales!$F:$F,1)</f>
        <v>525718.41</v>
      </c>
      <c r="AU54" s="99">
        <f>SUMIFS(Xero!$F:$F,Xero!$B:$B,Heron!AU$9,Xero!$A:$A,Heron!$A$4,Xero!$E:$E,Heron!$A54)+SUMIFS(Xero!$F:$F,Xero!$B:$B,Heron!AU$9,Xero!$A:$A,Heron!$A$5,Xero!$E:$E,Heron!$A54)+SUMIFS(Sales!$L:$L,Sales!$E:$E,FALSE,Sales!$A:$A,"&lt;&gt;"&amp;"Endulini",Sales!$H:$H,"&lt;="&amp;Heron!AU$9,Sales!$H:$H,"&gt;"&amp;Heron!AT$9,Sales!$F:$F,1)+SUMIFS(Sales!$M:$M,Sales!$E:$E,FALSE,Sales!$A:$A,"&lt;&gt;"&amp;"Endulini",Sales!$H:$H,"&lt;="&amp;Heron!AU$9,Sales!$H:$H,"&gt;"&amp;Heron!AT$9,Sales!$F:$F,1)+SUMIFS(Sales!$N:$N,Sales!$E:$E,FALSE,Sales!$A:$A,"&lt;&gt;"&amp;"Endulini",Sales!$H:$H,"&lt;="&amp;Heron!AU$9,Sales!$H:$H,"&gt;"&amp;Heron!AT$9,Sales!$F:$F,1)+SUMIFS(Sales!$P:$P,Sales!$E:$E,FALSE,Sales!$A:$A,"&lt;&gt;"&amp;"Endulini",Sales!$H:$H,"&lt;="&amp;Heron!AU$9,Sales!$H:$H,"&gt;"&amp;Heron!AT$9,Sales!$F:$F,1)</f>
        <v>0</v>
      </c>
      <c r="AV54" s="99">
        <f>SUMIFS(Xero!$F:$F,Xero!$B:$B,Heron!AV$9,Xero!$A:$A,Heron!$A$4,Xero!$E:$E,Heron!$A54)+SUMIFS(Xero!$F:$F,Xero!$B:$B,Heron!AV$9,Xero!$A:$A,Heron!$A$5,Xero!$E:$E,Heron!$A54)+SUMIFS(Sales!$L:$L,Sales!$E:$E,FALSE,Sales!$A:$A,"&lt;&gt;"&amp;"Endulini",Sales!$H:$H,"&lt;="&amp;Heron!AV$9,Sales!$H:$H,"&gt;"&amp;Heron!AU$9,Sales!$F:$F,1)+SUMIFS(Sales!$M:$M,Sales!$E:$E,FALSE,Sales!$A:$A,"&lt;&gt;"&amp;"Endulini",Sales!$H:$H,"&lt;="&amp;Heron!AV$9,Sales!$H:$H,"&gt;"&amp;Heron!AU$9,Sales!$F:$F,1)+SUMIFS(Sales!$N:$N,Sales!$E:$E,FALSE,Sales!$A:$A,"&lt;&gt;"&amp;"Endulini",Sales!$H:$H,"&lt;="&amp;Heron!AV$9,Sales!$H:$H,"&gt;"&amp;Heron!AU$9,Sales!$F:$F,1)+SUMIFS(Sales!$P:$P,Sales!$E:$E,FALSE,Sales!$A:$A,"&lt;&gt;"&amp;"Endulini",Sales!$H:$H,"&lt;="&amp;Heron!AV$9,Sales!$H:$H,"&gt;"&amp;Heron!AU$9,Sales!$F:$F,1)</f>
        <v>0</v>
      </c>
      <c r="AW54" s="99">
        <f>SUMIFS(Xero!$F:$F,Xero!$B:$B,Heron!AW$9,Xero!$A:$A,Heron!$A$4,Xero!$E:$E,Heron!$A54)+SUMIFS(Xero!$F:$F,Xero!$B:$B,Heron!AW$9,Xero!$A:$A,Heron!$A$5,Xero!$E:$E,Heron!$A54)+SUMIFS(Sales!$L:$L,Sales!$E:$E,FALSE,Sales!$A:$A,"&lt;&gt;"&amp;"Endulini",Sales!$H:$H,"&lt;="&amp;Heron!AW$9,Sales!$H:$H,"&gt;"&amp;Heron!AV$9,Sales!$F:$F,1)+SUMIFS(Sales!$M:$M,Sales!$E:$E,FALSE,Sales!$A:$A,"&lt;&gt;"&amp;"Endulini",Sales!$H:$H,"&lt;="&amp;Heron!AW$9,Sales!$H:$H,"&gt;"&amp;Heron!AV$9,Sales!$F:$F,1)+SUMIFS(Sales!$N:$N,Sales!$E:$E,FALSE,Sales!$A:$A,"&lt;&gt;"&amp;"Endulini",Sales!$H:$H,"&lt;="&amp;Heron!AW$9,Sales!$H:$H,"&gt;"&amp;Heron!AV$9,Sales!$F:$F,1)+SUMIFS(Sales!$P:$P,Sales!$E:$E,FALSE,Sales!$A:$A,"&lt;&gt;"&amp;"Endulini",Sales!$H:$H,"&lt;="&amp;Heron!AW$9,Sales!$H:$H,"&gt;"&amp;Heron!AV$9,Sales!$F:$F,1)</f>
        <v>0</v>
      </c>
      <c r="AX54" s="99">
        <f>SUMIFS(Xero!$F:$F,Xero!$B:$B,Heron!AX$9,Xero!$A:$A,Heron!$A$4,Xero!$E:$E,Heron!$A54)+SUMIFS(Xero!$F:$F,Xero!$B:$B,Heron!AX$9,Xero!$A:$A,Heron!$A$5,Xero!$E:$E,Heron!$A54)+SUMIFS(Sales!$L:$L,Sales!$E:$E,FALSE,Sales!$A:$A,"&lt;&gt;"&amp;"Endulini",Sales!$H:$H,"&lt;="&amp;Heron!AX$9,Sales!$H:$H,"&gt;"&amp;Heron!AW$9,Sales!$F:$F,1)+SUMIFS(Sales!$M:$M,Sales!$E:$E,FALSE,Sales!$A:$A,"&lt;&gt;"&amp;"Endulini",Sales!$H:$H,"&lt;="&amp;Heron!AX$9,Sales!$H:$H,"&gt;"&amp;Heron!AW$9,Sales!$F:$F,1)+SUMIFS(Sales!$N:$N,Sales!$E:$E,FALSE,Sales!$A:$A,"&lt;&gt;"&amp;"Endulini",Sales!$H:$H,"&lt;="&amp;Heron!AX$9,Sales!$H:$H,"&gt;"&amp;Heron!AW$9,Sales!$F:$F,1)+SUMIFS(Sales!$P:$P,Sales!$E:$E,FALSE,Sales!$A:$A,"&lt;&gt;"&amp;"Endulini",Sales!$H:$H,"&lt;="&amp;Heron!AX$9,Sales!$H:$H,"&gt;"&amp;Heron!AW$9,Sales!$F:$F,1)</f>
        <v>0</v>
      </c>
      <c r="AY54" s="99">
        <f>SUMIFS(Xero!$F:$F,Xero!$B:$B,Heron!AY$9,Xero!$A:$A,Heron!$A$4,Xero!$E:$E,Heron!$A54)+SUMIFS(Xero!$F:$F,Xero!$B:$B,Heron!AY$9,Xero!$A:$A,Heron!$A$5,Xero!$E:$E,Heron!$A54)+SUMIFS(Sales!$L:$L,Sales!$E:$E,FALSE,Sales!$A:$A,"&lt;&gt;"&amp;"Endulini",Sales!$H:$H,"&lt;="&amp;Heron!AY$9,Sales!$H:$H,"&gt;"&amp;Heron!AX$9,Sales!$F:$F,1)+SUMIFS(Sales!$M:$M,Sales!$E:$E,FALSE,Sales!$A:$A,"&lt;&gt;"&amp;"Endulini",Sales!$H:$H,"&lt;="&amp;Heron!AY$9,Sales!$H:$H,"&gt;"&amp;Heron!AX$9,Sales!$F:$F,1)+SUMIFS(Sales!$N:$N,Sales!$E:$E,FALSE,Sales!$A:$A,"&lt;&gt;"&amp;"Endulini",Sales!$H:$H,"&lt;="&amp;Heron!AY$9,Sales!$H:$H,"&gt;"&amp;Heron!AX$9,Sales!$F:$F,1)+SUMIFS(Sales!$P:$P,Sales!$E:$E,FALSE,Sales!$A:$A,"&lt;&gt;"&amp;"Endulini",Sales!$H:$H,"&lt;="&amp;Heron!AY$9,Sales!$H:$H,"&gt;"&amp;Heron!AX$9,Sales!$F:$F,1)</f>
        <v>473049.5</v>
      </c>
      <c r="AZ54" s="99">
        <f>SUMIFS(Xero!$F:$F,Xero!$B:$B,Heron!AZ$9,Xero!$A:$A,Heron!$A$4,Xero!$E:$E,Heron!$A54)+SUMIFS(Xero!$F:$F,Xero!$B:$B,Heron!AZ$9,Xero!$A:$A,Heron!$A$5,Xero!$E:$E,Heron!$A54)+SUMIFS(Sales!$L:$L,Sales!$E:$E,FALSE,Sales!$A:$A,"&lt;&gt;"&amp;"Endulini",Sales!$H:$H,"&lt;="&amp;Heron!AZ$9,Sales!$H:$H,"&gt;"&amp;Heron!AY$9,Sales!$F:$F,1)+SUMIFS(Sales!$M:$M,Sales!$E:$E,FALSE,Sales!$A:$A,"&lt;&gt;"&amp;"Endulini",Sales!$H:$H,"&lt;="&amp;Heron!AZ$9,Sales!$H:$H,"&gt;"&amp;Heron!AY$9,Sales!$F:$F,1)+SUMIFS(Sales!$N:$N,Sales!$E:$E,FALSE,Sales!$A:$A,"&lt;&gt;"&amp;"Endulini",Sales!$H:$H,"&lt;="&amp;Heron!AZ$9,Sales!$H:$H,"&gt;"&amp;Heron!AY$9,Sales!$F:$F,1)+SUMIFS(Sales!$P:$P,Sales!$E:$E,FALSE,Sales!$A:$A,"&lt;&gt;"&amp;"Endulini",Sales!$H:$H,"&lt;="&amp;Heron!AZ$9,Sales!$H:$H,"&gt;"&amp;Heron!AY$9,Sales!$F:$F,1)</f>
        <v>0</v>
      </c>
      <c r="BA54" s="99">
        <f>SUMIFS(Xero!$F:$F,Xero!$B:$B,Heron!BA$9,Xero!$A:$A,Heron!$A$4,Xero!$E:$E,Heron!$A54)+SUMIFS(Xero!$F:$F,Xero!$B:$B,Heron!BA$9,Xero!$A:$A,Heron!$A$5,Xero!$E:$E,Heron!$A54)+SUMIFS(Sales!$L:$L,Sales!$E:$E,FALSE,Sales!$A:$A,"&lt;&gt;"&amp;"Endulini",Sales!$H:$H,"&lt;="&amp;Heron!BA$9,Sales!$H:$H,"&gt;"&amp;Heron!AZ$9,Sales!$F:$F,1)+SUMIFS(Sales!$M:$M,Sales!$E:$E,FALSE,Sales!$A:$A,"&lt;&gt;"&amp;"Endulini",Sales!$H:$H,"&lt;="&amp;Heron!BA$9,Sales!$H:$H,"&gt;"&amp;Heron!AZ$9,Sales!$F:$F,1)+SUMIFS(Sales!$N:$N,Sales!$E:$E,FALSE,Sales!$A:$A,"&lt;&gt;"&amp;"Endulini",Sales!$H:$H,"&lt;="&amp;Heron!BA$9,Sales!$H:$H,"&gt;"&amp;Heron!AZ$9,Sales!$F:$F,1)+SUMIFS(Sales!$P:$P,Sales!$E:$E,FALSE,Sales!$A:$A,"&lt;&gt;"&amp;"Endulini",Sales!$H:$H,"&lt;="&amp;Heron!BA$9,Sales!$H:$H,"&gt;"&amp;Heron!AZ$9,Sales!$F:$F,1)</f>
        <v>0</v>
      </c>
      <c r="BB54" s="99">
        <f>SUMIFS(Xero!$F:$F,Xero!$B:$B,Heron!BB$9,Xero!$A:$A,Heron!$A$4,Xero!$E:$E,Heron!$A54)+SUMIFS(Xero!$F:$F,Xero!$B:$B,Heron!BB$9,Xero!$A:$A,Heron!$A$5,Xero!$E:$E,Heron!$A54)+SUMIFS(Sales!$L:$L,Sales!$E:$E,FALSE,Sales!$A:$A,"&lt;&gt;"&amp;"Endulini",Sales!$H:$H,"&lt;="&amp;Heron!BB$9,Sales!$H:$H,"&gt;"&amp;Heron!BA$9,Sales!$F:$F,1)+SUMIFS(Sales!$M:$M,Sales!$E:$E,FALSE,Sales!$A:$A,"&lt;&gt;"&amp;"Endulini",Sales!$H:$H,"&lt;="&amp;Heron!BB$9,Sales!$H:$H,"&gt;"&amp;Heron!BA$9,Sales!$F:$F,1)+SUMIFS(Sales!$N:$N,Sales!$E:$E,FALSE,Sales!$A:$A,"&lt;&gt;"&amp;"Endulini",Sales!$H:$H,"&lt;="&amp;Heron!BB$9,Sales!$H:$H,"&gt;"&amp;Heron!BA$9,Sales!$F:$F,1)+SUMIFS(Sales!$P:$P,Sales!$E:$E,FALSE,Sales!$A:$A,"&lt;&gt;"&amp;"Endulini",Sales!$H:$H,"&lt;="&amp;Heron!BB$9,Sales!$H:$H,"&gt;"&amp;Heron!BA$9,Sales!$F:$F,1)</f>
        <v>0</v>
      </c>
      <c r="BC54" s="99">
        <f>SUMIFS(Xero!$F:$F,Xero!$B:$B,Heron!BC$9,Xero!$A:$A,Heron!$A$4,Xero!$E:$E,Heron!$A54)+SUMIFS(Xero!$F:$F,Xero!$B:$B,Heron!BC$9,Xero!$A:$A,Heron!$A$5,Xero!$E:$E,Heron!$A54)+SUMIFS(Sales!$L:$L,Sales!$E:$E,FALSE,Sales!$A:$A,"&lt;&gt;"&amp;"Endulini",Sales!$H:$H,"&lt;="&amp;Heron!BC$9,Sales!$H:$H,"&gt;"&amp;Heron!BB$9,Sales!$F:$F,1)+SUMIFS(Sales!$M:$M,Sales!$E:$E,FALSE,Sales!$A:$A,"&lt;&gt;"&amp;"Endulini",Sales!$H:$H,"&lt;="&amp;Heron!BC$9,Sales!$H:$H,"&gt;"&amp;Heron!BB$9,Sales!$F:$F,1)+SUMIFS(Sales!$N:$N,Sales!$E:$E,FALSE,Sales!$A:$A,"&lt;&gt;"&amp;"Endulini",Sales!$H:$H,"&lt;="&amp;Heron!BC$9,Sales!$H:$H,"&gt;"&amp;Heron!BB$9,Sales!$F:$F,1)+SUMIFS(Sales!$P:$P,Sales!$E:$E,FALSE,Sales!$A:$A,"&lt;&gt;"&amp;"Endulini",Sales!$H:$H,"&lt;="&amp;Heron!BC$9,Sales!$H:$H,"&gt;"&amp;Heron!BB$9,Sales!$F:$F,1)</f>
        <v>0</v>
      </c>
      <c r="BD54" s="99">
        <f>SUMIFS(Xero!$F:$F,Xero!$B:$B,Heron!BD$9,Xero!$A:$A,Heron!$A$4,Xero!$E:$E,Heron!$A54)+SUMIFS(Xero!$F:$F,Xero!$B:$B,Heron!BD$9,Xero!$A:$A,Heron!$A$5,Xero!$E:$E,Heron!$A54)+SUMIFS(Sales!$L:$L,Sales!$E:$E,FALSE,Sales!$A:$A,"&lt;&gt;"&amp;"Endulini",Sales!$H:$H,"&lt;="&amp;Heron!BD$9,Sales!$H:$H,"&gt;"&amp;Heron!BC$9,Sales!$F:$F,1)+SUMIFS(Sales!$M:$M,Sales!$E:$E,FALSE,Sales!$A:$A,"&lt;&gt;"&amp;"Endulini",Sales!$H:$H,"&lt;="&amp;Heron!BD$9,Sales!$H:$H,"&gt;"&amp;Heron!BC$9,Sales!$F:$F,1)+SUMIFS(Sales!$N:$N,Sales!$E:$E,FALSE,Sales!$A:$A,"&lt;&gt;"&amp;"Endulini",Sales!$H:$H,"&lt;="&amp;Heron!BD$9,Sales!$H:$H,"&gt;"&amp;Heron!BC$9,Sales!$F:$F,1)+SUMIFS(Sales!$P:$P,Sales!$E:$E,FALSE,Sales!$A:$A,"&lt;&gt;"&amp;"Endulini",Sales!$H:$H,"&lt;="&amp;Heron!BD$9,Sales!$H:$H,"&gt;"&amp;Heron!BC$9,Sales!$F:$F,1)</f>
        <v>0</v>
      </c>
      <c r="BE54" s="99">
        <f>SUMIFS(Xero!$F:$F,Xero!$B:$B,Heron!BE$9,Xero!$A:$A,Heron!$A$4,Xero!$E:$E,Heron!$A54)+SUMIFS(Xero!$F:$F,Xero!$B:$B,Heron!BE$9,Xero!$A:$A,Heron!$A$5,Xero!$E:$E,Heron!$A54)+SUMIFS(Sales!$L:$L,Sales!$E:$E,FALSE,Sales!$A:$A,"&lt;&gt;"&amp;"Endulini",Sales!$H:$H,"&lt;="&amp;Heron!BE$9,Sales!$H:$H,"&gt;"&amp;Heron!BD$9,Sales!$F:$F,1)+SUMIFS(Sales!$M:$M,Sales!$E:$E,FALSE,Sales!$A:$A,"&lt;&gt;"&amp;"Endulini",Sales!$H:$H,"&lt;="&amp;Heron!BE$9,Sales!$H:$H,"&gt;"&amp;Heron!BD$9,Sales!$F:$F,1)+SUMIFS(Sales!$N:$N,Sales!$E:$E,FALSE,Sales!$A:$A,"&lt;&gt;"&amp;"Endulini",Sales!$H:$H,"&lt;="&amp;Heron!BE$9,Sales!$H:$H,"&gt;"&amp;Heron!BD$9,Sales!$F:$F,1)+SUMIFS(Sales!$P:$P,Sales!$E:$E,FALSE,Sales!$A:$A,"&lt;&gt;"&amp;"Endulini",Sales!$H:$H,"&lt;="&amp;Heron!BE$9,Sales!$H:$H,"&gt;"&amp;Heron!BD$9,Sales!$F:$F,1)</f>
        <v>0</v>
      </c>
      <c r="BF54" s="99">
        <f>SUMIFS(Xero!$F:$F,Xero!$B:$B,Heron!BF$9,Xero!$A:$A,Heron!$A$4,Xero!$E:$E,Heron!$A54)+SUMIFS(Xero!$F:$F,Xero!$B:$B,Heron!BF$9,Xero!$A:$A,Heron!$A$5,Xero!$E:$E,Heron!$A54)+SUMIFS(Sales!$L:$L,Sales!$E:$E,FALSE,Sales!$A:$A,"&lt;&gt;"&amp;"Endulini",Sales!$H:$H,"&lt;="&amp;Heron!BF$9,Sales!$H:$H,"&gt;"&amp;Heron!BE$9,Sales!$F:$F,1)+SUMIFS(Sales!$M:$M,Sales!$E:$E,FALSE,Sales!$A:$A,"&lt;&gt;"&amp;"Endulini",Sales!$H:$H,"&lt;="&amp;Heron!BF$9,Sales!$H:$H,"&gt;"&amp;Heron!BE$9,Sales!$F:$F,1)+SUMIFS(Sales!$N:$N,Sales!$E:$E,FALSE,Sales!$A:$A,"&lt;&gt;"&amp;"Endulini",Sales!$H:$H,"&lt;="&amp;Heron!BF$9,Sales!$H:$H,"&gt;"&amp;Heron!BE$9,Sales!$F:$F,1)+SUMIFS(Sales!$P:$P,Sales!$E:$E,FALSE,Sales!$A:$A,"&lt;&gt;"&amp;"Endulini",Sales!$H:$H,"&lt;="&amp;Heron!BF$9,Sales!$H:$H,"&gt;"&amp;Heron!BE$9,Sales!$F:$F,1)</f>
        <v>0</v>
      </c>
      <c r="BG54" s="99">
        <f>SUMIFS(Xero!$F:$F,Xero!$B:$B,Heron!BG$9,Xero!$A:$A,Heron!$A$4,Xero!$E:$E,Heron!$A54)+SUMIFS(Xero!$F:$F,Xero!$B:$B,Heron!BG$9,Xero!$A:$A,Heron!$A$5,Xero!$E:$E,Heron!$A54)+SUMIFS(Sales!$L:$L,Sales!$E:$E,FALSE,Sales!$A:$A,"&lt;&gt;"&amp;"Endulini",Sales!$H:$H,"&lt;="&amp;Heron!BG$9,Sales!$H:$H,"&gt;"&amp;Heron!BF$9,Sales!$F:$F,1)+SUMIFS(Sales!$M:$M,Sales!$E:$E,FALSE,Sales!$A:$A,"&lt;&gt;"&amp;"Endulini",Sales!$H:$H,"&lt;="&amp;Heron!BG$9,Sales!$H:$H,"&gt;"&amp;Heron!BF$9,Sales!$F:$F,1)+SUMIFS(Sales!$N:$N,Sales!$E:$E,FALSE,Sales!$A:$A,"&lt;&gt;"&amp;"Endulini",Sales!$H:$H,"&lt;="&amp;Heron!BG$9,Sales!$H:$H,"&gt;"&amp;Heron!BF$9,Sales!$F:$F,1)+SUMIFS(Sales!$P:$P,Sales!$E:$E,FALSE,Sales!$A:$A,"&lt;&gt;"&amp;"Endulini",Sales!$H:$H,"&lt;="&amp;Heron!BG$9,Sales!$H:$H,"&gt;"&amp;Heron!BF$9,Sales!$F:$F,1)</f>
        <v>0</v>
      </c>
      <c r="BH54" s="99">
        <f>SUMIFS(Xero!$F:$F,Xero!$B:$B,Heron!BH$9,Xero!$A:$A,Heron!$A$4,Xero!$E:$E,Heron!$A54)+SUMIFS(Xero!$F:$F,Xero!$B:$B,Heron!BH$9,Xero!$A:$A,Heron!$A$5,Xero!$E:$E,Heron!$A54)+SUMIFS(Sales!$L:$L,Sales!$E:$E,FALSE,Sales!$A:$A,"&lt;&gt;"&amp;"Endulini",Sales!$H:$H,"&lt;="&amp;Heron!BH$9,Sales!$H:$H,"&gt;"&amp;Heron!BG$9,Sales!$F:$F,1)+SUMIFS(Sales!$M:$M,Sales!$E:$E,FALSE,Sales!$A:$A,"&lt;&gt;"&amp;"Endulini",Sales!$H:$H,"&lt;="&amp;Heron!BH$9,Sales!$H:$H,"&gt;"&amp;Heron!BG$9,Sales!$F:$F,1)+SUMIFS(Sales!$N:$N,Sales!$E:$E,FALSE,Sales!$A:$A,"&lt;&gt;"&amp;"Endulini",Sales!$H:$H,"&lt;="&amp;Heron!BH$9,Sales!$H:$H,"&gt;"&amp;Heron!BG$9,Sales!$F:$F,1)+SUMIFS(Sales!$P:$P,Sales!$E:$E,FALSE,Sales!$A:$A,"&lt;&gt;"&amp;"Endulini",Sales!$H:$H,"&lt;="&amp;Heron!BH$9,Sales!$H:$H,"&gt;"&amp;Heron!BG$9,Sales!$F:$F,1)</f>
        <v>0</v>
      </c>
      <c r="BI54" s="99">
        <f>SUMIFS(Xero!$F:$F,Xero!$B:$B,Heron!BI$9,Xero!$A:$A,Heron!$A$4,Xero!$E:$E,Heron!$A54)+SUMIFS(Xero!$F:$F,Xero!$B:$B,Heron!BI$9,Xero!$A:$A,Heron!$A$5,Xero!$E:$E,Heron!$A54)+SUMIFS(Sales!$L:$L,Sales!$E:$E,FALSE,Sales!$A:$A,"&lt;&gt;"&amp;"Endulini",Sales!$H:$H,"&lt;="&amp;Heron!BI$9,Sales!$H:$H,"&gt;"&amp;Heron!BH$9,Sales!$F:$F,1)+SUMIFS(Sales!$M:$M,Sales!$E:$E,FALSE,Sales!$A:$A,"&lt;&gt;"&amp;"Endulini",Sales!$H:$H,"&lt;="&amp;Heron!BI$9,Sales!$H:$H,"&gt;"&amp;Heron!BH$9,Sales!$F:$F,1)+SUMIFS(Sales!$N:$N,Sales!$E:$E,FALSE,Sales!$A:$A,"&lt;&gt;"&amp;"Endulini",Sales!$H:$H,"&lt;="&amp;Heron!BI$9,Sales!$H:$H,"&gt;"&amp;Heron!BH$9,Sales!$F:$F,1)+SUMIFS(Sales!$P:$P,Sales!$E:$E,FALSE,Sales!$A:$A,"&lt;&gt;"&amp;"Endulini",Sales!$H:$H,"&lt;="&amp;Heron!BI$9,Sales!$H:$H,"&gt;"&amp;Heron!BH$9,Sales!$F:$F,1)</f>
        <v>0</v>
      </c>
      <c r="BJ54" s="99">
        <f>SUMIFS(Xero!$F:$F,Xero!$B:$B,Heron!BJ$9,Xero!$A:$A,Heron!$A$4,Xero!$E:$E,Heron!$A54)+SUMIFS(Xero!$F:$F,Xero!$B:$B,Heron!BJ$9,Xero!$A:$A,Heron!$A$5,Xero!$E:$E,Heron!$A54)+SUMIFS(Sales!$L:$L,Sales!$E:$E,FALSE,Sales!$A:$A,"&lt;&gt;"&amp;"Endulini",Sales!$H:$H,"&lt;="&amp;Heron!BJ$9,Sales!$H:$H,"&gt;"&amp;Heron!BI$9,Sales!$F:$F,1)+SUMIFS(Sales!$M:$M,Sales!$E:$E,FALSE,Sales!$A:$A,"&lt;&gt;"&amp;"Endulini",Sales!$H:$H,"&lt;="&amp;Heron!BJ$9,Sales!$H:$H,"&gt;"&amp;Heron!BI$9,Sales!$F:$F,1)+SUMIFS(Sales!$N:$N,Sales!$E:$E,FALSE,Sales!$A:$A,"&lt;&gt;"&amp;"Endulini",Sales!$H:$H,"&lt;="&amp;Heron!BJ$9,Sales!$H:$H,"&gt;"&amp;Heron!BI$9,Sales!$F:$F,1)+SUMIFS(Sales!$P:$P,Sales!$E:$E,FALSE,Sales!$A:$A,"&lt;&gt;"&amp;"Endulini",Sales!$H:$H,"&lt;="&amp;Heron!BJ$9,Sales!$H:$H,"&gt;"&amp;Heron!BI$9,Sales!$F:$F,1)</f>
        <v>0</v>
      </c>
      <c r="BK54" s="99">
        <f t="shared" si="4"/>
        <v>4374359.91</v>
      </c>
    </row>
    <row r="55" spans="1:63" ht="16" x14ac:dyDescent="0.2">
      <c r="A55" s="98" t="s">
        <v>1677</v>
      </c>
      <c r="D55" s="99">
        <f>SUMIFS(Xero!$F:$F,Xero!$B:$B,Heron!D$9,Xero!$A:$A,Heron!$A$4,Xero!$E:$E,Heron!$A55)+SUMIFS(Xero!$F:$F,Xero!$B:$B,Heron!D$9,Xero!$A:$A,Heron!$A$5,Xero!$E:$E,Heron!$A55)</f>
        <v>0</v>
      </c>
      <c r="E55" s="99">
        <f>SUMIFS(Xero!$F:$F,Xero!$B:$B,Heron!E$9,Xero!$A:$A,Heron!$A$4,Xero!$E:$E,Heron!$A55)+SUMIFS(Xero!$F:$F,Xero!$B:$B,Heron!E$9,Xero!$A:$A,Heron!$A$5,Xero!$E:$E,Heron!$A55)</f>
        <v>0</v>
      </c>
      <c r="F55" s="99">
        <f>SUMIFS(Xero!$F:$F,Xero!$B:$B,Heron!F$9,Xero!$A:$A,Heron!$A$4,Xero!$E:$E,Heron!$A55)+SUMIFS(Xero!$F:$F,Xero!$B:$B,Heron!F$9,Xero!$A:$A,Heron!$A$5,Xero!$E:$E,Heron!$A55)</f>
        <v>0</v>
      </c>
      <c r="G55" s="99">
        <f>SUMIFS(Xero!$F:$F,Xero!$B:$B,Heron!G$9,Xero!$A:$A,Heron!$A$4,Xero!$E:$E,Heron!$A55)+SUMIFS(Xero!$F:$F,Xero!$B:$B,Heron!G$9,Xero!$A:$A,Heron!$A$5,Xero!$E:$E,Heron!$A55)</f>
        <v>0</v>
      </c>
      <c r="H55" s="99">
        <f>SUMIFS(Xero!$F:$F,Xero!$B:$B,Heron!H$9,Xero!$A:$A,Heron!$A$4,Xero!$E:$E,Heron!$A55)+SUMIFS(Xero!$F:$F,Xero!$B:$B,Heron!H$9,Xero!$A:$A,Heron!$A$5,Xero!$E:$E,Heron!$A55)</f>
        <v>0</v>
      </c>
      <c r="I55" s="99">
        <f>SUMIFS(Xero!$F:$F,Xero!$B:$B,Heron!I$9,Xero!$A:$A,Heron!$A$4,Xero!$E:$E,Heron!$A55)+SUMIFS(Xero!$F:$F,Xero!$B:$B,Heron!I$9,Xero!$A:$A,Heron!$A$5,Xero!$E:$E,Heron!$A55)</f>
        <v>0</v>
      </c>
      <c r="J55" s="99">
        <f>SUMIFS(Xero!$F:$F,Xero!$B:$B,Heron!J$9,Xero!$A:$A,Heron!$A$4,Xero!$E:$E,Heron!$A55)+SUMIFS(Xero!$F:$F,Xero!$B:$B,Heron!J$9,Xero!$A:$A,Heron!$A$5,Xero!$E:$E,Heron!$A55)</f>
        <v>0</v>
      </c>
      <c r="K55" s="99">
        <f>SUMIFS(Xero!$F:$F,Xero!$B:$B,Heron!K$9,Xero!$A:$A,Heron!$A$4,Xero!$E:$E,Heron!$A55)+SUMIFS(Xero!$F:$F,Xero!$B:$B,Heron!K$9,Xero!$A:$A,Heron!$A$5,Xero!$E:$E,Heron!$A55)</f>
        <v>0</v>
      </c>
      <c r="L55" s="99">
        <f>SUMIFS(Xero!$F:$F,Xero!$B:$B,Heron!L$9,Xero!$A:$A,Heron!$A$4,Xero!$E:$E,Heron!$A55)+SUMIFS(Xero!$F:$F,Xero!$B:$B,Heron!L$9,Xero!$A:$A,Heron!$A$5,Xero!$E:$E,Heron!$A55)</f>
        <v>0</v>
      </c>
      <c r="M55" s="99">
        <f>SUMIFS(Xero!$F:$F,Xero!$B:$B,Heron!M$9,Xero!$A:$A,Heron!$A$4,Xero!$E:$E,Heron!$A55)+SUMIFS(Xero!$F:$F,Xero!$B:$B,Heron!M$9,Xero!$A:$A,Heron!$A$5,Xero!$E:$E,Heron!$A55)</f>
        <v>0</v>
      </c>
      <c r="N55" s="99">
        <f>SUMIFS(Xero!$F:$F,Xero!$B:$B,Heron!N$9,Xero!$A:$A,Heron!$A$4,Xero!$E:$E,Heron!$A55)+SUMIFS(Xero!$F:$F,Xero!$B:$B,Heron!N$9,Xero!$A:$A,Heron!$A$5,Xero!$E:$E,Heron!$A55)</f>
        <v>0</v>
      </c>
      <c r="O55" s="99">
        <f>SUMIFS(Xero!$F:$F,Xero!$B:$B,Heron!O$9,Xero!$A:$A,Heron!$A$4,Xero!$E:$E,Heron!$A55)+SUMIFS(Xero!$F:$F,Xero!$B:$B,Heron!O$9,Xero!$A:$A,Heron!$A$5,Xero!$E:$E,Heron!$A55)</f>
        <v>0</v>
      </c>
      <c r="P55" s="99">
        <f>SUMIFS(Xero!$F:$F,Xero!$B:$B,Heron!P$9,Xero!$A:$A,Heron!$A$4,Xero!$E:$E,Heron!$A55)+SUMIFS(Xero!$F:$F,Xero!$B:$B,Heron!P$9,Xero!$A:$A,Heron!$A$5,Xero!$E:$E,Heron!$A55)</f>
        <v>0</v>
      </c>
      <c r="Q55" s="99">
        <f>SUMIFS(Xero!$F:$F,Xero!$B:$B,Heron!Q$9,Xero!$A:$A,Heron!$A$4,Xero!$E:$E,Heron!$A55)+SUMIFS(Xero!$F:$F,Xero!$B:$B,Heron!Q$9,Xero!$A:$A,Heron!$A$5,Xero!$E:$E,Heron!$A55)</f>
        <v>0</v>
      </c>
      <c r="R55" s="99">
        <f>SUMIFS(Xero!$F:$F,Xero!$B:$B,Heron!R$9,Xero!$A:$A,Heron!$A$4,Xero!$E:$E,Heron!$A55)+SUMIFS(Xero!$F:$F,Xero!$B:$B,Heron!R$9,Xero!$A:$A,Heron!$A$5,Xero!$E:$E,Heron!$A55)</f>
        <v>0</v>
      </c>
      <c r="S55" s="99">
        <f>SUMIFS(Xero!$F:$F,Xero!$B:$B,Heron!S$9,Xero!$A:$A,Heron!$A$4,Xero!$E:$E,Heron!$A55)+SUMIFS(Xero!$F:$F,Xero!$B:$B,Heron!S$9,Xero!$A:$A,Heron!$A$5,Xero!$E:$E,Heron!$A55)</f>
        <v>0</v>
      </c>
      <c r="T55" s="99">
        <f>SUMIFS(Xero!$F:$F,Xero!$B:$B,Heron!T$9,Xero!$A:$A,Heron!$A$4,Xero!$E:$E,Heron!$A55)+SUMIFS(Xero!$F:$F,Xero!$B:$B,Heron!T$9,Xero!$A:$A,Heron!$A$5,Xero!$E:$E,Heron!$A55)</f>
        <v>0</v>
      </c>
      <c r="U55" s="99">
        <f>SUMIFS(Xero!$F:$F,Xero!$B:$B,Heron!U$9,Xero!$A:$A,Heron!$A$4,Xero!$E:$E,Heron!$A55)+SUMIFS(Xero!$F:$F,Xero!$B:$B,Heron!U$9,Xero!$A:$A,Heron!$A$5,Xero!$E:$E,Heron!$A55)</f>
        <v>0</v>
      </c>
      <c r="V55" s="99">
        <f>SUMIFS(Xero!$F:$F,Xero!$B:$B,Heron!V$9,Xero!$A:$A,Heron!$A$4,Xero!$E:$E,Heron!$A55)+SUMIFS(Xero!$F:$F,Xero!$B:$B,Heron!V$9,Xero!$A:$A,Heron!$A$5,Xero!$E:$E,Heron!$A55)</f>
        <v>0</v>
      </c>
      <c r="W55" s="99">
        <f>SUMIFS(Xero!$F:$F,Xero!$B:$B,Heron!W$9,Xero!$A:$A,Heron!$A$4,Xero!$E:$E,Heron!$A55)+SUMIFS(Xero!$F:$F,Xero!$B:$B,Heron!W$9,Xero!$A:$A,Heron!$A$5,Xero!$E:$E,Heron!$A55)</f>
        <v>0</v>
      </c>
      <c r="X55" s="99">
        <f>SUMIFS(Xero!$F:$F,Xero!$B:$B,Heron!X$9,Xero!$A:$A,Heron!$A$4,Xero!$E:$E,Heron!$A55)+SUMIFS(Xero!$F:$F,Xero!$B:$B,Heron!X$9,Xero!$A:$A,Heron!$A$5,Xero!$E:$E,Heron!$A55)</f>
        <v>0</v>
      </c>
      <c r="Y55" s="99">
        <f>SUMIFS(Xero!$F:$F,Xero!$B:$B,Heron!Y$9,Xero!$A:$A,Heron!$A$4,Xero!$E:$E,Heron!$A55)+SUMIFS(Xero!$F:$F,Xero!$B:$B,Heron!Y$9,Xero!$A:$A,Heron!$A$5,Xero!$E:$E,Heron!$A55)</f>
        <v>0</v>
      </c>
      <c r="Z55" s="99">
        <f>SUMIFS(Xero!$F:$F,Xero!$B:$B,Heron!Z$9,Xero!$A:$A,Heron!$A$4,Xero!$E:$E,Heron!$A55)+SUMIFS(Xero!$F:$F,Xero!$B:$B,Heron!Z$9,Xero!$A:$A,Heron!$A$5,Xero!$E:$E,Heron!$A55)</f>
        <v>0</v>
      </c>
      <c r="AA55" s="99">
        <f>SUMIFS(Xero!$F:$F,Xero!$B:$B,Heron!AA$9,Xero!$A:$A,Heron!$A$4,Xero!$E:$E,Heron!$A55)+SUMIFS(Xero!$F:$F,Xero!$B:$B,Heron!AA$9,Xero!$A:$A,Heron!$A$5,Xero!$E:$E,Heron!$A55)</f>
        <v>0</v>
      </c>
      <c r="AB55" s="99">
        <f>SUMIFS(Xero!$F:$F,Xero!$B:$B,Heron!AB$9,Xero!$A:$A,Heron!$A$4,Xero!$E:$E,Heron!$A55)+SUMIFS(Xero!$F:$F,Xero!$B:$B,Heron!AB$9,Xero!$A:$A,Heron!$A$5,Xero!$E:$E,Heron!$A55)</f>
        <v>0</v>
      </c>
      <c r="AC55" s="99">
        <f>SUMIFS(Xero!$F:$F,Xero!$B:$B,Heron!AC$9,Xero!$A:$A,Heron!$A$4,Xero!$E:$E,Heron!$A55)+SUMIFS(Xero!$F:$F,Xero!$B:$B,Heron!AC$9,Xero!$A:$A,Heron!$A$5,Xero!$E:$E,Heron!$A55)</f>
        <v>0</v>
      </c>
      <c r="AD55" s="99">
        <f>SUMIFS(Xero!$F:$F,Xero!$B:$B,Heron!AD$9,Xero!$A:$A,Heron!$A$4,Xero!$E:$E,Heron!$A55)+SUMIFS(Xero!$F:$F,Xero!$B:$B,Heron!AD$9,Xero!$A:$A,Heron!$A$5,Xero!$E:$E,Heron!$A55)</f>
        <v>0</v>
      </c>
      <c r="AE55" s="99">
        <f>SUMIFS(Xero!$F:$F,Xero!$B:$B,Heron!AE$9,Xero!$A:$A,Heron!$A$4,Xero!$E:$E,Heron!$A55)+SUMIFS(Xero!$F:$F,Xero!$B:$B,Heron!AE$9,Xero!$A:$A,Heron!$A$5,Xero!$E:$E,Heron!$A55)</f>
        <v>14689.94</v>
      </c>
      <c r="AF55" s="99">
        <f>SUMIFS(Xero!$F:$F,Xero!$B:$B,Heron!AF$9,Xero!$A:$A,Heron!$A$4,Xero!$E:$E,Heron!$A55)+SUMIFS(Xero!$F:$F,Xero!$B:$B,Heron!AF$9,Xero!$A:$A,Heron!$A$5,Xero!$E:$E,Heron!$A55)</f>
        <v>0</v>
      </c>
      <c r="AG55" s="99">
        <f>SUMIFS(Xero!$F:$F,Xero!$B:$B,Heron!AG$9,Xero!$A:$A,Heron!$A$4,Xero!$E:$E,Heron!$A55)+SUMIFS(Xero!$F:$F,Xero!$B:$B,Heron!AG$9,Xero!$A:$A,Heron!$A$5,Xero!$E:$E,Heron!$A55)</f>
        <v>30020</v>
      </c>
      <c r="AH55" s="99">
        <f>SUMIFS(Xero!$F:$F,Xero!$B:$B,Heron!AH$9,Xero!$A:$A,Heron!$A$4,Xero!$E:$E,Heron!$A55)+SUMIFS(Xero!$F:$F,Xero!$B:$B,Heron!AH$9,Xero!$A:$A,Heron!$A$5,Xero!$E:$E,Heron!$A55)</f>
        <v>16847</v>
      </c>
      <c r="AI55" s="99">
        <f>SUMIFS(Xero!$F:$F,Xero!$B:$B,Heron!AI$9,Xero!$A:$A,Heron!$A$4,Xero!$E:$E,Heron!$A55)+SUMIFS(Xero!$F:$F,Xero!$B:$B,Heron!AI$9,Xero!$A:$A,Heron!$A$5,Xero!$E:$E,Heron!$A55)</f>
        <v>0</v>
      </c>
      <c r="AJ55" s="99">
        <f>SUMIFS(Xero!$F:$F,Xero!$B:$B,Heron!AJ$9,Xero!$A:$A,Heron!$A$4,Xero!$E:$E,Heron!$A55)+SUMIFS(Xero!$F:$F,Xero!$B:$B,Heron!AJ$9,Xero!$A:$A,Heron!$A$5,Xero!$E:$E,Heron!$A55)</f>
        <v>17618</v>
      </c>
      <c r="AK55" s="99">
        <f>SUMIFS(Xero!$F:$F,Xero!$B:$B,Heron!AK$9,Xero!$A:$A,Heron!$A$4,Xero!$E:$E,Heron!$A55)+SUMIFS(Xero!$F:$F,Xero!$B:$B,Heron!AK$9,Xero!$A:$A,Heron!$A$5,Xero!$E:$E,Heron!$A55)</f>
        <v>0</v>
      </c>
      <c r="AL55" s="99">
        <f>SUMIFS(Xero!$F:$F,Xero!$B:$B,Heron!AL$9,Xero!$A:$A,Heron!$A$4,Xero!$E:$E,Heron!$A55)+SUMIFS(Xero!$F:$F,Xero!$B:$B,Heron!AL$9,Xero!$A:$A,Heron!$A$5,Xero!$E:$E,Heron!$A55)</f>
        <v>0</v>
      </c>
      <c r="AM55" s="99">
        <f>SUMIFS(Xero!$F:$F,Xero!$B:$B,Heron!AM$9,Xero!$A:$A,Heron!$A$4,Xero!$E:$E,Heron!$A55)+SUMIFS(Xero!$F:$F,Xero!$B:$B,Heron!AM$9,Xero!$A:$A,Heron!$A$5,Xero!$E:$E,Heron!$A55)</f>
        <v>0</v>
      </c>
      <c r="AN55" s="99">
        <f>SUMIFS(Xero!$F:$F,Xero!$B:$B,Heron!AN$9,Xero!$A:$A,Heron!$A$4,Xero!$E:$E,Heron!$A55)+SUMIFS(Xero!$F:$F,Xero!$B:$B,Heron!AN$9,Xero!$A:$A,Heron!$A$5,Xero!$E:$E,Heron!$A55)</f>
        <v>0</v>
      </c>
      <c r="AO55" s="99">
        <f>SUMIFS(Xero!$F:$F,Xero!$B:$B,Heron!AO$9,Xero!$A:$A,Heron!$A$4,Xero!$E:$E,Heron!$A55)+SUMIFS(Xero!$F:$F,Xero!$B:$B,Heron!AO$9,Xero!$A:$A,Heron!$A$5,Xero!$E:$E,Heron!$A55)</f>
        <v>0</v>
      </c>
      <c r="AP55" s="99">
        <f>SUMIFS(Xero!$F:$F,Xero!$B:$B,Heron!AP$9,Xero!$A:$A,Heron!$A$4,Xero!$E:$E,Heron!$A55)+SUMIFS(Xero!$F:$F,Xero!$B:$B,Heron!AP$9,Xero!$A:$A,Heron!$A$5,Xero!$E:$E,Heron!$A55)</f>
        <v>0</v>
      </c>
      <c r="AQ55" s="99">
        <f>SUMIFS(Xero!$F:$F,Xero!$B:$B,Heron!AQ$9,Xero!$A:$A,Heron!$A$4,Xero!$E:$E,Heron!$A55)+SUMIFS(Xero!$F:$F,Xero!$B:$B,Heron!AQ$9,Xero!$A:$A,Heron!$A$5,Xero!$E:$E,Heron!$A55)</f>
        <v>0</v>
      </c>
      <c r="AR55" s="99">
        <f>SUMIFS(Xero!$F:$F,Xero!$B:$B,Heron!AR$9,Xero!$A:$A,Heron!$A$4,Xero!$E:$E,Heron!$A55)+SUMIFS(Xero!$F:$F,Xero!$B:$B,Heron!AR$9,Xero!$A:$A,Heron!$A$5,Xero!$E:$E,Heron!$A55)</f>
        <v>14800</v>
      </c>
      <c r="AS55" s="99">
        <f>SUMIFS(Xero!$F:$F,Xero!$B:$B,Heron!AS$9,Xero!$A:$A,Heron!$A$4,Xero!$E:$E,Heron!$A55)+SUMIFS(Xero!$F:$F,Xero!$B:$B,Heron!AS$9,Xero!$A:$A,Heron!$A$5,Xero!$E:$E,Heron!$A55)</f>
        <v>0</v>
      </c>
      <c r="AT55" s="99">
        <f>SUMIFS(Xero!$F:$F,Xero!$B:$B,Heron!AT$9,Xero!$A:$A,Heron!$A$4,Xero!$E:$E,Heron!$A55)+SUMIFS(Xero!$F:$F,Xero!$B:$B,Heron!AT$9,Xero!$A:$A,Heron!$A$5,Xero!$E:$E,Heron!$A55)</f>
        <v>0</v>
      </c>
      <c r="AU55" s="99">
        <f>SUMIFS(Xero!$F:$F,Xero!$B:$B,Heron!AU$9,Xero!$A:$A,Heron!$A$4,Xero!$E:$E,Heron!$A55)+SUMIFS(Xero!$F:$F,Xero!$B:$B,Heron!AU$9,Xero!$A:$A,Heron!$A$5,Xero!$E:$E,Heron!$A55)</f>
        <v>0</v>
      </c>
      <c r="AV55" s="99">
        <f>SUMIFS(Xero!$F:$F,Xero!$B:$B,Heron!AV$9,Xero!$A:$A,Heron!$A$4,Xero!$E:$E,Heron!$A55)+SUMIFS(Xero!$F:$F,Xero!$B:$B,Heron!AV$9,Xero!$A:$A,Heron!$A$5,Xero!$E:$E,Heron!$A55)</f>
        <v>0</v>
      </c>
      <c r="AW55" s="99">
        <f>SUMIFS(Xero!$F:$F,Xero!$B:$B,Heron!AW$9,Xero!$A:$A,Heron!$A$4,Xero!$E:$E,Heron!$A55)+SUMIFS(Xero!$F:$F,Xero!$B:$B,Heron!AW$9,Xero!$A:$A,Heron!$A$5,Xero!$E:$E,Heron!$A55)</f>
        <v>0</v>
      </c>
      <c r="AX55" s="99">
        <f>SUMIFS(Xero!$F:$F,Xero!$B:$B,Heron!AX$9,Xero!$A:$A,Heron!$A$4,Xero!$E:$E,Heron!$A55)+SUMIFS(Xero!$F:$F,Xero!$B:$B,Heron!AX$9,Xero!$A:$A,Heron!$A$5,Xero!$E:$E,Heron!$A55)</f>
        <v>0</v>
      </c>
      <c r="AY55" s="99">
        <f>SUMIFS(Xero!$F:$F,Xero!$B:$B,Heron!AY$9,Xero!$A:$A,Heron!$A$4,Xero!$E:$E,Heron!$A55)+SUMIFS(Xero!$F:$F,Xero!$B:$B,Heron!AY$9,Xero!$A:$A,Heron!$A$5,Xero!$E:$E,Heron!$A55)</f>
        <v>0</v>
      </c>
      <c r="AZ55" s="99">
        <f>SUMIFS(Xero!$F:$F,Xero!$B:$B,Heron!AZ$9,Xero!$A:$A,Heron!$A$4,Xero!$E:$E,Heron!$A55)+SUMIFS(Xero!$F:$F,Xero!$B:$B,Heron!AZ$9,Xero!$A:$A,Heron!$A$5,Xero!$E:$E,Heron!$A55)</f>
        <v>0</v>
      </c>
      <c r="BA55" s="99">
        <f>SUMIFS(Xero!$F:$F,Xero!$B:$B,Heron!BA$9,Xero!$A:$A,Heron!$A$4,Xero!$E:$E,Heron!$A55)+SUMIFS(Xero!$F:$F,Xero!$B:$B,Heron!BA$9,Xero!$A:$A,Heron!$A$5,Xero!$E:$E,Heron!$A55)</f>
        <v>0</v>
      </c>
      <c r="BB55" s="99">
        <f>SUMIFS(Xero!$F:$F,Xero!$B:$B,Heron!BB$9,Xero!$A:$A,Heron!$A$4,Xero!$E:$E,Heron!$A55)+SUMIFS(Xero!$F:$F,Xero!$B:$B,Heron!BB$9,Xero!$A:$A,Heron!$A$5,Xero!$E:$E,Heron!$A55)</f>
        <v>0</v>
      </c>
      <c r="BC55" s="99">
        <f>SUMIFS(Xero!$F:$F,Xero!$B:$B,Heron!BC$9,Xero!$A:$A,Heron!$A$4,Xero!$E:$E,Heron!$A55)+SUMIFS(Xero!$F:$F,Xero!$B:$B,Heron!BC$9,Xero!$A:$A,Heron!$A$5,Xero!$E:$E,Heron!$A55)</f>
        <v>0</v>
      </c>
      <c r="BD55" s="99">
        <f>SUMIFS(Xero!$F:$F,Xero!$B:$B,Heron!BD$9,Xero!$A:$A,Heron!$A$4,Xero!$E:$E,Heron!$A55)+SUMIFS(Xero!$F:$F,Xero!$B:$B,Heron!BD$9,Xero!$A:$A,Heron!$A$5,Xero!$E:$E,Heron!$A55)</f>
        <v>0</v>
      </c>
      <c r="BE55" s="99">
        <f>SUMIFS(Xero!$F:$F,Xero!$B:$B,Heron!BE$9,Xero!$A:$A,Heron!$A$4,Xero!$E:$E,Heron!$A55)+SUMIFS(Xero!$F:$F,Xero!$B:$B,Heron!BE$9,Xero!$A:$A,Heron!$A$5,Xero!$E:$E,Heron!$A55)</f>
        <v>0</v>
      </c>
      <c r="BF55" s="99">
        <f>SUMIFS(Xero!$F:$F,Xero!$B:$B,Heron!BF$9,Xero!$A:$A,Heron!$A$4,Xero!$E:$E,Heron!$A55)+SUMIFS(Xero!$F:$F,Xero!$B:$B,Heron!BF$9,Xero!$A:$A,Heron!$A$5,Xero!$E:$E,Heron!$A55)</f>
        <v>0</v>
      </c>
      <c r="BG55" s="99">
        <f>SUMIFS(Xero!$F:$F,Xero!$B:$B,Heron!BG$9,Xero!$A:$A,Heron!$A$4,Xero!$E:$E,Heron!$A55)+SUMIFS(Xero!$F:$F,Xero!$B:$B,Heron!BG$9,Xero!$A:$A,Heron!$A$5,Xero!$E:$E,Heron!$A55)</f>
        <v>0</v>
      </c>
      <c r="BH55" s="99">
        <f>SUMIFS(Xero!$F:$F,Xero!$B:$B,Heron!BH$9,Xero!$A:$A,Heron!$A$4,Xero!$E:$E,Heron!$A55)+SUMIFS(Xero!$F:$F,Xero!$B:$B,Heron!BH$9,Xero!$A:$A,Heron!$A$5,Xero!$E:$E,Heron!$A55)</f>
        <v>0</v>
      </c>
      <c r="BI55" s="99">
        <f>SUMIFS(Xero!$F:$F,Xero!$B:$B,Heron!BI$9,Xero!$A:$A,Heron!$A$4,Xero!$E:$E,Heron!$A55)+SUMIFS(Xero!$F:$F,Xero!$B:$B,Heron!BI$9,Xero!$A:$A,Heron!$A$5,Xero!$E:$E,Heron!$A55)</f>
        <v>0</v>
      </c>
      <c r="BJ55" s="99">
        <f>SUMIFS(Xero!$F:$F,Xero!$B:$B,Heron!BJ$9,Xero!$A:$A,Heron!$A$4,Xero!$E:$E,Heron!$A55)+SUMIFS(Xero!$F:$F,Xero!$B:$B,Heron!BJ$9,Xero!$A:$A,Heron!$A$5,Xero!$E:$E,Heron!$A55)</f>
        <v>0</v>
      </c>
      <c r="BK55" s="99">
        <f t="shared" si="4"/>
        <v>93974.94</v>
      </c>
    </row>
    <row r="56" spans="1:63" ht="16" x14ac:dyDescent="0.2">
      <c r="A56" s="98" t="s">
        <v>1639</v>
      </c>
      <c r="D56" s="99">
        <f>SUMIFS(Xero!$F:$F,Xero!$B:$B,Heron!D$9,Xero!$A:$A,Heron!$A$4,Xero!$E:$E,Heron!$A56)+SUMIFS(Xero!$F:$F,Xero!$B:$B,Heron!D$9,Xero!$A:$A,Heron!$A$5,Xero!$E:$E,Heron!$A56)</f>
        <v>0</v>
      </c>
      <c r="E56" s="99">
        <f>SUMIFS(Xero!$F:$F,Xero!$B:$B,Heron!E$9,Xero!$A:$A,Heron!$A$4,Xero!$E:$E,Heron!$A56)+SUMIFS(Xero!$F:$F,Xero!$B:$B,Heron!E$9,Xero!$A:$A,Heron!$A$5,Xero!$E:$E,Heron!$A56)</f>
        <v>0</v>
      </c>
      <c r="F56" s="99">
        <f>SUMIFS(Xero!$F:$F,Xero!$B:$B,Heron!F$9,Xero!$A:$A,Heron!$A$4,Xero!$E:$E,Heron!$A56)+SUMIFS(Xero!$F:$F,Xero!$B:$B,Heron!F$9,Xero!$A:$A,Heron!$A$5,Xero!$E:$E,Heron!$A56)</f>
        <v>0</v>
      </c>
      <c r="G56" s="99">
        <f>SUMIFS(Xero!$F:$F,Xero!$B:$B,Heron!G$9,Xero!$A:$A,Heron!$A$4,Xero!$E:$E,Heron!$A56)+SUMIFS(Xero!$F:$F,Xero!$B:$B,Heron!G$9,Xero!$A:$A,Heron!$A$5,Xero!$E:$E,Heron!$A56)</f>
        <v>0</v>
      </c>
      <c r="H56" s="99">
        <f>SUMIFS(Xero!$F:$F,Xero!$B:$B,Heron!H$9,Xero!$A:$A,Heron!$A$4,Xero!$E:$E,Heron!$A56)+SUMIFS(Xero!$F:$F,Xero!$B:$B,Heron!H$9,Xero!$A:$A,Heron!$A$5,Xero!$E:$E,Heron!$A56)</f>
        <v>0</v>
      </c>
      <c r="I56" s="99">
        <f>SUMIFS(Xero!$F:$F,Xero!$B:$B,Heron!I$9,Xero!$A:$A,Heron!$A$4,Xero!$E:$E,Heron!$A56)+SUMIFS(Xero!$F:$F,Xero!$B:$B,Heron!I$9,Xero!$A:$A,Heron!$A$5,Xero!$E:$E,Heron!$A56)</f>
        <v>0</v>
      </c>
      <c r="J56" s="99">
        <f>SUMIFS(Xero!$F:$F,Xero!$B:$B,Heron!J$9,Xero!$A:$A,Heron!$A$4,Xero!$E:$E,Heron!$A56)+SUMIFS(Xero!$F:$F,Xero!$B:$B,Heron!J$9,Xero!$A:$A,Heron!$A$5,Xero!$E:$E,Heron!$A56)</f>
        <v>0</v>
      </c>
      <c r="K56" s="99">
        <f>SUMIFS(Xero!$F:$F,Xero!$B:$B,Heron!K$9,Xero!$A:$A,Heron!$A$4,Xero!$E:$E,Heron!$A56)+SUMIFS(Xero!$F:$F,Xero!$B:$B,Heron!K$9,Xero!$A:$A,Heron!$A$5,Xero!$E:$E,Heron!$A56)</f>
        <v>0</v>
      </c>
      <c r="L56" s="99">
        <f>SUMIFS(Xero!$F:$F,Xero!$B:$B,Heron!L$9,Xero!$A:$A,Heron!$A$4,Xero!$E:$E,Heron!$A56)+SUMIFS(Xero!$F:$F,Xero!$B:$B,Heron!L$9,Xero!$A:$A,Heron!$A$5,Xero!$E:$E,Heron!$A56)</f>
        <v>0</v>
      </c>
      <c r="M56" s="99">
        <f>SUMIFS(Xero!$F:$F,Xero!$B:$B,Heron!M$9,Xero!$A:$A,Heron!$A$4,Xero!$E:$E,Heron!$A56)+SUMIFS(Xero!$F:$F,Xero!$B:$B,Heron!M$9,Xero!$A:$A,Heron!$A$5,Xero!$E:$E,Heron!$A56)</f>
        <v>0</v>
      </c>
      <c r="N56" s="99">
        <f>SUMIFS(Xero!$F:$F,Xero!$B:$B,Heron!N$9,Xero!$A:$A,Heron!$A$4,Xero!$E:$E,Heron!$A56)+SUMIFS(Xero!$F:$F,Xero!$B:$B,Heron!N$9,Xero!$A:$A,Heron!$A$5,Xero!$E:$E,Heron!$A56)</f>
        <v>0</v>
      </c>
      <c r="O56" s="99">
        <f>SUMIFS(Xero!$F:$F,Xero!$B:$B,Heron!O$9,Xero!$A:$A,Heron!$A$4,Xero!$E:$E,Heron!$A56)+SUMIFS(Xero!$F:$F,Xero!$B:$B,Heron!O$9,Xero!$A:$A,Heron!$A$5,Xero!$E:$E,Heron!$A56)</f>
        <v>0</v>
      </c>
      <c r="P56" s="99">
        <f>SUMIFS(Xero!$F:$F,Xero!$B:$B,Heron!P$9,Xero!$A:$A,Heron!$A$4,Xero!$E:$E,Heron!$A56)+SUMIFS(Xero!$F:$F,Xero!$B:$B,Heron!P$9,Xero!$A:$A,Heron!$A$5,Xero!$E:$E,Heron!$A56)</f>
        <v>0</v>
      </c>
      <c r="Q56" s="99">
        <f>SUMIFS(Xero!$F:$F,Xero!$B:$B,Heron!Q$9,Xero!$A:$A,Heron!$A$4,Xero!$E:$E,Heron!$A56)+SUMIFS(Xero!$F:$F,Xero!$B:$B,Heron!Q$9,Xero!$A:$A,Heron!$A$5,Xero!$E:$E,Heron!$A56)</f>
        <v>0</v>
      </c>
      <c r="R56" s="99">
        <f>SUMIFS(Xero!$F:$F,Xero!$B:$B,Heron!R$9,Xero!$A:$A,Heron!$A$4,Xero!$E:$E,Heron!$A56)+SUMIFS(Xero!$F:$F,Xero!$B:$B,Heron!R$9,Xero!$A:$A,Heron!$A$5,Xero!$E:$E,Heron!$A56)</f>
        <v>0</v>
      </c>
      <c r="S56" s="99">
        <f>SUMIFS(Xero!$F:$F,Xero!$B:$B,Heron!S$9,Xero!$A:$A,Heron!$A$4,Xero!$E:$E,Heron!$A56)+SUMIFS(Xero!$F:$F,Xero!$B:$B,Heron!S$9,Xero!$A:$A,Heron!$A$5,Xero!$E:$E,Heron!$A56)</f>
        <v>0</v>
      </c>
      <c r="T56" s="99">
        <f>SUMIFS(Xero!$F:$F,Xero!$B:$B,Heron!T$9,Xero!$A:$A,Heron!$A$4,Xero!$E:$E,Heron!$A56)+SUMIFS(Xero!$F:$F,Xero!$B:$B,Heron!T$9,Xero!$A:$A,Heron!$A$5,Xero!$E:$E,Heron!$A56)</f>
        <v>0</v>
      </c>
      <c r="U56" s="99">
        <f>SUMIFS(Xero!$F:$F,Xero!$B:$B,Heron!U$9,Xero!$A:$A,Heron!$A$4,Xero!$E:$E,Heron!$A56)+SUMIFS(Xero!$F:$F,Xero!$B:$B,Heron!U$9,Xero!$A:$A,Heron!$A$5,Xero!$E:$E,Heron!$A56)</f>
        <v>0</v>
      </c>
      <c r="V56" s="99">
        <f>SUMIFS(Xero!$F:$F,Xero!$B:$B,Heron!V$9,Xero!$A:$A,Heron!$A$4,Xero!$E:$E,Heron!$A56)+SUMIFS(Xero!$F:$F,Xero!$B:$B,Heron!V$9,Xero!$A:$A,Heron!$A$5,Xero!$E:$E,Heron!$A56)</f>
        <v>0</v>
      </c>
      <c r="W56" s="99">
        <f>SUMIFS(Xero!$F:$F,Xero!$B:$B,Heron!W$9,Xero!$A:$A,Heron!$A$4,Xero!$E:$E,Heron!$A56)+SUMIFS(Xero!$F:$F,Xero!$B:$B,Heron!W$9,Xero!$A:$A,Heron!$A$5,Xero!$E:$E,Heron!$A56)</f>
        <v>0</v>
      </c>
      <c r="X56" s="99">
        <f>SUMIFS(Xero!$F:$F,Xero!$B:$B,Heron!X$9,Xero!$A:$A,Heron!$A$4,Xero!$E:$E,Heron!$A56)+SUMIFS(Xero!$F:$F,Xero!$B:$B,Heron!X$9,Xero!$A:$A,Heron!$A$5,Xero!$E:$E,Heron!$A56)</f>
        <v>0</v>
      </c>
      <c r="Y56" s="99">
        <f>SUMIFS(Xero!$F:$F,Xero!$B:$B,Heron!Y$9,Xero!$A:$A,Heron!$A$4,Xero!$E:$E,Heron!$A56)+SUMIFS(Xero!$F:$F,Xero!$B:$B,Heron!Y$9,Xero!$A:$A,Heron!$A$5,Xero!$E:$E,Heron!$A56)</f>
        <v>0</v>
      </c>
      <c r="Z56" s="99">
        <f>SUMIFS(Xero!$F:$F,Xero!$B:$B,Heron!Z$9,Xero!$A:$A,Heron!$A$4,Xero!$E:$E,Heron!$A56)+SUMIFS(Xero!$F:$F,Xero!$B:$B,Heron!Z$9,Xero!$A:$A,Heron!$A$5,Xero!$E:$E,Heron!$A56)</f>
        <v>0</v>
      </c>
      <c r="AA56" s="99">
        <f>SUMIFS(Xero!$F:$F,Xero!$B:$B,Heron!AA$9,Xero!$A:$A,Heron!$A$4,Xero!$E:$E,Heron!$A56)+SUMIFS(Xero!$F:$F,Xero!$B:$B,Heron!AA$9,Xero!$A:$A,Heron!$A$5,Xero!$E:$E,Heron!$A56)</f>
        <v>15988</v>
      </c>
      <c r="AB56" s="99">
        <f>SUMIFS(Xero!$F:$F,Xero!$B:$B,Heron!AB$9,Xero!$A:$A,Heron!$A$4,Xero!$E:$E,Heron!$A56)+SUMIFS(Xero!$F:$F,Xero!$B:$B,Heron!AB$9,Xero!$A:$A,Heron!$A$5,Xero!$E:$E,Heron!$A56)</f>
        <v>0</v>
      </c>
      <c r="AC56" s="99">
        <f>SUMIFS(Xero!$F:$F,Xero!$B:$B,Heron!AC$9,Xero!$A:$A,Heron!$A$4,Xero!$E:$E,Heron!$A56)+SUMIFS(Xero!$F:$F,Xero!$B:$B,Heron!AC$9,Xero!$A:$A,Heron!$A$5,Xero!$E:$E,Heron!$A56)</f>
        <v>0</v>
      </c>
      <c r="AD56" s="99">
        <f>SUMIFS(Xero!$F:$F,Xero!$B:$B,Heron!AD$9,Xero!$A:$A,Heron!$A$4,Xero!$E:$E,Heron!$A56)+SUMIFS(Xero!$F:$F,Xero!$B:$B,Heron!AD$9,Xero!$A:$A,Heron!$A$5,Xero!$E:$E,Heron!$A56)</f>
        <v>0</v>
      </c>
      <c r="AE56" s="99">
        <f>SUMIFS(Xero!$F:$F,Xero!$B:$B,Heron!AE$9,Xero!$A:$A,Heron!$A$4,Xero!$E:$E,Heron!$A56)+SUMIFS(Xero!$F:$F,Xero!$B:$B,Heron!AE$9,Xero!$A:$A,Heron!$A$5,Xero!$E:$E,Heron!$A56)</f>
        <v>0</v>
      </c>
      <c r="AF56" s="99">
        <f>SUMIFS(Xero!$F:$F,Xero!$B:$B,Heron!AF$9,Xero!$A:$A,Heron!$A$4,Xero!$E:$E,Heron!$A56)+SUMIFS(Xero!$F:$F,Xero!$B:$B,Heron!AF$9,Xero!$A:$A,Heron!$A$5,Xero!$E:$E,Heron!$A56)</f>
        <v>0</v>
      </c>
      <c r="AG56" s="99">
        <f>SUMIFS(Xero!$F:$F,Xero!$B:$B,Heron!AG$9,Xero!$A:$A,Heron!$A$4,Xero!$E:$E,Heron!$A56)+SUMIFS(Xero!$F:$F,Xero!$B:$B,Heron!AG$9,Xero!$A:$A,Heron!$A$5,Xero!$E:$E,Heron!$A56)</f>
        <v>0</v>
      </c>
      <c r="AH56" s="99">
        <f>SUMIFS(Xero!$F:$F,Xero!$B:$B,Heron!AH$9,Xero!$A:$A,Heron!$A$4,Xero!$E:$E,Heron!$A56)+SUMIFS(Xero!$F:$F,Xero!$B:$B,Heron!AH$9,Xero!$A:$A,Heron!$A$5,Xero!$E:$E,Heron!$A56)</f>
        <v>0</v>
      </c>
      <c r="AI56" s="99">
        <f>SUMIFS(Xero!$F:$F,Xero!$B:$B,Heron!AI$9,Xero!$A:$A,Heron!$A$4,Xero!$E:$E,Heron!$A56)+SUMIFS(Xero!$F:$F,Xero!$B:$B,Heron!AI$9,Xero!$A:$A,Heron!$A$5,Xero!$E:$E,Heron!$A56)</f>
        <v>10540</v>
      </c>
      <c r="AJ56" s="99">
        <f>SUMIFS(Xero!$F:$F,Xero!$B:$B,Heron!AJ$9,Xero!$A:$A,Heron!$A$4,Xero!$E:$E,Heron!$A56)+SUMIFS(Xero!$F:$F,Xero!$B:$B,Heron!AJ$9,Xero!$A:$A,Heron!$A$5,Xero!$E:$E,Heron!$A56)</f>
        <v>0</v>
      </c>
      <c r="AK56" s="99">
        <f>SUMIFS(Xero!$F:$F,Xero!$B:$B,Heron!AK$9,Xero!$A:$A,Heron!$A$4,Xero!$E:$E,Heron!$A56)+SUMIFS(Xero!$F:$F,Xero!$B:$B,Heron!AK$9,Xero!$A:$A,Heron!$A$5,Xero!$E:$E,Heron!$A56)</f>
        <v>0</v>
      </c>
      <c r="AL56" s="99">
        <f>SUMIFS(Xero!$F:$F,Xero!$B:$B,Heron!AL$9,Xero!$A:$A,Heron!$A$4,Xero!$E:$E,Heron!$A56)+SUMIFS(Xero!$F:$F,Xero!$B:$B,Heron!AL$9,Xero!$A:$A,Heron!$A$5,Xero!$E:$E,Heron!$A56)</f>
        <v>0</v>
      </c>
      <c r="AM56" s="99">
        <f>SUMIFS(Xero!$F:$F,Xero!$B:$B,Heron!AM$9,Xero!$A:$A,Heron!$A$4,Xero!$E:$E,Heron!$A56)+SUMIFS(Xero!$F:$F,Xero!$B:$B,Heron!AM$9,Xero!$A:$A,Heron!$A$5,Xero!$E:$E,Heron!$A56)</f>
        <v>0</v>
      </c>
      <c r="AN56" s="99">
        <f>SUMIFS(Xero!$F:$F,Xero!$B:$B,Heron!AN$9,Xero!$A:$A,Heron!$A$4,Xero!$E:$E,Heron!$A56)+SUMIFS(Xero!$F:$F,Xero!$B:$B,Heron!AN$9,Xero!$A:$A,Heron!$A$5,Xero!$E:$E,Heron!$A56)</f>
        <v>0</v>
      </c>
      <c r="AO56" s="99">
        <f>SUMIFS(Xero!$F:$F,Xero!$B:$B,Heron!AO$9,Xero!$A:$A,Heron!$A$4,Xero!$E:$E,Heron!$A56)+SUMIFS(Xero!$F:$F,Xero!$B:$B,Heron!AO$9,Xero!$A:$A,Heron!$A$5,Xero!$E:$E,Heron!$A56)</f>
        <v>0</v>
      </c>
      <c r="AP56" s="99">
        <f>SUMIFS(Xero!$F:$F,Xero!$B:$B,Heron!AP$9,Xero!$A:$A,Heron!$A$4,Xero!$E:$E,Heron!$A56)+SUMIFS(Xero!$F:$F,Xero!$B:$B,Heron!AP$9,Xero!$A:$A,Heron!$A$5,Xero!$E:$E,Heron!$A56)</f>
        <v>0</v>
      </c>
      <c r="AQ56" s="99">
        <f>SUMIFS(Xero!$F:$F,Xero!$B:$B,Heron!AQ$9,Xero!$A:$A,Heron!$A$4,Xero!$E:$E,Heron!$A56)+SUMIFS(Xero!$F:$F,Xero!$B:$B,Heron!AQ$9,Xero!$A:$A,Heron!$A$5,Xero!$E:$E,Heron!$A56)</f>
        <v>0</v>
      </c>
      <c r="AR56" s="99">
        <f>SUMIFS(Xero!$F:$F,Xero!$B:$B,Heron!AR$9,Xero!$A:$A,Heron!$A$4,Xero!$E:$E,Heron!$A56)+SUMIFS(Xero!$F:$F,Xero!$B:$B,Heron!AR$9,Xero!$A:$A,Heron!$A$5,Xero!$E:$E,Heron!$A56)</f>
        <v>0</v>
      </c>
      <c r="AS56" s="99">
        <f>SUMIFS(Xero!$F:$F,Xero!$B:$B,Heron!AS$9,Xero!$A:$A,Heron!$A$4,Xero!$E:$E,Heron!$A56)+SUMIFS(Xero!$F:$F,Xero!$B:$B,Heron!AS$9,Xero!$A:$A,Heron!$A$5,Xero!$E:$E,Heron!$A56)</f>
        <v>0</v>
      </c>
      <c r="AT56" s="99">
        <f>SUMIFS(Xero!$F:$F,Xero!$B:$B,Heron!AT$9,Xero!$A:$A,Heron!$A$4,Xero!$E:$E,Heron!$A56)+SUMIFS(Xero!$F:$F,Xero!$B:$B,Heron!AT$9,Xero!$A:$A,Heron!$A$5,Xero!$E:$E,Heron!$A56)</f>
        <v>0</v>
      </c>
      <c r="AU56" s="99">
        <f>SUMIFS(Xero!$F:$F,Xero!$B:$B,Heron!AU$9,Xero!$A:$A,Heron!$A$4,Xero!$E:$E,Heron!$A56)+SUMIFS(Xero!$F:$F,Xero!$B:$B,Heron!AU$9,Xero!$A:$A,Heron!$A$5,Xero!$E:$E,Heron!$A56)</f>
        <v>0</v>
      </c>
      <c r="AV56" s="99">
        <f>SUMIFS(Xero!$F:$F,Xero!$B:$B,Heron!AV$9,Xero!$A:$A,Heron!$A$4,Xero!$E:$E,Heron!$A56)+SUMIFS(Xero!$F:$F,Xero!$B:$B,Heron!AV$9,Xero!$A:$A,Heron!$A$5,Xero!$E:$E,Heron!$A56)</f>
        <v>0</v>
      </c>
      <c r="AW56" s="99">
        <f>SUMIFS(Xero!$F:$F,Xero!$B:$B,Heron!AW$9,Xero!$A:$A,Heron!$A$4,Xero!$E:$E,Heron!$A56)+SUMIFS(Xero!$F:$F,Xero!$B:$B,Heron!AW$9,Xero!$A:$A,Heron!$A$5,Xero!$E:$E,Heron!$A56)</f>
        <v>0</v>
      </c>
      <c r="AX56" s="99">
        <f>SUMIFS(Xero!$F:$F,Xero!$B:$B,Heron!AX$9,Xero!$A:$A,Heron!$A$4,Xero!$E:$E,Heron!$A56)+SUMIFS(Xero!$F:$F,Xero!$B:$B,Heron!AX$9,Xero!$A:$A,Heron!$A$5,Xero!$E:$E,Heron!$A56)</f>
        <v>0</v>
      </c>
      <c r="AY56" s="99">
        <f>SUMIFS(Xero!$F:$F,Xero!$B:$B,Heron!AY$9,Xero!$A:$A,Heron!$A$4,Xero!$E:$E,Heron!$A56)+SUMIFS(Xero!$F:$F,Xero!$B:$B,Heron!AY$9,Xero!$A:$A,Heron!$A$5,Xero!$E:$E,Heron!$A56)</f>
        <v>0</v>
      </c>
      <c r="AZ56" s="99">
        <f>SUMIFS(Xero!$F:$F,Xero!$B:$B,Heron!AZ$9,Xero!$A:$A,Heron!$A$4,Xero!$E:$E,Heron!$A56)+SUMIFS(Xero!$F:$F,Xero!$B:$B,Heron!AZ$9,Xero!$A:$A,Heron!$A$5,Xero!$E:$E,Heron!$A56)</f>
        <v>0</v>
      </c>
      <c r="BA56" s="99">
        <f>SUMIFS(Xero!$F:$F,Xero!$B:$B,Heron!BA$9,Xero!$A:$A,Heron!$A$4,Xero!$E:$E,Heron!$A56)+SUMIFS(Xero!$F:$F,Xero!$B:$B,Heron!BA$9,Xero!$A:$A,Heron!$A$5,Xero!$E:$E,Heron!$A56)</f>
        <v>0</v>
      </c>
      <c r="BB56" s="99">
        <f>SUMIFS(Xero!$F:$F,Xero!$B:$B,Heron!BB$9,Xero!$A:$A,Heron!$A$4,Xero!$E:$E,Heron!$A56)+SUMIFS(Xero!$F:$F,Xero!$B:$B,Heron!BB$9,Xero!$A:$A,Heron!$A$5,Xero!$E:$E,Heron!$A56)</f>
        <v>0</v>
      </c>
      <c r="BC56" s="99">
        <f>SUMIFS(Xero!$F:$F,Xero!$B:$B,Heron!BC$9,Xero!$A:$A,Heron!$A$4,Xero!$E:$E,Heron!$A56)+SUMIFS(Xero!$F:$F,Xero!$B:$B,Heron!BC$9,Xero!$A:$A,Heron!$A$5,Xero!$E:$E,Heron!$A56)</f>
        <v>0</v>
      </c>
      <c r="BD56" s="99">
        <f>SUMIFS(Xero!$F:$F,Xero!$B:$B,Heron!BD$9,Xero!$A:$A,Heron!$A$4,Xero!$E:$E,Heron!$A56)+SUMIFS(Xero!$F:$F,Xero!$B:$B,Heron!BD$9,Xero!$A:$A,Heron!$A$5,Xero!$E:$E,Heron!$A56)</f>
        <v>0</v>
      </c>
      <c r="BE56" s="99">
        <f>SUMIFS(Xero!$F:$F,Xero!$B:$B,Heron!BE$9,Xero!$A:$A,Heron!$A$4,Xero!$E:$E,Heron!$A56)+SUMIFS(Xero!$F:$F,Xero!$B:$B,Heron!BE$9,Xero!$A:$A,Heron!$A$5,Xero!$E:$E,Heron!$A56)</f>
        <v>0</v>
      </c>
      <c r="BF56" s="99">
        <f>SUMIFS(Xero!$F:$F,Xero!$B:$B,Heron!BF$9,Xero!$A:$A,Heron!$A$4,Xero!$E:$E,Heron!$A56)+SUMIFS(Xero!$F:$F,Xero!$B:$B,Heron!BF$9,Xero!$A:$A,Heron!$A$5,Xero!$E:$E,Heron!$A56)</f>
        <v>0</v>
      </c>
      <c r="BG56" s="99">
        <f>SUMIFS(Xero!$F:$F,Xero!$B:$B,Heron!BG$9,Xero!$A:$A,Heron!$A$4,Xero!$E:$E,Heron!$A56)+SUMIFS(Xero!$F:$F,Xero!$B:$B,Heron!BG$9,Xero!$A:$A,Heron!$A$5,Xero!$E:$E,Heron!$A56)</f>
        <v>0</v>
      </c>
      <c r="BH56" s="99">
        <f>SUMIFS(Xero!$F:$F,Xero!$B:$B,Heron!BH$9,Xero!$A:$A,Heron!$A$4,Xero!$E:$E,Heron!$A56)+SUMIFS(Xero!$F:$F,Xero!$B:$B,Heron!BH$9,Xero!$A:$A,Heron!$A$5,Xero!$E:$E,Heron!$A56)</f>
        <v>0</v>
      </c>
      <c r="BI56" s="99">
        <f>SUMIFS(Xero!$F:$F,Xero!$B:$B,Heron!BI$9,Xero!$A:$A,Heron!$A$4,Xero!$E:$E,Heron!$A56)+SUMIFS(Xero!$F:$F,Xero!$B:$B,Heron!BI$9,Xero!$A:$A,Heron!$A$5,Xero!$E:$E,Heron!$A56)</f>
        <v>0</v>
      </c>
      <c r="BJ56" s="99">
        <f>SUMIFS(Xero!$F:$F,Xero!$B:$B,Heron!BJ$9,Xero!$A:$A,Heron!$A$4,Xero!$E:$E,Heron!$A56)+SUMIFS(Xero!$F:$F,Xero!$B:$B,Heron!BJ$9,Xero!$A:$A,Heron!$A$5,Xero!$E:$E,Heron!$A56)</f>
        <v>0</v>
      </c>
      <c r="BK56" s="99">
        <f t="shared" si="4"/>
        <v>26528</v>
      </c>
    </row>
    <row r="57" spans="1:63" ht="16" x14ac:dyDescent="0.2">
      <c r="A57" s="98" t="s">
        <v>1557</v>
      </c>
      <c r="D57" s="99">
        <f>SUMIFS(Xero!$F:$F,Xero!$B:$B,Heron!D$9,Xero!$A:$A,Heron!$A$4,Xero!$E:$E,Heron!$A57)+SUMIFS(Xero!$F:$F,Xero!$B:$B,Heron!D$9,Xero!$A:$A,Heron!$A$5,Xero!$E:$E,Heron!$A57)</f>
        <v>0</v>
      </c>
      <c r="E57" s="99">
        <f>SUMIFS(Xero!$F:$F,Xero!$B:$B,Heron!E$9,Xero!$A:$A,Heron!$A$4,Xero!$E:$E,Heron!$A57)+SUMIFS(Xero!$F:$F,Xero!$B:$B,Heron!E$9,Xero!$A:$A,Heron!$A$5,Xero!$E:$E,Heron!$A57)</f>
        <v>0</v>
      </c>
      <c r="F57" s="99">
        <f>SUMIFS(Xero!$F:$F,Xero!$B:$B,Heron!F$9,Xero!$A:$A,Heron!$A$4,Xero!$E:$E,Heron!$A57)+SUMIFS(Xero!$F:$F,Xero!$B:$B,Heron!F$9,Xero!$A:$A,Heron!$A$5,Xero!$E:$E,Heron!$A57)</f>
        <v>0</v>
      </c>
      <c r="G57" s="99">
        <f>SUMIFS(Xero!$F:$F,Xero!$B:$B,Heron!G$9,Xero!$A:$A,Heron!$A$4,Xero!$E:$E,Heron!$A57)+SUMIFS(Xero!$F:$F,Xero!$B:$B,Heron!G$9,Xero!$A:$A,Heron!$A$5,Xero!$E:$E,Heron!$A57)</f>
        <v>0</v>
      </c>
      <c r="H57" s="99">
        <f>SUMIFS(Xero!$F:$F,Xero!$B:$B,Heron!H$9,Xero!$A:$A,Heron!$A$4,Xero!$E:$E,Heron!$A57)+SUMIFS(Xero!$F:$F,Xero!$B:$B,Heron!H$9,Xero!$A:$A,Heron!$A$5,Xero!$E:$E,Heron!$A57)</f>
        <v>0</v>
      </c>
      <c r="I57" s="99">
        <f>SUMIFS(Xero!$F:$F,Xero!$B:$B,Heron!I$9,Xero!$A:$A,Heron!$A$4,Xero!$E:$E,Heron!$A57)+SUMIFS(Xero!$F:$F,Xero!$B:$B,Heron!I$9,Xero!$A:$A,Heron!$A$5,Xero!$E:$E,Heron!$A57)</f>
        <v>0</v>
      </c>
      <c r="J57" s="99">
        <f>SUMIFS(Xero!$F:$F,Xero!$B:$B,Heron!J$9,Xero!$A:$A,Heron!$A$4,Xero!$E:$E,Heron!$A57)+SUMIFS(Xero!$F:$F,Xero!$B:$B,Heron!J$9,Xero!$A:$A,Heron!$A$5,Xero!$E:$E,Heron!$A57)</f>
        <v>0</v>
      </c>
      <c r="K57" s="99">
        <f>SUMIFS(Xero!$F:$F,Xero!$B:$B,Heron!K$9,Xero!$A:$A,Heron!$A$4,Xero!$E:$E,Heron!$A57)+SUMIFS(Xero!$F:$F,Xero!$B:$B,Heron!K$9,Xero!$A:$A,Heron!$A$5,Xero!$E:$E,Heron!$A57)</f>
        <v>0</v>
      </c>
      <c r="L57" s="99">
        <f>SUMIFS(Xero!$F:$F,Xero!$B:$B,Heron!L$9,Xero!$A:$A,Heron!$A$4,Xero!$E:$E,Heron!$A57)+SUMIFS(Xero!$F:$F,Xero!$B:$B,Heron!L$9,Xero!$A:$A,Heron!$A$5,Xero!$E:$E,Heron!$A57)</f>
        <v>0</v>
      </c>
      <c r="M57" s="99">
        <f>SUMIFS(Xero!$F:$F,Xero!$B:$B,Heron!M$9,Xero!$A:$A,Heron!$A$4,Xero!$E:$E,Heron!$A57)+SUMIFS(Xero!$F:$F,Xero!$B:$B,Heron!M$9,Xero!$A:$A,Heron!$A$5,Xero!$E:$E,Heron!$A57)</f>
        <v>0</v>
      </c>
      <c r="N57" s="99">
        <f>SUMIFS(Xero!$F:$F,Xero!$B:$B,Heron!N$9,Xero!$A:$A,Heron!$A$4,Xero!$E:$E,Heron!$A57)+SUMIFS(Xero!$F:$F,Xero!$B:$B,Heron!N$9,Xero!$A:$A,Heron!$A$5,Xero!$E:$E,Heron!$A57)</f>
        <v>0</v>
      </c>
      <c r="O57" s="99">
        <f>SUMIFS(Xero!$F:$F,Xero!$B:$B,Heron!O$9,Xero!$A:$A,Heron!$A$4,Xero!$E:$E,Heron!$A57)+SUMIFS(Xero!$F:$F,Xero!$B:$B,Heron!O$9,Xero!$A:$A,Heron!$A$5,Xero!$E:$E,Heron!$A57)</f>
        <v>0</v>
      </c>
      <c r="P57" s="99">
        <f>SUMIFS(Xero!$F:$F,Xero!$B:$B,Heron!P$9,Xero!$A:$A,Heron!$A$4,Xero!$E:$E,Heron!$A57)+SUMIFS(Xero!$F:$F,Xero!$B:$B,Heron!P$9,Xero!$A:$A,Heron!$A$5,Xero!$E:$E,Heron!$A57)</f>
        <v>0</v>
      </c>
      <c r="Q57" s="99">
        <f>SUMIFS(Xero!$F:$F,Xero!$B:$B,Heron!Q$9,Xero!$A:$A,Heron!$A$4,Xero!$E:$E,Heron!$A57)+SUMIFS(Xero!$F:$F,Xero!$B:$B,Heron!Q$9,Xero!$A:$A,Heron!$A$5,Xero!$E:$E,Heron!$A57)</f>
        <v>0</v>
      </c>
      <c r="R57" s="99">
        <f>SUMIFS(Xero!$F:$F,Xero!$B:$B,Heron!R$9,Xero!$A:$A,Heron!$A$4,Xero!$E:$E,Heron!$A57)+SUMIFS(Xero!$F:$F,Xero!$B:$B,Heron!R$9,Xero!$A:$A,Heron!$A$5,Xero!$E:$E,Heron!$A57)</f>
        <v>0</v>
      </c>
      <c r="S57" s="99">
        <f>SUMIFS(Xero!$F:$F,Xero!$B:$B,Heron!S$9,Xero!$A:$A,Heron!$A$4,Xero!$E:$E,Heron!$A57)+SUMIFS(Xero!$F:$F,Xero!$B:$B,Heron!S$9,Xero!$A:$A,Heron!$A$5,Xero!$E:$E,Heron!$A57)</f>
        <v>0</v>
      </c>
      <c r="T57" s="99">
        <f>SUMIFS(Xero!$F:$F,Xero!$B:$B,Heron!T$9,Xero!$A:$A,Heron!$A$4,Xero!$E:$E,Heron!$A57)+SUMIFS(Xero!$F:$F,Xero!$B:$B,Heron!T$9,Xero!$A:$A,Heron!$A$5,Xero!$E:$E,Heron!$A57)</f>
        <v>0</v>
      </c>
      <c r="U57" s="99">
        <f>SUMIFS(Xero!$F:$F,Xero!$B:$B,Heron!U$9,Xero!$A:$A,Heron!$A$4,Xero!$E:$E,Heron!$A57)+SUMIFS(Xero!$F:$F,Xero!$B:$B,Heron!U$9,Xero!$A:$A,Heron!$A$5,Xero!$E:$E,Heron!$A57)</f>
        <v>0</v>
      </c>
      <c r="V57" s="99">
        <f>SUMIFS(Xero!$F:$F,Xero!$B:$B,Heron!V$9,Xero!$A:$A,Heron!$A$4,Xero!$E:$E,Heron!$A57)+SUMIFS(Xero!$F:$F,Xero!$B:$B,Heron!V$9,Xero!$A:$A,Heron!$A$5,Xero!$E:$E,Heron!$A57)</f>
        <v>0</v>
      </c>
      <c r="W57" s="99">
        <f>SUMIFS(Xero!$F:$F,Xero!$B:$B,Heron!W$9,Xero!$A:$A,Heron!$A$4,Xero!$E:$E,Heron!$A57)+SUMIFS(Xero!$F:$F,Xero!$B:$B,Heron!W$9,Xero!$A:$A,Heron!$A$5,Xero!$E:$E,Heron!$A57)</f>
        <v>0</v>
      </c>
      <c r="X57" s="99">
        <f>SUMIFS(Xero!$F:$F,Xero!$B:$B,Heron!X$9,Xero!$A:$A,Heron!$A$4,Xero!$E:$E,Heron!$A57)+SUMIFS(Xero!$F:$F,Xero!$B:$B,Heron!X$9,Xero!$A:$A,Heron!$A$5,Xero!$E:$E,Heron!$A57)</f>
        <v>27473.64</v>
      </c>
      <c r="Y57" s="99">
        <f>SUMIFS(Xero!$F:$F,Xero!$B:$B,Heron!Y$9,Xero!$A:$A,Heron!$A$4,Xero!$E:$E,Heron!$A57)+SUMIFS(Xero!$F:$F,Xero!$B:$B,Heron!Y$9,Xero!$A:$A,Heron!$A$5,Xero!$E:$E,Heron!$A57)</f>
        <v>175176.84</v>
      </c>
      <c r="Z57" s="99">
        <f>SUMIFS(Xero!$F:$F,Xero!$B:$B,Heron!Z$9,Xero!$A:$A,Heron!$A$4,Xero!$E:$E,Heron!$A57)+SUMIFS(Xero!$F:$F,Xero!$B:$B,Heron!Z$9,Xero!$A:$A,Heron!$A$5,Xero!$E:$E,Heron!$A57)</f>
        <v>14453.64</v>
      </c>
      <c r="AA57" s="99">
        <f>SUMIFS(Xero!$F:$F,Xero!$B:$B,Heron!AA$9,Xero!$A:$A,Heron!$A$4,Xero!$E:$E,Heron!$A57)+SUMIFS(Xero!$F:$F,Xero!$B:$B,Heron!AA$9,Xero!$A:$A,Heron!$A$5,Xero!$E:$E,Heron!$A57)</f>
        <v>63374.28</v>
      </c>
      <c r="AB57" s="99">
        <f>SUMIFS(Xero!$F:$F,Xero!$B:$B,Heron!AB$9,Xero!$A:$A,Heron!$A$4,Xero!$E:$E,Heron!$A57)+SUMIFS(Xero!$F:$F,Xero!$B:$B,Heron!AB$9,Xero!$A:$A,Heron!$A$5,Xero!$E:$E,Heron!$A57)</f>
        <v>0</v>
      </c>
      <c r="AC57" s="99">
        <f>SUMIFS(Xero!$F:$F,Xero!$B:$B,Heron!AC$9,Xero!$A:$A,Heron!$A$4,Xero!$E:$E,Heron!$A57)+SUMIFS(Xero!$F:$F,Xero!$B:$B,Heron!AC$9,Xero!$A:$A,Heron!$A$5,Xero!$E:$E,Heron!$A57)</f>
        <v>0</v>
      </c>
      <c r="AD57" s="99">
        <f>SUMIFS(Xero!$F:$F,Xero!$B:$B,Heron!AD$9,Xero!$A:$A,Heron!$A$4,Xero!$E:$E,Heron!$A57)+SUMIFS(Xero!$F:$F,Xero!$B:$B,Heron!AD$9,Xero!$A:$A,Heron!$A$5,Xero!$E:$E,Heron!$A57)</f>
        <v>171178.44</v>
      </c>
      <c r="AE57" s="99">
        <f>SUMIFS(Xero!$F:$F,Xero!$B:$B,Heron!AE$9,Xero!$A:$A,Heron!$A$4,Xero!$E:$E,Heron!$A57)+SUMIFS(Xero!$F:$F,Xero!$B:$B,Heron!AE$9,Xero!$A:$A,Heron!$A$5,Xero!$E:$E,Heron!$A57)</f>
        <v>0</v>
      </c>
      <c r="AF57" s="99">
        <f>SUMIFS(Xero!$F:$F,Xero!$B:$B,Heron!AF$9,Xero!$A:$A,Heron!$A$4,Xero!$E:$E,Heron!$A57)+SUMIFS(Xero!$F:$F,Xero!$B:$B,Heron!AF$9,Xero!$A:$A,Heron!$A$5,Xero!$E:$E,Heron!$A57)</f>
        <v>0</v>
      </c>
      <c r="AG57" s="99">
        <f>SUMIFS(Xero!$F:$F,Xero!$B:$B,Heron!AG$9,Xero!$A:$A,Heron!$A$4,Xero!$E:$E,Heron!$A57)+SUMIFS(Xero!$F:$F,Xero!$B:$B,Heron!AG$9,Xero!$A:$A,Heron!$A$5,Xero!$E:$E,Heron!$A57)</f>
        <v>0</v>
      </c>
      <c r="AH57" s="99">
        <f>SUMIFS(Xero!$F:$F,Xero!$B:$B,Heron!AH$9,Xero!$A:$A,Heron!$A$4,Xero!$E:$E,Heron!$A57)+SUMIFS(Xero!$F:$F,Xero!$B:$B,Heron!AH$9,Xero!$A:$A,Heron!$A$5,Xero!$E:$E,Heron!$A57)</f>
        <v>209891.04</v>
      </c>
      <c r="AI57" s="99">
        <f>SUMIFS(Xero!$F:$F,Xero!$B:$B,Heron!AI$9,Xero!$A:$A,Heron!$A$4,Xero!$E:$E,Heron!$A57)+SUMIFS(Xero!$F:$F,Xero!$B:$B,Heron!AI$9,Xero!$A:$A,Heron!$A$5,Xero!$E:$E,Heron!$A57)</f>
        <v>0</v>
      </c>
      <c r="AJ57" s="99">
        <f>SUMIFS(Xero!$F:$F,Xero!$B:$B,Heron!AJ$9,Xero!$A:$A,Heron!$A$4,Xero!$E:$E,Heron!$A57)+SUMIFS(Xero!$F:$F,Xero!$B:$B,Heron!AJ$9,Xero!$A:$A,Heron!$A$5,Xero!$E:$E,Heron!$A57)</f>
        <v>0</v>
      </c>
      <c r="AK57" s="99">
        <f>SUMIFS(Xero!$F:$F,Xero!$B:$B,Heron!AK$9,Xero!$A:$A,Heron!$A$4,Xero!$E:$E,Heron!$A57)+SUMIFS(Xero!$F:$F,Xero!$B:$B,Heron!AK$9,Xero!$A:$A,Heron!$A$5,Xero!$E:$E,Heron!$A57)</f>
        <v>0</v>
      </c>
      <c r="AL57" s="99">
        <f>SUMIFS(Xero!$F:$F,Xero!$B:$B,Heron!AL$9,Xero!$A:$A,Heron!$A$4,Xero!$E:$E,Heron!$A57)+SUMIFS(Xero!$F:$F,Xero!$B:$B,Heron!AL$9,Xero!$A:$A,Heron!$A$5,Xero!$E:$E,Heron!$A57)</f>
        <v>0</v>
      </c>
      <c r="AM57" s="99">
        <f>SUMIFS(Xero!$F:$F,Xero!$B:$B,Heron!AM$9,Xero!$A:$A,Heron!$A$4,Xero!$E:$E,Heron!$A57)+SUMIFS(Xero!$F:$F,Xero!$B:$B,Heron!AM$9,Xero!$A:$A,Heron!$A$5,Xero!$E:$E,Heron!$A57)</f>
        <v>0</v>
      </c>
      <c r="AN57" s="99">
        <f>SUMIFS(Xero!$F:$F,Xero!$B:$B,Heron!AN$9,Xero!$A:$A,Heron!$A$4,Xero!$E:$E,Heron!$A57)+SUMIFS(Xero!$F:$F,Xero!$B:$B,Heron!AN$9,Xero!$A:$A,Heron!$A$5,Xero!$E:$E,Heron!$A57)</f>
        <v>0</v>
      </c>
      <c r="AO57" s="99">
        <f>SUMIFS(Xero!$F:$F,Xero!$B:$B,Heron!AO$9,Xero!$A:$A,Heron!$A$4,Xero!$E:$E,Heron!$A57)+SUMIFS(Xero!$F:$F,Xero!$B:$B,Heron!AO$9,Xero!$A:$A,Heron!$A$5,Xero!$E:$E,Heron!$A57)</f>
        <v>0</v>
      </c>
      <c r="AP57" s="99">
        <f>SUMIFS(Xero!$F:$F,Xero!$B:$B,Heron!AP$9,Xero!$A:$A,Heron!$A$4,Xero!$E:$E,Heron!$A57)+SUMIFS(Xero!$F:$F,Xero!$B:$B,Heron!AP$9,Xero!$A:$A,Heron!$A$5,Xero!$E:$E,Heron!$A57)</f>
        <v>0</v>
      </c>
      <c r="AQ57" s="99">
        <f>SUMIFS(Xero!$F:$F,Xero!$B:$B,Heron!AQ$9,Xero!$A:$A,Heron!$A$4,Xero!$E:$E,Heron!$A57)+SUMIFS(Xero!$F:$F,Xero!$B:$B,Heron!AQ$9,Xero!$A:$A,Heron!$A$5,Xero!$E:$E,Heron!$A57)</f>
        <v>0</v>
      </c>
      <c r="AR57" s="99">
        <f>SUMIFS(Xero!$F:$F,Xero!$B:$B,Heron!AR$9,Xero!$A:$A,Heron!$A$4,Xero!$E:$E,Heron!$A57)+SUMIFS(Xero!$F:$F,Xero!$B:$B,Heron!AR$9,Xero!$A:$A,Heron!$A$5,Xero!$E:$E,Heron!$A57)</f>
        <v>0</v>
      </c>
      <c r="AS57" s="99">
        <f>SUMIFS(Xero!$F:$F,Xero!$B:$B,Heron!AS$9,Xero!$A:$A,Heron!$A$4,Xero!$E:$E,Heron!$A57)+SUMIFS(Xero!$F:$F,Xero!$B:$B,Heron!AS$9,Xero!$A:$A,Heron!$A$5,Xero!$E:$E,Heron!$A57)</f>
        <v>0</v>
      </c>
      <c r="AT57" s="99">
        <f>SUMIFS(Xero!$F:$F,Xero!$B:$B,Heron!AT$9,Xero!$A:$A,Heron!$A$4,Xero!$E:$E,Heron!$A57)+SUMIFS(Xero!$F:$F,Xero!$B:$B,Heron!AT$9,Xero!$A:$A,Heron!$A$5,Xero!$E:$E,Heron!$A57)</f>
        <v>0</v>
      </c>
      <c r="AU57" s="99">
        <f>SUMIFS(Xero!$F:$F,Xero!$B:$B,Heron!AU$9,Xero!$A:$A,Heron!$A$4,Xero!$E:$E,Heron!$A57)+SUMIFS(Xero!$F:$F,Xero!$B:$B,Heron!AU$9,Xero!$A:$A,Heron!$A$5,Xero!$E:$E,Heron!$A57)</f>
        <v>0</v>
      </c>
      <c r="AV57" s="99">
        <f>SUMIFS(Xero!$F:$F,Xero!$B:$B,Heron!AV$9,Xero!$A:$A,Heron!$A$4,Xero!$E:$E,Heron!$A57)+SUMIFS(Xero!$F:$F,Xero!$B:$B,Heron!AV$9,Xero!$A:$A,Heron!$A$5,Xero!$E:$E,Heron!$A57)</f>
        <v>0</v>
      </c>
      <c r="AW57" s="99">
        <f>SUMIFS(Xero!$F:$F,Xero!$B:$B,Heron!AW$9,Xero!$A:$A,Heron!$A$4,Xero!$E:$E,Heron!$A57)+SUMIFS(Xero!$F:$F,Xero!$B:$B,Heron!AW$9,Xero!$A:$A,Heron!$A$5,Xero!$E:$E,Heron!$A57)</f>
        <v>0</v>
      </c>
      <c r="AX57" s="99">
        <f>SUMIFS(Xero!$F:$F,Xero!$B:$B,Heron!AX$9,Xero!$A:$A,Heron!$A$4,Xero!$E:$E,Heron!$A57)+SUMIFS(Xero!$F:$F,Xero!$B:$B,Heron!AX$9,Xero!$A:$A,Heron!$A$5,Xero!$E:$E,Heron!$A57)</f>
        <v>0</v>
      </c>
      <c r="AY57" s="99">
        <f>SUMIFS(Xero!$F:$F,Xero!$B:$B,Heron!AY$9,Xero!$A:$A,Heron!$A$4,Xero!$E:$E,Heron!$A57)+SUMIFS(Xero!$F:$F,Xero!$B:$B,Heron!AY$9,Xero!$A:$A,Heron!$A$5,Xero!$E:$E,Heron!$A57)</f>
        <v>0</v>
      </c>
      <c r="AZ57" s="99">
        <f>SUMIFS(Xero!$F:$F,Xero!$B:$B,Heron!AZ$9,Xero!$A:$A,Heron!$A$4,Xero!$E:$E,Heron!$A57)+SUMIFS(Xero!$F:$F,Xero!$B:$B,Heron!AZ$9,Xero!$A:$A,Heron!$A$5,Xero!$E:$E,Heron!$A57)</f>
        <v>0</v>
      </c>
      <c r="BA57" s="99">
        <f>SUMIFS(Xero!$F:$F,Xero!$B:$B,Heron!BA$9,Xero!$A:$A,Heron!$A$4,Xero!$E:$E,Heron!$A57)+SUMIFS(Xero!$F:$F,Xero!$B:$B,Heron!BA$9,Xero!$A:$A,Heron!$A$5,Xero!$E:$E,Heron!$A57)</f>
        <v>0</v>
      </c>
      <c r="BB57" s="99">
        <f>SUMIFS(Xero!$F:$F,Xero!$B:$B,Heron!BB$9,Xero!$A:$A,Heron!$A$4,Xero!$E:$E,Heron!$A57)+SUMIFS(Xero!$F:$F,Xero!$B:$B,Heron!BB$9,Xero!$A:$A,Heron!$A$5,Xero!$E:$E,Heron!$A57)</f>
        <v>0</v>
      </c>
      <c r="BC57" s="99">
        <f>SUMIFS(Xero!$F:$F,Xero!$B:$B,Heron!BC$9,Xero!$A:$A,Heron!$A$4,Xero!$E:$E,Heron!$A57)+SUMIFS(Xero!$F:$F,Xero!$B:$B,Heron!BC$9,Xero!$A:$A,Heron!$A$5,Xero!$E:$E,Heron!$A57)</f>
        <v>0</v>
      </c>
      <c r="BD57" s="99">
        <f>SUMIFS(Xero!$F:$F,Xero!$B:$B,Heron!BD$9,Xero!$A:$A,Heron!$A$4,Xero!$E:$E,Heron!$A57)+SUMIFS(Xero!$F:$F,Xero!$B:$B,Heron!BD$9,Xero!$A:$A,Heron!$A$5,Xero!$E:$E,Heron!$A57)</f>
        <v>0</v>
      </c>
      <c r="BE57" s="99">
        <f>SUMIFS(Xero!$F:$F,Xero!$B:$B,Heron!BE$9,Xero!$A:$A,Heron!$A$4,Xero!$E:$E,Heron!$A57)+SUMIFS(Xero!$F:$F,Xero!$B:$B,Heron!BE$9,Xero!$A:$A,Heron!$A$5,Xero!$E:$E,Heron!$A57)</f>
        <v>0</v>
      </c>
      <c r="BF57" s="99">
        <f>SUMIFS(Xero!$F:$F,Xero!$B:$B,Heron!BF$9,Xero!$A:$A,Heron!$A$4,Xero!$E:$E,Heron!$A57)+SUMIFS(Xero!$F:$F,Xero!$B:$B,Heron!BF$9,Xero!$A:$A,Heron!$A$5,Xero!$E:$E,Heron!$A57)</f>
        <v>0</v>
      </c>
      <c r="BG57" s="99">
        <f>SUMIFS(Xero!$F:$F,Xero!$B:$B,Heron!BG$9,Xero!$A:$A,Heron!$A$4,Xero!$E:$E,Heron!$A57)+SUMIFS(Xero!$F:$F,Xero!$B:$B,Heron!BG$9,Xero!$A:$A,Heron!$A$5,Xero!$E:$E,Heron!$A57)</f>
        <v>0</v>
      </c>
      <c r="BH57" s="99">
        <f>SUMIFS(Xero!$F:$F,Xero!$B:$B,Heron!BH$9,Xero!$A:$A,Heron!$A$4,Xero!$E:$E,Heron!$A57)+SUMIFS(Xero!$F:$F,Xero!$B:$B,Heron!BH$9,Xero!$A:$A,Heron!$A$5,Xero!$E:$E,Heron!$A57)</f>
        <v>0</v>
      </c>
      <c r="BI57" s="99">
        <f>SUMIFS(Xero!$F:$F,Xero!$B:$B,Heron!BI$9,Xero!$A:$A,Heron!$A$4,Xero!$E:$E,Heron!$A57)+SUMIFS(Xero!$F:$F,Xero!$B:$B,Heron!BI$9,Xero!$A:$A,Heron!$A$5,Xero!$E:$E,Heron!$A57)</f>
        <v>0</v>
      </c>
      <c r="BJ57" s="99">
        <f>SUMIFS(Xero!$F:$F,Xero!$B:$B,Heron!BJ$9,Xero!$A:$A,Heron!$A$4,Xero!$E:$E,Heron!$A57)+SUMIFS(Xero!$F:$F,Xero!$B:$B,Heron!BJ$9,Xero!$A:$A,Heron!$A$5,Xero!$E:$E,Heron!$A57)</f>
        <v>0</v>
      </c>
      <c r="BK57" s="99">
        <f t="shared" si="4"/>
        <v>661547.88</v>
      </c>
    </row>
    <row r="58" spans="1:63" ht="16" x14ac:dyDescent="0.2">
      <c r="A58" s="98" t="s">
        <v>1541</v>
      </c>
      <c r="D58" s="99">
        <f>SUMIFS(Xero!$F:$F,Xero!$B:$B,Heron!D$9,Xero!$A:$A,Heron!$A$4,Xero!$E:$E,Heron!$A58)+SUMIFS(Xero!$F:$F,Xero!$B:$B,Heron!D$9,Xero!$A:$A,Heron!$A$5,Xero!$E:$E,Heron!$A58)</f>
        <v>0</v>
      </c>
      <c r="E58" s="99">
        <f>SUMIFS(Xero!$F:$F,Xero!$B:$B,Heron!E$9,Xero!$A:$A,Heron!$A$4,Xero!$E:$E,Heron!$A58)+SUMIFS(Xero!$F:$F,Xero!$B:$B,Heron!E$9,Xero!$A:$A,Heron!$A$5,Xero!$E:$E,Heron!$A58)</f>
        <v>0</v>
      </c>
      <c r="F58" s="99">
        <f>SUMIFS(Xero!$F:$F,Xero!$B:$B,Heron!F$9,Xero!$A:$A,Heron!$A$4,Xero!$E:$E,Heron!$A58)+SUMIFS(Xero!$F:$F,Xero!$B:$B,Heron!F$9,Xero!$A:$A,Heron!$A$5,Xero!$E:$E,Heron!$A58)</f>
        <v>0</v>
      </c>
      <c r="G58" s="99">
        <f>SUMIFS(Xero!$F:$F,Xero!$B:$B,Heron!G$9,Xero!$A:$A,Heron!$A$4,Xero!$E:$E,Heron!$A58)+SUMIFS(Xero!$F:$F,Xero!$B:$B,Heron!G$9,Xero!$A:$A,Heron!$A$5,Xero!$E:$E,Heron!$A58)</f>
        <v>0</v>
      </c>
      <c r="H58" s="99">
        <f>SUMIFS(Xero!$F:$F,Xero!$B:$B,Heron!H$9,Xero!$A:$A,Heron!$A$4,Xero!$E:$E,Heron!$A58)+SUMIFS(Xero!$F:$F,Xero!$B:$B,Heron!H$9,Xero!$A:$A,Heron!$A$5,Xero!$E:$E,Heron!$A58)</f>
        <v>0</v>
      </c>
      <c r="I58" s="99">
        <f>SUMIFS(Xero!$F:$F,Xero!$B:$B,Heron!I$9,Xero!$A:$A,Heron!$A$4,Xero!$E:$E,Heron!$A58)+SUMIFS(Xero!$F:$F,Xero!$B:$B,Heron!I$9,Xero!$A:$A,Heron!$A$5,Xero!$E:$E,Heron!$A58)</f>
        <v>0</v>
      </c>
      <c r="J58" s="99">
        <f>SUMIFS(Xero!$F:$F,Xero!$B:$B,Heron!J$9,Xero!$A:$A,Heron!$A$4,Xero!$E:$E,Heron!$A58)+SUMIFS(Xero!$F:$F,Xero!$B:$B,Heron!J$9,Xero!$A:$A,Heron!$A$5,Xero!$E:$E,Heron!$A58)</f>
        <v>0</v>
      </c>
      <c r="K58" s="99">
        <f>SUMIFS(Xero!$F:$F,Xero!$B:$B,Heron!K$9,Xero!$A:$A,Heron!$A$4,Xero!$E:$E,Heron!$A58)+SUMIFS(Xero!$F:$F,Xero!$B:$B,Heron!K$9,Xero!$A:$A,Heron!$A$5,Xero!$E:$E,Heron!$A58)</f>
        <v>0</v>
      </c>
      <c r="L58" s="99">
        <f>SUMIFS(Xero!$F:$F,Xero!$B:$B,Heron!L$9,Xero!$A:$A,Heron!$A$4,Xero!$E:$E,Heron!$A58)+SUMIFS(Xero!$F:$F,Xero!$B:$B,Heron!L$9,Xero!$A:$A,Heron!$A$5,Xero!$E:$E,Heron!$A58)</f>
        <v>0</v>
      </c>
      <c r="M58" s="99">
        <f>SUMIFS(Xero!$F:$F,Xero!$B:$B,Heron!M$9,Xero!$A:$A,Heron!$A$4,Xero!$E:$E,Heron!$A58)+SUMIFS(Xero!$F:$F,Xero!$B:$B,Heron!M$9,Xero!$A:$A,Heron!$A$5,Xero!$E:$E,Heron!$A58)</f>
        <v>0</v>
      </c>
      <c r="N58" s="99">
        <f>SUMIFS(Xero!$F:$F,Xero!$B:$B,Heron!N$9,Xero!$A:$A,Heron!$A$4,Xero!$E:$E,Heron!$A58)+SUMIFS(Xero!$F:$F,Xero!$B:$B,Heron!N$9,Xero!$A:$A,Heron!$A$5,Xero!$E:$E,Heron!$A58)</f>
        <v>0</v>
      </c>
      <c r="O58" s="99">
        <f>SUMIFS(Xero!$F:$F,Xero!$B:$B,Heron!O$9,Xero!$A:$A,Heron!$A$4,Xero!$E:$E,Heron!$A58)+SUMIFS(Xero!$F:$F,Xero!$B:$B,Heron!O$9,Xero!$A:$A,Heron!$A$5,Xero!$E:$E,Heron!$A58)</f>
        <v>0</v>
      </c>
      <c r="P58" s="99">
        <f>SUMIFS(Xero!$F:$F,Xero!$B:$B,Heron!P$9,Xero!$A:$A,Heron!$A$4,Xero!$E:$E,Heron!$A58)+SUMIFS(Xero!$F:$F,Xero!$B:$B,Heron!P$9,Xero!$A:$A,Heron!$A$5,Xero!$E:$E,Heron!$A58)</f>
        <v>0</v>
      </c>
      <c r="Q58" s="99">
        <f>SUMIFS(Xero!$F:$F,Xero!$B:$B,Heron!Q$9,Xero!$A:$A,Heron!$A$4,Xero!$E:$E,Heron!$A58)+SUMIFS(Xero!$F:$F,Xero!$B:$B,Heron!Q$9,Xero!$A:$A,Heron!$A$5,Xero!$E:$E,Heron!$A58)</f>
        <v>0</v>
      </c>
      <c r="R58" s="99">
        <f>SUMIFS(Xero!$F:$F,Xero!$B:$B,Heron!R$9,Xero!$A:$A,Heron!$A$4,Xero!$E:$E,Heron!$A58)+SUMIFS(Xero!$F:$F,Xero!$B:$B,Heron!R$9,Xero!$A:$A,Heron!$A$5,Xero!$E:$E,Heron!$A58)</f>
        <v>0</v>
      </c>
      <c r="S58" s="99">
        <f>SUMIFS(Xero!$F:$F,Xero!$B:$B,Heron!S$9,Xero!$A:$A,Heron!$A$4,Xero!$E:$E,Heron!$A58)+SUMIFS(Xero!$F:$F,Xero!$B:$B,Heron!S$9,Xero!$A:$A,Heron!$A$5,Xero!$E:$E,Heron!$A58)</f>
        <v>0</v>
      </c>
      <c r="T58" s="99">
        <f>SUMIFS(Xero!$F:$F,Xero!$B:$B,Heron!T$9,Xero!$A:$A,Heron!$A$4,Xero!$E:$E,Heron!$A58)+SUMIFS(Xero!$F:$F,Xero!$B:$B,Heron!T$9,Xero!$A:$A,Heron!$A$5,Xero!$E:$E,Heron!$A58)</f>
        <v>0</v>
      </c>
      <c r="U58" s="99">
        <f>SUMIFS(Xero!$F:$F,Xero!$B:$B,Heron!U$9,Xero!$A:$A,Heron!$A$4,Xero!$E:$E,Heron!$A58)+SUMIFS(Xero!$F:$F,Xero!$B:$B,Heron!U$9,Xero!$A:$A,Heron!$A$5,Xero!$E:$E,Heron!$A58)</f>
        <v>0</v>
      </c>
      <c r="V58" s="99">
        <f>SUMIFS(Xero!$F:$F,Xero!$B:$B,Heron!V$9,Xero!$A:$A,Heron!$A$4,Xero!$E:$E,Heron!$A58)+SUMIFS(Xero!$F:$F,Xero!$B:$B,Heron!V$9,Xero!$A:$A,Heron!$A$5,Xero!$E:$E,Heron!$A58)</f>
        <v>9738.91</v>
      </c>
      <c r="W58" s="99">
        <f>SUMIFS(Xero!$F:$F,Xero!$B:$B,Heron!W$9,Xero!$A:$A,Heron!$A$4,Xero!$E:$E,Heron!$A58)+SUMIFS(Xero!$F:$F,Xero!$B:$B,Heron!W$9,Xero!$A:$A,Heron!$A$5,Xero!$E:$E,Heron!$A58)</f>
        <v>0</v>
      </c>
      <c r="X58" s="99">
        <f>SUMIFS(Xero!$F:$F,Xero!$B:$B,Heron!X$9,Xero!$A:$A,Heron!$A$4,Xero!$E:$E,Heron!$A58)+SUMIFS(Xero!$F:$F,Xero!$B:$B,Heron!X$9,Xero!$A:$A,Heron!$A$5,Xero!$E:$E,Heron!$A58)</f>
        <v>0</v>
      </c>
      <c r="Y58" s="99">
        <f>SUMIFS(Xero!$F:$F,Xero!$B:$B,Heron!Y$9,Xero!$A:$A,Heron!$A$4,Xero!$E:$E,Heron!$A58)+SUMIFS(Xero!$F:$F,Xero!$B:$B,Heron!Y$9,Xero!$A:$A,Heron!$A$5,Xero!$E:$E,Heron!$A58)</f>
        <v>0</v>
      </c>
      <c r="Z58" s="99">
        <f>SUMIFS(Xero!$F:$F,Xero!$B:$B,Heron!Z$9,Xero!$A:$A,Heron!$A$4,Xero!$E:$E,Heron!$A58)+SUMIFS(Xero!$F:$F,Xero!$B:$B,Heron!Z$9,Xero!$A:$A,Heron!$A$5,Xero!$E:$E,Heron!$A58)</f>
        <v>0</v>
      </c>
      <c r="AA58" s="99">
        <f>SUMIFS(Xero!$F:$F,Xero!$B:$B,Heron!AA$9,Xero!$A:$A,Heron!$A$4,Xero!$E:$E,Heron!$A58)+SUMIFS(Xero!$F:$F,Xero!$B:$B,Heron!AA$9,Xero!$A:$A,Heron!$A$5,Xero!$E:$E,Heron!$A58)</f>
        <v>0</v>
      </c>
      <c r="AB58" s="99">
        <f>SUMIFS(Xero!$F:$F,Xero!$B:$B,Heron!AB$9,Xero!$A:$A,Heron!$A$4,Xero!$E:$E,Heron!$A58)+SUMIFS(Xero!$F:$F,Xero!$B:$B,Heron!AB$9,Xero!$A:$A,Heron!$A$5,Xero!$E:$E,Heron!$A58)</f>
        <v>0</v>
      </c>
      <c r="AC58" s="99">
        <f>SUMIFS(Xero!$F:$F,Xero!$B:$B,Heron!AC$9,Xero!$A:$A,Heron!$A$4,Xero!$E:$E,Heron!$A58)+SUMIFS(Xero!$F:$F,Xero!$B:$B,Heron!AC$9,Xero!$A:$A,Heron!$A$5,Xero!$E:$E,Heron!$A58)</f>
        <v>11528.93</v>
      </c>
      <c r="AD58" s="99">
        <f>SUMIFS(Xero!$F:$F,Xero!$B:$B,Heron!AD$9,Xero!$A:$A,Heron!$A$4,Xero!$E:$E,Heron!$A58)+SUMIFS(Xero!$F:$F,Xero!$B:$B,Heron!AD$9,Xero!$A:$A,Heron!$A$5,Xero!$E:$E,Heron!$A58)</f>
        <v>6631.99</v>
      </c>
      <c r="AE58" s="99">
        <f>SUMIFS(Xero!$F:$F,Xero!$B:$B,Heron!AE$9,Xero!$A:$A,Heron!$A$4,Xero!$E:$E,Heron!$A58)+SUMIFS(Xero!$F:$F,Xero!$B:$B,Heron!AE$9,Xero!$A:$A,Heron!$A$5,Xero!$E:$E,Heron!$A58)</f>
        <v>0</v>
      </c>
      <c r="AF58" s="99">
        <f>SUMIFS(Xero!$F:$F,Xero!$B:$B,Heron!AF$9,Xero!$A:$A,Heron!$A$4,Xero!$E:$E,Heron!$A58)+SUMIFS(Xero!$F:$F,Xero!$B:$B,Heron!AF$9,Xero!$A:$A,Heron!$A$5,Xero!$E:$E,Heron!$A58)</f>
        <v>3875.85</v>
      </c>
      <c r="AG58" s="99">
        <f>SUMIFS(Xero!$F:$F,Xero!$B:$B,Heron!AG$9,Xero!$A:$A,Heron!$A$4,Xero!$E:$E,Heron!$A58)+SUMIFS(Xero!$F:$F,Xero!$B:$B,Heron!AG$9,Xero!$A:$A,Heron!$A$5,Xero!$E:$E,Heron!$A58)</f>
        <v>3308.35</v>
      </c>
      <c r="AH58" s="99">
        <f>SUMIFS(Xero!$F:$F,Xero!$B:$B,Heron!AH$9,Xero!$A:$A,Heron!$A$4,Xero!$E:$E,Heron!$A58)+SUMIFS(Xero!$F:$F,Xero!$B:$B,Heron!AH$9,Xero!$A:$A,Heron!$A$5,Xero!$E:$E,Heron!$A58)</f>
        <v>0</v>
      </c>
      <c r="AI58" s="99">
        <f>SUMIFS(Xero!$F:$F,Xero!$B:$B,Heron!AI$9,Xero!$A:$A,Heron!$A$4,Xero!$E:$E,Heron!$A58)+SUMIFS(Xero!$F:$F,Xero!$B:$B,Heron!AI$9,Xero!$A:$A,Heron!$A$5,Xero!$E:$E,Heron!$A58)</f>
        <v>19519.47</v>
      </c>
      <c r="AJ58" s="99">
        <f>SUMIFS(Xero!$F:$F,Xero!$B:$B,Heron!AJ$9,Xero!$A:$A,Heron!$A$4,Xero!$E:$E,Heron!$A58)+SUMIFS(Xero!$F:$F,Xero!$B:$B,Heron!AJ$9,Xero!$A:$A,Heron!$A$5,Xero!$E:$E,Heron!$A58)</f>
        <v>0</v>
      </c>
      <c r="AK58" s="99">
        <f>SUMIFS(Xero!$F:$F,Xero!$B:$B,Heron!AK$9,Xero!$A:$A,Heron!$A$4,Xero!$E:$E,Heron!$A58)+SUMIFS(Xero!$F:$F,Xero!$B:$B,Heron!AK$9,Xero!$A:$A,Heron!$A$5,Xero!$E:$E,Heron!$A58)</f>
        <v>0</v>
      </c>
      <c r="AL58" s="99">
        <f>SUMIFS(Xero!$F:$F,Xero!$B:$B,Heron!AL$9,Xero!$A:$A,Heron!$A$4,Xero!$E:$E,Heron!$A58)+SUMIFS(Xero!$F:$F,Xero!$B:$B,Heron!AL$9,Xero!$A:$A,Heron!$A$5,Xero!$E:$E,Heron!$A58)</f>
        <v>0</v>
      </c>
      <c r="AM58" s="99">
        <f>SUMIFS(Xero!$F:$F,Xero!$B:$B,Heron!AM$9,Xero!$A:$A,Heron!$A$4,Xero!$E:$E,Heron!$A58)+SUMIFS(Xero!$F:$F,Xero!$B:$B,Heron!AM$9,Xero!$A:$A,Heron!$A$5,Xero!$E:$E,Heron!$A58)</f>
        <v>0</v>
      </c>
      <c r="AN58" s="99">
        <f>SUMIFS(Xero!$F:$F,Xero!$B:$B,Heron!AN$9,Xero!$A:$A,Heron!$A$4,Xero!$E:$E,Heron!$A58)+SUMIFS(Xero!$F:$F,Xero!$B:$B,Heron!AN$9,Xero!$A:$A,Heron!$A$5,Xero!$E:$E,Heron!$A58)</f>
        <v>0</v>
      </c>
      <c r="AO58" s="99">
        <f>SUMIFS(Xero!$F:$F,Xero!$B:$B,Heron!AO$9,Xero!$A:$A,Heron!$A$4,Xero!$E:$E,Heron!$A58)+SUMIFS(Xero!$F:$F,Xero!$B:$B,Heron!AO$9,Xero!$A:$A,Heron!$A$5,Xero!$E:$E,Heron!$A58)</f>
        <v>0</v>
      </c>
      <c r="AP58" s="99">
        <f>SUMIFS(Xero!$F:$F,Xero!$B:$B,Heron!AP$9,Xero!$A:$A,Heron!$A$4,Xero!$E:$E,Heron!$A58)+SUMIFS(Xero!$F:$F,Xero!$B:$B,Heron!AP$9,Xero!$A:$A,Heron!$A$5,Xero!$E:$E,Heron!$A58)</f>
        <v>8386.2000000000007</v>
      </c>
      <c r="AQ58" s="99">
        <f>SUMIFS(Xero!$F:$F,Xero!$B:$B,Heron!AQ$9,Xero!$A:$A,Heron!$A$4,Xero!$E:$E,Heron!$A58)+SUMIFS(Xero!$F:$F,Xero!$B:$B,Heron!AQ$9,Xero!$A:$A,Heron!$A$5,Xero!$E:$E,Heron!$A58)</f>
        <v>0</v>
      </c>
      <c r="AR58" s="99">
        <f>SUMIFS(Xero!$F:$F,Xero!$B:$B,Heron!AR$9,Xero!$A:$A,Heron!$A$4,Xero!$E:$E,Heron!$A58)+SUMIFS(Xero!$F:$F,Xero!$B:$B,Heron!AR$9,Xero!$A:$A,Heron!$A$5,Xero!$E:$E,Heron!$A58)</f>
        <v>69935.429999999993</v>
      </c>
      <c r="AS58" s="99">
        <f>SUMIFS(Xero!$F:$F,Xero!$B:$B,Heron!AS$9,Xero!$A:$A,Heron!$A$4,Xero!$E:$E,Heron!$A58)+SUMIFS(Xero!$F:$F,Xero!$B:$B,Heron!AS$9,Xero!$A:$A,Heron!$A$5,Xero!$E:$E,Heron!$A58)</f>
        <v>0</v>
      </c>
      <c r="AT58" s="99">
        <f>SUMIFS(Xero!$F:$F,Xero!$B:$B,Heron!AT$9,Xero!$A:$A,Heron!$A$4,Xero!$E:$E,Heron!$A58)+SUMIFS(Xero!$F:$F,Xero!$B:$B,Heron!AT$9,Xero!$A:$A,Heron!$A$5,Xero!$E:$E,Heron!$A58)</f>
        <v>0</v>
      </c>
      <c r="AU58" s="99">
        <f>SUMIFS(Xero!$F:$F,Xero!$B:$B,Heron!AU$9,Xero!$A:$A,Heron!$A$4,Xero!$E:$E,Heron!$A58)+SUMIFS(Xero!$F:$F,Xero!$B:$B,Heron!AU$9,Xero!$A:$A,Heron!$A$5,Xero!$E:$E,Heron!$A58)</f>
        <v>0</v>
      </c>
      <c r="AV58" s="99">
        <f>SUMIFS(Xero!$F:$F,Xero!$B:$B,Heron!AV$9,Xero!$A:$A,Heron!$A$4,Xero!$E:$E,Heron!$A58)+SUMIFS(Xero!$F:$F,Xero!$B:$B,Heron!AV$9,Xero!$A:$A,Heron!$A$5,Xero!$E:$E,Heron!$A58)</f>
        <v>0</v>
      </c>
      <c r="AW58" s="99">
        <f>SUMIFS(Xero!$F:$F,Xero!$B:$B,Heron!AW$9,Xero!$A:$A,Heron!$A$4,Xero!$E:$E,Heron!$A58)+SUMIFS(Xero!$F:$F,Xero!$B:$B,Heron!AW$9,Xero!$A:$A,Heron!$A$5,Xero!$E:$E,Heron!$A58)</f>
        <v>0</v>
      </c>
      <c r="AX58" s="99">
        <f>SUMIFS(Xero!$F:$F,Xero!$B:$B,Heron!AX$9,Xero!$A:$A,Heron!$A$4,Xero!$E:$E,Heron!$A58)+SUMIFS(Xero!$F:$F,Xero!$B:$B,Heron!AX$9,Xero!$A:$A,Heron!$A$5,Xero!$E:$E,Heron!$A58)</f>
        <v>0</v>
      </c>
      <c r="AY58" s="99">
        <f>SUMIFS(Xero!$F:$F,Xero!$B:$B,Heron!AY$9,Xero!$A:$A,Heron!$A$4,Xero!$E:$E,Heron!$A58)+SUMIFS(Xero!$F:$F,Xero!$B:$B,Heron!AY$9,Xero!$A:$A,Heron!$A$5,Xero!$E:$E,Heron!$A58)</f>
        <v>0</v>
      </c>
      <c r="AZ58" s="99">
        <f>SUMIFS(Xero!$F:$F,Xero!$B:$B,Heron!AZ$9,Xero!$A:$A,Heron!$A$4,Xero!$E:$E,Heron!$A58)+SUMIFS(Xero!$F:$F,Xero!$B:$B,Heron!AZ$9,Xero!$A:$A,Heron!$A$5,Xero!$E:$E,Heron!$A58)</f>
        <v>0</v>
      </c>
      <c r="BA58" s="99">
        <f>SUMIFS(Xero!$F:$F,Xero!$B:$B,Heron!BA$9,Xero!$A:$A,Heron!$A$4,Xero!$E:$E,Heron!$A58)+SUMIFS(Xero!$F:$F,Xero!$B:$B,Heron!BA$9,Xero!$A:$A,Heron!$A$5,Xero!$E:$E,Heron!$A58)</f>
        <v>0</v>
      </c>
      <c r="BB58" s="99">
        <f>SUMIFS(Xero!$F:$F,Xero!$B:$B,Heron!BB$9,Xero!$A:$A,Heron!$A$4,Xero!$E:$E,Heron!$A58)+SUMIFS(Xero!$F:$F,Xero!$B:$B,Heron!BB$9,Xero!$A:$A,Heron!$A$5,Xero!$E:$E,Heron!$A58)</f>
        <v>0</v>
      </c>
      <c r="BC58" s="99">
        <f>SUMIFS(Xero!$F:$F,Xero!$B:$B,Heron!BC$9,Xero!$A:$A,Heron!$A$4,Xero!$E:$E,Heron!$A58)+SUMIFS(Xero!$F:$F,Xero!$B:$B,Heron!BC$9,Xero!$A:$A,Heron!$A$5,Xero!$E:$E,Heron!$A58)</f>
        <v>0</v>
      </c>
      <c r="BD58" s="99">
        <f>SUMIFS(Xero!$F:$F,Xero!$B:$B,Heron!BD$9,Xero!$A:$A,Heron!$A$4,Xero!$E:$E,Heron!$A58)+SUMIFS(Xero!$F:$F,Xero!$B:$B,Heron!BD$9,Xero!$A:$A,Heron!$A$5,Xero!$E:$E,Heron!$A58)</f>
        <v>0</v>
      </c>
      <c r="BE58" s="99">
        <f>SUMIFS(Xero!$F:$F,Xero!$B:$B,Heron!BE$9,Xero!$A:$A,Heron!$A$4,Xero!$E:$E,Heron!$A58)+SUMIFS(Xero!$F:$F,Xero!$B:$B,Heron!BE$9,Xero!$A:$A,Heron!$A$5,Xero!$E:$E,Heron!$A58)</f>
        <v>0</v>
      </c>
      <c r="BF58" s="99">
        <f>SUMIFS(Xero!$F:$F,Xero!$B:$B,Heron!BF$9,Xero!$A:$A,Heron!$A$4,Xero!$E:$E,Heron!$A58)+SUMIFS(Xero!$F:$F,Xero!$B:$B,Heron!BF$9,Xero!$A:$A,Heron!$A$5,Xero!$E:$E,Heron!$A58)</f>
        <v>0</v>
      </c>
      <c r="BG58" s="99">
        <f>SUMIFS(Xero!$F:$F,Xero!$B:$B,Heron!BG$9,Xero!$A:$A,Heron!$A$4,Xero!$E:$E,Heron!$A58)+SUMIFS(Xero!$F:$F,Xero!$B:$B,Heron!BG$9,Xero!$A:$A,Heron!$A$5,Xero!$E:$E,Heron!$A58)</f>
        <v>0</v>
      </c>
      <c r="BH58" s="99">
        <f>SUMIFS(Xero!$F:$F,Xero!$B:$B,Heron!BH$9,Xero!$A:$A,Heron!$A$4,Xero!$E:$E,Heron!$A58)+SUMIFS(Xero!$F:$F,Xero!$B:$B,Heron!BH$9,Xero!$A:$A,Heron!$A$5,Xero!$E:$E,Heron!$A58)</f>
        <v>0</v>
      </c>
      <c r="BI58" s="99">
        <f>SUMIFS(Xero!$F:$F,Xero!$B:$B,Heron!BI$9,Xero!$A:$A,Heron!$A$4,Xero!$E:$E,Heron!$A58)+SUMIFS(Xero!$F:$F,Xero!$B:$B,Heron!BI$9,Xero!$A:$A,Heron!$A$5,Xero!$E:$E,Heron!$A58)</f>
        <v>0</v>
      </c>
      <c r="BJ58" s="99">
        <f>SUMIFS(Xero!$F:$F,Xero!$B:$B,Heron!BJ$9,Xero!$A:$A,Heron!$A$4,Xero!$E:$E,Heron!$A58)+SUMIFS(Xero!$F:$F,Xero!$B:$B,Heron!BJ$9,Xero!$A:$A,Heron!$A$5,Xero!$E:$E,Heron!$A58)</f>
        <v>0</v>
      </c>
      <c r="BK58" s="99">
        <f t="shared" si="4"/>
        <v>132925.13</v>
      </c>
    </row>
    <row r="59" spans="1:63" ht="16" x14ac:dyDescent="0.2">
      <c r="A59" s="98" t="s">
        <v>1641</v>
      </c>
      <c r="D59" s="99">
        <f>SUMIFS(Xero!$F:$F,Xero!$B:$B,Heron!D$9,Xero!$A:$A,Heron!$A$4,Xero!$E:$E,Heron!$A59)+SUMIFS(Xero!$F:$F,Xero!$B:$B,Heron!D$9,Xero!$A:$A,Heron!$A$5,Xero!$E:$E,Heron!$A59)</f>
        <v>0</v>
      </c>
      <c r="E59" s="99">
        <f>SUMIFS(Xero!$F:$F,Xero!$B:$B,Heron!E$9,Xero!$A:$A,Heron!$A$4,Xero!$E:$E,Heron!$A59)+SUMIFS(Xero!$F:$F,Xero!$B:$B,Heron!E$9,Xero!$A:$A,Heron!$A$5,Xero!$E:$E,Heron!$A59)</f>
        <v>0</v>
      </c>
      <c r="F59" s="99">
        <f>SUMIFS(Xero!$F:$F,Xero!$B:$B,Heron!F$9,Xero!$A:$A,Heron!$A$4,Xero!$E:$E,Heron!$A59)+SUMIFS(Xero!$F:$F,Xero!$B:$B,Heron!F$9,Xero!$A:$A,Heron!$A$5,Xero!$E:$E,Heron!$A59)</f>
        <v>0</v>
      </c>
      <c r="G59" s="99">
        <f>SUMIFS(Xero!$F:$F,Xero!$B:$B,Heron!G$9,Xero!$A:$A,Heron!$A$4,Xero!$E:$E,Heron!$A59)+SUMIFS(Xero!$F:$F,Xero!$B:$B,Heron!G$9,Xero!$A:$A,Heron!$A$5,Xero!$E:$E,Heron!$A59)</f>
        <v>0</v>
      </c>
      <c r="H59" s="99">
        <f>SUMIFS(Xero!$F:$F,Xero!$B:$B,Heron!H$9,Xero!$A:$A,Heron!$A$4,Xero!$E:$E,Heron!$A59)+SUMIFS(Xero!$F:$F,Xero!$B:$B,Heron!H$9,Xero!$A:$A,Heron!$A$5,Xero!$E:$E,Heron!$A59)</f>
        <v>0</v>
      </c>
      <c r="I59" s="99">
        <f>SUMIFS(Xero!$F:$F,Xero!$B:$B,Heron!I$9,Xero!$A:$A,Heron!$A$4,Xero!$E:$E,Heron!$A59)+SUMIFS(Xero!$F:$F,Xero!$B:$B,Heron!I$9,Xero!$A:$A,Heron!$A$5,Xero!$E:$E,Heron!$A59)</f>
        <v>0</v>
      </c>
      <c r="J59" s="99">
        <f>SUMIFS(Xero!$F:$F,Xero!$B:$B,Heron!J$9,Xero!$A:$A,Heron!$A$4,Xero!$E:$E,Heron!$A59)+SUMIFS(Xero!$F:$F,Xero!$B:$B,Heron!J$9,Xero!$A:$A,Heron!$A$5,Xero!$E:$E,Heron!$A59)</f>
        <v>0</v>
      </c>
      <c r="K59" s="99">
        <f>SUMIFS(Xero!$F:$F,Xero!$B:$B,Heron!K$9,Xero!$A:$A,Heron!$A$4,Xero!$E:$E,Heron!$A59)+SUMIFS(Xero!$F:$F,Xero!$B:$B,Heron!K$9,Xero!$A:$A,Heron!$A$5,Xero!$E:$E,Heron!$A59)</f>
        <v>0</v>
      </c>
      <c r="L59" s="99">
        <f>SUMIFS(Xero!$F:$F,Xero!$B:$B,Heron!L$9,Xero!$A:$A,Heron!$A$4,Xero!$E:$E,Heron!$A59)+SUMIFS(Xero!$F:$F,Xero!$B:$B,Heron!L$9,Xero!$A:$A,Heron!$A$5,Xero!$E:$E,Heron!$A59)</f>
        <v>0</v>
      </c>
      <c r="M59" s="99">
        <f>SUMIFS(Xero!$F:$F,Xero!$B:$B,Heron!M$9,Xero!$A:$A,Heron!$A$4,Xero!$E:$E,Heron!$A59)+SUMIFS(Xero!$F:$F,Xero!$B:$B,Heron!M$9,Xero!$A:$A,Heron!$A$5,Xero!$E:$E,Heron!$A59)</f>
        <v>0</v>
      </c>
      <c r="N59" s="99">
        <f>SUMIFS(Xero!$F:$F,Xero!$B:$B,Heron!N$9,Xero!$A:$A,Heron!$A$4,Xero!$E:$E,Heron!$A59)+SUMIFS(Xero!$F:$F,Xero!$B:$B,Heron!N$9,Xero!$A:$A,Heron!$A$5,Xero!$E:$E,Heron!$A59)</f>
        <v>0</v>
      </c>
      <c r="O59" s="99">
        <f>SUMIFS(Xero!$F:$F,Xero!$B:$B,Heron!O$9,Xero!$A:$A,Heron!$A$4,Xero!$E:$E,Heron!$A59)+SUMIFS(Xero!$F:$F,Xero!$B:$B,Heron!O$9,Xero!$A:$A,Heron!$A$5,Xero!$E:$E,Heron!$A59)</f>
        <v>0</v>
      </c>
      <c r="P59" s="99">
        <f>SUMIFS(Xero!$F:$F,Xero!$B:$B,Heron!P$9,Xero!$A:$A,Heron!$A$4,Xero!$E:$E,Heron!$A59)+SUMIFS(Xero!$F:$F,Xero!$B:$B,Heron!P$9,Xero!$A:$A,Heron!$A$5,Xero!$E:$E,Heron!$A59)</f>
        <v>0</v>
      </c>
      <c r="Q59" s="99">
        <f>SUMIFS(Xero!$F:$F,Xero!$B:$B,Heron!Q$9,Xero!$A:$A,Heron!$A$4,Xero!$E:$E,Heron!$A59)+SUMIFS(Xero!$F:$F,Xero!$B:$B,Heron!Q$9,Xero!$A:$A,Heron!$A$5,Xero!$E:$E,Heron!$A59)</f>
        <v>0</v>
      </c>
      <c r="R59" s="99">
        <f>SUMIFS(Xero!$F:$F,Xero!$B:$B,Heron!R$9,Xero!$A:$A,Heron!$A$4,Xero!$E:$E,Heron!$A59)+SUMIFS(Xero!$F:$F,Xero!$B:$B,Heron!R$9,Xero!$A:$A,Heron!$A$5,Xero!$E:$E,Heron!$A59)</f>
        <v>0</v>
      </c>
      <c r="S59" s="99">
        <f>SUMIFS(Xero!$F:$F,Xero!$B:$B,Heron!S$9,Xero!$A:$A,Heron!$A$4,Xero!$E:$E,Heron!$A59)+SUMIFS(Xero!$F:$F,Xero!$B:$B,Heron!S$9,Xero!$A:$A,Heron!$A$5,Xero!$E:$E,Heron!$A59)</f>
        <v>0</v>
      </c>
      <c r="T59" s="99">
        <f>SUMIFS(Xero!$F:$F,Xero!$B:$B,Heron!T$9,Xero!$A:$A,Heron!$A$4,Xero!$E:$E,Heron!$A59)+SUMIFS(Xero!$F:$F,Xero!$B:$B,Heron!T$9,Xero!$A:$A,Heron!$A$5,Xero!$E:$E,Heron!$A59)</f>
        <v>0</v>
      </c>
      <c r="U59" s="99">
        <f>SUMIFS(Xero!$F:$F,Xero!$B:$B,Heron!U$9,Xero!$A:$A,Heron!$A$4,Xero!$E:$E,Heron!$A59)+SUMIFS(Xero!$F:$F,Xero!$B:$B,Heron!U$9,Xero!$A:$A,Heron!$A$5,Xero!$E:$E,Heron!$A59)</f>
        <v>0</v>
      </c>
      <c r="V59" s="99">
        <f>SUMIFS(Xero!$F:$F,Xero!$B:$B,Heron!V$9,Xero!$A:$A,Heron!$A$4,Xero!$E:$E,Heron!$A59)+SUMIFS(Xero!$F:$F,Xero!$B:$B,Heron!V$9,Xero!$A:$A,Heron!$A$5,Xero!$E:$E,Heron!$A59)</f>
        <v>0</v>
      </c>
      <c r="W59" s="99">
        <f>SUMIFS(Xero!$F:$F,Xero!$B:$B,Heron!W$9,Xero!$A:$A,Heron!$A$4,Xero!$E:$E,Heron!$A59)+SUMIFS(Xero!$F:$F,Xero!$B:$B,Heron!W$9,Xero!$A:$A,Heron!$A$5,Xero!$E:$E,Heron!$A59)</f>
        <v>0</v>
      </c>
      <c r="X59" s="99">
        <f>SUMIFS(Xero!$F:$F,Xero!$B:$B,Heron!X$9,Xero!$A:$A,Heron!$A$4,Xero!$E:$E,Heron!$A59)+SUMIFS(Xero!$F:$F,Xero!$B:$B,Heron!X$9,Xero!$A:$A,Heron!$A$5,Xero!$E:$E,Heron!$A59)</f>
        <v>0</v>
      </c>
      <c r="Y59" s="99">
        <f>SUMIFS(Xero!$F:$F,Xero!$B:$B,Heron!Y$9,Xero!$A:$A,Heron!$A$4,Xero!$E:$E,Heron!$A59)+SUMIFS(Xero!$F:$F,Xero!$B:$B,Heron!Y$9,Xero!$A:$A,Heron!$A$5,Xero!$E:$E,Heron!$A59)</f>
        <v>0</v>
      </c>
      <c r="Z59" s="99">
        <f>SUMIFS(Xero!$F:$F,Xero!$B:$B,Heron!Z$9,Xero!$A:$A,Heron!$A$4,Xero!$E:$E,Heron!$A59)+SUMIFS(Xero!$F:$F,Xero!$B:$B,Heron!Z$9,Xero!$A:$A,Heron!$A$5,Xero!$E:$E,Heron!$A59)</f>
        <v>0</v>
      </c>
      <c r="AA59" s="99">
        <f>SUMIFS(Xero!$F:$F,Xero!$B:$B,Heron!AA$9,Xero!$A:$A,Heron!$A$4,Xero!$E:$E,Heron!$A59)+SUMIFS(Xero!$F:$F,Xero!$B:$B,Heron!AA$9,Xero!$A:$A,Heron!$A$5,Xero!$E:$E,Heron!$A59)</f>
        <v>28465.91</v>
      </c>
      <c r="AB59" s="99">
        <f>SUMIFS(Xero!$F:$F,Xero!$B:$B,Heron!AB$9,Xero!$A:$A,Heron!$A$4,Xero!$E:$E,Heron!$A59)+SUMIFS(Xero!$F:$F,Xero!$B:$B,Heron!AB$9,Xero!$A:$A,Heron!$A$5,Xero!$E:$E,Heron!$A59)</f>
        <v>0</v>
      </c>
      <c r="AC59" s="99">
        <f>SUMIFS(Xero!$F:$F,Xero!$B:$B,Heron!AC$9,Xero!$A:$A,Heron!$A$4,Xero!$E:$E,Heron!$A59)+SUMIFS(Xero!$F:$F,Xero!$B:$B,Heron!AC$9,Xero!$A:$A,Heron!$A$5,Xero!$E:$E,Heron!$A59)</f>
        <v>0</v>
      </c>
      <c r="AD59" s="99">
        <f>SUMIFS(Xero!$F:$F,Xero!$B:$B,Heron!AD$9,Xero!$A:$A,Heron!$A$4,Xero!$E:$E,Heron!$A59)+SUMIFS(Xero!$F:$F,Xero!$B:$B,Heron!AD$9,Xero!$A:$A,Heron!$A$5,Xero!$E:$E,Heron!$A59)</f>
        <v>0</v>
      </c>
      <c r="AE59" s="99">
        <f>SUMIFS(Xero!$F:$F,Xero!$B:$B,Heron!AE$9,Xero!$A:$A,Heron!$A$4,Xero!$E:$E,Heron!$A59)+SUMIFS(Xero!$F:$F,Xero!$B:$B,Heron!AE$9,Xero!$A:$A,Heron!$A$5,Xero!$E:$E,Heron!$A59)</f>
        <v>0</v>
      </c>
      <c r="AF59" s="99">
        <f>SUMIFS(Xero!$F:$F,Xero!$B:$B,Heron!AF$9,Xero!$A:$A,Heron!$A$4,Xero!$E:$E,Heron!$A59)+SUMIFS(Xero!$F:$F,Xero!$B:$B,Heron!AF$9,Xero!$A:$A,Heron!$A$5,Xero!$E:$E,Heron!$A59)</f>
        <v>0</v>
      </c>
      <c r="AG59" s="99">
        <f>SUMIFS(Xero!$F:$F,Xero!$B:$B,Heron!AG$9,Xero!$A:$A,Heron!$A$4,Xero!$E:$E,Heron!$A59)+SUMIFS(Xero!$F:$F,Xero!$B:$B,Heron!AG$9,Xero!$A:$A,Heron!$A$5,Xero!$E:$E,Heron!$A59)</f>
        <v>1005.47</v>
      </c>
      <c r="AH59" s="99">
        <f>SUMIFS(Xero!$F:$F,Xero!$B:$B,Heron!AH$9,Xero!$A:$A,Heron!$A$4,Xero!$E:$E,Heron!$A59)+SUMIFS(Xero!$F:$F,Xero!$B:$B,Heron!AH$9,Xero!$A:$A,Heron!$A$5,Xero!$E:$E,Heron!$A59)</f>
        <v>0</v>
      </c>
      <c r="AI59" s="99">
        <f>SUMIFS(Xero!$F:$F,Xero!$B:$B,Heron!AI$9,Xero!$A:$A,Heron!$A$4,Xero!$E:$E,Heron!$A59)+SUMIFS(Xero!$F:$F,Xero!$B:$B,Heron!AI$9,Xero!$A:$A,Heron!$A$5,Xero!$E:$E,Heron!$A59)</f>
        <v>0</v>
      </c>
      <c r="AJ59" s="99">
        <f>SUMIFS(Xero!$F:$F,Xero!$B:$B,Heron!AJ$9,Xero!$A:$A,Heron!$A$4,Xero!$E:$E,Heron!$A59)+SUMIFS(Xero!$F:$F,Xero!$B:$B,Heron!AJ$9,Xero!$A:$A,Heron!$A$5,Xero!$E:$E,Heron!$A59)</f>
        <v>0</v>
      </c>
      <c r="AK59" s="99">
        <f>SUMIFS(Xero!$F:$F,Xero!$B:$B,Heron!AK$9,Xero!$A:$A,Heron!$A$4,Xero!$E:$E,Heron!$A59)+SUMIFS(Xero!$F:$F,Xero!$B:$B,Heron!AK$9,Xero!$A:$A,Heron!$A$5,Xero!$E:$E,Heron!$A59)</f>
        <v>0</v>
      </c>
      <c r="AL59" s="99">
        <f>SUMIFS(Xero!$F:$F,Xero!$B:$B,Heron!AL$9,Xero!$A:$A,Heron!$A$4,Xero!$E:$E,Heron!$A59)+SUMIFS(Xero!$F:$F,Xero!$B:$B,Heron!AL$9,Xero!$A:$A,Heron!$A$5,Xero!$E:$E,Heron!$A59)</f>
        <v>0</v>
      </c>
      <c r="AM59" s="99">
        <f>SUMIFS(Xero!$F:$F,Xero!$B:$B,Heron!AM$9,Xero!$A:$A,Heron!$A$4,Xero!$E:$E,Heron!$A59)+SUMIFS(Xero!$F:$F,Xero!$B:$B,Heron!AM$9,Xero!$A:$A,Heron!$A$5,Xero!$E:$E,Heron!$A59)</f>
        <v>0</v>
      </c>
      <c r="AN59" s="99">
        <f>SUMIFS(Xero!$F:$F,Xero!$B:$B,Heron!AN$9,Xero!$A:$A,Heron!$A$4,Xero!$E:$E,Heron!$A59)+SUMIFS(Xero!$F:$F,Xero!$B:$B,Heron!AN$9,Xero!$A:$A,Heron!$A$5,Xero!$E:$E,Heron!$A59)</f>
        <v>0</v>
      </c>
      <c r="AO59" s="99">
        <f>SUMIFS(Xero!$F:$F,Xero!$B:$B,Heron!AO$9,Xero!$A:$A,Heron!$A$4,Xero!$E:$E,Heron!$A59)+SUMIFS(Xero!$F:$F,Xero!$B:$B,Heron!AO$9,Xero!$A:$A,Heron!$A$5,Xero!$E:$E,Heron!$A59)</f>
        <v>0</v>
      </c>
      <c r="AP59" s="99">
        <f>SUMIFS(Xero!$F:$F,Xero!$B:$B,Heron!AP$9,Xero!$A:$A,Heron!$A$4,Xero!$E:$E,Heron!$A59)+SUMIFS(Xero!$F:$F,Xero!$B:$B,Heron!AP$9,Xero!$A:$A,Heron!$A$5,Xero!$E:$E,Heron!$A59)</f>
        <v>0</v>
      </c>
      <c r="AQ59" s="99">
        <f>SUMIFS(Xero!$F:$F,Xero!$B:$B,Heron!AQ$9,Xero!$A:$A,Heron!$A$4,Xero!$E:$E,Heron!$A59)+SUMIFS(Xero!$F:$F,Xero!$B:$B,Heron!AQ$9,Xero!$A:$A,Heron!$A$5,Xero!$E:$E,Heron!$A59)</f>
        <v>0</v>
      </c>
      <c r="AR59" s="99">
        <f>SUMIFS(Xero!$F:$F,Xero!$B:$B,Heron!AR$9,Xero!$A:$A,Heron!$A$4,Xero!$E:$E,Heron!$A59)+SUMIFS(Xero!$F:$F,Xero!$B:$B,Heron!AR$9,Xero!$A:$A,Heron!$A$5,Xero!$E:$E,Heron!$A59)</f>
        <v>0</v>
      </c>
      <c r="AS59" s="99">
        <f>SUMIFS(Xero!$F:$F,Xero!$B:$B,Heron!AS$9,Xero!$A:$A,Heron!$A$4,Xero!$E:$E,Heron!$A59)+SUMIFS(Xero!$F:$F,Xero!$B:$B,Heron!AS$9,Xero!$A:$A,Heron!$A$5,Xero!$E:$E,Heron!$A59)</f>
        <v>0</v>
      </c>
      <c r="AT59" s="99">
        <f>SUMIFS(Xero!$F:$F,Xero!$B:$B,Heron!AT$9,Xero!$A:$A,Heron!$A$4,Xero!$E:$E,Heron!$A59)+SUMIFS(Xero!$F:$F,Xero!$B:$B,Heron!AT$9,Xero!$A:$A,Heron!$A$5,Xero!$E:$E,Heron!$A59)</f>
        <v>0</v>
      </c>
      <c r="AU59" s="99">
        <f>SUMIFS(Xero!$F:$F,Xero!$B:$B,Heron!AU$9,Xero!$A:$A,Heron!$A$4,Xero!$E:$E,Heron!$A59)+SUMIFS(Xero!$F:$F,Xero!$B:$B,Heron!AU$9,Xero!$A:$A,Heron!$A$5,Xero!$E:$E,Heron!$A59)</f>
        <v>0</v>
      </c>
      <c r="AV59" s="99">
        <f>SUMIFS(Xero!$F:$F,Xero!$B:$B,Heron!AV$9,Xero!$A:$A,Heron!$A$4,Xero!$E:$E,Heron!$A59)+SUMIFS(Xero!$F:$F,Xero!$B:$B,Heron!AV$9,Xero!$A:$A,Heron!$A$5,Xero!$E:$E,Heron!$A59)</f>
        <v>0</v>
      </c>
      <c r="AW59" s="99">
        <f>SUMIFS(Xero!$F:$F,Xero!$B:$B,Heron!AW$9,Xero!$A:$A,Heron!$A$4,Xero!$E:$E,Heron!$A59)+SUMIFS(Xero!$F:$F,Xero!$B:$B,Heron!AW$9,Xero!$A:$A,Heron!$A$5,Xero!$E:$E,Heron!$A59)</f>
        <v>0</v>
      </c>
      <c r="AX59" s="99">
        <f>SUMIFS(Xero!$F:$F,Xero!$B:$B,Heron!AX$9,Xero!$A:$A,Heron!$A$4,Xero!$E:$E,Heron!$A59)+SUMIFS(Xero!$F:$F,Xero!$B:$B,Heron!AX$9,Xero!$A:$A,Heron!$A$5,Xero!$E:$E,Heron!$A59)</f>
        <v>0</v>
      </c>
      <c r="AY59" s="99">
        <f>SUMIFS(Xero!$F:$F,Xero!$B:$B,Heron!AY$9,Xero!$A:$A,Heron!$A$4,Xero!$E:$E,Heron!$A59)+SUMIFS(Xero!$F:$F,Xero!$B:$B,Heron!AY$9,Xero!$A:$A,Heron!$A$5,Xero!$E:$E,Heron!$A59)</f>
        <v>0</v>
      </c>
      <c r="AZ59" s="99">
        <f>SUMIFS(Xero!$F:$F,Xero!$B:$B,Heron!AZ$9,Xero!$A:$A,Heron!$A$4,Xero!$E:$E,Heron!$A59)+SUMIFS(Xero!$F:$F,Xero!$B:$B,Heron!AZ$9,Xero!$A:$A,Heron!$A$5,Xero!$E:$E,Heron!$A59)</f>
        <v>0</v>
      </c>
      <c r="BA59" s="99">
        <f>SUMIFS(Xero!$F:$F,Xero!$B:$B,Heron!BA$9,Xero!$A:$A,Heron!$A$4,Xero!$E:$E,Heron!$A59)+SUMIFS(Xero!$F:$F,Xero!$B:$B,Heron!BA$9,Xero!$A:$A,Heron!$A$5,Xero!$E:$E,Heron!$A59)</f>
        <v>0</v>
      </c>
      <c r="BB59" s="99">
        <f>SUMIFS(Xero!$F:$F,Xero!$B:$B,Heron!BB$9,Xero!$A:$A,Heron!$A$4,Xero!$E:$E,Heron!$A59)+SUMIFS(Xero!$F:$F,Xero!$B:$B,Heron!BB$9,Xero!$A:$A,Heron!$A$5,Xero!$E:$E,Heron!$A59)</f>
        <v>0</v>
      </c>
      <c r="BC59" s="99">
        <f>SUMIFS(Xero!$F:$F,Xero!$B:$B,Heron!BC$9,Xero!$A:$A,Heron!$A$4,Xero!$E:$E,Heron!$A59)+SUMIFS(Xero!$F:$F,Xero!$B:$B,Heron!BC$9,Xero!$A:$A,Heron!$A$5,Xero!$E:$E,Heron!$A59)</f>
        <v>0</v>
      </c>
      <c r="BD59" s="99">
        <f>SUMIFS(Xero!$F:$F,Xero!$B:$B,Heron!BD$9,Xero!$A:$A,Heron!$A$4,Xero!$E:$E,Heron!$A59)+SUMIFS(Xero!$F:$F,Xero!$B:$B,Heron!BD$9,Xero!$A:$A,Heron!$A$5,Xero!$E:$E,Heron!$A59)</f>
        <v>0</v>
      </c>
      <c r="BE59" s="99">
        <f>SUMIFS(Xero!$F:$F,Xero!$B:$B,Heron!BE$9,Xero!$A:$A,Heron!$A$4,Xero!$E:$E,Heron!$A59)+SUMIFS(Xero!$F:$F,Xero!$B:$B,Heron!BE$9,Xero!$A:$A,Heron!$A$5,Xero!$E:$E,Heron!$A59)</f>
        <v>0</v>
      </c>
      <c r="BF59" s="99">
        <f>SUMIFS(Xero!$F:$F,Xero!$B:$B,Heron!BF$9,Xero!$A:$A,Heron!$A$4,Xero!$E:$E,Heron!$A59)+SUMIFS(Xero!$F:$F,Xero!$B:$B,Heron!BF$9,Xero!$A:$A,Heron!$A$5,Xero!$E:$E,Heron!$A59)</f>
        <v>0</v>
      </c>
      <c r="BG59" s="99">
        <f>SUMIFS(Xero!$F:$F,Xero!$B:$B,Heron!BG$9,Xero!$A:$A,Heron!$A$4,Xero!$E:$E,Heron!$A59)+SUMIFS(Xero!$F:$F,Xero!$B:$B,Heron!BG$9,Xero!$A:$A,Heron!$A$5,Xero!$E:$E,Heron!$A59)</f>
        <v>0</v>
      </c>
      <c r="BH59" s="99">
        <f>SUMIFS(Xero!$F:$F,Xero!$B:$B,Heron!BH$9,Xero!$A:$A,Heron!$A$4,Xero!$E:$E,Heron!$A59)+SUMIFS(Xero!$F:$F,Xero!$B:$B,Heron!BH$9,Xero!$A:$A,Heron!$A$5,Xero!$E:$E,Heron!$A59)</f>
        <v>0</v>
      </c>
      <c r="BI59" s="99">
        <f>SUMIFS(Xero!$F:$F,Xero!$B:$B,Heron!BI$9,Xero!$A:$A,Heron!$A$4,Xero!$E:$E,Heron!$A59)+SUMIFS(Xero!$F:$F,Xero!$B:$B,Heron!BI$9,Xero!$A:$A,Heron!$A$5,Xero!$E:$E,Heron!$A59)</f>
        <v>0</v>
      </c>
      <c r="BJ59" s="99">
        <f>SUMIFS(Xero!$F:$F,Xero!$B:$B,Heron!BJ$9,Xero!$A:$A,Heron!$A$4,Xero!$E:$E,Heron!$A59)+SUMIFS(Xero!$F:$F,Xero!$B:$B,Heron!BJ$9,Xero!$A:$A,Heron!$A$5,Xero!$E:$E,Heron!$A59)</f>
        <v>0</v>
      </c>
      <c r="BK59" s="99">
        <f t="shared" si="4"/>
        <v>29471.38</v>
      </c>
    </row>
    <row r="60" spans="1:63" ht="16" x14ac:dyDescent="0.2">
      <c r="A60" s="98" t="s">
        <v>1689</v>
      </c>
      <c r="D60" s="99">
        <f>SUMIFS(Xero!$F:$F,Xero!$B:$B,Heron!D$9,Xero!$A:$A,Heron!$A$4,Xero!$E:$E,Heron!$A60)+SUMIFS(Xero!$F:$F,Xero!$B:$B,Heron!D$9,Xero!$A:$A,Heron!$A$5,Xero!$E:$E,Heron!$A60)</f>
        <v>0</v>
      </c>
      <c r="E60" s="99">
        <f>SUMIFS(Xero!$F:$F,Xero!$B:$B,Heron!E$9,Xero!$A:$A,Heron!$A$4,Xero!$E:$E,Heron!$A60)+SUMIFS(Xero!$F:$F,Xero!$B:$B,Heron!E$9,Xero!$A:$A,Heron!$A$5,Xero!$E:$E,Heron!$A60)</f>
        <v>0</v>
      </c>
      <c r="F60" s="99">
        <f>SUMIFS(Xero!$F:$F,Xero!$B:$B,Heron!F$9,Xero!$A:$A,Heron!$A$4,Xero!$E:$E,Heron!$A60)+SUMIFS(Xero!$F:$F,Xero!$B:$B,Heron!F$9,Xero!$A:$A,Heron!$A$5,Xero!$E:$E,Heron!$A60)</f>
        <v>0</v>
      </c>
      <c r="G60" s="99">
        <f>SUMIFS(Xero!$F:$F,Xero!$B:$B,Heron!G$9,Xero!$A:$A,Heron!$A$4,Xero!$E:$E,Heron!$A60)+SUMIFS(Xero!$F:$F,Xero!$B:$B,Heron!G$9,Xero!$A:$A,Heron!$A$5,Xero!$E:$E,Heron!$A60)</f>
        <v>0</v>
      </c>
      <c r="H60" s="99">
        <f>SUMIFS(Xero!$F:$F,Xero!$B:$B,Heron!H$9,Xero!$A:$A,Heron!$A$4,Xero!$E:$E,Heron!$A60)+SUMIFS(Xero!$F:$F,Xero!$B:$B,Heron!H$9,Xero!$A:$A,Heron!$A$5,Xero!$E:$E,Heron!$A60)</f>
        <v>0</v>
      </c>
      <c r="I60" s="99">
        <f>SUMIFS(Xero!$F:$F,Xero!$B:$B,Heron!I$9,Xero!$A:$A,Heron!$A$4,Xero!$E:$E,Heron!$A60)+SUMIFS(Xero!$F:$F,Xero!$B:$B,Heron!I$9,Xero!$A:$A,Heron!$A$5,Xero!$E:$E,Heron!$A60)</f>
        <v>0</v>
      </c>
      <c r="J60" s="99">
        <f>SUMIFS(Xero!$F:$F,Xero!$B:$B,Heron!J$9,Xero!$A:$A,Heron!$A$4,Xero!$E:$E,Heron!$A60)+SUMIFS(Xero!$F:$F,Xero!$B:$B,Heron!J$9,Xero!$A:$A,Heron!$A$5,Xero!$E:$E,Heron!$A60)</f>
        <v>0</v>
      </c>
      <c r="K60" s="99">
        <f>SUMIFS(Xero!$F:$F,Xero!$B:$B,Heron!K$9,Xero!$A:$A,Heron!$A$4,Xero!$E:$E,Heron!$A60)+SUMIFS(Xero!$F:$F,Xero!$B:$B,Heron!K$9,Xero!$A:$A,Heron!$A$5,Xero!$E:$E,Heron!$A60)</f>
        <v>0</v>
      </c>
      <c r="L60" s="99">
        <f>SUMIFS(Xero!$F:$F,Xero!$B:$B,Heron!L$9,Xero!$A:$A,Heron!$A$4,Xero!$E:$E,Heron!$A60)+SUMIFS(Xero!$F:$F,Xero!$B:$B,Heron!L$9,Xero!$A:$A,Heron!$A$5,Xero!$E:$E,Heron!$A60)</f>
        <v>0</v>
      </c>
      <c r="M60" s="99">
        <f>SUMIFS(Xero!$F:$F,Xero!$B:$B,Heron!M$9,Xero!$A:$A,Heron!$A$4,Xero!$E:$E,Heron!$A60)+SUMIFS(Xero!$F:$F,Xero!$B:$B,Heron!M$9,Xero!$A:$A,Heron!$A$5,Xero!$E:$E,Heron!$A60)</f>
        <v>0</v>
      </c>
      <c r="N60" s="99">
        <f>SUMIFS(Xero!$F:$F,Xero!$B:$B,Heron!N$9,Xero!$A:$A,Heron!$A$4,Xero!$E:$E,Heron!$A60)+SUMIFS(Xero!$F:$F,Xero!$B:$B,Heron!N$9,Xero!$A:$A,Heron!$A$5,Xero!$E:$E,Heron!$A60)</f>
        <v>0</v>
      </c>
      <c r="O60" s="99">
        <f>SUMIFS(Xero!$F:$F,Xero!$B:$B,Heron!O$9,Xero!$A:$A,Heron!$A$4,Xero!$E:$E,Heron!$A60)+SUMIFS(Xero!$F:$F,Xero!$B:$B,Heron!O$9,Xero!$A:$A,Heron!$A$5,Xero!$E:$E,Heron!$A60)</f>
        <v>0</v>
      </c>
      <c r="P60" s="99">
        <f>SUMIFS(Xero!$F:$F,Xero!$B:$B,Heron!P$9,Xero!$A:$A,Heron!$A$4,Xero!$E:$E,Heron!$A60)+SUMIFS(Xero!$F:$F,Xero!$B:$B,Heron!P$9,Xero!$A:$A,Heron!$A$5,Xero!$E:$E,Heron!$A60)</f>
        <v>0</v>
      </c>
      <c r="Q60" s="99">
        <f>SUMIFS(Xero!$F:$F,Xero!$B:$B,Heron!Q$9,Xero!$A:$A,Heron!$A$4,Xero!$E:$E,Heron!$A60)+SUMIFS(Xero!$F:$F,Xero!$B:$B,Heron!Q$9,Xero!$A:$A,Heron!$A$5,Xero!$E:$E,Heron!$A60)</f>
        <v>0</v>
      </c>
      <c r="R60" s="99">
        <f>SUMIFS(Xero!$F:$F,Xero!$B:$B,Heron!R$9,Xero!$A:$A,Heron!$A$4,Xero!$E:$E,Heron!$A60)+SUMIFS(Xero!$F:$F,Xero!$B:$B,Heron!R$9,Xero!$A:$A,Heron!$A$5,Xero!$E:$E,Heron!$A60)</f>
        <v>0</v>
      </c>
      <c r="S60" s="99">
        <f>SUMIFS(Xero!$F:$F,Xero!$B:$B,Heron!S$9,Xero!$A:$A,Heron!$A$4,Xero!$E:$E,Heron!$A60)+SUMIFS(Xero!$F:$F,Xero!$B:$B,Heron!S$9,Xero!$A:$A,Heron!$A$5,Xero!$E:$E,Heron!$A60)</f>
        <v>0</v>
      </c>
      <c r="T60" s="99">
        <f>SUMIFS(Xero!$F:$F,Xero!$B:$B,Heron!T$9,Xero!$A:$A,Heron!$A$4,Xero!$E:$E,Heron!$A60)+SUMIFS(Xero!$F:$F,Xero!$B:$B,Heron!T$9,Xero!$A:$A,Heron!$A$5,Xero!$E:$E,Heron!$A60)</f>
        <v>0</v>
      </c>
      <c r="U60" s="99">
        <f>SUMIFS(Xero!$F:$F,Xero!$B:$B,Heron!U$9,Xero!$A:$A,Heron!$A$4,Xero!$E:$E,Heron!$A60)+SUMIFS(Xero!$F:$F,Xero!$B:$B,Heron!U$9,Xero!$A:$A,Heron!$A$5,Xero!$E:$E,Heron!$A60)</f>
        <v>0</v>
      </c>
      <c r="V60" s="99">
        <f>SUMIFS(Xero!$F:$F,Xero!$B:$B,Heron!V$9,Xero!$A:$A,Heron!$A$4,Xero!$E:$E,Heron!$A60)+SUMIFS(Xero!$F:$F,Xero!$B:$B,Heron!V$9,Xero!$A:$A,Heron!$A$5,Xero!$E:$E,Heron!$A60)</f>
        <v>0</v>
      </c>
      <c r="W60" s="99">
        <f>SUMIFS(Xero!$F:$F,Xero!$B:$B,Heron!W$9,Xero!$A:$A,Heron!$A$4,Xero!$E:$E,Heron!$A60)+SUMIFS(Xero!$F:$F,Xero!$B:$B,Heron!W$9,Xero!$A:$A,Heron!$A$5,Xero!$E:$E,Heron!$A60)</f>
        <v>0</v>
      </c>
      <c r="X60" s="99">
        <f>SUMIFS(Xero!$F:$F,Xero!$B:$B,Heron!X$9,Xero!$A:$A,Heron!$A$4,Xero!$E:$E,Heron!$A60)+SUMIFS(Xero!$F:$F,Xero!$B:$B,Heron!X$9,Xero!$A:$A,Heron!$A$5,Xero!$E:$E,Heron!$A60)</f>
        <v>0</v>
      </c>
      <c r="Y60" s="99">
        <f>SUMIFS(Xero!$F:$F,Xero!$B:$B,Heron!Y$9,Xero!$A:$A,Heron!$A$4,Xero!$E:$E,Heron!$A60)+SUMIFS(Xero!$F:$F,Xero!$B:$B,Heron!Y$9,Xero!$A:$A,Heron!$A$5,Xero!$E:$E,Heron!$A60)</f>
        <v>0</v>
      </c>
      <c r="Z60" s="99">
        <f>SUMIFS(Xero!$F:$F,Xero!$B:$B,Heron!Z$9,Xero!$A:$A,Heron!$A$4,Xero!$E:$E,Heron!$A60)+SUMIFS(Xero!$F:$F,Xero!$B:$B,Heron!Z$9,Xero!$A:$A,Heron!$A$5,Xero!$E:$E,Heron!$A60)</f>
        <v>0</v>
      </c>
      <c r="AA60" s="99">
        <f>SUMIFS(Xero!$F:$F,Xero!$B:$B,Heron!AA$9,Xero!$A:$A,Heron!$A$4,Xero!$E:$E,Heron!$A60)+SUMIFS(Xero!$F:$F,Xero!$B:$B,Heron!AA$9,Xero!$A:$A,Heron!$A$5,Xero!$E:$E,Heron!$A60)</f>
        <v>0</v>
      </c>
      <c r="AB60" s="99">
        <f>SUMIFS(Xero!$F:$F,Xero!$B:$B,Heron!AB$9,Xero!$A:$A,Heron!$A$4,Xero!$E:$E,Heron!$A60)+SUMIFS(Xero!$F:$F,Xero!$B:$B,Heron!AB$9,Xero!$A:$A,Heron!$A$5,Xero!$E:$E,Heron!$A60)</f>
        <v>0</v>
      </c>
      <c r="AC60" s="99">
        <f>SUMIFS(Xero!$F:$F,Xero!$B:$B,Heron!AC$9,Xero!$A:$A,Heron!$A$4,Xero!$E:$E,Heron!$A60)+SUMIFS(Xero!$F:$F,Xero!$B:$B,Heron!AC$9,Xero!$A:$A,Heron!$A$5,Xero!$E:$E,Heron!$A60)</f>
        <v>0</v>
      </c>
      <c r="AD60" s="99">
        <f>SUMIFS(Xero!$F:$F,Xero!$B:$B,Heron!AD$9,Xero!$A:$A,Heron!$A$4,Xero!$E:$E,Heron!$A60)+SUMIFS(Xero!$F:$F,Xero!$B:$B,Heron!AD$9,Xero!$A:$A,Heron!$A$5,Xero!$E:$E,Heron!$A60)</f>
        <v>0</v>
      </c>
      <c r="AE60" s="99">
        <f>SUMIFS(Xero!$F:$F,Xero!$B:$B,Heron!AE$9,Xero!$A:$A,Heron!$A$4,Xero!$E:$E,Heron!$A60)+SUMIFS(Xero!$F:$F,Xero!$B:$B,Heron!AE$9,Xero!$A:$A,Heron!$A$5,Xero!$E:$E,Heron!$A60)</f>
        <v>0</v>
      </c>
      <c r="AF60" s="99">
        <f>SUMIFS(Xero!$F:$F,Xero!$B:$B,Heron!AF$9,Xero!$A:$A,Heron!$A$4,Xero!$E:$E,Heron!$A60)+SUMIFS(Xero!$F:$F,Xero!$B:$B,Heron!AF$9,Xero!$A:$A,Heron!$A$5,Xero!$E:$E,Heron!$A60)</f>
        <v>6212.85</v>
      </c>
      <c r="AG60" s="99">
        <f>SUMIFS(Xero!$F:$F,Xero!$B:$B,Heron!AG$9,Xero!$A:$A,Heron!$A$4,Xero!$E:$E,Heron!$A60)+SUMIFS(Xero!$F:$F,Xero!$B:$B,Heron!AG$9,Xero!$A:$A,Heron!$A$5,Xero!$E:$E,Heron!$A60)</f>
        <v>0</v>
      </c>
      <c r="AH60" s="99">
        <f>SUMIFS(Xero!$F:$F,Xero!$B:$B,Heron!AH$9,Xero!$A:$A,Heron!$A$4,Xero!$E:$E,Heron!$A60)+SUMIFS(Xero!$F:$F,Xero!$B:$B,Heron!AH$9,Xero!$A:$A,Heron!$A$5,Xero!$E:$E,Heron!$A60)</f>
        <v>0</v>
      </c>
      <c r="AI60" s="99">
        <f>SUMIFS(Xero!$F:$F,Xero!$B:$B,Heron!AI$9,Xero!$A:$A,Heron!$A$4,Xero!$E:$E,Heron!$A60)+SUMIFS(Xero!$F:$F,Xero!$B:$B,Heron!AI$9,Xero!$A:$A,Heron!$A$5,Xero!$E:$E,Heron!$A60)</f>
        <v>0</v>
      </c>
      <c r="AJ60" s="99">
        <f>SUMIFS(Xero!$F:$F,Xero!$B:$B,Heron!AJ$9,Xero!$A:$A,Heron!$A$4,Xero!$E:$E,Heron!$A60)+SUMIFS(Xero!$F:$F,Xero!$B:$B,Heron!AJ$9,Xero!$A:$A,Heron!$A$5,Xero!$E:$E,Heron!$A60)</f>
        <v>0</v>
      </c>
      <c r="AK60" s="99">
        <f>SUMIFS(Xero!$F:$F,Xero!$B:$B,Heron!AK$9,Xero!$A:$A,Heron!$A$4,Xero!$E:$E,Heron!$A60)+SUMIFS(Xero!$F:$F,Xero!$B:$B,Heron!AK$9,Xero!$A:$A,Heron!$A$5,Xero!$E:$E,Heron!$A60)</f>
        <v>0</v>
      </c>
      <c r="AL60" s="99">
        <f>SUMIFS(Xero!$F:$F,Xero!$B:$B,Heron!AL$9,Xero!$A:$A,Heron!$A$4,Xero!$E:$E,Heron!$A60)+SUMIFS(Xero!$F:$F,Xero!$B:$B,Heron!AL$9,Xero!$A:$A,Heron!$A$5,Xero!$E:$E,Heron!$A60)</f>
        <v>0</v>
      </c>
      <c r="AM60" s="99">
        <f>SUMIFS(Xero!$F:$F,Xero!$B:$B,Heron!AM$9,Xero!$A:$A,Heron!$A$4,Xero!$E:$E,Heron!$A60)+SUMIFS(Xero!$F:$F,Xero!$B:$B,Heron!AM$9,Xero!$A:$A,Heron!$A$5,Xero!$E:$E,Heron!$A60)</f>
        <v>0</v>
      </c>
      <c r="AN60" s="99">
        <f>SUMIFS(Xero!$F:$F,Xero!$B:$B,Heron!AN$9,Xero!$A:$A,Heron!$A$4,Xero!$E:$E,Heron!$A60)+SUMIFS(Xero!$F:$F,Xero!$B:$B,Heron!AN$9,Xero!$A:$A,Heron!$A$5,Xero!$E:$E,Heron!$A60)</f>
        <v>0</v>
      </c>
      <c r="AO60" s="99">
        <f>SUMIFS(Xero!$F:$F,Xero!$B:$B,Heron!AO$9,Xero!$A:$A,Heron!$A$4,Xero!$E:$E,Heron!$A60)+SUMIFS(Xero!$F:$F,Xero!$B:$B,Heron!AO$9,Xero!$A:$A,Heron!$A$5,Xero!$E:$E,Heron!$A60)</f>
        <v>0</v>
      </c>
      <c r="AP60" s="99">
        <f>SUMIFS(Xero!$F:$F,Xero!$B:$B,Heron!AP$9,Xero!$A:$A,Heron!$A$4,Xero!$E:$E,Heron!$A60)+SUMIFS(Xero!$F:$F,Xero!$B:$B,Heron!AP$9,Xero!$A:$A,Heron!$A$5,Xero!$E:$E,Heron!$A60)</f>
        <v>0</v>
      </c>
      <c r="AQ60" s="99">
        <f>SUMIFS(Xero!$F:$F,Xero!$B:$B,Heron!AQ$9,Xero!$A:$A,Heron!$A$4,Xero!$E:$E,Heron!$A60)+SUMIFS(Xero!$F:$F,Xero!$B:$B,Heron!AQ$9,Xero!$A:$A,Heron!$A$5,Xero!$E:$E,Heron!$A60)</f>
        <v>0</v>
      </c>
      <c r="AR60" s="99">
        <f>SUMIFS(Xero!$F:$F,Xero!$B:$B,Heron!AR$9,Xero!$A:$A,Heron!$A$4,Xero!$E:$E,Heron!$A60)+SUMIFS(Xero!$F:$F,Xero!$B:$B,Heron!AR$9,Xero!$A:$A,Heron!$A$5,Xero!$E:$E,Heron!$A60)</f>
        <v>0</v>
      </c>
      <c r="AS60" s="99">
        <f>SUMIFS(Xero!$F:$F,Xero!$B:$B,Heron!AS$9,Xero!$A:$A,Heron!$A$4,Xero!$E:$E,Heron!$A60)+SUMIFS(Xero!$F:$F,Xero!$B:$B,Heron!AS$9,Xero!$A:$A,Heron!$A$5,Xero!$E:$E,Heron!$A60)</f>
        <v>0</v>
      </c>
      <c r="AT60" s="99">
        <f>SUMIFS(Xero!$F:$F,Xero!$B:$B,Heron!AT$9,Xero!$A:$A,Heron!$A$4,Xero!$E:$E,Heron!$A60)+SUMIFS(Xero!$F:$F,Xero!$B:$B,Heron!AT$9,Xero!$A:$A,Heron!$A$5,Xero!$E:$E,Heron!$A60)</f>
        <v>0</v>
      </c>
      <c r="AU60" s="99">
        <f>SUMIFS(Xero!$F:$F,Xero!$B:$B,Heron!AU$9,Xero!$A:$A,Heron!$A$4,Xero!$E:$E,Heron!$A60)+SUMIFS(Xero!$F:$F,Xero!$B:$B,Heron!AU$9,Xero!$A:$A,Heron!$A$5,Xero!$E:$E,Heron!$A60)</f>
        <v>0</v>
      </c>
      <c r="AV60" s="99">
        <f>SUMIFS(Xero!$F:$F,Xero!$B:$B,Heron!AV$9,Xero!$A:$A,Heron!$A$4,Xero!$E:$E,Heron!$A60)+SUMIFS(Xero!$F:$F,Xero!$B:$B,Heron!AV$9,Xero!$A:$A,Heron!$A$5,Xero!$E:$E,Heron!$A60)</f>
        <v>0</v>
      </c>
      <c r="AW60" s="99">
        <f>SUMIFS(Xero!$F:$F,Xero!$B:$B,Heron!AW$9,Xero!$A:$A,Heron!$A$4,Xero!$E:$E,Heron!$A60)+SUMIFS(Xero!$F:$F,Xero!$B:$B,Heron!AW$9,Xero!$A:$A,Heron!$A$5,Xero!$E:$E,Heron!$A60)</f>
        <v>0</v>
      </c>
      <c r="AX60" s="99">
        <f>SUMIFS(Xero!$F:$F,Xero!$B:$B,Heron!AX$9,Xero!$A:$A,Heron!$A$4,Xero!$E:$E,Heron!$A60)+SUMIFS(Xero!$F:$F,Xero!$B:$B,Heron!AX$9,Xero!$A:$A,Heron!$A$5,Xero!$E:$E,Heron!$A60)</f>
        <v>0</v>
      </c>
      <c r="AY60" s="99">
        <f>SUMIFS(Xero!$F:$F,Xero!$B:$B,Heron!AY$9,Xero!$A:$A,Heron!$A$4,Xero!$E:$E,Heron!$A60)+SUMIFS(Xero!$F:$F,Xero!$B:$B,Heron!AY$9,Xero!$A:$A,Heron!$A$5,Xero!$E:$E,Heron!$A60)</f>
        <v>0</v>
      </c>
      <c r="AZ60" s="99">
        <f>SUMIFS(Xero!$F:$F,Xero!$B:$B,Heron!AZ$9,Xero!$A:$A,Heron!$A$4,Xero!$E:$E,Heron!$A60)+SUMIFS(Xero!$F:$F,Xero!$B:$B,Heron!AZ$9,Xero!$A:$A,Heron!$A$5,Xero!$E:$E,Heron!$A60)</f>
        <v>0</v>
      </c>
      <c r="BA60" s="99">
        <f>SUMIFS(Xero!$F:$F,Xero!$B:$B,Heron!BA$9,Xero!$A:$A,Heron!$A$4,Xero!$E:$E,Heron!$A60)+SUMIFS(Xero!$F:$F,Xero!$B:$B,Heron!BA$9,Xero!$A:$A,Heron!$A$5,Xero!$E:$E,Heron!$A60)</f>
        <v>0</v>
      </c>
      <c r="BB60" s="99">
        <f>SUMIFS(Xero!$F:$F,Xero!$B:$B,Heron!BB$9,Xero!$A:$A,Heron!$A$4,Xero!$E:$E,Heron!$A60)+SUMIFS(Xero!$F:$F,Xero!$B:$B,Heron!BB$9,Xero!$A:$A,Heron!$A$5,Xero!$E:$E,Heron!$A60)</f>
        <v>0</v>
      </c>
      <c r="BC60" s="99">
        <f>SUMIFS(Xero!$F:$F,Xero!$B:$B,Heron!BC$9,Xero!$A:$A,Heron!$A$4,Xero!$E:$E,Heron!$A60)+SUMIFS(Xero!$F:$F,Xero!$B:$B,Heron!BC$9,Xero!$A:$A,Heron!$A$5,Xero!$E:$E,Heron!$A60)</f>
        <v>0</v>
      </c>
      <c r="BD60" s="99">
        <f>SUMIFS(Xero!$F:$F,Xero!$B:$B,Heron!BD$9,Xero!$A:$A,Heron!$A$4,Xero!$E:$E,Heron!$A60)+SUMIFS(Xero!$F:$F,Xero!$B:$B,Heron!BD$9,Xero!$A:$A,Heron!$A$5,Xero!$E:$E,Heron!$A60)</f>
        <v>0</v>
      </c>
      <c r="BE60" s="99">
        <f>SUMIFS(Xero!$F:$F,Xero!$B:$B,Heron!BE$9,Xero!$A:$A,Heron!$A$4,Xero!$E:$E,Heron!$A60)+SUMIFS(Xero!$F:$F,Xero!$B:$B,Heron!BE$9,Xero!$A:$A,Heron!$A$5,Xero!$E:$E,Heron!$A60)</f>
        <v>0</v>
      </c>
      <c r="BF60" s="99">
        <f>SUMIFS(Xero!$F:$F,Xero!$B:$B,Heron!BF$9,Xero!$A:$A,Heron!$A$4,Xero!$E:$E,Heron!$A60)+SUMIFS(Xero!$F:$F,Xero!$B:$B,Heron!BF$9,Xero!$A:$A,Heron!$A$5,Xero!$E:$E,Heron!$A60)</f>
        <v>0</v>
      </c>
      <c r="BG60" s="99">
        <f>SUMIFS(Xero!$F:$F,Xero!$B:$B,Heron!BG$9,Xero!$A:$A,Heron!$A$4,Xero!$E:$E,Heron!$A60)+SUMIFS(Xero!$F:$F,Xero!$B:$B,Heron!BG$9,Xero!$A:$A,Heron!$A$5,Xero!$E:$E,Heron!$A60)</f>
        <v>0</v>
      </c>
      <c r="BH60" s="99">
        <f>SUMIFS(Xero!$F:$F,Xero!$B:$B,Heron!BH$9,Xero!$A:$A,Heron!$A$4,Xero!$E:$E,Heron!$A60)+SUMIFS(Xero!$F:$F,Xero!$B:$B,Heron!BH$9,Xero!$A:$A,Heron!$A$5,Xero!$E:$E,Heron!$A60)</f>
        <v>0</v>
      </c>
      <c r="BI60" s="99">
        <f>SUMIFS(Xero!$F:$F,Xero!$B:$B,Heron!BI$9,Xero!$A:$A,Heron!$A$4,Xero!$E:$E,Heron!$A60)+SUMIFS(Xero!$F:$F,Xero!$B:$B,Heron!BI$9,Xero!$A:$A,Heron!$A$5,Xero!$E:$E,Heron!$A60)</f>
        <v>0</v>
      </c>
      <c r="BJ60" s="99">
        <f>SUMIFS(Xero!$F:$F,Xero!$B:$B,Heron!BJ$9,Xero!$A:$A,Heron!$A$4,Xero!$E:$E,Heron!$A60)+SUMIFS(Xero!$F:$F,Xero!$B:$B,Heron!BJ$9,Xero!$A:$A,Heron!$A$5,Xero!$E:$E,Heron!$A60)</f>
        <v>0</v>
      </c>
      <c r="BK60" s="99">
        <f t="shared" si="4"/>
        <v>6212.85</v>
      </c>
    </row>
    <row r="61" spans="1:63" ht="16" x14ac:dyDescent="0.2">
      <c r="A61" s="98" t="s">
        <v>1136</v>
      </c>
      <c r="D61" s="99">
        <f>SUMIFS(Xero!$F:$F,Xero!$B:$B,Heron!D$9,Xero!$A:$A,Heron!$A$4,Xero!$E:$E,Heron!$A61)+SUMIFS(Xero!$F:$F,Xero!$B:$B,Heron!D$9,Xero!$A:$A,Heron!$A$5,Xero!$E:$E,Heron!$A61)</f>
        <v>0</v>
      </c>
      <c r="E61" s="99">
        <f>SUMIFS(Xero!$F:$F,Xero!$B:$B,Heron!E$9,Xero!$A:$A,Heron!$A$4,Xero!$E:$E,Heron!$A61)+SUMIFS(Xero!$F:$F,Xero!$B:$B,Heron!E$9,Xero!$A:$A,Heron!$A$5,Xero!$E:$E,Heron!$A61)</f>
        <v>0</v>
      </c>
      <c r="F61" s="99">
        <f>SUMIFS(Xero!$F:$F,Xero!$B:$B,Heron!F$9,Xero!$A:$A,Heron!$A$4,Xero!$E:$E,Heron!$A61)+SUMIFS(Xero!$F:$F,Xero!$B:$B,Heron!F$9,Xero!$A:$A,Heron!$A$5,Xero!$E:$E,Heron!$A61)</f>
        <v>0</v>
      </c>
      <c r="G61" s="99">
        <f>SUMIFS(Xero!$F:$F,Xero!$B:$B,Heron!G$9,Xero!$A:$A,Heron!$A$4,Xero!$E:$E,Heron!$A61)+SUMIFS(Xero!$F:$F,Xero!$B:$B,Heron!G$9,Xero!$A:$A,Heron!$A$5,Xero!$E:$E,Heron!$A61)</f>
        <v>0</v>
      </c>
      <c r="H61" s="99">
        <f>SUMIFS(Xero!$F:$F,Xero!$B:$B,Heron!H$9,Xero!$A:$A,Heron!$A$4,Xero!$E:$E,Heron!$A61)+SUMIFS(Xero!$F:$F,Xero!$B:$B,Heron!H$9,Xero!$A:$A,Heron!$A$5,Xero!$E:$E,Heron!$A61)</f>
        <v>3259.25</v>
      </c>
      <c r="I61" s="99">
        <f>SUMIFS(Xero!$F:$F,Xero!$B:$B,Heron!I$9,Xero!$A:$A,Heron!$A$4,Xero!$E:$E,Heron!$A61)+SUMIFS(Xero!$F:$F,Xero!$B:$B,Heron!I$9,Xero!$A:$A,Heron!$A$5,Xero!$E:$E,Heron!$A61)</f>
        <v>2700.55</v>
      </c>
      <c r="J61" s="99">
        <f>SUMIFS(Xero!$F:$F,Xero!$B:$B,Heron!J$9,Xero!$A:$A,Heron!$A$4,Xero!$E:$E,Heron!$A61)+SUMIFS(Xero!$F:$F,Xero!$B:$B,Heron!J$9,Xero!$A:$A,Heron!$A$5,Xero!$E:$E,Heron!$A61)</f>
        <v>2300.8200000000002</v>
      </c>
      <c r="K61" s="99">
        <f>SUMIFS(Xero!$F:$F,Xero!$B:$B,Heron!K$9,Xero!$A:$A,Heron!$A$4,Xero!$E:$E,Heron!$A61)+SUMIFS(Xero!$F:$F,Xero!$B:$B,Heron!K$9,Xero!$A:$A,Heron!$A$5,Xero!$E:$E,Heron!$A61)</f>
        <v>2325.02</v>
      </c>
      <c r="L61" s="99">
        <f>SUMIFS(Xero!$F:$F,Xero!$B:$B,Heron!L$9,Xero!$A:$A,Heron!$A$4,Xero!$E:$E,Heron!$A61)+SUMIFS(Xero!$F:$F,Xero!$B:$B,Heron!L$9,Xero!$A:$A,Heron!$A$5,Xero!$E:$E,Heron!$A61)</f>
        <v>2508.88</v>
      </c>
      <c r="M61" s="99">
        <f>SUMIFS(Xero!$F:$F,Xero!$B:$B,Heron!M$9,Xero!$A:$A,Heron!$A$4,Xero!$E:$E,Heron!$A61)+SUMIFS(Xero!$F:$F,Xero!$B:$B,Heron!M$9,Xero!$A:$A,Heron!$A$5,Xero!$E:$E,Heron!$A61)</f>
        <v>2543.5</v>
      </c>
      <c r="N61" s="99">
        <f>SUMIFS(Xero!$F:$F,Xero!$B:$B,Heron!N$9,Xero!$A:$A,Heron!$A$4,Xero!$E:$E,Heron!$A61)+SUMIFS(Xero!$F:$F,Xero!$B:$B,Heron!N$9,Xero!$A:$A,Heron!$A$5,Xero!$E:$E,Heron!$A61)</f>
        <v>2401.5300000000002</v>
      </c>
      <c r="O61" s="99">
        <f>SUMIFS(Xero!$F:$F,Xero!$B:$B,Heron!O$9,Xero!$A:$A,Heron!$A$4,Xero!$E:$E,Heron!$A61)+SUMIFS(Xero!$F:$F,Xero!$B:$B,Heron!O$9,Xero!$A:$A,Heron!$A$5,Xero!$E:$E,Heron!$A61)</f>
        <v>2401.5300000000002</v>
      </c>
      <c r="P61" s="99">
        <f>SUMIFS(Xero!$F:$F,Xero!$B:$B,Heron!P$9,Xero!$A:$A,Heron!$A$4,Xero!$E:$E,Heron!$A61)+SUMIFS(Xero!$F:$F,Xero!$B:$B,Heron!P$9,Xero!$A:$A,Heron!$A$5,Xero!$E:$E,Heron!$A61)</f>
        <v>2215.9</v>
      </c>
      <c r="Q61" s="99">
        <f>SUMIFS(Xero!$F:$F,Xero!$B:$B,Heron!Q$9,Xero!$A:$A,Heron!$A$4,Xero!$E:$E,Heron!$A61)+SUMIFS(Xero!$F:$F,Xero!$B:$B,Heron!Q$9,Xero!$A:$A,Heron!$A$5,Xero!$E:$E,Heron!$A61)</f>
        <v>0</v>
      </c>
      <c r="R61" s="99">
        <f>SUMIFS(Xero!$F:$F,Xero!$B:$B,Heron!R$9,Xero!$A:$A,Heron!$A$4,Xero!$E:$E,Heron!$A61)+SUMIFS(Xero!$F:$F,Xero!$B:$B,Heron!R$9,Xero!$A:$A,Heron!$A$5,Xero!$E:$E,Heron!$A61)</f>
        <v>4886.7299999999996</v>
      </c>
      <c r="S61" s="99">
        <f>SUMIFS(Xero!$F:$F,Xero!$B:$B,Heron!S$9,Xero!$A:$A,Heron!$A$4,Xero!$E:$E,Heron!$A61)+SUMIFS(Xero!$F:$F,Xero!$B:$B,Heron!S$9,Xero!$A:$A,Heron!$A$5,Xero!$E:$E,Heron!$A61)</f>
        <v>2619.62</v>
      </c>
      <c r="T61" s="99">
        <f>SUMIFS(Xero!$F:$F,Xero!$B:$B,Heron!T$9,Xero!$A:$A,Heron!$A$4,Xero!$E:$E,Heron!$A61)+SUMIFS(Xero!$F:$F,Xero!$B:$B,Heron!T$9,Xero!$A:$A,Heron!$A$5,Xero!$E:$E,Heron!$A61)</f>
        <v>3534.69</v>
      </c>
      <c r="U61" s="99">
        <f>SUMIFS(Xero!$F:$F,Xero!$B:$B,Heron!U$9,Xero!$A:$A,Heron!$A$4,Xero!$E:$E,Heron!$A61)+SUMIFS(Xero!$F:$F,Xero!$B:$B,Heron!U$9,Xero!$A:$A,Heron!$A$5,Xero!$E:$E,Heron!$A61)</f>
        <v>4119.96</v>
      </c>
      <c r="V61" s="99">
        <f>SUMIFS(Xero!$F:$F,Xero!$B:$B,Heron!V$9,Xero!$A:$A,Heron!$A$4,Xero!$E:$E,Heron!$A61)+SUMIFS(Xero!$F:$F,Xero!$B:$B,Heron!V$9,Xero!$A:$A,Heron!$A$5,Xero!$E:$E,Heron!$A61)</f>
        <v>3237.68</v>
      </c>
      <c r="W61" s="99">
        <f>SUMIFS(Xero!$F:$F,Xero!$B:$B,Heron!W$9,Xero!$A:$A,Heron!$A$4,Xero!$E:$E,Heron!$A61)+SUMIFS(Xero!$F:$F,Xero!$B:$B,Heron!W$9,Xero!$A:$A,Heron!$A$5,Xero!$E:$E,Heron!$A61)</f>
        <v>3022.39</v>
      </c>
      <c r="X61" s="99">
        <f>SUMIFS(Xero!$F:$F,Xero!$B:$B,Heron!X$9,Xero!$A:$A,Heron!$A$4,Xero!$E:$E,Heron!$A61)+SUMIFS(Xero!$F:$F,Xero!$B:$B,Heron!X$9,Xero!$A:$A,Heron!$A$5,Xero!$E:$E,Heron!$A61)</f>
        <v>3070.69</v>
      </c>
      <c r="Y61" s="99">
        <f>SUMIFS(Xero!$F:$F,Xero!$B:$B,Heron!Y$9,Xero!$A:$A,Heron!$A$4,Xero!$E:$E,Heron!$A61)+SUMIFS(Xero!$F:$F,Xero!$B:$B,Heron!Y$9,Xero!$A:$A,Heron!$A$5,Xero!$E:$E,Heron!$A61)</f>
        <v>0</v>
      </c>
      <c r="Z61" s="99">
        <f>SUMIFS(Xero!$F:$F,Xero!$B:$B,Heron!Z$9,Xero!$A:$A,Heron!$A$4,Xero!$E:$E,Heron!$A61)+SUMIFS(Xero!$F:$F,Xero!$B:$B,Heron!Z$9,Xero!$A:$A,Heron!$A$5,Xero!$E:$E,Heron!$A61)</f>
        <v>5123.04</v>
      </c>
      <c r="AA61" s="99">
        <f>SUMIFS(Xero!$F:$F,Xero!$B:$B,Heron!AA$9,Xero!$A:$A,Heron!$A$4,Xero!$E:$E,Heron!$A61)+SUMIFS(Xero!$F:$F,Xero!$B:$B,Heron!AA$9,Xero!$A:$A,Heron!$A$5,Xero!$E:$E,Heron!$A61)</f>
        <v>0</v>
      </c>
      <c r="AB61" s="99">
        <f>SUMIFS(Xero!$F:$F,Xero!$B:$B,Heron!AB$9,Xero!$A:$A,Heron!$A$4,Xero!$E:$E,Heron!$A61)+SUMIFS(Xero!$F:$F,Xero!$B:$B,Heron!AB$9,Xero!$A:$A,Heron!$A$5,Xero!$E:$E,Heron!$A61)</f>
        <v>11216.13</v>
      </c>
      <c r="AC61" s="99">
        <f>SUMIFS(Xero!$F:$F,Xero!$B:$B,Heron!AC$9,Xero!$A:$A,Heron!$A$4,Xero!$E:$E,Heron!$A61)+SUMIFS(Xero!$F:$F,Xero!$B:$B,Heron!AC$9,Xero!$A:$A,Heron!$A$5,Xero!$E:$E,Heron!$A61)</f>
        <v>-2477.5100000000002</v>
      </c>
      <c r="AD61" s="99">
        <f>SUMIFS(Xero!$F:$F,Xero!$B:$B,Heron!AD$9,Xero!$A:$A,Heron!$A$4,Xero!$E:$E,Heron!$A61)+SUMIFS(Xero!$F:$F,Xero!$B:$B,Heron!AD$9,Xero!$A:$A,Heron!$A$5,Xero!$E:$E,Heron!$A61)</f>
        <v>2524.84</v>
      </c>
      <c r="AE61" s="99">
        <f>SUMIFS(Xero!$F:$F,Xero!$B:$B,Heron!AE$9,Xero!$A:$A,Heron!$A$4,Xero!$E:$E,Heron!$A61)+SUMIFS(Xero!$F:$F,Xero!$B:$B,Heron!AE$9,Xero!$A:$A,Heron!$A$5,Xero!$E:$E,Heron!$A61)</f>
        <v>0</v>
      </c>
      <c r="AF61" s="99">
        <f>SUMIFS(Xero!$F:$F,Xero!$B:$B,Heron!AF$9,Xero!$A:$A,Heron!$A$4,Xero!$E:$E,Heron!$A61)+SUMIFS(Xero!$F:$F,Xero!$B:$B,Heron!AF$9,Xero!$A:$A,Heron!$A$5,Xero!$E:$E,Heron!$A61)</f>
        <v>0</v>
      </c>
      <c r="AG61" s="99">
        <f>SUMIFS(Xero!$F:$F,Xero!$B:$B,Heron!AG$9,Xero!$A:$A,Heron!$A$4,Xero!$E:$E,Heron!$A61)+SUMIFS(Xero!$F:$F,Xero!$B:$B,Heron!AG$9,Xero!$A:$A,Heron!$A$5,Xero!$E:$E,Heron!$A61)</f>
        <v>118819.54</v>
      </c>
      <c r="AH61" s="99">
        <f>SUMIFS(Xero!$F:$F,Xero!$B:$B,Heron!AH$9,Xero!$A:$A,Heron!$A$4,Xero!$E:$E,Heron!$A61)+SUMIFS(Xero!$F:$F,Xero!$B:$B,Heron!AH$9,Xero!$A:$A,Heron!$A$5,Xero!$E:$E,Heron!$A61)</f>
        <v>833.84</v>
      </c>
      <c r="AI61" s="99">
        <f>SUMIFS(Xero!$F:$F,Xero!$B:$B,Heron!AI$9,Xero!$A:$A,Heron!$A$4,Xero!$E:$E,Heron!$A61)+SUMIFS(Xero!$F:$F,Xero!$B:$B,Heron!AI$9,Xero!$A:$A,Heron!$A$5,Xero!$E:$E,Heron!$A61)</f>
        <v>93347.01</v>
      </c>
      <c r="AJ61" s="99">
        <f>SUMIFS(Xero!$F:$F,Xero!$B:$B,Heron!AJ$9,Xero!$A:$A,Heron!$A$4,Xero!$E:$E,Heron!$A61)+SUMIFS(Xero!$F:$F,Xero!$B:$B,Heron!AJ$9,Xero!$A:$A,Heron!$A$5,Xero!$E:$E,Heron!$A61)</f>
        <v>498.69</v>
      </c>
      <c r="AK61" s="99">
        <f>SUMIFS(Xero!$F:$F,Xero!$B:$B,Heron!AK$9,Xero!$A:$A,Heron!$A$4,Xero!$E:$E,Heron!$A61)+SUMIFS(Xero!$F:$F,Xero!$B:$B,Heron!AK$9,Xero!$A:$A,Heron!$A$5,Xero!$E:$E,Heron!$A61)</f>
        <v>-971.22</v>
      </c>
      <c r="AL61" s="99">
        <f>SUMIFS(Xero!$F:$F,Xero!$B:$B,Heron!AL$9,Xero!$A:$A,Heron!$A$4,Xero!$E:$E,Heron!$A61)+SUMIFS(Xero!$F:$F,Xero!$B:$B,Heron!AL$9,Xero!$A:$A,Heron!$A$5,Xero!$E:$E,Heron!$A61)</f>
        <v>68.37</v>
      </c>
      <c r="AM61" s="99">
        <f>SUMIFS(Xero!$F:$F,Xero!$B:$B,Heron!AM$9,Xero!$A:$A,Heron!$A$4,Xero!$E:$E,Heron!$A61)+SUMIFS(Xero!$F:$F,Xero!$B:$B,Heron!AM$9,Xero!$A:$A,Heron!$A$5,Xero!$E:$E,Heron!$A61)</f>
        <v>0</v>
      </c>
      <c r="AN61" s="99">
        <f>SUMIFS(Xero!$F:$F,Xero!$B:$B,Heron!AN$9,Xero!$A:$A,Heron!$A$4,Xero!$E:$E,Heron!$A61)+SUMIFS(Xero!$F:$F,Xero!$B:$B,Heron!AN$9,Xero!$A:$A,Heron!$A$5,Xero!$E:$E,Heron!$A61)</f>
        <v>0</v>
      </c>
      <c r="AO61" s="99">
        <f>SUMIFS(Xero!$F:$F,Xero!$B:$B,Heron!AO$9,Xero!$A:$A,Heron!$A$4,Xero!$E:$E,Heron!$A61)+SUMIFS(Xero!$F:$F,Xero!$B:$B,Heron!AO$9,Xero!$A:$A,Heron!$A$5,Xero!$E:$E,Heron!$A61)</f>
        <v>-3484.49</v>
      </c>
      <c r="AP61" s="99">
        <f>SUMIFS(Xero!$F:$F,Xero!$B:$B,Heron!AP$9,Xero!$A:$A,Heron!$A$4,Xero!$E:$E,Heron!$A61)+SUMIFS(Xero!$F:$F,Xero!$B:$B,Heron!AP$9,Xero!$A:$A,Heron!$A$5,Xero!$E:$E,Heron!$A61)</f>
        <v>109167.48</v>
      </c>
      <c r="AQ61" s="99">
        <f>SUMIFS(Xero!$F:$F,Xero!$B:$B,Heron!AQ$9,Xero!$A:$A,Heron!$A$4,Xero!$E:$E,Heron!$A61)+SUMIFS(Xero!$F:$F,Xero!$B:$B,Heron!AQ$9,Xero!$A:$A,Heron!$A$5,Xero!$E:$E,Heron!$A61)</f>
        <v>-1093.19</v>
      </c>
      <c r="AR61" s="99">
        <f>SUMIFS(Xero!$F:$F,Xero!$B:$B,Heron!AR$9,Xero!$A:$A,Heron!$A$4,Xero!$E:$E,Heron!$A61)+SUMIFS(Xero!$F:$F,Xero!$B:$B,Heron!AR$9,Xero!$A:$A,Heron!$A$5,Xero!$E:$E,Heron!$A61)</f>
        <v>0</v>
      </c>
      <c r="AS61" s="99">
        <f>SUMIFS(Xero!$F:$F,Xero!$B:$B,Heron!AS$9,Xero!$A:$A,Heron!$A$4,Xero!$E:$E,Heron!$A61)+SUMIFS(Xero!$F:$F,Xero!$B:$B,Heron!AS$9,Xero!$A:$A,Heron!$A$5,Xero!$E:$E,Heron!$A61)</f>
        <v>0</v>
      </c>
      <c r="AT61" s="99">
        <f>SUMIFS(Xero!$F:$F,Xero!$B:$B,Heron!AT$9,Xero!$A:$A,Heron!$A$4,Xero!$E:$E,Heron!$A61)+SUMIFS(Xero!$F:$F,Xero!$B:$B,Heron!AT$9,Xero!$A:$A,Heron!$A$5,Xero!$E:$E,Heron!$A61)</f>
        <v>0</v>
      </c>
      <c r="AU61" s="99">
        <f>SUMIFS(Xero!$F:$F,Xero!$B:$B,Heron!AU$9,Xero!$A:$A,Heron!$A$4,Xero!$E:$E,Heron!$A61)+SUMIFS(Xero!$F:$F,Xero!$B:$B,Heron!AU$9,Xero!$A:$A,Heron!$A$5,Xero!$E:$E,Heron!$A61)</f>
        <v>0</v>
      </c>
      <c r="AV61" s="99">
        <f>SUMIFS(Xero!$F:$F,Xero!$B:$B,Heron!AV$9,Xero!$A:$A,Heron!$A$4,Xero!$E:$E,Heron!$A61)+SUMIFS(Xero!$F:$F,Xero!$B:$B,Heron!AV$9,Xero!$A:$A,Heron!$A$5,Xero!$E:$E,Heron!$A61)</f>
        <v>0</v>
      </c>
      <c r="AW61" s="99">
        <f>SUMIFS(Xero!$F:$F,Xero!$B:$B,Heron!AW$9,Xero!$A:$A,Heron!$A$4,Xero!$E:$E,Heron!$A61)+SUMIFS(Xero!$F:$F,Xero!$B:$B,Heron!AW$9,Xero!$A:$A,Heron!$A$5,Xero!$E:$E,Heron!$A61)</f>
        <v>0</v>
      </c>
      <c r="AX61" s="99">
        <f>SUMIFS(Xero!$F:$F,Xero!$B:$B,Heron!AX$9,Xero!$A:$A,Heron!$A$4,Xero!$E:$E,Heron!$A61)+SUMIFS(Xero!$F:$F,Xero!$B:$B,Heron!AX$9,Xero!$A:$A,Heron!$A$5,Xero!$E:$E,Heron!$A61)</f>
        <v>0</v>
      </c>
      <c r="AY61" s="99">
        <f>SUMIFS(Xero!$F:$F,Xero!$B:$B,Heron!AY$9,Xero!$A:$A,Heron!$A$4,Xero!$E:$E,Heron!$A61)+SUMIFS(Xero!$F:$F,Xero!$B:$B,Heron!AY$9,Xero!$A:$A,Heron!$A$5,Xero!$E:$E,Heron!$A61)</f>
        <v>0</v>
      </c>
      <c r="AZ61" s="99">
        <f>SUMIFS(Xero!$F:$F,Xero!$B:$B,Heron!AZ$9,Xero!$A:$A,Heron!$A$4,Xero!$E:$E,Heron!$A61)+SUMIFS(Xero!$F:$F,Xero!$B:$B,Heron!AZ$9,Xero!$A:$A,Heron!$A$5,Xero!$E:$E,Heron!$A61)</f>
        <v>0</v>
      </c>
      <c r="BA61" s="99">
        <f>SUMIFS(Xero!$F:$F,Xero!$B:$B,Heron!BA$9,Xero!$A:$A,Heron!$A$4,Xero!$E:$E,Heron!$A61)+SUMIFS(Xero!$F:$F,Xero!$B:$B,Heron!BA$9,Xero!$A:$A,Heron!$A$5,Xero!$E:$E,Heron!$A61)</f>
        <v>0</v>
      </c>
      <c r="BB61" s="99">
        <f>SUMIFS(Xero!$F:$F,Xero!$B:$B,Heron!BB$9,Xero!$A:$A,Heron!$A$4,Xero!$E:$E,Heron!$A61)+SUMIFS(Xero!$F:$F,Xero!$B:$B,Heron!BB$9,Xero!$A:$A,Heron!$A$5,Xero!$E:$E,Heron!$A61)</f>
        <v>0</v>
      </c>
      <c r="BC61" s="99">
        <f>SUMIFS(Xero!$F:$F,Xero!$B:$B,Heron!BC$9,Xero!$A:$A,Heron!$A$4,Xero!$E:$E,Heron!$A61)+SUMIFS(Xero!$F:$F,Xero!$B:$B,Heron!BC$9,Xero!$A:$A,Heron!$A$5,Xero!$E:$E,Heron!$A61)</f>
        <v>0</v>
      </c>
      <c r="BD61" s="99">
        <f>SUMIFS(Xero!$F:$F,Xero!$B:$B,Heron!BD$9,Xero!$A:$A,Heron!$A$4,Xero!$E:$E,Heron!$A61)+SUMIFS(Xero!$F:$F,Xero!$B:$B,Heron!BD$9,Xero!$A:$A,Heron!$A$5,Xero!$E:$E,Heron!$A61)</f>
        <v>0</v>
      </c>
      <c r="BE61" s="99">
        <f>SUMIFS(Xero!$F:$F,Xero!$B:$B,Heron!BE$9,Xero!$A:$A,Heron!$A$4,Xero!$E:$E,Heron!$A61)+SUMIFS(Xero!$F:$F,Xero!$B:$B,Heron!BE$9,Xero!$A:$A,Heron!$A$5,Xero!$E:$E,Heron!$A61)</f>
        <v>0</v>
      </c>
      <c r="BF61" s="99">
        <f>SUMIFS(Xero!$F:$F,Xero!$B:$B,Heron!BF$9,Xero!$A:$A,Heron!$A$4,Xero!$E:$E,Heron!$A61)+SUMIFS(Xero!$F:$F,Xero!$B:$B,Heron!BF$9,Xero!$A:$A,Heron!$A$5,Xero!$E:$E,Heron!$A61)</f>
        <v>0</v>
      </c>
      <c r="BG61" s="99">
        <f>SUMIFS(Xero!$F:$F,Xero!$B:$B,Heron!BG$9,Xero!$A:$A,Heron!$A$4,Xero!$E:$E,Heron!$A61)+SUMIFS(Xero!$F:$F,Xero!$B:$B,Heron!BG$9,Xero!$A:$A,Heron!$A$5,Xero!$E:$E,Heron!$A61)</f>
        <v>0</v>
      </c>
      <c r="BH61" s="99">
        <f>SUMIFS(Xero!$F:$F,Xero!$B:$B,Heron!BH$9,Xero!$A:$A,Heron!$A$4,Xero!$E:$E,Heron!$A61)+SUMIFS(Xero!$F:$F,Xero!$B:$B,Heron!BH$9,Xero!$A:$A,Heron!$A$5,Xero!$E:$E,Heron!$A61)</f>
        <v>0</v>
      </c>
      <c r="BI61" s="99">
        <f>SUMIFS(Xero!$F:$F,Xero!$B:$B,Heron!BI$9,Xero!$A:$A,Heron!$A$4,Xero!$E:$E,Heron!$A61)+SUMIFS(Xero!$F:$F,Xero!$B:$B,Heron!BI$9,Xero!$A:$A,Heron!$A$5,Xero!$E:$E,Heron!$A61)</f>
        <v>0</v>
      </c>
      <c r="BJ61" s="99">
        <f>SUMIFS(Xero!$F:$F,Xero!$B:$B,Heron!BJ$9,Xero!$A:$A,Heron!$A$4,Xero!$E:$E,Heron!$A61)+SUMIFS(Xero!$F:$F,Xero!$B:$B,Heron!BJ$9,Xero!$A:$A,Heron!$A$5,Xero!$E:$E,Heron!$A61)</f>
        <v>0</v>
      </c>
      <c r="BK61" s="99">
        <f t="shared" si="4"/>
        <v>380721.26999999996</v>
      </c>
    </row>
    <row r="62" spans="1:63" ht="16" x14ac:dyDescent="0.2">
      <c r="A62" s="98" t="s">
        <v>1101</v>
      </c>
      <c r="D62" s="99">
        <f>SUMIFS(Xero!$F:$F,Xero!$B:$B,Heron!D$9,Xero!$A:$A,Heron!$A$4,Xero!$E:$E,Heron!$A62)+SUMIFS(Xero!$F:$F,Xero!$B:$B,Heron!D$9,Xero!$A:$A,Heron!$A$5,Xero!$E:$E,Heron!$A62)</f>
        <v>0</v>
      </c>
      <c r="E62" s="99">
        <f>SUMIFS(Xero!$F:$F,Xero!$B:$B,Heron!E$9,Xero!$A:$A,Heron!$A$4,Xero!$E:$E,Heron!$A62)+SUMIFS(Xero!$F:$F,Xero!$B:$B,Heron!E$9,Xero!$A:$A,Heron!$A$5,Xero!$E:$E,Heron!$A62)</f>
        <v>0</v>
      </c>
      <c r="F62" s="99">
        <f>SUMIFS(Xero!$F:$F,Xero!$B:$B,Heron!F$9,Xero!$A:$A,Heron!$A$4,Xero!$E:$E,Heron!$A62)+SUMIFS(Xero!$F:$F,Xero!$B:$B,Heron!F$9,Xero!$A:$A,Heron!$A$5,Xero!$E:$E,Heron!$A62)</f>
        <v>0</v>
      </c>
      <c r="G62" s="99">
        <f>SUMIFS(Xero!$F:$F,Xero!$B:$B,Heron!G$9,Xero!$A:$A,Heron!$A$4,Xero!$E:$E,Heron!$A62)+SUMIFS(Xero!$F:$F,Xero!$B:$B,Heron!G$9,Xero!$A:$A,Heron!$A$5,Xero!$E:$E,Heron!$A62)</f>
        <v>0</v>
      </c>
      <c r="H62" s="99">
        <f>SUMIFS(Xero!$F:$F,Xero!$B:$B,Heron!H$9,Xero!$A:$A,Heron!$A$4,Xero!$E:$E,Heron!$A62)+SUMIFS(Xero!$F:$F,Xero!$B:$B,Heron!H$9,Xero!$A:$A,Heron!$A$5,Xero!$E:$E,Heron!$A62)</f>
        <v>0</v>
      </c>
      <c r="I62" s="99">
        <f>SUMIFS(Xero!$F:$F,Xero!$B:$B,Heron!I$9,Xero!$A:$A,Heron!$A$4,Xero!$E:$E,Heron!$A62)+SUMIFS(Xero!$F:$F,Xero!$B:$B,Heron!I$9,Xero!$A:$A,Heron!$A$5,Xero!$E:$E,Heron!$A62)</f>
        <v>0</v>
      </c>
      <c r="J62" s="99">
        <f>SUMIFS(Xero!$F:$F,Xero!$B:$B,Heron!J$9,Xero!$A:$A,Heron!$A$4,Xero!$E:$E,Heron!$A62)+SUMIFS(Xero!$F:$F,Xero!$B:$B,Heron!J$9,Xero!$A:$A,Heron!$A$5,Xero!$E:$E,Heron!$A62)</f>
        <v>0</v>
      </c>
      <c r="K62" s="99">
        <f>SUMIFS(Xero!$F:$F,Xero!$B:$B,Heron!K$9,Xero!$A:$A,Heron!$A$4,Xero!$E:$E,Heron!$A62)+SUMIFS(Xero!$F:$F,Xero!$B:$B,Heron!K$9,Xero!$A:$A,Heron!$A$5,Xero!$E:$E,Heron!$A62)</f>
        <v>0</v>
      </c>
      <c r="L62" s="99">
        <f>SUMIFS(Xero!$F:$F,Xero!$B:$B,Heron!L$9,Xero!$A:$A,Heron!$A$4,Xero!$E:$E,Heron!$A62)+SUMIFS(Xero!$F:$F,Xero!$B:$B,Heron!L$9,Xero!$A:$A,Heron!$A$5,Xero!$E:$E,Heron!$A62)</f>
        <v>0</v>
      </c>
      <c r="M62" s="99">
        <f>SUMIFS(Xero!$F:$F,Xero!$B:$B,Heron!M$9,Xero!$A:$A,Heron!$A$4,Xero!$E:$E,Heron!$A62)+SUMIFS(Xero!$F:$F,Xero!$B:$B,Heron!M$9,Xero!$A:$A,Heron!$A$5,Xero!$E:$E,Heron!$A62)</f>
        <v>0</v>
      </c>
      <c r="N62" s="99">
        <f>SUMIFS(Xero!$F:$F,Xero!$B:$B,Heron!N$9,Xero!$A:$A,Heron!$A$4,Xero!$E:$E,Heron!$A62)+SUMIFS(Xero!$F:$F,Xero!$B:$B,Heron!N$9,Xero!$A:$A,Heron!$A$5,Xero!$E:$E,Heron!$A62)</f>
        <v>0</v>
      </c>
      <c r="O62" s="99">
        <f>SUMIFS(Xero!$F:$F,Xero!$B:$B,Heron!O$9,Xero!$A:$A,Heron!$A$4,Xero!$E:$E,Heron!$A62)+SUMIFS(Xero!$F:$F,Xero!$B:$B,Heron!O$9,Xero!$A:$A,Heron!$A$5,Xero!$E:$E,Heron!$A62)</f>
        <v>0</v>
      </c>
      <c r="P62" s="99">
        <f>SUMIFS(Xero!$F:$F,Xero!$B:$B,Heron!P$9,Xero!$A:$A,Heron!$A$4,Xero!$E:$E,Heron!$A62)+SUMIFS(Xero!$F:$F,Xero!$B:$B,Heron!P$9,Xero!$A:$A,Heron!$A$5,Xero!$E:$E,Heron!$A62)</f>
        <v>0</v>
      </c>
      <c r="Q62" s="99">
        <f>SUMIFS(Xero!$F:$F,Xero!$B:$B,Heron!Q$9,Xero!$A:$A,Heron!$A$4,Xero!$E:$E,Heron!$A62)+SUMIFS(Xero!$F:$F,Xero!$B:$B,Heron!Q$9,Xero!$A:$A,Heron!$A$5,Xero!$E:$E,Heron!$A62)</f>
        <v>0</v>
      </c>
      <c r="R62" s="99">
        <f>SUMIFS(Xero!$F:$F,Xero!$B:$B,Heron!R$9,Xero!$A:$A,Heron!$A$4,Xero!$E:$E,Heron!$A62)+SUMIFS(Xero!$F:$F,Xero!$B:$B,Heron!R$9,Xero!$A:$A,Heron!$A$5,Xero!$E:$E,Heron!$A62)</f>
        <v>0</v>
      </c>
      <c r="S62" s="99">
        <f>SUMIFS(Xero!$F:$F,Xero!$B:$B,Heron!S$9,Xero!$A:$A,Heron!$A$4,Xero!$E:$E,Heron!$A62)+SUMIFS(Xero!$F:$F,Xero!$B:$B,Heron!S$9,Xero!$A:$A,Heron!$A$5,Xero!$E:$E,Heron!$A62)</f>
        <v>0</v>
      </c>
      <c r="T62" s="99">
        <f>SUMIFS(Xero!$F:$F,Xero!$B:$B,Heron!T$9,Xero!$A:$A,Heron!$A$4,Xero!$E:$E,Heron!$A62)+SUMIFS(Xero!$F:$F,Xero!$B:$B,Heron!T$9,Xero!$A:$A,Heron!$A$5,Xero!$E:$E,Heron!$A62)</f>
        <v>0</v>
      </c>
      <c r="U62" s="99">
        <f>SUMIFS(Xero!$F:$F,Xero!$B:$B,Heron!U$9,Xero!$A:$A,Heron!$A$4,Xero!$E:$E,Heron!$A62)+SUMIFS(Xero!$F:$F,Xero!$B:$B,Heron!U$9,Xero!$A:$A,Heron!$A$5,Xero!$E:$E,Heron!$A62)</f>
        <v>0</v>
      </c>
      <c r="V62" s="99">
        <f>SUMIFS(Xero!$F:$F,Xero!$B:$B,Heron!V$9,Xero!$A:$A,Heron!$A$4,Xero!$E:$E,Heron!$A62)+SUMIFS(Xero!$F:$F,Xero!$B:$B,Heron!V$9,Xero!$A:$A,Heron!$A$5,Xero!$E:$E,Heron!$A62)</f>
        <v>0</v>
      </c>
      <c r="W62" s="99">
        <f>SUMIFS(Xero!$F:$F,Xero!$B:$B,Heron!W$9,Xero!$A:$A,Heron!$A$4,Xero!$E:$E,Heron!$A62)+SUMIFS(Xero!$F:$F,Xero!$B:$B,Heron!W$9,Xero!$A:$A,Heron!$A$5,Xero!$E:$E,Heron!$A62)</f>
        <v>0</v>
      </c>
      <c r="X62" s="99">
        <f>SUMIFS(Xero!$F:$F,Xero!$B:$B,Heron!X$9,Xero!$A:$A,Heron!$A$4,Xero!$E:$E,Heron!$A62)+SUMIFS(Xero!$F:$F,Xero!$B:$B,Heron!X$9,Xero!$A:$A,Heron!$A$5,Xero!$E:$E,Heron!$A62)</f>
        <v>3563.4</v>
      </c>
      <c r="Y62" s="99">
        <f>SUMIFS(Xero!$F:$F,Xero!$B:$B,Heron!Y$9,Xero!$A:$A,Heron!$A$4,Xero!$E:$E,Heron!$A62)+SUMIFS(Xero!$F:$F,Xero!$B:$B,Heron!Y$9,Xero!$A:$A,Heron!$A$5,Xero!$E:$E,Heron!$A62)</f>
        <v>0</v>
      </c>
      <c r="Z62" s="99">
        <f>SUMIFS(Xero!$F:$F,Xero!$B:$B,Heron!Z$9,Xero!$A:$A,Heron!$A$4,Xero!$E:$E,Heron!$A62)+SUMIFS(Xero!$F:$F,Xero!$B:$B,Heron!Z$9,Xero!$A:$A,Heron!$A$5,Xero!$E:$E,Heron!$A62)</f>
        <v>7126.8</v>
      </c>
      <c r="AA62" s="99">
        <f>SUMIFS(Xero!$F:$F,Xero!$B:$B,Heron!AA$9,Xero!$A:$A,Heron!$A$4,Xero!$E:$E,Heron!$A62)+SUMIFS(Xero!$F:$F,Xero!$B:$B,Heron!AA$9,Xero!$A:$A,Heron!$A$5,Xero!$E:$E,Heron!$A62)</f>
        <v>0</v>
      </c>
      <c r="AB62" s="99">
        <f>SUMIFS(Xero!$F:$F,Xero!$B:$B,Heron!AB$9,Xero!$A:$A,Heron!$A$4,Xero!$E:$E,Heron!$A62)+SUMIFS(Xero!$F:$F,Xero!$B:$B,Heron!AB$9,Xero!$A:$A,Heron!$A$5,Xero!$E:$E,Heron!$A62)</f>
        <v>10690.2</v>
      </c>
      <c r="AC62" s="99">
        <f>SUMIFS(Xero!$F:$F,Xero!$B:$B,Heron!AC$9,Xero!$A:$A,Heron!$A$4,Xero!$E:$E,Heron!$A62)+SUMIFS(Xero!$F:$F,Xero!$B:$B,Heron!AC$9,Xero!$A:$A,Heron!$A$5,Xero!$E:$E,Heron!$A62)</f>
        <v>0</v>
      </c>
      <c r="AD62" s="99">
        <f>SUMIFS(Xero!$F:$F,Xero!$B:$B,Heron!AD$9,Xero!$A:$A,Heron!$A$4,Xero!$E:$E,Heron!$A62)+SUMIFS(Xero!$F:$F,Xero!$B:$B,Heron!AD$9,Xero!$A:$A,Heron!$A$5,Xero!$E:$E,Heron!$A62)</f>
        <v>0</v>
      </c>
      <c r="AE62" s="99">
        <f>SUMIFS(Xero!$F:$F,Xero!$B:$B,Heron!AE$9,Xero!$A:$A,Heron!$A$4,Xero!$E:$E,Heron!$A62)+SUMIFS(Xero!$F:$F,Xero!$B:$B,Heron!AE$9,Xero!$A:$A,Heron!$A$5,Xero!$E:$E,Heron!$A62)</f>
        <v>0</v>
      </c>
      <c r="AF62" s="99">
        <f>SUMIFS(Xero!$F:$F,Xero!$B:$B,Heron!AF$9,Xero!$A:$A,Heron!$A$4,Xero!$E:$E,Heron!$A62)+SUMIFS(Xero!$F:$F,Xero!$B:$B,Heron!AF$9,Xero!$A:$A,Heron!$A$5,Xero!$E:$E,Heron!$A62)</f>
        <v>0</v>
      </c>
      <c r="AG62" s="99">
        <f>SUMIFS(Xero!$F:$F,Xero!$B:$B,Heron!AG$9,Xero!$A:$A,Heron!$A$4,Xero!$E:$E,Heron!$A62)+SUMIFS(Xero!$F:$F,Xero!$B:$B,Heron!AG$9,Xero!$A:$A,Heron!$A$5,Xero!$E:$E,Heron!$A62)</f>
        <v>0</v>
      </c>
      <c r="AH62" s="99">
        <f>SUMIFS(Xero!$F:$F,Xero!$B:$B,Heron!AH$9,Xero!$A:$A,Heron!$A$4,Xero!$E:$E,Heron!$A62)+SUMIFS(Xero!$F:$F,Xero!$B:$B,Heron!AH$9,Xero!$A:$A,Heron!$A$5,Xero!$E:$E,Heron!$A62)</f>
        <v>0</v>
      </c>
      <c r="AI62" s="99">
        <f>SUMIFS(Xero!$F:$F,Xero!$B:$B,Heron!AI$9,Xero!$A:$A,Heron!$A$4,Xero!$E:$E,Heron!$A62)+SUMIFS(Xero!$F:$F,Xero!$B:$B,Heron!AI$9,Xero!$A:$A,Heron!$A$5,Xero!$E:$E,Heron!$A62)</f>
        <v>36288.17</v>
      </c>
      <c r="AJ62" s="99">
        <f>SUMIFS(Xero!$F:$F,Xero!$B:$B,Heron!AJ$9,Xero!$A:$A,Heron!$A$4,Xero!$E:$E,Heron!$A62)+SUMIFS(Xero!$F:$F,Xero!$B:$B,Heron!AJ$9,Xero!$A:$A,Heron!$A$5,Xero!$E:$E,Heron!$A62)</f>
        <v>0</v>
      </c>
      <c r="AK62" s="99">
        <f>SUMIFS(Xero!$F:$F,Xero!$B:$B,Heron!AK$9,Xero!$A:$A,Heron!$A$4,Xero!$E:$E,Heron!$A62)+SUMIFS(Xero!$F:$F,Xero!$B:$B,Heron!AK$9,Xero!$A:$A,Heron!$A$5,Xero!$E:$E,Heron!$A62)</f>
        <v>0</v>
      </c>
      <c r="AL62" s="99">
        <f>SUMIFS(Xero!$F:$F,Xero!$B:$B,Heron!AL$9,Xero!$A:$A,Heron!$A$4,Xero!$E:$E,Heron!$A62)+SUMIFS(Xero!$F:$F,Xero!$B:$B,Heron!AL$9,Xero!$A:$A,Heron!$A$5,Xero!$E:$E,Heron!$A62)</f>
        <v>0</v>
      </c>
      <c r="AM62" s="99">
        <f>SUMIFS(Xero!$F:$F,Xero!$B:$B,Heron!AM$9,Xero!$A:$A,Heron!$A$4,Xero!$E:$E,Heron!$A62)+SUMIFS(Xero!$F:$F,Xero!$B:$B,Heron!AM$9,Xero!$A:$A,Heron!$A$5,Xero!$E:$E,Heron!$A62)</f>
        <v>0</v>
      </c>
      <c r="AN62" s="99">
        <f>SUMIFS(Xero!$F:$F,Xero!$B:$B,Heron!AN$9,Xero!$A:$A,Heron!$A$4,Xero!$E:$E,Heron!$A62)+SUMIFS(Xero!$F:$F,Xero!$B:$B,Heron!AN$9,Xero!$A:$A,Heron!$A$5,Xero!$E:$E,Heron!$A62)</f>
        <v>0</v>
      </c>
      <c r="AO62" s="99">
        <f>SUMIFS(Xero!$F:$F,Xero!$B:$B,Heron!AO$9,Xero!$A:$A,Heron!$A$4,Xero!$E:$E,Heron!$A62)+SUMIFS(Xero!$F:$F,Xero!$B:$B,Heron!AO$9,Xero!$A:$A,Heron!$A$5,Xero!$E:$E,Heron!$A62)</f>
        <v>0</v>
      </c>
      <c r="AP62" s="99">
        <f>SUMIFS(Xero!$F:$F,Xero!$B:$B,Heron!AP$9,Xero!$A:$A,Heron!$A$4,Xero!$E:$E,Heron!$A62)+SUMIFS(Xero!$F:$F,Xero!$B:$B,Heron!AP$9,Xero!$A:$A,Heron!$A$5,Xero!$E:$E,Heron!$A62)</f>
        <v>0</v>
      </c>
      <c r="AQ62" s="99">
        <f>SUMIFS(Xero!$F:$F,Xero!$B:$B,Heron!AQ$9,Xero!$A:$A,Heron!$A$4,Xero!$E:$E,Heron!$A62)+SUMIFS(Xero!$F:$F,Xero!$B:$B,Heron!AQ$9,Xero!$A:$A,Heron!$A$5,Xero!$E:$E,Heron!$A62)</f>
        <v>0</v>
      </c>
      <c r="AR62" s="99">
        <f>SUMIFS(Xero!$F:$F,Xero!$B:$B,Heron!AR$9,Xero!$A:$A,Heron!$A$4,Xero!$E:$E,Heron!$A62)+SUMIFS(Xero!$F:$F,Xero!$B:$B,Heron!AR$9,Xero!$A:$A,Heron!$A$5,Xero!$E:$E,Heron!$A62)</f>
        <v>0</v>
      </c>
      <c r="AS62" s="99">
        <f>SUMIFS(Xero!$F:$F,Xero!$B:$B,Heron!AS$9,Xero!$A:$A,Heron!$A$4,Xero!$E:$E,Heron!$A62)+SUMIFS(Xero!$F:$F,Xero!$B:$B,Heron!AS$9,Xero!$A:$A,Heron!$A$5,Xero!$E:$E,Heron!$A62)</f>
        <v>0</v>
      </c>
      <c r="AT62" s="99">
        <f>SUMIFS(Xero!$F:$F,Xero!$B:$B,Heron!AT$9,Xero!$A:$A,Heron!$A$4,Xero!$E:$E,Heron!$A62)+SUMIFS(Xero!$F:$F,Xero!$B:$B,Heron!AT$9,Xero!$A:$A,Heron!$A$5,Xero!$E:$E,Heron!$A62)</f>
        <v>0</v>
      </c>
      <c r="AU62" s="99">
        <f>SUMIFS(Xero!$F:$F,Xero!$B:$B,Heron!AU$9,Xero!$A:$A,Heron!$A$4,Xero!$E:$E,Heron!$A62)+SUMIFS(Xero!$F:$F,Xero!$B:$B,Heron!AU$9,Xero!$A:$A,Heron!$A$5,Xero!$E:$E,Heron!$A62)</f>
        <v>0</v>
      </c>
      <c r="AV62" s="99">
        <f>SUMIFS(Xero!$F:$F,Xero!$B:$B,Heron!AV$9,Xero!$A:$A,Heron!$A$4,Xero!$E:$E,Heron!$A62)+SUMIFS(Xero!$F:$F,Xero!$B:$B,Heron!AV$9,Xero!$A:$A,Heron!$A$5,Xero!$E:$E,Heron!$A62)</f>
        <v>0</v>
      </c>
      <c r="AW62" s="99">
        <f>SUMIFS(Xero!$F:$F,Xero!$B:$B,Heron!AW$9,Xero!$A:$A,Heron!$A$4,Xero!$E:$E,Heron!$A62)+SUMIFS(Xero!$F:$F,Xero!$B:$B,Heron!AW$9,Xero!$A:$A,Heron!$A$5,Xero!$E:$E,Heron!$A62)</f>
        <v>0</v>
      </c>
      <c r="AX62" s="99">
        <f>SUMIFS(Xero!$F:$F,Xero!$B:$B,Heron!AX$9,Xero!$A:$A,Heron!$A$4,Xero!$E:$E,Heron!$A62)+SUMIFS(Xero!$F:$F,Xero!$B:$B,Heron!AX$9,Xero!$A:$A,Heron!$A$5,Xero!$E:$E,Heron!$A62)</f>
        <v>0</v>
      </c>
      <c r="AY62" s="99">
        <f>SUMIFS(Xero!$F:$F,Xero!$B:$B,Heron!AY$9,Xero!$A:$A,Heron!$A$4,Xero!$E:$E,Heron!$A62)+SUMIFS(Xero!$F:$F,Xero!$B:$B,Heron!AY$9,Xero!$A:$A,Heron!$A$5,Xero!$E:$E,Heron!$A62)</f>
        <v>0</v>
      </c>
      <c r="AZ62" s="99">
        <f>SUMIFS(Xero!$F:$F,Xero!$B:$B,Heron!AZ$9,Xero!$A:$A,Heron!$A$4,Xero!$E:$E,Heron!$A62)+SUMIFS(Xero!$F:$F,Xero!$B:$B,Heron!AZ$9,Xero!$A:$A,Heron!$A$5,Xero!$E:$E,Heron!$A62)</f>
        <v>0</v>
      </c>
      <c r="BA62" s="99">
        <f>SUMIFS(Xero!$F:$F,Xero!$B:$B,Heron!BA$9,Xero!$A:$A,Heron!$A$4,Xero!$E:$E,Heron!$A62)+SUMIFS(Xero!$F:$F,Xero!$B:$B,Heron!BA$9,Xero!$A:$A,Heron!$A$5,Xero!$E:$E,Heron!$A62)</f>
        <v>0</v>
      </c>
      <c r="BB62" s="99">
        <f>SUMIFS(Xero!$F:$F,Xero!$B:$B,Heron!BB$9,Xero!$A:$A,Heron!$A$4,Xero!$E:$E,Heron!$A62)+SUMIFS(Xero!$F:$F,Xero!$B:$B,Heron!BB$9,Xero!$A:$A,Heron!$A$5,Xero!$E:$E,Heron!$A62)</f>
        <v>0</v>
      </c>
      <c r="BC62" s="99">
        <f>SUMIFS(Xero!$F:$F,Xero!$B:$B,Heron!BC$9,Xero!$A:$A,Heron!$A$4,Xero!$E:$E,Heron!$A62)+SUMIFS(Xero!$F:$F,Xero!$B:$B,Heron!BC$9,Xero!$A:$A,Heron!$A$5,Xero!$E:$E,Heron!$A62)</f>
        <v>0</v>
      </c>
      <c r="BD62" s="99">
        <f>SUMIFS(Xero!$F:$F,Xero!$B:$B,Heron!BD$9,Xero!$A:$A,Heron!$A$4,Xero!$E:$E,Heron!$A62)+SUMIFS(Xero!$F:$F,Xero!$B:$B,Heron!BD$9,Xero!$A:$A,Heron!$A$5,Xero!$E:$E,Heron!$A62)</f>
        <v>0</v>
      </c>
      <c r="BE62" s="99">
        <f>SUMIFS(Xero!$F:$F,Xero!$B:$B,Heron!BE$9,Xero!$A:$A,Heron!$A$4,Xero!$E:$E,Heron!$A62)+SUMIFS(Xero!$F:$F,Xero!$B:$B,Heron!BE$9,Xero!$A:$A,Heron!$A$5,Xero!$E:$E,Heron!$A62)</f>
        <v>0</v>
      </c>
      <c r="BF62" s="99">
        <f>SUMIFS(Xero!$F:$F,Xero!$B:$B,Heron!BF$9,Xero!$A:$A,Heron!$A$4,Xero!$E:$E,Heron!$A62)+SUMIFS(Xero!$F:$F,Xero!$B:$B,Heron!BF$9,Xero!$A:$A,Heron!$A$5,Xero!$E:$E,Heron!$A62)</f>
        <v>0</v>
      </c>
      <c r="BG62" s="99">
        <f>SUMIFS(Xero!$F:$F,Xero!$B:$B,Heron!BG$9,Xero!$A:$A,Heron!$A$4,Xero!$E:$E,Heron!$A62)+SUMIFS(Xero!$F:$F,Xero!$B:$B,Heron!BG$9,Xero!$A:$A,Heron!$A$5,Xero!$E:$E,Heron!$A62)</f>
        <v>0</v>
      </c>
      <c r="BH62" s="99">
        <f>SUMIFS(Xero!$F:$F,Xero!$B:$B,Heron!BH$9,Xero!$A:$A,Heron!$A$4,Xero!$E:$E,Heron!$A62)+SUMIFS(Xero!$F:$F,Xero!$B:$B,Heron!BH$9,Xero!$A:$A,Heron!$A$5,Xero!$E:$E,Heron!$A62)</f>
        <v>0</v>
      </c>
      <c r="BI62" s="99">
        <f>SUMIFS(Xero!$F:$F,Xero!$B:$B,Heron!BI$9,Xero!$A:$A,Heron!$A$4,Xero!$E:$E,Heron!$A62)+SUMIFS(Xero!$F:$F,Xero!$B:$B,Heron!BI$9,Xero!$A:$A,Heron!$A$5,Xero!$E:$E,Heron!$A62)</f>
        <v>0</v>
      </c>
      <c r="BJ62" s="99">
        <f>SUMIFS(Xero!$F:$F,Xero!$B:$B,Heron!BJ$9,Xero!$A:$A,Heron!$A$4,Xero!$E:$E,Heron!$A62)+SUMIFS(Xero!$F:$F,Xero!$B:$B,Heron!BJ$9,Xero!$A:$A,Heron!$A$5,Xero!$E:$E,Heron!$A62)</f>
        <v>0</v>
      </c>
      <c r="BK62" s="99">
        <f t="shared" si="4"/>
        <v>57668.57</v>
      </c>
    </row>
    <row r="63" spans="1:63" ht="16" x14ac:dyDescent="0.2">
      <c r="A63" s="98" t="s">
        <v>1109</v>
      </c>
      <c r="D63" s="99">
        <f>SUMIFS(Xero!$F:$F,Xero!$B:$B,Heron!D$9,Xero!$A:$A,Heron!$A$4,Xero!$E:$E,Heron!$A63)+SUMIFS(Xero!$F:$F,Xero!$B:$B,Heron!D$9,Xero!$A:$A,Heron!$A$5,Xero!$E:$E,Heron!$A63)</f>
        <v>0</v>
      </c>
      <c r="E63" s="99">
        <f>SUMIFS(Xero!$F:$F,Xero!$B:$B,Heron!E$9,Xero!$A:$A,Heron!$A$4,Xero!$E:$E,Heron!$A63)+SUMIFS(Xero!$F:$F,Xero!$B:$B,Heron!E$9,Xero!$A:$A,Heron!$A$5,Xero!$E:$E,Heron!$A63)</f>
        <v>0</v>
      </c>
      <c r="F63" s="99">
        <f>SUMIFS(Xero!$F:$F,Xero!$B:$B,Heron!F$9,Xero!$A:$A,Heron!$A$4,Xero!$E:$E,Heron!$A63)+SUMIFS(Xero!$F:$F,Xero!$B:$B,Heron!F$9,Xero!$A:$A,Heron!$A$5,Xero!$E:$E,Heron!$A63)</f>
        <v>0</v>
      </c>
      <c r="G63" s="99">
        <f>SUMIFS(Xero!$F:$F,Xero!$B:$B,Heron!G$9,Xero!$A:$A,Heron!$A$4,Xero!$E:$E,Heron!$A63)+SUMIFS(Xero!$F:$F,Xero!$B:$B,Heron!G$9,Xero!$A:$A,Heron!$A$5,Xero!$E:$E,Heron!$A63)</f>
        <v>0</v>
      </c>
      <c r="H63" s="99">
        <f>SUMIFS(Xero!$F:$F,Xero!$B:$B,Heron!H$9,Xero!$A:$A,Heron!$A$4,Xero!$E:$E,Heron!$A63)+SUMIFS(Xero!$F:$F,Xero!$B:$B,Heron!H$9,Xero!$A:$A,Heron!$A$5,Xero!$E:$E,Heron!$A63)</f>
        <v>173.86</v>
      </c>
      <c r="I63" s="99">
        <f>SUMIFS(Xero!$F:$F,Xero!$B:$B,Heron!I$9,Xero!$A:$A,Heron!$A$4,Xero!$E:$E,Heron!$A63)+SUMIFS(Xero!$F:$F,Xero!$B:$B,Heron!I$9,Xero!$A:$A,Heron!$A$5,Xero!$E:$E,Heron!$A63)</f>
        <v>316.95999999999998</v>
      </c>
      <c r="J63" s="99">
        <f>SUMIFS(Xero!$F:$F,Xero!$B:$B,Heron!J$9,Xero!$A:$A,Heron!$A$4,Xero!$E:$E,Heron!$A63)+SUMIFS(Xero!$F:$F,Xero!$B:$B,Heron!J$9,Xero!$A:$A,Heron!$A$5,Xero!$E:$E,Heron!$A63)</f>
        <v>544.08000000000004</v>
      </c>
      <c r="K63" s="99">
        <f>SUMIFS(Xero!$F:$F,Xero!$B:$B,Heron!K$9,Xero!$A:$A,Heron!$A$4,Xero!$E:$E,Heron!$A63)+SUMIFS(Xero!$F:$F,Xero!$B:$B,Heron!K$9,Xero!$A:$A,Heron!$A$5,Xero!$E:$E,Heron!$A63)</f>
        <v>345.35</v>
      </c>
      <c r="L63" s="99">
        <f>SUMIFS(Xero!$F:$F,Xero!$B:$B,Heron!L$9,Xero!$A:$A,Heron!$A$4,Xero!$E:$E,Heron!$A63)+SUMIFS(Xero!$F:$F,Xero!$B:$B,Heron!L$9,Xero!$A:$A,Heron!$A$5,Xero!$E:$E,Heron!$A63)</f>
        <v>402.13</v>
      </c>
      <c r="M63" s="99">
        <f>SUMIFS(Xero!$F:$F,Xero!$B:$B,Heron!M$9,Xero!$A:$A,Heron!$A$4,Xero!$E:$E,Heron!$A63)+SUMIFS(Xero!$F:$F,Xero!$B:$B,Heron!M$9,Xero!$A:$A,Heron!$A$5,Xero!$E:$E,Heron!$A63)</f>
        <v>458.9</v>
      </c>
      <c r="N63" s="99">
        <f>SUMIFS(Xero!$F:$F,Xero!$B:$B,Heron!N$9,Xero!$A:$A,Heron!$A$4,Xero!$E:$E,Heron!$A63)+SUMIFS(Xero!$F:$F,Xero!$B:$B,Heron!N$9,Xero!$A:$A,Heron!$A$5,Xero!$E:$E,Heron!$A63)</f>
        <v>856.37</v>
      </c>
      <c r="O63" s="99">
        <f>SUMIFS(Xero!$F:$F,Xero!$B:$B,Heron!O$9,Xero!$A:$A,Heron!$A$4,Xero!$E:$E,Heron!$A63)+SUMIFS(Xero!$F:$F,Xero!$B:$B,Heron!O$9,Xero!$A:$A,Heron!$A$5,Xero!$E:$E,Heron!$A63)</f>
        <v>856.37</v>
      </c>
      <c r="P63" s="99">
        <f>SUMIFS(Xero!$F:$F,Xero!$B:$B,Heron!P$9,Xero!$A:$A,Heron!$A$4,Xero!$E:$E,Heron!$A63)+SUMIFS(Xero!$F:$F,Xero!$B:$B,Heron!P$9,Xero!$A:$A,Heron!$A$5,Xero!$E:$E,Heron!$A63)</f>
        <v>10580.4</v>
      </c>
      <c r="Q63" s="99">
        <f>SUMIFS(Xero!$F:$F,Xero!$B:$B,Heron!Q$9,Xero!$A:$A,Heron!$A$4,Xero!$E:$E,Heron!$A63)+SUMIFS(Xero!$F:$F,Xero!$B:$B,Heron!Q$9,Xero!$A:$A,Heron!$A$5,Xero!$E:$E,Heron!$A63)</f>
        <v>0</v>
      </c>
      <c r="R63" s="99">
        <f>SUMIFS(Xero!$F:$F,Xero!$B:$B,Heron!R$9,Xero!$A:$A,Heron!$A$4,Xero!$E:$E,Heron!$A63)+SUMIFS(Xero!$F:$F,Xero!$B:$B,Heron!R$9,Xero!$A:$A,Heron!$A$5,Xero!$E:$E,Heron!$A63)</f>
        <v>9207.4</v>
      </c>
      <c r="S63" s="99">
        <f>SUMIFS(Xero!$F:$F,Xero!$B:$B,Heron!S$9,Xero!$A:$A,Heron!$A$4,Xero!$E:$E,Heron!$A63)+SUMIFS(Xero!$F:$F,Xero!$B:$B,Heron!S$9,Xero!$A:$A,Heron!$A$5,Xero!$E:$E,Heron!$A63)</f>
        <v>4339.57</v>
      </c>
      <c r="T63" s="99">
        <f>SUMIFS(Xero!$F:$F,Xero!$B:$B,Heron!T$9,Xero!$A:$A,Heron!$A$4,Xero!$E:$E,Heron!$A63)+SUMIFS(Xero!$F:$F,Xero!$B:$B,Heron!T$9,Xero!$A:$A,Heron!$A$5,Xero!$E:$E,Heron!$A63)</f>
        <v>4380.79</v>
      </c>
      <c r="U63" s="99">
        <f>SUMIFS(Xero!$F:$F,Xero!$B:$B,Heron!U$9,Xero!$A:$A,Heron!$A$4,Xero!$E:$E,Heron!$A63)+SUMIFS(Xero!$F:$F,Xero!$B:$B,Heron!U$9,Xero!$A:$A,Heron!$A$5,Xero!$E:$E,Heron!$A63)</f>
        <v>4775.0600000000004</v>
      </c>
      <c r="V63" s="99">
        <f>SUMIFS(Xero!$F:$F,Xero!$B:$B,Heron!V$9,Xero!$A:$A,Heron!$A$4,Xero!$E:$E,Heron!$A63)+SUMIFS(Xero!$F:$F,Xero!$B:$B,Heron!V$9,Xero!$A:$A,Heron!$A$5,Xero!$E:$E,Heron!$A63)</f>
        <v>4998.5</v>
      </c>
      <c r="W63" s="99">
        <f>SUMIFS(Xero!$F:$F,Xero!$B:$B,Heron!W$9,Xero!$A:$A,Heron!$A$4,Xero!$E:$E,Heron!$A63)+SUMIFS(Xero!$F:$F,Xero!$B:$B,Heron!W$9,Xero!$A:$A,Heron!$A$5,Xero!$E:$E,Heron!$A63)</f>
        <v>4972.63</v>
      </c>
      <c r="X63" s="99">
        <f>SUMIFS(Xero!$F:$F,Xero!$B:$B,Heron!X$9,Xero!$A:$A,Heron!$A$4,Xero!$E:$E,Heron!$A63)+SUMIFS(Xero!$F:$F,Xero!$B:$B,Heron!X$9,Xero!$A:$A,Heron!$A$5,Xero!$E:$E,Heron!$A63)</f>
        <v>8627.1200000000008</v>
      </c>
      <c r="Y63" s="99">
        <f>SUMIFS(Xero!$F:$F,Xero!$B:$B,Heron!Y$9,Xero!$A:$A,Heron!$A$4,Xero!$E:$E,Heron!$A63)+SUMIFS(Xero!$F:$F,Xero!$B:$B,Heron!Y$9,Xero!$A:$A,Heron!$A$5,Xero!$E:$E,Heron!$A63)</f>
        <v>0</v>
      </c>
      <c r="Z63" s="99">
        <f>SUMIFS(Xero!$F:$F,Xero!$B:$B,Heron!Z$9,Xero!$A:$A,Heron!$A$4,Xero!$E:$E,Heron!$A63)+SUMIFS(Xero!$F:$F,Xero!$B:$B,Heron!Z$9,Xero!$A:$A,Heron!$A$5,Xero!$E:$E,Heron!$A63)</f>
        <v>25749.27</v>
      </c>
      <c r="AA63" s="99">
        <f>SUMIFS(Xero!$F:$F,Xero!$B:$B,Heron!AA$9,Xero!$A:$A,Heron!$A$4,Xero!$E:$E,Heron!$A63)+SUMIFS(Xero!$F:$F,Xero!$B:$B,Heron!AA$9,Xero!$A:$A,Heron!$A$5,Xero!$E:$E,Heron!$A63)</f>
        <v>0</v>
      </c>
      <c r="AB63" s="99">
        <f>SUMIFS(Xero!$F:$F,Xero!$B:$B,Heron!AB$9,Xero!$A:$A,Heron!$A$4,Xero!$E:$E,Heron!$A63)+SUMIFS(Xero!$F:$F,Xero!$B:$B,Heron!AB$9,Xero!$A:$A,Heron!$A$5,Xero!$E:$E,Heron!$A63)</f>
        <v>39349.03</v>
      </c>
      <c r="AC63" s="99">
        <f>SUMIFS(Xero!$F:$F,Xero!$B:$B,Heron!AC$9,Xero!$A:$A,Heron!$A$4,Xero!$E:$E,Heron!$A63)+SUMIFS(Xero!$F:$F,Xero!$B:$B,Heron!AC$9,Xero!$A:$A,Heron!$A$5,Xero!$E:$E,Heron!$A63)</f>
        <v>-4301.84</v>
      </c>
      <c r="AD63" s="99">
        <f>SUMIFS(Xero!$F:$F,Xero!$B:$B,Heron!AD$9,Xero!$A:$A,Heron!$A$4,Xero!$E:$E,Heron!$A63)+SUMIFS(Xero!$F:$F,Xero!$B:$B,Heron!AD$9,Xero!$A:$A,Heron!$A$5,Xero!$E:$E,Heron!$A63)</f>
        <v>8832.24</v>
      </c>
      <c r="AE63" s="99">
        <f>SUMIFS(Xero!$F:$F,Xero!$B:$B,Heron!AE$9,Xero!$A:$A,Heron!$A$4,Xero!$E:$E,Heron!$A63)+SUMIFS(Xero!$F:$F,Xero!$B:$B,Heron!AE$9,Xero!$A:$A,Heron!$A$5,Xero!$E:$E,Heron!$A63)</f>
        <v>0</v>
      </c>
      <c r="AF63" s="99">
        <f>SUMIFS(Xero!$F:$F,Xero!$B:$B,Heron!AF$9,Xero!$A:$A,Heron!$A$4,Xero!$E:$E,Heron!$A63)+SUMIFS(Xero!$F:$F,Xero!$B:$B,Heron!AF$9,Xero!$A:$A,Heron!$A$5,Xero!$E:$E,Heron!$A63)</f>
        <v>0</v>
      </c>
      <c r="AG63" s="99">
        <f>SUMIFS(Xero!$F:$F,Xero!$B:$B,Heron!AG$9,Xero!$A:$A,Heron!$A$4,Xero!$E:$E,Heron!$A63)+SUMIFS(Xero!$F:$F,Xero!$B:$B,Heron!AG$9,Xero!$A:$A,Heron!$A$5,Xero!$E:$E,Heron!$A63)</f>
        <v>0</v>
      </c>
      <c r="AH63" s="99">
        <f>SUMIFS(Xero!$F:$F,Xero!$B:$B,Heron!AH$9,Xero!$A:$A,Heron!$A$4,Xero!$E:$E,Heron!$A63)+SUMIFS(Xero!$F:$F,Xero!$B:$B,Heron!AH$9,Xero!$A:$A,Heron!$A$5,Xero!$E:$E,Heron!$A63)</f>
        <v>1094.18</v>
      </c>
      <c r="AI63" s="99">
        <f>SUMIFS(Xero!$F:$F,Xero!$B:$B,Heron!AI$9,Xero!$A:$A,Heron!$A$4,Xero!$E:$E,Heron!$A63)+SUMIFS(Xero!$F:$F,Xero!$B:$B,Heron!AI$9,Xero!$A:$A,Heron!$A$5,Xero!$E:$E,Heron!$A63)</f>
        <v>47156.78</v>
      </c>
      <c r="AJ63" s="99">
        <f>SUMIFS(Xero!$F:$F,Xero!$B:$B,Heron!AJ$9,Xero!$A:$A,Heron!$A$4,Xero!$E:$E,Heron!$A63)+SUMIFS(Xero!$F:$F,Xero!$B:$B,Heron!AJ$9,Xero!$A:$A,Heron!$A$5,Xero!$E:$E,Heron!$A63)</f>
        <v>1058.21</v>
      </c>
      <c r="AK63" s="99">
        <f>SUMIFS(Xero!$F:$F,Xero!$B:$B,Heron!AK$9,Xero!$A:$A,Heron!$A$4,Xero!$E:$E,Heron!$A63)+SUMIFS(Xero!$F:$F,Xero!$B:$B,Heron!AK$9,Xero!$A:$A,Heron!$A$5,Xero!$E:$E,Heron!$A63)</f>
        <v>971.22</v>
      </c>
      <c r="AL63" s="99">
        <f>SUMIFS(Xero!$F:$F,Xero!$B:$B,Heron!AL$9,Xero!$A:$A,Heron!$A$4,Xero!$E:$E,Heron!$A63)+SUMIFS(Xero!$F:$F,Xero!$B:$B,Heron!AL$9,Xero!$A:$A,Heron!$A$5,Xero!$E:$E,Heron!$A63)</f>
        <v>-147.72</v>
      </c>
      <c r="AM63" s="99">
        <f>SUMIFS(Xero!$F:$F,Xero!$B:$B,Heron!AM$9,Xero!$A:$A,Heron!$A$4,Xero!$E:$E,Heron!$A63)+SUMIFS(Xero!$F:$F,Xero!$B:$B,Heron!AM$9,Xero!$A:$A,Heron!$A$5,Xero!$E:$E,Heron!$A63)</f>
        <v>0</v>
      </c>
      <c r="AN63" s="99">
        <f>SUMIFS(Xero!$F:$F,Xero!$B:$B,Heron!AN$9,Xero!$A:$A,Heron!$A$4,Xero!$E:$E,Heron!$A63)+SUMIFS(Xero!$F:$F,Xero!$B:$B,Heron!AN$9,Xero!$A:$A,Heron!$A$5,Xero!$E:$E,Heron!$A63)</f>
        <v>0</v>
      </c>
      <c r="AO63" s="99">
        <f>SUMIFS(Xero!$F:$F,Xero!$B:$B,Heron!AO$9,Xero!$A:$A,Heron!$A$4,Xero!$E:$E,Heron!$A63)+SUMIFS(Xero!$F:$F,Xero!$B:$B,Heron!AO$9,Xero!$A:$A,Heron!$A$5,Xero!$E:$E,Heron!$A63)</f>
        <v>3484.49</v>
      </c>
      <c r="AP63" s="99">
        <f>SUMIFS(Xero!$F:$F,Xero!$B:$B,Heron!AP$9,Xero!$A:$A,Heron!$A$4,Xero!$E:$E,Heron!$A63)+SUMIFS(Xero!$F:$F,Xero!$B:$B,Heron!AP$9,Xero!$A:$A,Heron!$A$5,Xero!$E:$E,Heron!$A63)</f>
        <v>3484.49</v>
      </c>
      <c r="AQ63" s="99">
        <f>SUMIFS(Xero!$F:$F,Xero!$B:$B,Heron!AQ$9,Xero!$A:$A,Heron!$A$4,Xero!$E:$E,Heron!$A63)+SUMIFS(Xero!$F:$F,Xero!$B:$B,Heron!AQ$9,Xero!$A:$A,Heron!$A$5,Xero!$E:$E,Heron!$A63)</f>
        <v>1093.19</v>
      </c>
      <c r="AR63" s="99">
        <f>SUMIFS(Xero!$F:$F,Xero!$B:$B,Heron!AR$9,Xero!$A:$A,Heron!$A$4,Xero!$E:$E,Heron!$A63)+SUMIFS(Xero!$F:$F,Xero!$B:$B,Heron!AR$9,Xero!$A:$A,Heron!$A$5,Xero!$E:$E,Heron!$A63)</f>
        <v>0</v>
      </c>
      <c r="AS63" s="99">
        <f>SUMIFS(Xero!$F:$F,Xero!$B:$B,Heron!AS$9,Xero!$A:$A,Heron!$A$4,Xero!$E:$E,Heron!$A63)+SUMIFS(Xero!$F:$F,Xero!$B:$B,Heron!AS$9,Xero!$A:$A,Heron!$A$5,Xero!$E:$E,Heron!$A63)</f>
        <v>0</v>
      </c>
      <c r="AT63" s="99">
        <f>SUMIFS(Xero!$F:$F,Xero!$B:$B,Heron!AT$9,Xero!$A:$A,Heron!$A$4,Xero!$E:$E,Heron!$A63)+SUMIFS(Xero!$F:$F,Xero!$B:$B,Heron!AT$9,Xero!$A:$A,Heron!$A$5,Xero!$E:$E,Heron!$A63)</f>
        <v>0</v>
      </c>
      <c r="AU63" s="99">
        <f>SUMIFS(Xero!$F:$F,Xero!$B:$B,Heron!AU$9,Xero!$A:$A,Heron!$A$4,Xero!$E:$E,Heron!$A63)+SUMIFS(Xero!$F:$F,Xero!$B:$B,Heron!AU$9,Xero!$A:$A,Heron!$A$5,Xero!$E:$E,Heron!$A63)</f>
        <v>0</v>
      </c>
      <c r="AV63" s="99">
        <f>SUMIFS(Xero!$F:$F,Xero!$B:$B,Heron!AV$9,Xero!$A:$A,Heron!$A$4,Xero!$E:$E,Heron!$A63)+SUMIFS(Xero!$F:$F,Xero!$B:$B,Heron!AV$9,Xero!$A:$A,Heron!$A$5,Xero!$E:$E,Heron!$A63)</f>
        <v>0</v>
      </c>
      <c r="AW63" s="99">
        <f>SUMIFS(Xero!$F:$F,Xero!$B:$B,Heron!AW$9,Xero!$A:$A,Heron!$A$4,Xero!$E:$E,Heron!$A63)+SUMIFS(Xero!$F:$F,Xero!$B:$B,Heron!AW$9,Xero!$A:$A,Heron!$A$5,Xero!$E:$E,Heron!$A63)</f>
        <v>0</v>
      </c>
      <c r="AX63" s="99">
        <f>SUMIFS(Xero!$F:$F,Xero!$B:$B,Heron!AX$9,Xero!$A:$A,Heron!$A$4,Xero!$E:$E,Heron!$A63)+SUMIFS(Xero!$F:$F,Xero!$B:$B,Heron!AX$9,Xero!$A:$A,Heron!$A$5,Xero!$E:$E,Heron!$A63)</f>
        <v>0</v>
      </c>
      <c r="AY63" s="99">
        <f>SUMIFS(Xero!$F:$F,Xero!$B:$B,Heron!AY$9,Xero!$A:$A,Heron!$A$4,Xero!$E:$E,Heron!$A63)+SUMIFS(Xero!$F:$F,Xero!$B:$B,Heron!AY$9,Xero!$A:$A,Heron!$A$5,Xero!$E:$E,Heron!$A63)</f>
        <v>0</v>
      </c>
      <c r="AZ63" s="99">
        <f>SUMIFS(Xero!$F:$F,Xero!$B:$B,Heron!AZ$9,Xero!$A:$A,Heron!$A$4,Xero!$E:$E,Heron!$A63)+SUMIFS(Xero!$F:$F,Xero!$B:$B,Heron!AZ$9,Xero!$A:$A,Heron!$A$5,Xero!$E:$E,Heron!$A63)</f>
        <v>0</v>
      </c>
      <c r="BA63" s="99">
        <f>SUMIFS(Xero!$F:$F,Xero!$B:$B,Heron!BA$9,Xero!$A:$A,Heron!$A$4,Xero!$E:$E,Heron!$A63)+SUMIFS(Xero!$F:$F,Xero!$B:$B,Heron!BA$9,Xero!$A:$A,Heron!$A$5,Xero!$E:$E,Heron!$A63)</f>
        <v>0</v>
      </c>
      <c r="BB63" s="99">
        <f>SUMIFS(Xero!$F:$F,Xero!$B:$B,Heron!BB$9,Xero!$A:$A,Heron!$A$4,Xero!$E:$E,Heron!$A63)+SUMIFS(Xero!$F:$F,Xero!$B:$B,Heron!BB$9,Xero!$A:$A,Heron!$A$5,Xero!$E:$E,Heron!$A63)</f>
        <v>0</v>
      </c>
      <c r="BC63" s="99">
        <f>SUMIFS(Xero!$F:$F,Xero!$B:$B,Heron!BC$9,Xero!$A:$A,Heron!$A$4,Xero!$E:$E,Heron!$A63)+SUMIFS(Xero!$F:$F,Xero!$B:$B,Heron!BC$9,Xero!$A:$A,Heron!$A$5,Xero!$E:$E,Heron!$A63)</f>
        <v>0</v>
      </c>
      <c r="BD63" s="99">
        <f>SUMIFS(Xero!$F:$F,Xero!$B:$B,Heron!BD$9,Xero!$A:$A,Heron!$A$4,Xero!$E:$E,Heron!$A63)+SUMIFS(Xero!$F:$F,Xero!$B:$B,Heron!BD$9,Xero!$A:$A,Heron!$A$5,Xero!$E:$E,Heron!$A63)</f>
        <v>0</v>
      </c>
      <c r="BE63" s="99">
        <f>SUMIFS(Xero!$F:$F,Xero!$B:$B,Heron!BE$9,Xero!$A:$A,Heron!$A$4,Xero!$E:$E,Heron!$A63)+SUMIFS(Xero!$F:$F,Xero!$B:$B,Heron!BE$9,Xero!$A:$A,Heron!$A$5,Xero!$E:$E,Heron!$A63)</f>
        <v>0</v>
      </c>
      <c r="BF63" s="99">
        <f>SUMIFS(Xero!$F:$F,Xero!$B:$B,Heron!BF$9,Xero!$A:$A,Heron!$A$4,Xero!$E:$E,Heron!$A63)+SUMIFS(Xero!$F:$F,Xero!$B:$B,Heron!BF$9,Xero!$A:$A,Heron!$A$5,Xero!$E:$E,Heron!$A63)</f>
        <v>0</v>
      </c>
      <c r="BG63" s="99">
        <f>SUMIFS(Xero!$F:$F,Xero!$B:$B,Heron!BG$9,Xero!$A:$A,Heron!$A$4,Xero!$E:$E,Heron!$A63)+SUMIFS(Xero!$F:$F,Xero!$B:$B,Heron!BG$9,Xero!$A:$A,Heron!$A$5,Xero!$E:$E,Heron!$A63)</f>
        <v>0</v>
      </c>
      <c r="BH63" s="99">
        <f>SUMIFS(Xero!$F:$F,Xero!$B:$B,Heron!BH$9,Xero!$A:$A,Heron!$A$4,Xero!$E:$E,Heron!$A63)+SUMIFS(Xero!$F:$F,Xero!$B:$B,Heron!BH$9,Xero!$A:$A,Heron!$A$5,Xero!$E:$E,Heron!$A63)</f>
        <v>0</v>
      </c>
      <c r="BI63" s="99">
        <f>SUMIFS(Xero!$F:$F,Xero!$B:$B,Heron!BI$9,Xero!$A:$A,Heron!$A$4,Xero!$E:$E,Heron!$A63)+SUMIFS(Xero!$F:$F,Xero!$B:$B,Heron!BI$9,Xero!$A:$A,Heron!$A$5,Xero!$E:$E,Heron!$A63)</f>
        <v>0</v>
      </c>
      <c r="BJ63" s="99">
        <f>SUMIFS(Xero!$F:$F,Xero!$B:$B,Heron!BJ$9,Xero!$A:$A,Heron!$A$4,Xero!$E:$E,Heron!$A63)+SUMIFS(Xero!$F:$F,Xero!$B:$B,Heron!BJ$9,Xero!$A:$A,Heron!$A$5,Xero!$E:$E,Heron!$A63)</f>
        <v>0</v>
      </c>
      <c r="BK63" s="99">
        <f t="shared" si="4"/>
        <v>183659.02999999997</v>
      </c>
    </row>
    <row r="64" spans="1:63" ht="16" x14ac:dyDescent="0.2">
      <c r="A64" s="98" t="s">
        <v>1228</v>
      </c>
      <c r="D64" s="99">
        <f>SUMIFS(Xero!$F:$F,Xero!$B:$B,Heron!D$9,Xero!$A:$A,Heron!$A$4,Xero!$E:$E,Heron!$A64)+SUMIFS(Xero!$F:$F,Xero!$B:$B,Heron!D$9,Xero!$A:$A,Heron!$A$5,Xero!$E:$E,Heron!$A64)</f>
        <v>0</v>
      </c>
      <c r="E64" s="99">
        <f>SUMIFS(Xero!$F:$F,Xero!$B:$B,Heron!E$9,Xero!$A:$A,Heron!$A$4,Xero!$E:$E,Heron!$A64)+SUMIFS(Xero!$F:$F,Xero!$B:$B,Heron!E$9,Xero!$A:$A,Heron!$A$5,Xero!$E:$E,Heron!$A64)</f>
        <v>0</v>
      </c>
      <c r="F64" s="99">
        <f>SUMIFS(Xero!$F:$F,Xero!$B:$B,Heron!F$9,Xero!$A:$A,Heron!$A$4,Xero!$E:$E,Heron!$A64)+SUMIFS(Xero!$F:$F,Xero!$B:$B,Heron!F$9,Xero!$A:$A,Heron!$A$5,Xero!$E:$E,Heron!$A64)</f>
        <v>0</v>
      </c>
      <c r="G64" s="99">
        <f>SUMIFS(Xero!$F:$F,Xero!$B:$B,Heron!G$9,Xero!$A:$A,Heron!$A$4,Xero!$E:$E,Heron!$A64)+SUMIFS(Xero!$F:$F,Xero!$B:$B,Heron!G$9,Xero!$A:$A,Heron!$A$5,Xero!$E:$E,Heron!$A64)</f>
        <v>0</v>
      </c>
      <c r="H64" s="99">
        <f>SUMIFS(Xero!$F:$F,Xero!$B:$B,Heron!H$9,Xero!$A:$A,Heron!$A$4,Xero!$E:$E,Heron!$A64)+SUMIFS(Xero!$F:$F,Xero!$B:$B,Heron!H$9,Xero!$A:$A,Heron!$A$5,Xero!$E:$E,Heron!$A64)</f>
        <v>3000</v>
      </c>
      <c r="I64" s="99">
        <f>SUMIFS(Xero!$F:$F,Xero!$B:$B,Heron!I$9,Xero!$A:$A,Heron!$A$4,Xero!$E:$E,Heron!$A64)+SUMIFS(Xero!$F:$F,Xero!$B:$B,Heron!I$9,Xero!$A:$A,Heron!$A$5,Xero!$E:$E,Heron!$A64)</f>
        <v>0</v>
      </c>
      <c r="J64" s="99">
        <f>SUMIFS(Xero!$F:$F,Xero!$B:$B,Heron!J$9,Xero!$A:$A,Heron!$A$4,Xero!$E:$E,Heron!$A64)+SUMIFS(Xero!$F:$F,Xero!$B:$B,Heron!J$9,Xero!$A:$A,Heron!$A$5,Xero!$E:$E,Heron!$A64)</f>
        <v>0</v>
      </c>
      <c r="K64" s="99">
        <f>SUMIFS(Xero!$F:$F,Xero!$B:$B,Heron!K$9,Xero!$A:$A,Heron!$A$4,Xero!$E:$E,Heron!$A64)+SUMIFS(Xero!$F:$F,Xero!$B:$B,Heron!K$9,Xero!$A:$A,Heron!$A$5,Xero!$E:$E,Heron!$A64)</f>
        <v>0</v>
      </c>
      <c r="L64" s="99">
        <f>SUMIFS(Xero!$F:$F,Xero!$B:$B,Heron!L$9,Xero!$A:$A,Heron!$A$4,Xero!$E:$E,Heron!$A64)+SUMIFS(Xero!$F:$F,Xero!$B:$B,Heron!L$9,Xero!$A:$A,Heron!$A$5,Xero!$E:$E,Heron!$A64)</f>
        <v>0</v>
      </c>
      <c r="M64" s="99">
        <f>SUMIFS(Xero!$F:$F,Xero!$B:$B,Heron!M$9,Xero!$A:$A,Heron!$A$4,Xero!$E:$E,Heron!$A64)+SUMIFS(Xero!$F:$F,Xero!$B:$B,Heron!M$9,Xero!$A:$A,Heron!$A$5,Xero!$E:$E,Heron!$A64)</f>
        <v>0</v>
      </c>
      <c r="N64" s="99">
        <f>SUMIFS(Xero!$F:$F,Xero!$B:$B,Heron!N$9,Xero!$A:$A,Heron!$A$4,Xero!$E:$E,Heron!$A64)+SUMIFS(Xero!$F:$F,Xero!$B:$B,Heron!N$9,Xero!$A:$A,Heron!$A$5,Xero!$E:$E,Heron!$A64)</f>
        <v>0</v>
      </c>
      <c r="O64" s="99">
        <f>SUMIFS(Xero!$F:$F,Xero!$B:$B,Heron!O$9,Xero!$A:$A,Heron!$A$4,Xero!$E:$E,Heron!$A64)+SUMIFS(Xero!$F:$F,Xero!$B:$B,Heron!O$9,Xero!$A:$A,Heron!$A$5,Xero!$E:$E,Heron!$A64)</f>
        <v>0</v>
      </c>
      <c r="P64" s="99">
        <f>SUMIFS(Xero!$F:$F,Xero!$B:$B,Heron!P$9,Xero!$A:$A,Heron!$A$4,Xero!$E:$E,Heron!$A64)+SUMIFS(Xero!$F:$F,Xero!$B:$B,Heron!P$9,Xero!$A:$A,Heron!$A$5,Xero!$E:$E,Heron!$A64)</f>
        <v>0</v>
      </c>
      <c r="Q64" s="99">
        <f>SUMIFS(Xero!$F:$F,Xero!$B:$B,Heron!Q$9,Xero!$A:$A,Heron!$A$4,Xero!$E:$E,Heron!$A64)+SUMIFS(Xero!$F:$F,Xero!$B:$B,Heron!Q$9,Xero!$A:$A,Heron!$A$5,Xero!$E:$E,Heron!$A64)</f>
        <v>0</v>
      </c>
      <c r="R64" s="99">
        <f>SUMIFS(Xero!$F:$F,Xero!$B:$B,Heron!R$9,Xero!$A:$A,Heron!$A$4,Xero!$E:$E,Heron!$A64)+SUMIFS(Xero!$F:$F,Xero!$B:$B,Heron!R$9,Xero!$A:$A,Heron!$A$5,Xero!$E:$E,Heron!$A64)</f>
        <v>0</v>
      </c>
      <c r="S64" s="99">
        <f>SUMIFS(Xero!$F:$F,Xero!$B:$B,Heron!S$9,Xero!$A:$A,Heron!$A$4,Xero!$E:$E,Heron!$A64)+SUMIFS(Xero!$F:$F,Xero!$B:$B,Heron!S$9,Xero!$A:$A,Heron!$A$5,Xero!$E:$E,Heron!$A64)</f>
        <v>0</v>
      </c>
      <c r="T64" s="99">
        <f>SUMIFS(Xero!$F:$F,Xero!$B:$B,Heron!T$9,Xero!$A:$A,Heron!$A$4,Xero!$E:$E,Heron!$A64)+SUMIFS(Xero!$F:$F,Xero!$B:$B,Heron!T$9,Xero!$A:$A,Heron!$A$5,Xero!$E:$E,Heron!$A64)</f>
        <v>0</v>
      </c>
      <c r="U64" s="99">
        <f>SUMIFS(Xero!$F:$F,Xero!$B:$B,Heron!U$9,Xero!$A:$A,Heron!$A$4,Xero!$E:$E,Heron!$A64)+SUMIFS(Xero!$F:$F,Xero!$B:$B,Heron!U$9,Xero!$A:$A,Heron!$A$5,Xero!$E:$E,Heron!$A64)</f>
        <v>0</v>
      </c>
      <c r="V64" s="99">
        <f>SUMIFS(Xero!$F:$F,Xero!$B:$B,Heron!V$9,Xero!$A:$A,Heron!$A$4,Xero!$E:$E,Heron!$A64)+SUMIFS(Xero!$F:$F,Xero!$B:$B,Heron!V$9,Xero!$A:$A,Heron!$A$5,Xero!$E:$E,Heron!$A64)</f>
        <v>0</v>
      </c>
      <c r="W64" s="99">
        <f>SUMIFS(Xero!$F:$F,Xero!$B:$B,Heron!W$9,Xero!$A:$A,Heron!$A$4,Xero!$E:$E,Heron!$A64)+SUMIFS(Xero!$F:$F,Xero!$B:$B,Heron!W$9,Xero!$A:$A,Heron!$A$5,Xero!$E:$E,Heron!$A64)</f>
        <v>0</v>
      </c>
      <c r="X64" s="99">
        <f>SUMIFS(Xero!$F:$F,Xero!$B:$B,Heron!X$9,Xero!$A:$A,Heron!$A$4,Xero!$E:$E,Heron!$A64)+SUMIFS(Xero!$F:$F,Xero!$B:$B,Heron!X$9,Xero!$A:$A,Heron!$A$5,Xero!$E:$E,Heron!$A64)</f>
        <v>0</v>
      </c>
      <c r="Y64" s="99">
        <f>SUMIFS(Xero!$F:$F,Xero!$B:$B,Heron!Y$9,Xero!$A:$A,Heron!$A$4,Xero!$E:$E,Heron!$A64)+SUMIFS(Xero!$F:$F,Xero!$B:$B,Heron!Y$9,Xero!$A:$A,Heron!$A$5,Xero!$E:$E,Heron!$A64)</f>
        <v>0</v>
      </c>
      <c r="Z64" s="99">
        <f>SUMIFS(Xero!$F:$F,Xero!$B:$B,Heron!Z$9,Xero!$A:$A,Heron!$A$4,Xero!$E:$E,Heron!$A64)+SUMIFS(Xero!$F:$F,Xero!$B:$B,Heron!Z$9,Xero!$A:$A,Heron!$A$5,Xero!$E:$E,Heron!$A64)</f>
        <v>0</v>
      </c>
      <c r="AA64" s="99">
        <f>SUMIFS(Xero!$F:$F,Xero!$B:$B,Heron!AA$9,Xero!$A:$A,Heron!$A$4,Xero!$E:$E,Heron!$A64)+SUMIFS(Xero!$F:$F,Xero!$B:$B,Heron!AA$9,Xero!$A:$A,Heron!$A$5,Xero!$E:$E,Heron!$A64)</f>
        <v>0</v>
      </c>
      <c r="AB64" s="99">
        <f>SUMIFS(Xero!$F:$F,Xero!$B:$B,Heron!AB$9,Xero!$A:$A,Heron!$A$4,Xero!$E:$E,Heron!$A64)+SUMIFS(Xero!$F:$F,Xero!$B:$B,Heron!AB$9,Xero!$A:$A,Heron!$A$5,Xero!$E:$E,Heron!$A64)</f>
        <v>0</v>
      </c>
      <c r="AC64" s="99">
        <f>SUMIFS(Xero!$F:$F,Xero!$B:$B,Heron!AC$9,Xero!$A:$A,Heron!$A$4,Xero!$E:$E,Heron!$A64)+SUMIFS(Xero!$F:$F,Xero!$B:$B,Heron!AC$9,Xero!$A:$A,Heron!$A$5,Xero!$E:$E,Heron!$A64)</f>
        <v>0</v>
      </c>
      <c r="AD64" s="99">
        <f>SUMIFS(Xero!$F:$F,Xero!$B:$B,Heron!AD$9,Xero!$A:$A,Heron!$A$4,Xero!$E:$E,Heron!$A64)+SUMIFS(Xero!$F:$F,Xero!$B:$B,Heron!AD$9,Xero!$A:$A,Heron!$A$5,Xero!$E:$E,Heron!$A64)</f>
        <v>0</v>
      </c>
      <c r="AE64" s="99">
        <f>SUMIFS(Xero!$F:$F,Xero!$B:$B,Heron!AE$9,Xero!$A:$A,Heron!$A$4,Xero!$E:$E,Heron!$A64)+SUMIFS(Xero!$F:$F,Xero!$B:$B,Heron!AE$9,Xero!$A:$A,Heron!$A$5,Xero!$E:$E,Heron!$A64)</f>
        <v>0</v>
      </c>
      <c r="AF64" s="99">
        <f>SUMIFS(Xero!$F:$F,Xero!$B:$B,Heron!AF$9,Xero!$A:$A,Heron!$A$4,Xero!$E:$E,Heron!$A64)+SUMIFS(Xero!$F:$F,Xero!$B:$B,Heron!AF$9,Xero!$A:$A,Heron!$A$5,Xero!$E:$E,Heron!$A64)</f>
        <v>0</v>
      </c>
      <c r="AG64" s="99">
        <f>SUMIFS(Xero!$F:$F,Xero!$B:$B,Heron!AG$9,Xero!$A:$A,Heron!$A$4,Xero!$E:$E,Heron!$A64)+SUMIFS(Xero!$F:$F,Xero!$B:$B,Heron!AG$9,Xero!$A:$A,Heron!$A$5,Xero!$E:$E,Heron!$A64)</f>
        <v>0</v>
      </c>
      <c r="AH64" s="99">
        <f>SUMIFS(Xero!$F:$F,Xero!$B:$B,Heron!AH$9,Xero!$A:$A,Heron!$A$4,Xero!$E:$E,Heron!$A64)+SUMIFS(Xero!$F:$F,Xero!$B:$B,Heron!AH$9,Xero!$A:$A,Heron!$A$5,Xero!$E:$E,Heron!$A64)</f>
        <v>0</v>
      </c>
      <c r="AI64" s="99">
        <f>SUMIFS(Xero!$F:$F,Xero!$B:$B,Heron!AI$9,Xero!$A:$A,Heron!$A$4,Xero!$E:$E,Heron!$A64)+SUMIFS(Xero!$F:$F,Xero!$B:$B,Heron!AI$9,Xero!$A:$A,Heron!$A$5,Xero!$E:$E,Heron!$A64)</f>
        <v>0</v>
      </c>
      <c r="AJ64" s="99">
        <f>SUMIFS(Xero!$F:$F,Xero!$B:$B,Heron!AJ$9,Xero!$A:$A,Heron!$A$4,Xero!$E:$E,Heron!$A64)+SUMIFS(Xero!$F:$F,Xero!$B:$B,Heron!AJ$9,Xero!$A:$A,Heron!$A$5,Xero!$E:$E,Heron!$A64)</f>
        <v>0</v>
      </c>
      <c r="AK64" s="99">
        <f>SUMIFS(Xero!$F:$F,Xero!$B:$B,Heron!AK$9,Xero!$A:$A,Heron!$A$4,Xero!$E:$E,Heron!$A64)+SUMIFS(Xero!$F:$F,Xero!$B:$B,Heron!AK$9,Xero!$A:$A,Heron!$A$5,Xero!$E:$E,Heron!$A64)</f>
        <v>0</v>
      </c>
      <c r="AL64" s="99">
        <f>SUMIFS(Xero!$F:$F,Xero!$B:$B,Heron!AL$9,Xero!$A:$A,Heron!$A$4,Xero!$E:$E,Heron!$A64)+SUMIFS(Xero!$F:$F,Xero!$B:$B,Heron!AL$9,Xero!$A:$A,Heron!$A$5,Xero!$E:$E,Heron!$A64)</f>
        <v>0</v>
      </c>
      <c r="AM64" s="99">
        <f>SUMIFS(Xero!$F:$F,Xero!$B:$B,Heron!AM$9,Xero!$A:$A,Heron!$A$4,Xero!$E:$E,Heron!$A64)+SUMIFS(Xero!$F:$F,Xero!$B:$B,Heron!AM$9,Xero!$A:$A,Heron!$A$5,Xero!$E:$E,Heron!$A64)</f>
        <v>0</v>
      </c>
      <c r="AN64" s="99">
        <f>SUMIFS(Xero!$F:$F,Xero!$B:$B,Heron!AN$9,Xero!$A:$A,Heron!$A$4,Xero!$E:$E,Heron!$A64)+SUMIFS(Xero!$F:$F,Xero!$B:$B,Heron!AN$9,Xero!$A:$A,Heron!$A$5,Xero!$E:$E,Heron!$A64)</f>
        <v>0</v>
      </c>
      <c r="AO64" s="99">
        <f>SUMIFS(Xero!$F:$F,Xero!$B:$B,Heron!AO$9,Xero!$A:$A,Heron!$A$4,Xero!$E:$E,Heron!$A64)+SUMIFS(Xero!$F:$F,Xero!$B:$B,Heron!AO$9,Xero!$A:$A,Heron!$A$5,Xero!$E:$E,Heron!$A64)</f>
        <v>0</v>
      </c>
      <c r="AP64" s="99">
        <f>SUMIFS(Xero!$F:$F,Xero!$B:$B,Heron!AP$9,Xero!$A:$A,Heron!$A$4,Xero!$E:$E,Heron!$A64)+SUMIFS(Xero!$F:$F,Xero!$B:$B,Heron!AP$9,Xero!$A:$A,Heron!$A$5,Xero!$E:$E,Heron!$A64)</f>
        <v>0</v>
      </c>
      <c r="AQ64" s="99">
        <f>SUMIFS(Xero!$F:$F,Xero!$B:$B,Heron!AQ$9,Xero!$A:$A,Heron!$A$4,Xero!$E:$E,Heron!$A64)+SUMIFS(Xero!$F:$F,Xero!$B:$B,Heron!AQ$9,Xero!$A:$A,Heron!$A$5,Xero!$E:$E,Heron!$A64)</f>
        <v>0</v>
      </c>
      <c r="AR64" s="99">
        <f>SUMIFS(Xero!$F:$F,Xero!$B:$B,Heron!AR$9,Xero!$A:$A,Heron!$A$4,Xero!$E:$E,Heron!$A64)+SUMIFS(Xero!$F:$F,Xero!$B:$B,Heron!AR$9,Xero!$A:$A,Heron!$A$5,Xero!$E:$E,Heron!$A64)</f>
        <v>0</v>
      </c>
      <c r="AS64" s="99">
        <f>SUMIFS(Xero!$F:$F,Xero!$B:$B,Heron!AS$9,Xero!$A:$A,Heron!$A$4,Xero!$E:$E,Heron!$A64)+SUMIFS(Xero!$F:$F,Xero!$B:$B,Heron!AS$9,Xero!$A:$A,Heron!$A$5,Xero!$E:$E,Heron!$A64)</f>
        <v>0</v>
      </c>
      <c r="AT64" s="99">
        <f>SUMIFS(Xero!$F:$F,Xero!$B:$B,Heron!AT$9,Xero!$A:$A,Heron!$A$4,Xero!$E:$E,Heron!$A64)+SUMIFS(Xero!$F:$F,Xero!$B:$B,Heron!AT$9,Xero!$A:$A,Heron!$A$5,Xero!$E:$E,Heron!$A64)</f>
        <v>0</v>
      </c>
      <c r="AU64" s="99">
        <f>SUMIFS(Xero!$F:$F,Xero!$B:$B,Heron!AU$9,Xero!$A:$A,Heron!$A$4,Xero!$E:$E,Heron!$A64)+SUMIFS(Xero!$F:$F,Xero!$B:$B,Heron!AU$9,Xero!$A:$A,Heron!$A$5,Xero!$E:$E,Heron!$A64)</f>
        <v>0</v>
      </c>
      <c r="AV64" s="99">
        <f>SUMIFS(Xero!$F:$F,Xero!$B:$B,Heron!AV$9,Xero!$A:$A,Heron!$A$4,Xero!$E:$E,Heron!$A64)+SUMIFS(Xero!$F:$F,Xero!$B:$B,Heron!AV$9,Xero!$A:$A,Heron!$A$5,Xero!$E:$E,Heron!$A64)</f>
        <v>0</v>
      </c>
      <c r="AW64" s="99">
        <f>SUMIFS(Xero!$F:$F,Xero!$B:$B,Heron!AW$9,Xero!$A:$A,Heron!$A$4,Xero!$E:$E,Heron!$A64)+SUMIFS(Xero!$F:$F,Xero!$B:$B,Heron!AW$9,Xero!$A:$A,Heron!$A$5,Xero!$E:$E,Heron!$A64)</f>
        <v>0</v>
      </c>
      <c r="AX64" s="99">
        <f>SUMIFS(Xero!$F:$F,Xero!$B:$B,Heron!AX$9,Xero!$A:$A,Heron!$A$4,Xero!$E:$E,Heron!$A64)+SUMIFS(Xero!$F:$F,Xero!$B:$B,Heron!AX$9,Xero!$A:$A,Heron!$A$5,Xero!$E:$E,Heron!$A64)</f>
        <v>0</v>
      </c>
      <c r="AY64" s="99">
        <f>SUMIFS(Xero!$F:$F,Xero!$B:$B,Heron!AY$9,Xero!$A:$A,Heron!$A$4,Xero!$E:$E,Heron!$A64)+SUMIFS(Xero!$F:$F,Xero!$B:$B,Heron!AY$9,Xero!$A:$A,Heron!$A$5,Xero!$E:$E,Heron!$A64)</f>
        <v>0</v>
      </c>
      <c r="AZ64" s="99">
        <f>SUMIFS(Xero!$F:$F,Xero!$B:$B,Heron!AZ$9,Xero!$A:$A,Heron!$A$4,Xero!$E:$E,Heron!$A64)+SUMIFS(Xero!$F:$F,Xero!$B:$B,Heron!AZ$9,Xero!$A:$A,Heron!$A$5,Xero!$E:$E,Heron!$A64)</f>
        <v>0</v>
      </c>
      <c r="BA64" s="99">
        <f>SUMIFS(Xero!$F:$F,Xero!$B:$B,Heron!BA$9,Xero!$A:$A,Heron!$A$4,Xero!$E:$E,Heron!$A64)+SUMIFS(Xero!$F:$F,Xero!$B:$B,Heron!BA$9,Xero!$A:$A,Heron!$A$5,Xero!$E:$E,Heron!$A64)</f>
        <v>0</v>
      </c>
      <c r="BB64" s="99">
        <f>SUMIFS(Xero!$F:$F,Xero!$B:$B,Heron!BB$9,Xero!$A:$A,Heron!$A$4,Xero!$E:$E,Heron!$A64)+SUMIFS(Xero!$F:$F,Xero!$B:$B,Heron!BB$9,Xero!$A:$A,Heron!$A$5,Xero!$E:$E,Heron!$A64)</f>
        <v>0</v>
      </c>
      <c r="BC64" s="99">
        <f>SUMIFS(Xero!$F:$F,Xero!$B:$B,Heron!BC$9,Xero!$A:$A,Heron!$A$4,Xero!$E:$E,Heron!$A64)+SUMIFS(Xero!$F:$F,Xero!$B:$B,Heron!BC$9,Xero!$A:$A,Heron!$A$5,Xero!$E:$E,Heron!$A64)</f>
        <v>0</v>
      </c>
      <c r="BD64" s="99">
        <f>SUMIFS(Xero!$F:$F,Xero!$B:$B,Heron!BD$9,Xero!$A:$A,Heron!$A$4,Xero!$E:$E,Heron!$A64)+SUMIFS(Xero!$F:$F,Xero!$B:$B,Heron!BD$9,Xero!$A:$A,Heron!$A$5,Xero!$E:$E,Heron!$A64)</f>
        <v>0</v>
      </c>
      <c r="BE64" s="99">
        <f>SUMIFS(Xero!$F:$F,Xero!$B:$B,Heron!BE$9,Xero!$A:$A,Heron!$A$4,Xero!$E:$E,Heron!$A64)+SUMIFS(Xero!$F:$F,Xero!$B:$B,Heron!BE$9,Xero!$A:$A,Heron!$A$5,Xero!$E:$E,Heron!$A64)</f>
        <v>0</v>
      </c>
      <c r="BF64" s="99">
        <f>SUMIFS(Xero!$F:$F,Xero!$B:$B,Heron!BF$9,Xero!$A:$A,Heron!$A$4,Xero!$E:$E,Heron!$A64)+SUMIFS(Xero!$F:$F,Xero!$B:$B,Heron!BF$9,Xero!$A:$A,Heron!$A$5,Xero!$E:$E,Heron!$A64)</f>
        <v>0</v>
      </c>
      <c r="BG64" s="99">
        <f>SUMIFS(Xero!$F:$F,Xero!$B:$B,Heron!BG$9,Xero!$A:$A,Heron!$A$4,Xero!$E:$E,Heron!$A64)+SUMIFS(Xero!$F:$F,Xero!$B:$B,Heron!BG$9,Xero!$A:$A,Heron!$A$5,Xero!$E:$E,Heron!$A64)</f>
        <v>0</v>
      </c>
      <c r="BH64" s="99">
        <f>SUMIFS(Xero!$F:$F,Xero!$B:$B,Heron!BH$9,Xero!$A:$A,Heron!$A$4,Xero!$E:$E,Heron!$A64)+SUMIFS(Xero!$F:$F,Xero!$B:$B,Heron!BH$9,Xero!$A:$A,Heron!$A$5,Xero!$E:$E,Heron!$A64)</f>
        <v>0</v>
      </c>
      <c r="BI64" s="99">
        <f>SUMIFS(Xero!$F:$F,Xero!$B:$B,Heron!BI$9,Xero!$A:$A,Heron!$A$4,Xero!$E:$E,Heron!$A64)+SUMIFS(Xero!$F:$F,Xero!$B:$B,Heron!BI$9,Xero!$A:$A,Heron!$A$5,Xero!$E:$E,Heron!$A64)</f>
        <v>0</v>
      </c>
      <c r="BJ64" s="99">
        <f>SUMIFS(Xero!$F:$F,Xero!$B:$B,Heron!BJ$9,Xero!$A:$A,Heron!$A$4,Xero!$E:$E,Heron!$A64)+SUMIFS(Xero!$F:$F,Xero!$B:$B,Heron!BJ$9,Xero!$A:$A,Heron!$A$5,Xero!$E:$E,Heron!$A64)</f>
        <v>0</v>
      </c>
      <c r="BK64" s="99">
        <f t="shared" si="4"/>
        <v>3000</v>
      </c>
    </row>
    <row r="65" spans="1:63" ht="16" x14ac:dyDescent="0.2">
      <c r="A65" s="98" t="s">
        <v>1095</v>
      </c>
      <c r="D65" s="99">
        <f>SUMIFS(Xero!$F:$F,Xero!$B:$B,Heron!D$9,Xero!$A:$A,Heron!$A$4,Xero!$E:$E,Heron!$A65)+SUMIFS(Xero!$F:$F,Xero!$B:$B,Heron!D$9,Xero!$A:$A,Heron!$A$5,Xero!$E:$E,Heron!$A65)</f>
        <v>0</v>
      </c>
      <c r="E65" s="99">
        <f>SUMIFS(Xero!$F:$F,Xero!$B:$B,Heron!E$9,Xero!$A:$A,Heron!$A$4,Xero!$E:$E,Heron!$A65)+SUMIFS(Xero!$F:$F,Xero!$B:$B,Heron!E$9,Xero!$A:$A,Heron!$A$5,Xero!$E:$E,Heron!$A65)</f>
        <v>0</v>
      </c>
      <c r="F65" s="99">
        <f>SUMIFS(Xero!$F:$F,Xero!$B:$B,Heron!F$9,Xero!$A:$A,Heron!$A$4,Xero!$E:$E,Heron!$A65)+SUMIFS(Xero!$F:$F,Xero!$B:$B,Heron!F$9,Xero!$A:$A,Heron!$A$5,Xero!$E:$E,Heron!$A65)</f>
        <v>0</v>
      </c>
      <c r="G65" s="99">
        <f>SUMIFS(Xero!$F:$F,Xero!$B:$B,Heron!G$9,Xero!$A:$A,Heron!$A$4,Xero!$E:$E,Heron!$A65)+SUMIFS(Xero!$F:$F,Xero!$B:$B,Heron!G$9,Xero!$A:$A,Heron!$A$5,Xero!$E:$E,Heron!$A65)</f>
        <v>0</v>
      </c>
      <c r="H65" s="99">
        <f>SUMIFS(Xero!$F:$F,Xero!$B:$B,Heron!H$9,Xero!$A:$A,Heron!$A$4,Xero!$E:$E,Heron!$A65)+SUMIFS(Xero!$F:$F,Xero!$B:$B,Heron!H$9,Xero!$A:$A,Heron!$A$5,Xero!$E:$E,Heron!$A65)</f>
        <v>0</v>
      </c>
      <c r="I65" s="99">
        <f>SUMIFS(Xero!$F:$F,Xero!$B:$B,Heron!I$9,Xero!$A:$A,Heron!$A$4,Xero!$E:$E,Heron!$A65)+SUMIFS(Xero!$F:$F,Xero!$B:$B,Heron!I$9,Xero!$A:$A,Heron!$A$5,Xero!$E:$E,Heron!$A65)</f>
        <v>0</v>
      </c>
      <c r="J65" s="99">
        <f>SUMIFS(Xero!$F:$F,Xero!$B:$B,Heron!J$9,Xero!$A:$A,Heron!$A$4,Xero!$E:$E,Heron!$A65)+SUMIFS(Xero!$F:$F,Xero!$B:$B,Heron!J$9,Xero!$A:$A,Heron!$A$5,Xero!$E:$E,Heron!$A65)</f>
        <v>67385</v>
      </c>
      <c r="K65" s="99">
        <f>SUMIFS(Xero!$F:$F,Xero!$B:$B,Heron!K$9,Xero!$A:$A,Heron!$A$4,Xero!$E:$E,Heron!$A65)+SUMIFS(Xero!$F:$F,Xero!$B:$B,Heron!K$9,Xero!$A:$A,Heron!$A$5,Xero!$E:$E,Heron!$A65)</f>
        <v>73220.73</v>
      </c>
      <c r="L65" s="99">
        <f>SUMIFS(Xero!$F:$F,Xero!$B:$B,Heron!L$9,Xero!$A:$A,Heron!$A$4,Xero!$E:$E,Heron!$A65)+SUMIFS(Xero!$F:$F,Xero!$B:$B,Heron!L$9,Xero!$A:$A,Heron!$A$5,Xero!$E:$E,Heron!$A65)</f>
        <v>73960</v>
      </c>
      <c r="M65" s="99">
        <f>SUMIFS(Xero!$F:$F,Xero!$B:$B,Heron!M$9,Xero!$A:$A,Heron!$A$4,Xero!$E:$E,Heron!$A65)+SUMIFS(Xero!$F:$F,Xero!$B:$B,Heron!M$9,Xero!$A:$A,Heron!$A$5,Xero!$E:$E,Heron!$A65)</f>
        <v>76348.100000000006</v>
      </c>
      <c r="N65" s="99">
        <f>SUMIFS(Xero!$F:$F,Xero!$B:$B,Heron!N$9,Xero!$A:$A,Heron!$A$4,Xero!$E:$E,Heron!$A65)+SUMIFS(Xero!$F:$F,Xero!$B:$B,Heron!N$9,Xero!$A:$A,Heron!$A$5,Xero!$E:$E,Heron!$A65)</f>
        <v>70984.92</v>
      </c>
      <c r="O65" s="99">
        <f>SUMIFS(Xero!$F:$F,Xero!$B:$B,Heron!O$9,Xero!$A:$A,Heron!$A$4,Xero!$E:$E,Heron!$A65)+SUMIFS(Xero!$F:$F,Xero!$B:$B,Heron!O$9,Xero!$A:$A,Heron!$A$5,Xero!$E:$E,Heron!$A65)</f>
        <v>71410</v>
      </c>
      <c r="P65" s="99">
        <f>SUMIFS(Xero!$F:$F,Xero!$B:$B,Heron!P$9,Xero!$A:$A,Heron!$A$4,Xero!$E:$E,Heron!$A65)+SUMIFS(Xero!$F:$F,Xero!$B:$B,Heron!P$9,Xero!$A:$A,Heron!$A$5,Xero!$E:$E,Heron!$A65)</f>
        <v>67644.039999999994</v>
      </c>
      <c r="Q65" s="99">
        <f>SUMIFS(Xero!$F:$F,Xero!$B:$B,Heron!Q$9,Xero!$A:$A,Heron!$A$4,Xero!$E:$E,Heron!$A65)+SUMIFS(Xero!$F:$F,Xero!$B:$B,Heron!Q$9,Xero!$A:$A,Heron!$A$5,Xero!$E:$E,Heron!$A65)</f>
        <v>78771.649999999994</v>
      </c>
      <c r="R65" s="99">
        <f>SUMIFS(Xero!$F:$F,Xero!$B:$B,Heron!R$9,Xero!$A:$A,Heron!$A$4,Xero!$E:$E,Heron!$A65)+SUMIFS(Xero!$F:$F,Xero!$B:$B,Heron!R$9,Xero!$A:$A,Heron!$A$5,Xero!$E:$E,Heron!$A65)</f>
        <v>86424.99</v>
      </c>
      <c r="S65" s="99">
        <f>SUMIFS(Xero!$F:$F,Xero!$B:$B,Heron!S$9,Xero!$A:$A,Heron!$A$4,Xero!$E:$E,Heron!$A65)+SUMIFS(Xero!$F:$F,Xero!$B:$B,Heron!S$9,Xero!$A:$A,Heron!$A$5,Xero!$E:$E,Heron!$A65)</f>
        <v>86425</v>
      </c>
      <c r="T65" s="99">
        <f>SUMIFS(Xero!$F:$F,Xero!$B:$B,Heron!T$9,Xero!$A:$A,Heron!$A$4,Xero!$E:$E,Heron!$A65)+SUMIFS(Xero!$F:$F,Xero!$B:$B,Heron!T$9,Xero!$A:$A,Heron!$A$5,Xero!$E:$E,Heron!$A65)</f>
        <v>86425</v>
      </c>
      <c r="U65" s="99">
        <f>SUMIFS(Xero!$F:$F,Xero!$B:$B,Heron!U$9,Xero!$A:$A,Heron!$A$4,Xero!$E:$E,Heron!$A65)+SUMIFS(Xero!$F:$F,Xero!$B:$B,Heron!U$9,Xero!$A:$A,Heron!$A$5,Xero!$E:$E,Heron!$A65)</f>
        <v>83750</v>
      </c>
      <c r="V65" s="99">
        <f>SUMIFS(Xero!$F:$F,Xero!$B:$B,Heron!V$9,Xero!$A:$A,Heron!$A$4,Xero!$E:$E,Heron!$A65)+SUMIFS(Xero!$F:$F,Xero!$B:$B,Heron!V$9,Xero!$A:$A,Heron!$A$5,Xero!$E:$E,Heron!$A65)</f>
        <v>90550</v>
      </c>
      <c r="W65" s="99">
        <f>SUMIFS(Xero!$F:$F,Xero!$B:$B,Heron!W$9,Xero!$A:$A,Heron!$A$4,Xero!$E:$E,Heron!$A65)+SUMIFS(Xero!$F:$F,Xero!$B:$B,Heron!W$9,Xero!$A:$A,Heron!$A$5,Xero!$E:$E,Heron!$A65)</f>
        <v>90550</v>
      </c>
      <c r="X65" s="99">
        <f>SUMIFS(Xero!$F:$F,Xero!$B:$B,Heron!X$9,Xero!$A:$A,Heron!$A$4,Xero!$E:$E,Heron!$A65)+SUMIFS(Xero!$F:$F,Xero!$B:$B,Heron!X$9,Xero!$A:$A,Heron!$A$5,Xero!$E:$E,Heron!$A65)</f>
        <v>81000</v>
      </c>
      <c r="Y65" s="99">
        <f>SUMIFS(Xero!$F:$F,Xero!$B:$B,Heron!Y$9,Xero!$A:$A,Heron!$A$4,Xero!$E:$E,Heron!$A65)+SUMIFS(Xero!$F:$F,Xero!$B:$B,Heron!Y$9,Xero!$A:$A,Heron!$A$5,Xero!$E:$E,Heron!$A65)</f>
        <v>102812.43</v>
      </c>
      <c r="Z65" s="99">
        <f>SUMIFS(Xero!$F:$F,Xero!$B:$B,Heron!Z$9,Xero!$A:$A,Heron!$A$4,Xero!$E:$E,Heron!$A65)+SUMIFS(Xero!$F:$F,Xero!$B:$B,Heron!Z$9,Xero!$A:$A,Heron!$A$5,Xero!$E:$E,Heron!$A65)</f>
        <v>82812.429999999993</v>
      </c>
      <c r="AA65" s="99">
        <f>SUMIFS(Xero!$F:$F,Xero!$B:$B,Heron!AA$9,Xero!$A:$A,Heron!$A$4,Xero!$E:$E,Heron!$A65)+SUMIFS(Xero!$F:$F,Xero!$B:$B,Heron!AA$9,Xero!$A:$A,Heron!$A$5,Xero!$E:$E,Heron!$A65)</f>
        <v>103742</v>
      </c>
      <c r="AB65" s="99">
        <f>SUMIFS(Xero!$F:$F,Xero!$B:$B,Heron!AB$9,Xero!$A:$A,Heron!$A$4,Xero!$E:$E,Heron!$A65)+SUMIFS(Xero!$F:$F,Xero!$B:$B,Heron!AB$9,Xero!$A:$A,Heron!$A$5,Xero!$E:$E,Heron!$A65)</f>
        <v>109218.57</v>
      </c>
      <c r="AC65" s="99">
        <f>SUMIFS(Xero!$F:$F,Xero!$B:$B,Heron!AC$9,Xero!$A:$A,Heron!$A$4,Xero!$E:$E,Heron!$A65)+SUMIFS(Xero!$F:$F,Xero!$B:$B,Heron!AC$9,Xero!$A:$A,Heron!$A$5,Xero!$E:$E,Heron!$A65)</f>
        <v>98308</v>
      </c>
      <c r="AD65" s="99">
        <f>SUMIFS(Xero!$F:$F,Xero!$B:$B,Heron!AD$9,Xero!$A:$A,Heron!$A$4,Xero!$E:$E,Heron!$A65)+SUMIFS(Xero!$F:$F,Xero!$B:$B,Heron!AD$9,Xero!$A:$A,Heron!$A$5,Xero!$E:$E,Heron!$A65)</f>
        <v>121658</v>
      </c>
      <c r="AE65" s="99">
        <f>SUMIFS(Xero!$F:$F,Xero!$B:$B,Heron!AE$9,Xero!$A:$A,Heron!$A$4,Xero!$E:$E,Heron!$A65)+SUMIFS(Xero!$F:$F,Xero!$B:$B,Heron!AE$9,Xero!$A:$A,Heron!$A$5,Xero!$E:$E,Heron!$A65)</f>
        <v>121658</v>
      </c>
      <c r="AF65" s="99">
        <f>SUMIFS(Xero!$F:$F,Xero!$B:$B,Heron!AF$9,Xero!$A:$A,Heron!$A$4,Xero!$E:$E,Heron!$A65)+SUMIFS(Xero!$F:$F,Xero!$B:$B,Heron!AF$9,Xero!$A:$A,Heron!$A$5,Xero!$E:$E,Heron!$A65)</f>
        <v>121658</v>
      </c>
      <c r="AG65" s="99">
        <f>SUMIFS(Xero!$F:$F,Xero!$B:$B,Heron!AG$9,Xero!$A:$A,Heron!$A$4,Xero!$E:$E,Heron!$A65)+SUMIFS(Xero!$F:$F,Xero!$B:$B,Heron!AG$9,Xero!$A:$A,Heron!$A$5,Xero!$E:$E,Heron!$A65)</f>
        <v>122083</v>
      </c>
      <c r="AH65" s="99">
        <f>SUMIFS(Xero!$F:$F,Xero!$B:$B,Heron!AH$9,Xero!$A:$A,Heron!$A$4,Xero!$E:$E,Heron!$A65)+SUMIFS(Xero!$F:$F,Xero!$B:$B,Heron!AH$9,Xero!$A:$A,Heron!$A$5,Xero!$E:$E,Heron!$A65)</f>
        <v>128833</v>
      </c>
      <c r="AI65" s="99">
        <f>SUMIFS(Xero!$F:$F,Xero!$B:$B,Heron!AI$9,Xero!$A:$A,Heron!$A$4,Xero!$E:$E,Heron!$A65)+SUMIFS(Xero!$F:$F,Xero!$B:$B,Heron!AI$9,Xero!$A:$A,Heron!$A$5,Xero!$E:$E,Heron!$A65)</f>
        <v>115333</v>
      </c>
      <c r="AJ65" s="99">
        <f>SUMIFS(Xero!$F:$F,Xero!$B:$B,Heron!AJ$9,Xero!$A:$A,Heron!$A$4,Xero!$E:$E,Heron!$A65)+SUMIFS(Xero!$F:$F,Xero!$B:$B,Heron!AJ$9,Xero!$A:$A,Heron!$A$5,Xero!$E:$E,Heron!$A65)</f>
        <v>115333</v>
      </c>
      <c r="AK65" s="99">
        <f>SUMIFS(Xero!$F:$F,Xero!$B:$B,Heron!AK$9,Xero!$A:$A,Heron!$A$4,Xero!$E:$E,Heron!$A65)+SUMIFS(Xero!$F:$F,Xero!$B:$B,Heron!AK$9,Xero!$A:$A,Heron!$A$5,Xero!$E:$E,Heron!$A65)</f>
        <v>116233</v>
      </c>
      <c r="AL65" s="99">
        <f>SUMIFS(Xero!$F:$F,Xero!$B:$B,Heron!AL$9,Xero!$A:$A,Heron!$A$4,Xero!$E:$E,Heron!$A65)+SUMIFS(Xero!$F:$F,Xero!$B:$B,Heron!AL$9,Xero!$A:$A,Heron!$A$5,Xero!$E:$E,Heron!$A65)</f>
        <v>120475.57</v>
      </c>
      <c r="AM65" s="99">
        <f>SUMIFS(Xero!$F:$F,Xero!$B:$B,Heron!AM$9,Xero!$A:$A,Heron!$A$4,Xero!$E:$E,Heron!$A65)+SUMIFS(Xero!$F:$F,Xero!$B:$B,Heron!AM$9,Xero!$A:$A,Heron!$A$5,Xero!$E:$E,Heron!$A65)</f>
        <v>0</v>
      </c>
      <c r="AN65" s="99">
        <f>SUMIFS(Xero!$F:$F,Xero!$B:$B,Heron!AN$9,Xero!$A:$A,Heron!$A$4,Xero!$E:$E,Heron!$A65)+SUMIFS(Xero!$F:$F,Xero!$B:$B,Heron!AN$9,Xero!$A:$A,Heron!$A$5,Xero!$E:$E,Heron!$A65)</f>
        <v>113979.47</v>
      </c>
      <c r="AO65" s="99">
        <f>SUMIFS(Xero!$F:$F,Xero!$B:$B,Heron!AO$9,Xero!$A:$A,Heron!$A$4,Xero!$E:$E,Heron!$A65)+SUMIFS(Xero!$F:$F,Xero!$B:$B,Heron!AO$9,Xero!$A:$A,Heron!$A$5,Xero!$E:$E,Heron!$A65)</f>
        <v>0</v>
      </c>
      <c r="AP65" s="99">
        <f>SUMIFS(Xero!$F:$F,Xero!$B:$B,Heron!AP$9,Xero!$A:$A,Heron!$A$4,Xero!$E:$E,Heron!$A65)+SUMIFS(Xero!$F:$F,Xero!$B:$B,Heron!AP$9,Xero!$A:$A,Heron!$A$5,Xero!$E:$E,Heron!$A65)</f>
        <v>124185.32</v>
      </c>
      <c r="AQ65" s="99">
        <f>SUMIFS(Xero!$F:$F,Xero!$B:$B,Heron!AQ$9,Xero!$A:$A,Heron!$A$4,Xero!$E:$E,Heron!$A65)+SUMIFS(Xero!$F:$F,Xero!$B:$B,Heron!AQ$9,Xero!$A:$A,Heron!$A$5,Xero!$E:$E,Heron!$A65)</f>
        <v>126260.32</v>
      </c>
      <c r="AR65" s="99">
        <f>SUMIFS(Xero!$F:$F,Xero!$B:$B,Heron!AR$9,Xero!$A:$A,Heron!$A$4,Xero!$E:$E,Heron!$A65)+SUMIFS(Xero!$F:$F,Xero!$B:$B,Heron!AR$9,Xero!$A:$A,Heron!$A$5,Xero!$E:$E,Heron!$A65)</f>
        <v>91600.320000000007</v>
      </c>
      <c r="AS65" s="99">
        <f>SUMIFS(Xero!$F:$F,Xero!$B:$B,Heron!AS$9,Xero!$A:$A,Heron!$A$4,Xero!$E:$E,Heron!$A65)+SUMIFS(Xero!$F:$F,Xero!$B:$B,Heron!AS$9,Xero!$A:$A,Heron!$A$5,Xero!$E:$E,Heron!$A65)</f>
        <v>0</v>
      </c>
      <c r="AT65" s="99">
        <f>SUMIFS(Xero!$F:$F,Xero!$B:$B,Heron!AT$9,Xero!$A:$A,Heron!$A$4,Xero!$E:$E,Heron!$A65)+SUMIFS(Xero!$F:$F,Xero!$B:$B,Heron!AT$9,Xero!$A:$A,Heron!$A$5,Xero!$E:$E,Heron!$A65)</f>
        <v>0</v>
      </c>
      <c r="AU65" s="99">
        <f>SUMIFS(Xero!$F:$F,Xero!$B:$B,Heron!AU$9,Xero!$A:$A,Heron!$A$4,Xero!$E:$E,Heron!$A65)+SUMIFS(Xero!$F:$F,Xero!$B:$B,Heron!AU$9,Xero!$A:$A,Heron!$A$5,Xero!$E:$E,Heron!$A65)</f>
        <v>0</v>
      </c>
      <c r="AV65" s="99">
        <f>SUMIFS(Xero!$F:$F,Xero!$B:$B,Heron!AV$9,Xero!$A:$A,Heron!$A$4,Xero!$E:$E,Heron!$A65)+SUMIFS(Xero!$F:$F,Xero!$B:$B,Heron!AV$9,Xero!$A:$A,Heron!$A$5,Xero!$E:$E,Heron!$A65)</f>
        <v>0</v>
      </c>
      <c r="AW65" s="99">
        <f>SUMIFS(Xero!$F:$F,Xero!$B:$B,Heron!AW$9,Xero!$A:$A,Heron!$A$4,Xero!$E:$E,Heron!$A65)+SUMIFS(Xero!$F:$F,Xero!$B:$B,Heron!AW$9,Xero!$A:$A,Heron!$A$5,Xero!$E:$E,Heron!$A65)</f>
        <v>0</v>
      </c>
      <c r="AX65" s="99">
        <f>SUMIFS(Xero!$F:$F,Xero!$B:$B,Heron!AX$9,Xero!$A:$A,Heron!$A$4,Xero!$E:$E,Heron!$A65)+SUMIFS(Xero!$F:$F,Xero!$B:$B,Heron!AX$9,Xero!$A:$A,Heron!$A$5,Xero!$E:$E,Heron!$A65)</f>
        <v>0</v>
      </c>
      <c r="AY65" s="99">
        <f>SUMIFS(Xero!$F:$F,Xero!$B:$B,Heron!AY$9,Xero!$A:$A,Heron!$A$4,Xero!$E:$E,Heron!$A65)+SUMIFS(Xero!$F:$F,Xero!$B:$B,Heron!AY$9,Xero!$A:$A,Heron!$A$5,Xero!$E:$E,Heron!$A65)</f>
        <v>0</v>
      </c>
      <c r="AZ65" s="99">
        <f>SUMIFS(Xero!$F:$F,Xero!$B:$B,Heron!AZ$9,Xero!$A:$A,Heron!$A$4,Xero!$E:$E,Heron!$A65)+SUMIFS(Xero!$F:$F,Xero!$B:$B,Heron!AZ$9,Xero!$A:$A,Heron!$A$5,Xero!$E:$E,Heron!$A65)</f>
        <v>0</v>
      </c>
      <c r="BA65" s="99">
        <f>SUMIFS(Xero!$F:$F,Xero!$B:$B,Heron!BA$9,Xero!$A:$A,Heron!$A$4,Xero!$E:$E,Heron!$A65)+SUMIFS(Xero!$F:$F,Xero!$B:$B,Heron!BA$9,Xero!$A:$A,Heron!$A$5,Xero!$E:$E,Heron!$A65)</f>
        <v>0</v>
      </c>
      <c r="BB65" s="99">
        <f>SUMIFS(Xero!$F:$F,Xero!$B:$B,Heron!BB$9,Xero!$A:$A,Heron!$A$4,Xero!$E:$E,Heron!$A65)+SUMIFS(Xero!$F:$F,Xero!$B:$B,Heron!BB$9,Xero!$A:$A,Heron!$A$5,Xero!$E:$E,Heron!$A65)</f>
        <v>0</v>
      </c>
      <c r="BC65" s="99">
        <f>SUMIFS(Xero!$F:$F,Xero!$B:$B,Heron!BC$9,Xero!$A:$A,Heron!$A$4,Xero!$E:$E,Heron!$A65)+SUMIFS(Xero!$F:$F,Xero!$B:$B,Heron!BC$9,Xero!$A:$A,Heron!$A$5,Xero!$E:$E,Heron!$A65)</f>
        <v>0</v>
      </c>
      <c r="BD65" s="99">
        <f>SUMIFS(Xero!$F:$F,Xero!$B:$B,Heron!BD$9,Xero!$A:$A,Heron!$A$4,Xero!$E:$E,Heron!$A65)+SUMIFS(Xero!$F:$F,Xero!$B:$B,Heron!BD$9,Xero!$A:$A,Heron!$A$5,Xero!$E:$E,Heron!$A65)</f>
        <v>0</v>
      </c>
      <c r="BE65" s="99">
        <f>SUMIFS(Xero!$F:$F,Xero!$B:$B,Heron!BE$9,Xero!$A:$A,Heron!$A$4,Xero!$E:$E,Heron!$A65)+SUMIFS(Xero!$F:$F,Xero!$B:$B,Heron!BE$9,Xero!$A:$A,Heron!$A$5,Xero!$E:$E,Heron!$A65)</f>
        <v>0</v>
      </c>
      <c r="BF65" s="99">
        <f>SUMIFS(Xero!$F:$F,Xero!$B:$B,Heron!BF$9,Xero!$A:$A,Heron!$A$4,Xero!$E:$E,Heron!$A65)+SUMIFS(Xero!$F:$F,Xero!$B:$B,Heron!BF$9,Xero!$A:$A,Heron!$A$5,Xero!$E:$E,Heron!$A65)</f>
        <v>0</v>
      </c>
      <c r="BG65" s="99">
        <f>SUMIFS(Xero!$F:$F,Xero!$B:$B,Heron!BG$9,Xero!$A:$A,Heron!$A$4,Xero!$E:$E,Heron!$A65)+SUMIFS(Xero!$F:$F,Xero!$B:$B,Heron!BG$9,Xero!$A:$A,Heron!$A$5,Xero!$E:$E,Heron!$A65)</f>
        <v>0</v>
      </c>
      <c r="BH65" s="99">
        <f>SUMIFS(Xero!$F:$F,Xero!$B:$B,Heron!BH$9,Xero!$A:$A,Heron!$A$4,Xero!$E:$E,Heron!$A65)+SUMIFS(Xero!$F:$F,Xero!$B:$B,Heron!BH$9,Xero!$A:$A,Heron!$A$5,Xero!$E:$E,Heron!$A65)</f>
        <v>0</v>
      </c>
      <c r="BI65" s="99">
        <f>SUMIFS(Xero!$F:$F,Xero!$B:$B,Heron!BI$9,Xero!$A:$A,Heron!$A$4,Xero!$E:$E,Heron!$A65)+SUMIFS(Xero!$F:$F,Xero!$B:$B,Heron!BI$9,Xero!$A:$A,Heron!$A$5,Xero!$E:$E,Heron!$A65)</f>
        <v>0</v>
      </c>
      <c r="BJ65" s="99">
        <f>SUMIFS(Xero!$F:$F,Xero!$B:$B,Heron!BJ$9,Xero!$A:$A,Heron!$A$4,Xero!$E:$E,Heron!$A65)+SUMIFS(Xero!$F:$F,Xero!$B:$B,Heron!BJ$9,Xero!$A:$A,Heron!$A$5,Xero!$E:$E,Heron!$A65)</f>
        <v>0</v>
      </c>
      <c r="BK65" s="99">
        <f t="shared" ref="BK65:BK96" si="5">SUM(D65:BJ65)</f>
        <v>3221032.8599999994</v>
      </c>
    </row>
    <row r="66" spans="1:63" ht="16" x14ac:dyDescent="0.2">
      <c r="A66" s="98" t="s">
        <v>1120</v>
      </c>
      <c r="D66" s="99">
        <f>SUMIFS(Xero!$F:$F,Xero!$B:$B,Heron!D$9,Xero!$A:$A,Heron!$A$4,Xero!$E:$E,Heron!$A66)+SUMIFS(Xero!$F:$F,Xero!$B:$B,Heron!D$9,Xero!$A:$A,Heron!$A$5,Xero!$E:$E,Heron!$A66)</f>
        <v>0</v>
      </c>
      <c r="E66" s="99">
        <f>SUMIFS(Xero!$F:$F,Xero!$B:$B,Heron!E$9,Xero!$A:$A,Heron!$A$4,Xero!$E:$E,Heron!$A66)+SUMIFS(Xero!$F:$F,Xero!$B:$B,Heron!E$9,Xero!$A:$A,Heron!$A$5,Xero!$E:$E,Heron!$A66)</f>
        <v>0</v>
      </c>
      <c r="F66" s="99">
        <f>SUMIFS(Xero!$F:$F,Xero!$B:$B,Heron!F$9,Xero!$A:$A,Heron!$A$4,Xero!$E:$E,Heron!$A66)+SUMIFS(Xero!$F:$F,Xero!$B:$B,Heron!F$9,Xero!$A:$A,Heron!$A$5,Xero!$E:$E,Heron!$A66)</f>
        <v>0</v>
      </c>
      <c r="G66" s="99">
        <f>SUMIFS(Xero!$F:$F,Xero!$B:$B,Heron!G$9,Xero!$A:$A,Heron!$A$4,Xero!$E:$E,Heron!$A66)+SUMIFS(Xero!$F:$F,Xero!$B:$B,Heron!G$9,Xero!$A:$A,Heron!$A$5,Xero!$E:$E,Heron!$A66)</f>
        <v>0</v>
      </c>
      <c r="H66" s="99">
        <f>SUMIFS(Xero!$F:$F,Xero!$B:$B,Heron!H$9,Xero!$A:$A,Heron!$A$4,Xero!$E:$E,Heron!$A66)+SUMIFS(Xero!$F:$F,Xero!$B:$B,Heron!H$9,Xero!$A:$A,Heron!$A$5,Xero!$E:$E,Heron!$A66)</f>
        <v>0</v>
      </c>
      <c r="I66" s="99">
        <f>SUMIFS(Xero!$F:$F,Xero!$B:$B,Heron!I$9,Xero!$A:$A,Heron!$A$4,Xero!$E:$E,Heron!$A66)+SUMIFS(Xero!$F:$F,Xero!$B:$B,Heron!I$9,Xero!$A:$A,Heron!$A$5,Xero!$E:$E,Heron!$A66)</f>
        <v>0</v>
      </c>
      <c r="J66" s="99">
        <f>SUMIFS(Xero!$F:$F,Xero!$B:$B,Heron!J$9,Xero!$A:$A,Heron!$A$4,Xero!$E:$E,Heron!$A66)+SUMIFS(Xero!$F:$F,Xero!$B:$B,Heron!J$9,Xero!$A:$A,Heron!$A$5,Xero!$E:$E,Heron!$A66)</f>
        <v>5940</v>
      </c>
      <c r="K66" s="99">
        <f>SUMIFS(Xero!$F:$F,Xero!$B:$B,Heron!K$9,Xero!$A:$A,Heron!$A$4,Xero!$E:$E,Heron!$A66)+SUMIFS(Xero!$F:$F,Xero!$B:$B,Heron!K$9,Xero!$A:$A,Heron!$A$5,Xero!$E:$E,Heron!$A66)</f>
        <v>7568</v>
      </c>
      <c r="L66" s="99">
        <f>SUMIFS(Xero!$F:$F,Xero!$B:$B,Heron!L$9,Xero!$A:$A,Heron!$A$4,Xero!$E:$E,Heron!$A66)+SUMIFS(Xero!$F:$F,Xero!$B:$B,Heron!L$9,Xero!$A:$A,Heron!$A$5,Xero!$E:$E,Heron!$A66)</f>
        <v>0</v>
      </c>
      <c r="M66" s="99">
        <f>SUMIFS(Xero!$F:$F,Xero!$B:$B,Heron!M$9,Xero!$A:$A,Heron!$A$4,Xero!$E:$E,Heron!$A66)+SUMIFS(Xero!$F:$F,Xero!$B:$B,Heron!M$9,Xero!$A:$A,Heron!$A$5,Xero!$E:$E,Heron!$A66)</f>
        <v>17184.490000000002</v>
      </c>
      <c r="N66" s="99">
        <f>SUMIFS(Xero!$F:$F,Xero!$B:$B,Heron!N$9,Xero!$A:$A,Heron!$A$4,Xero!$E:$E,Heron!$A66)+SUMIFS(Xero!$F:$F,Xero!$B:$B,Heron!N$9,Xero!$A:$A,Heron!$A$5,Xero!$E:$E,Heron!$A66)</f>
        <v>0</v>
      </c>
      <c r="O66" s="99">
        <f>SUMIFS(Xero!$F:$F,Xero!$B:$B,Heron!O$9,Xero!$A:$A,Heron!$A$4,Xero!$E:$E,Heron!$A66)+SUMIFS(Xero!$F:$F,Xero!$B:$B,Heron!O$9,Xero!$A:$A,Heron!$A$5,Xero!$E:$E,Heron!$A66)</f>
        <v>0</v>
      </c>
      <c r="P66" s="99">
        <f>SUMIFS(Xero!$F:$F,Xero!$B:$B,Heron!P$9,Xero!$A:$A,Heron!$A$4,Xero!$E:$E,Heron!$A66)+SUMIFS(Xero!$F:$F,Xero!$B:$B,Heron!P$9,Xero!$A:$A,Heron!$A$5,Xero!$E:$E,Heron!$A66)</f>
        <v>4000</v>
      </c>
      <c r="Q66" s="99">
        <f>SUMIFS(Xero!$F:$F,Xero!$B:$B,Heron!Q$9,Xero!$A:$A,Heron!$A$4,Xero!$E:$E,Heron!$A66)+SUMIFS(Xero!$F:$F,Xero!$B:$B,Heron!Q$9,Xero!$A:$A,Heron!$A$5,Xero!$E:$E,Heron!$A66)</f>
        <v>0</v>
      </c>
      <c r="R66" s="99">
        <f>SUMIFS(Xero!$F:$F,Xero!$B:$B,Heron!R$9,Xero!$A:$A,Heron!$A$4,Xero!$E:$E,Heron!$A66)+SUMIFS(Xero!$F:$F,Xero!$B:$B,Heron!R$9,Xero!$A:$A,Heron!$A$5,Xero!$E:$E,Heron!$A66)</f>
        <v>24000</v>
      </c>
      <c r="S66" s="99">
        <f>SUMIFS(Xero!$F:$F,Xero!$B:$B,Heron!S$9,Xero!$A:$A,Heron!$A$4,Xero!$E:$E,Heron!$A66)+SUMIFS(Xero!$F:$F,Xero!$B:$B,Heron!S$9,Xero!$A:$A,Heron!$A$5,Xero!$E:$E,Heron!$A66)</f>
        <v>4000</v>
      </c>
      <c r="T66" s="99">
        <f>SUMIFS(Xero!$F:$F,Xero!$B:$B,Heron!T$9,Xero!$A:$A,Heron!$A$4,Xero!$E:$E,Heron!$A66)+SUMIFS(Xero!$F:$F,Xero!$B:$B,Heron!T$9,Xero!$A:$A,Heron!$A$5,Xero!$E:$E,Heron!$A66)</f>
        <v>4000</v>
      </c>
      <c r="U66" s="99">
        <f>SUMIFS(Xero!$F:$F,Xero!$B:$B,Heron!U$9,Xero!$A:$A,Heron!$A$4,Xero!$E:$E,Heron!$A66)+SUMIFS(Xero!$F:$F,Xero!$B:$B,Heron!U$9,Xero!$A:$A,Heron!$A$5,Xero!$E:$E,Heron!$A66)</f>
        <v>4000</v>
      </c>
      <c r="V66" s="99">
        <f>SUMIFS(Xero!$F:$F,Xero!$B:$B,Heron!V$9,Xero!$A:$A,Heron!$A$4,Xero!$E:$E,Heron!$A66)+SUMIFS(Xero!$F:$F,Xero!$B:$B,Heron!V$9,Xero!$A:$A,Heron!$A$5,Xero!$E:$E,Heron!$A66)</f>
        <v>8000</v>
      </c>
      <c r="W66" s="99">
        <f>SUMIFS(Xero!$F:$F,Xero!$B:$B,Heron!W$9,Xero!$A:$A,Heron!$A$4,Xero!$E:$E,Heron!$A66)+SUMIFS(Xero!$F:$F,Xero!$B:$B,Heron!W$9,Xero!$A:$A,Heron!$A$5,Xero!$E:$E,Heron!$A66)</f>
        <v>4000</v>
      </c>
      <c r="X66" s="99">
        <f>SUMIFS(Xero!$F:$F,Xero!$B:$B,Heron!X$9,Xero!$A:$A,Heron!$A$4,Xero!$E:$E,Heron!$A66)+SUMIFS(Xero!$F:$F,Xero!$B:$B,Heron!X$9,Xero!$A:$A,Heron!$A$5,Xero!$E:$E,Heron!$A66)</f>
        <v>4000</v>
      </c>
      <c r="Y66" s="99">
        <f>SUMIFS(Xero!$F:$F,Xero!$B:$B,Heron!Y$9,Xero!$A:$A,Heron!$A$4,Xero!$E:$E,Heron!$A66)+SUMIFS(Xero!$F:$F,Xero!$B:$B,Heron!Y$9,Xero!$A:$A,Heron!$A$5,Xero!$E:$E,Heron!$A66)</f>
        <v>4000</v>
      </c>
      <c r="Z66" s="99">
        <f>SUMIFS(Xero!$F:$F,Xero!$B:$B,Heron!Z$9,Xero!$A:$A,Heron!$A$4,Xero!$E:$E,Heron!$A66)+SUMIFS(Xero!$F:$F,Xero!$B:$B,Heron!Z$9,Xero!$A:$A,Heron!$A$5,Xero!$E:$E,Heron!$A66)</f>
        <v>0</v>
      </c>
      <c r="AA66" s="99">
        <f>SUMIFS(Xero!$F:$F,Xero!$B:$B,Heron!AA$9,Xero!$A:$A,Heron!$A$4,Xero!$E:$E,Heron!$A66)+SUMIFS(Xero!$F:$F,Xero!$B:$B,Heron!AA$9,Xero!$A:$A,Heron!$A$5,Xero!$E:$E,Heron!$A66)</f>
        <v>16000</v>
      </c>
      <c r="AB66" s="99">
        <f>SUMIFS(Xero!$F:$F,Xero!$B:$B,Heron!AB$9,Xero!$A:$A,Heron!$A$4,Xero!$E:$E,Heron!$A66)+SUMIFS(Xero!$F:$F,Xero!$B:$B,Heron!AB$9,Xero!$A:$A,Heron!$A$5,Xero!$E:$E,Heron!$A66)</f>
        <v>0</v>
      </c>
      <c r="AC66" s="99">
        <f>SUMIFS(Xero!$F:$F,Xero!$B:$B,Heron!AC$9,Xero!$A:$A,Heron!$A$4,Xero!$E:$E,Heron!$A66)+SUMIFS(Xero!$F:$F,Xero!$B:$B,Heron!AC$9,Xero!$A:$A,Heron!$A$5,Xero!$E:$E,Heron!$A66)</f>
        <v>4000</v>
      </c>
      <c r="AD66" s="99">
        <f>SUMIFS(Xero!$F:$F,Xero!$B:$B,Heron!AD$9,Xero!$A:$A,Heron!$A$4,Xero!$E:$E,Heron!$A66)+SUMIFS(Xero!$F:$F,Xero!$B:$B,Heron!AD$9,Xero!$A:$A,Heron!$A$5,Xero!$E:$E,Heron!$A66)</f>
        <v>4000</v>
      </c>
      <c r="AE66" s="99">
        <f>SUMIFS(Xero!$F:$F,Xero!$B:$B,Heron!AE$9,Xero!$A:$A,Heron!$A$4,Xero!$E:$E,Heron!$A66)+SUMIFS(Xero!$F:$F,Xero!$B:$B,Heron!AE$9,Xero!$A:$A,Heron!$A$5,Xero!$E:$E,Heron!$A66)</f>
        <v>11450</v>
      </c>
      <c r="AF66" s="99">
        <f>SUMIFS(Xero!$F:$F,Xero!$B:$B,Heron!AF$9,Xero!$A:$A,Heron!$A$4,Xero!$E:$E,Heron!$A66)+SUMIFS(Xero!$F:$F,Xero!$B:$B,Heron!AF$9,Xero!$A:$A,Heron!$A$5,Xero!$E:$E,Heron!$A66)</f>
        <v>7250</v>
      </c>
      <c r="AG66" s="99">
        <f>SUMIFS(Xero!$F:$F,Xero!$B:$B,Heron!AG$9,Xero!$A:$A,Heron!$A$4,Xero!$E:$E,Heron!$A66)+SUMIFS(Xero!$F:$F,Xero!$B:$B,Heron!AG$9,Xero!$A:$A,Heron!$A$5,Xero!$E:$E,Heron!$A66)</f>
        <v>7250</v>
      </c>
      <c r="AH66" s="99">
        <f>SUMIFS(Xero!$F:$F,Xero!$B:$B,Heron!AH$9,Xero!$A:$A,Heron!$A$4,Xero!$E:$E,Heron!$A66)+SUMIFS(Xero!$F:$F,Xero!$B:$B,Heron!AH$9,Xero!$A:$A,Heron!$A$5,Xero!$E:$E,Heron!$A66)</f>
        <v>7250</v>
      </c>
      <c r="AI66" s="99">
        <f>SUMIFS(Xero!$F:$F,Xero!$B:$B,Heron!AI$9,Xero!$A:$A,Heron!$A$4,Xero!$E:$E,Heron!$A66)+SUMIFS(Xero!$F:$F,Xero!$B:$B,Heron!AI$9,Xero!$A:$A,Heron!$A$5,Xero!$E:$E,Heron!$A66)</f>
        <v>17450</v>
      </c>
      <c r="AJ66" s="99">
        <f>SUMIFS(Xero!$F:$F,Xero!$B:$B,Heron!AJ$9,Xero!$A:$A,Heron!$A$4,Xero!$E:$E,Heron!$A66)+SUMIFS(Xero!$F:$F,Xero!$B:$B,Heron!AJ$9,Xero!$A:$A,Heron!$A$5,Xero!$E:$E,Heron!$A66)</f>
        <v>15450</v>
      </c>
      <c r="AK66" s="99">
        <f>SUMIFS(Xero!$F:$F,Xero!$B:$B,Heron!AK$9,Xero!$A:$A,Heron!$A$4,Xero!$E:$E,Heron!$A66)+SUMIFS(Xero!$F:$F,Xero!$B:$B,Heron!AK$9,Xero!$A:$A,Heron!$A$5,Xero!$E:$E,Heron!$A66)</f>
        <v>14250</v>
      </c>
      <c r="AL66" s="99">
        <f>SUMIFS(Xero!$F:$F,Xero!$B:$B,Heron!AL$9,Xero!$A:$A,Heron!$A$4,Xero!$E:$E,Heron!$A66)+SUMIFS(Xero!$F:$F,Xero!$B:$B,Heron!AL$9,Xero!$A:$A,Heron!$A$5,Xero!$E:$E,Heron!$A66)</f>
        <v>14700</v>
      </c>
      <c r="AM66" s="99">
        <f>SUMIFS(Xero!$F:$F,Xero!$B:$B,Heron!AM$9,Xero!$A:$A,Heron!$A$4,Xero!$E:$E,Heron!$A66)+SUMIFS(Xero!$F:$F,Xero!$B:$B,Heron!AM$9,Xero!$A:$A,Heron!$A$5,Xero!$E:$E,Heron!$A66)</f>
        <v>0</v>
      </c>
      <c r="AN66" s="99">
        <f>SUMIFS(Xero!$F:$F,Xero!$B:$B,Heron!AN$9,Xero!$A:$A,Heron!$A$4,Xero!$E:$E,Heron!$A66)+SUMIFS(Xero!$F:$F,Xero!$B:$B,Heron!AN$9,Xero!$A:$A,Heron!$A$5,Xero!$E:$E,Heron!$A66)</f>
        <v>16950</v>
      </c>
      <c r="AO66" s="99">
        <f>SUMIFS(Xero!$F:$F,Xero!$B:$B,Heron!AO$9,Xero!$A:$A,Heron!$A$4,Xero!$E:$E,Heron!$A66)+SUMIFS(Xero!$F:$F,Xero!$B:$B,Heron!AO$9,Xero!$A:$A,Heron!$A$5,Xero!$E:$E,Heron!$A66)</f>
        <v>0</v>
      </c>
      <c r="AP66" s="99">
        <f>SUMIFS(Xero!$F:$F,Xero!$B:$B,Heron!AP$9,Xero!$A:$A,Heron!$A$4,Xero!$E:$E,Heron!$A66)+SUMIFS(Xero!$F:$F,Xero!$B:$B,Heron!AP$9,Xero!$A:$A,Heron!$A$5,Xero!$E:$E,Heron!$A66)</f>
        <v>16950</v>
      </c>
      <c r="AQ66" s="99">
        <f>SUMIFS(Xero!$F:$F,Xero!$B:$B,Heron!AQ$9,Xero!$A:$A,Heron!$A$4,Xero!$E:$E,Heron!$A66)+SUMIFS(Xero!$F:$F,Xero!$B:$B,Heron!AQ$9,Xero!$A:$A,Heron!$A$5,Xero!$E:$E,Heron!$A66)</f>
        <v>16950</v>
      </c>
      <c r="AR66" s="99">
        <f>SUMIFS(Xero!$F:$F,Xero!$B:$B,Heron!AR$9,Xero!$A:$A,Heron!$A$4,Xero!$E:$E,Heron!$A66)+SUMIFS(Xero!$F:$F,Xero!$B:$B,Heron!AR$9,Xero!$A:$A,Heron!$A$5,Xero!$E:$E,Heron!$A66)</f>
        <v>13950</v>
      </c>
      <c r="AS66" s="99">
        <f>SUMIFS(Xero!$F:$F,Xero!$B:$B,Heron!AS$9,Xero!$A:$A,Heron!$A$4,Xero!$E:$E,Heron!$A66)+SUMIFS(Xero!$F:$F,Xero!$B:$B,Heron!AS$9,Xero!$A:$A,Heron!$A$5,Xero!$E:$E,Heron!$A66)</f>
        <v>0</v>
      </c>
      <c r="AT66" s="99">
        <f>SUMIFS(Xero!$F:$F,Xero!$B:$B,Heron!AT$9,Xero!$A:$A,Heron!$A$4,Xero!$E:$E,Heron!$A66)+SUMIFS(Xero!$F:$F,Xero!$B:$B,Heron!AT$9,Xero!$A:$A,Heron!$A$5,Xero!$E:$E,Heron!$A66)</f>
        <v>0</v>
      </c>
      <c r="AU66" s="99">
        <f>SUMIFS(Xero!$F:$F,Xero!$B:$B,Heron!AU$9,Xero!$A:$A,Heron!$A$4,Xero!$E:$E,Heron!$A66)+SUMIFS(Xero!$F:$F,Xero!$B:$B,Heron!AU$9,Xero!$A:$A,Heron!$A$5,Xero!$E:$E,Heron!$A66)</f>
        <v>0</v>
      </c>
      <c r="AV66" s="99">
        <f>SUMIFS(Xero!$F:$F,Xero!$B:$B,Heron!AV$9,Xero!$A:$A,Heron!$A$4,Xero!$E:$E,Heron!$A66)+SUMIFS(Xero!$F:$F,Xero!$B:$B,Heron!AV$9,Xero!$A:$A,Heron!$A$5,Xero!$E:$E,Heron!$A66)</f>
        <v>0</v>
      </c>
      <c r="AW66" s="99">
        <f>SUMIFS(Xero!$F:$F,Xero!$B:$B,Heron!AW$9,Xero!$A:$A,Heron!$A$4,Xero!$E:$E,Heron!$A66)+SUMIFS(Xero!$F:$F,Xero!$B:$B,Heron!AW$9,Xero!$A:$A,Heron!$A$5,Xero!$E:$E,Heron!$A66)</f>
        <v>0</v>
      </c>
      <c r="AX66" s="99">
        <f>SUMIFS(Xero!$F:$F,Xero!$B:$B,Heron!AX$9,Xero!$A:$A,Heron!$A$4,Xero!$E:$E,Heron!$A66)+SUMIFS(Xero!$F:$F,Xero!$B:$B,Heron!AX$9,Xero!$A:$A,Heron!$A$5,Xero!$E:$E,Heron!$A66)</f>
        <v>0</v>
      </c>
      <c r="AY66" s="99">
        <f>SUMIFS(Xero!$F:$F,Xero!$B:$B,Heron!AY$9,Xero!$A:$A,Heron!$A$4,Xero!$E:$E,Heron!$A66)+SUMIFS(Xero!$F:$F,Xero!$B:$B,Heron!AY$9,Xero!$A:$A,Heron!$A$5,Xero!$E:$E,Heron!$A66)</f>
        <v>0</v>
      </c>
      <c r="AZ66" s="99">
        <f>SUMIFS(Xero!$F:$F,Xero!$B:$B,Heron!AZ$9,Xero!$A:$A,Heron!$A$4,Xero!$E:$E,Heron!$A66)+SUMIFS(Xero!$F:$F,Xero!$B:$B,Heron!AZ$9,Xero!$A:$A,Heron!$A$5,Xero!$E:$E,Heron!$A66)</f>
        <v>0</v>
      </c>
      <c r="BA66" s="99">
        <f>SUMIFS(Xero!$F:$F,Xero!$B:$B,Heron!BA$9,Xero!$A:$A,Heron!$A$4,Xero!$E:$E,Heron!$A66)+SUMIFS(Xero!$F:$F,Xero!$B:$B,Heron!BA$9,Xero!$A:$A,Heron!$A$5,Xero!$E:$E,Heron!$A66)</f>
        <v>0</v>
      </c>
      <c r="BB66" s="99">
        <f>SUMIFS(Xero!$F:$F,Xero!$B:$B,Heron!BB$9,Xero!$A:$A,Heron!$A$4,Xero!$E:$E,Heron!$A66)+SUMIFS(Xero!$F:$F,Xero!$B:$B,Heron!BB$9,Xero!$A:$A,Heron!$A$5,Xero!$E:$E,Heron!$A66)</f>
        <v>0</v>
      </c>
      <c r="BC66" s="99">
        <f>SUMIFS(Xero!$F:$F,Xero!$B:$B,Heron!BC$9,Xero!$A:$A,Heron!$A$4,Xero!$E:$E,Heron!$A66)+SUMIFS(Xero!$F:$F,Xero!$B:$B,Heron!BC$9,Xero!$A:$A,Heron!$A$5,Xero!$E:$E,Heron!$A66)</f>
        <v>0</v>
      </c>
      <c r="BD66" s="99">
        <f>SUMIFS(Xero!$F:$F,Xero!$B:$B,Heron!BD$9,Xero!$A:$A,Heron!$A$4,Xero!$E:$E,Heron!$A66)+SUMIFS(Xero!$F:$F,Xero!$B:$B,Heron!BD$9,Xero!$A:$A,Heron!$A$5,Xero!$E:$E,Heron!$A66)</f>
        <v>0</v>
      </c>
      <c r="BE66" s="99">
        <f>SUMIFS(Xero!$F:$F,Xero!$B:$B,Heron!BE$9,Xero!$A:$A,Heron!$A$4,Xero!$E:$E,Heron!$A66)+SUMIFS(Xero!$F:$F,Xero!$B:$B,Heron!BE$9,Xero!$A:$A,Heron!$A$5,Xero!$E:$E,Heron!$A66)</f>
        <v>0</v>
      </c>
      <c r="BF66" s="99">
        <f>SUMIFS(Xero!$F:$F,Xero!$B:$B,Heron!BF$9,Xero!$A:$A,Heron!$A$4,Xero!$E:$E,Heron!$A66)+SUMIFS(Xero!$F:$F,Xero!$B:$B,Heron!BF$9,Xero!$A:$A,Heron!$A$5,Xero!$E:$E,Heron!$A66)</f>
        <v>0</v>
      </c>
      <c r="BG66" s="99">
        <f>SUMIFS(Xero!$F:$F,Xero!$B:$B,Heron!BG$9,Xero!$A:$A,Heron!$A$4,Xero!$E:$E,Heron!$A66)+SUMIFS(Xero!$F:$F,Xero!$B:$B,Heron!BG$9,Xero!$A:$A,Heron!$A$5,Xero!$E:$E,Heron!$A66)</f>
        <v>0</v>
      </c>
      <c r="BH66" s="99">
        <f>SUMIFS(Xero!$F:$F,Xero!$B:$B,Heron!BH$9,Xero!$A:$A,Heron!$A$4,Xero!$E:$E,Heron!$A66)+SUMIFS(Xero!$F:$F,Xero!$B:$B,Heron!BH$9,Xero!$A:$A,Heron!$A$5,Xero!$E:$E,Heron!$A66)</f>
        <v>0</v>
      </c>
      <c r="BI66" s="99">
        <f>SUMIFS(Xero!$F:$F,Xero!$B:$B,Heron!BI$9,Xero!$A:$A,Heron!$A$4,Xero!$E:$E,Heron!$A66)+SUMIFS(Xero!$F:$F,Xero!$B:$B,Heron!BI$9,Xero!$A:$A,Heron!$A$5,Xero!$E:$E,Heron!$A66)</f>
        <v>0</v>
      </c>
      <c r="BJ66" s="99">
        <f>SUMIFS(Xero!$F:$F,Xero!$B:$B,Heron!BJ$9,Xero!$A:$A,Heron!$A$4,Xero!$E:$E,Heron!$A66)+SUMIFS(Xero!$F:$F,Xero!$B:$B,Heron!BJ$9,Xero!$A:$A,Heron!$A$5,Xero!$E:$E,Heron!$A66)</f>
        <v>0</v>
      </c>
      <c r="BK66" s="99">
        <f t="shared" si="5"/>
        <v>274542.49</v>
      </c>
    </row>
    <row r="67" spans="1:63" ht="16" x14ac:dyDescent="0.2">
      <c r="A67" s="98" t="s">
        <v>1102</v>
      </c>
      <c r="D67" s="99">
        <f>SUMIFS(Xero!$F:$F,Xero!$B:$B,Heron!D$9,Xero!$A:$A,Heron!$A$4,Xero!$E:$E,Heron!$A67)+SUMIFS(Xero!$F:$F,Xero!$B:$B,Heron!D$9,Xero!$A:$A,Heron!$A$5,Xero!$E:$E,Heron!$A67)</f>
        <v>0</v>
      </c>
      <c r="E67" s="99">
        <f>SUMIFS(Xero!$F:$F,Xero!$B:$B,Heron!E$9,Xero!$A:$A,Heron!$A$4,Xero!$E:$E,Heron!$A67)+SUMIFS(Xero!$F:$F,Xero!$B:$B,Heron!E$9,Xero!$A:$A,Heron!$A$5,Xero!$E:$E,Heron!$A67)</f>
        <v>0</v>
      </c>
      <c r="F67" s="99">
        <f>SUMIFS(Xero!$F:$F,Xero!$B:$B,Heron!F$9,Xero!$A:$A,Heron!$A$4,Xero!$E:$E,Heron!$A67)+SUMIFS(Xero!$F:$F,Xero!$B:$B,Heron!F$9,Xero!$A:$A,Heron!$A$5,Xero!$E:$E,Heron!$A67)</f>
        <v>0</v>
      </c>
      <c r="G67" s="99">
        <f>SUMIFS(Xero!$F:$F,Xero!$B:$B,Heron!G$9,Xero!$A:$A,Heron!$A$4,Xero!$E:$E,Heron!$A67)+SUMIFS(Xero!$F:$F,Xero!$B:$B,Heron!G$9,Xero!$A:$A,Heron!$A$5,Xero!$E:$E,Heron!$A67)</f>
        <v>0</v>
      </c>
      <c r="H67" s="99">
        <f>SUMIFS(Xero!$F:$F,Xero!$B:$B,Heron!H$9,Xero!$A:$A,Heron!$A$4,Xero!$E:$E,Heron!$A67)+SUMIFS(Xero!$F:$F,Xero!$B:$B,Heron!H$9,Xero!$A:$A,Heron!$A$5,Xero!$E:$E,Heron!$A67)</f>
        <v>0</v>
      </c>
      <c r="I67" s="99">
        <f>SUMIFS(Xero!$F:$F,Xero!$B:$B,Heron!I$9,Xero!$A:$A,Heron!$A$4,Xero!$E:$E,Heron!$A67)+SUMIFS(Xero!$F:$F,Xero!$B:$B,Heron!I$9,Xero!$A:$A,Heron!$A$5,Xero!$E:$E,Heron!$A67)</f>
        <v>0</v>
      </c>
      <c r="J67" s="99">
        <f>SUMIFS(Xero!$F:$F,Xero!$B:$B,Heron!J$9,Xero!$A:$A,Heron!$A$4,Xero!$E:$E,Heron!$A67)+SUMIFS(Xero!$F:$F,Xero!$B:$B,Heron!J$9,Xero!$A:$A,Heron!$A$5,Xero!$E:$E,Heron!$A67)</f>
        <v>0</v>
      </c>
      <c r="K67" s="99">
        <f>SUMIFS(Xero!$F:$F,Xero!$B:$B,Heron!K$9,Xero!$A:$A,Heron!$A$4,Xero!$E:$E,Heron!$A67)+SUMIFS(Xero!$F:$F,Xero!$B:$B,Heron!K$9,Xero!$A:$A,Heron!$A$5,Xero!$E:$E,Heron!$A67)</f>
        <v>0</v>
      </c>
      <c r="L67" s="99">
        <f>SUMIFS(Xero!$F:$F,Xero!$B:$B,Heron!L$9,Xero!$A:$A,Heron!$A$4,Xero!$E:$E,Heron!$A67)+SUMIFS(Xero!$F:$F,Xero!$B:$B,Heron!L$9,Xero!$A:$A,Heron!$A$5,Xero!$E:$E,Heron!$A67)</f>
        <v>0</v>
      </c>
      <c r="M67" s="99">
        <f>SUMIFS(Xero!$F:$F,Xero!$B:$B,Heron!M$9,Xero!$A:$A,Heron!$A$4,Xero!$E:$E,Heron!$A67)+SUMIFS(Xero!$F:$F,Xero!$B:$B,Heron!M$9,Xero!$A:$A,Heron!$A$5,Xero!$E:$E,Heron!$A67)</f>
        <v>0</v>
      </c>
      <c r="N67" s="99">
        <f>SUMIFS(Xero!$F:$F,Xero!$B:$B,Heron!N$9,Xero!$A:$A,Heron!$A$4,Xero!$E:$E,Heron!$A67)+SUMIFS(Xero!$F:$F,Xero!$B:$B,Heron!N$9,Xero!$A:$A,Heron!$A$5,Xero!$E:$E,Heron!$A67)</f>
        <v>0</v>
      </c>
      <c r="O67" s="99">
        <f>SUMIFS(Xero!$F:$F,Xero!$B:$B,Heron!O$9,Xero!$A:$A,Heron!$A$4,Xero!$E:$E,Heron!$A67)+SUMIFS(Xero!$F:$F,Xero!$B:$B,Heron!O$9,Xero!$A:$A,Heron!$A$5,Xero!$E:$E,Heron!$A67)</f>
        <v>0</v>
      </c>
      <c r="P67" s="99">
        <f>SUMIFS(Xero!$F:$F,Xero!$B:$B,Heron!P$9,Xero!$A:$A,Heron!$A$4,Xero!$E:$E,Heron!$A67)+SUMIFS(Xero!$F:$F,Xero!$B:$B,Heron!P$9,Xero!$A:$A,Heron!$A$5,Xero!$E:$E,Heron!$A67)</f>
        <v>0</v>
      </c>
      <c r="Q67" s="99">
        <f>SUMIFS(Xero!$F:$F,Xero!$B:$B,Heron!Q$9,Xero!$A:$A,Heron!$A$4,Xero!$E:$E,Heron!$A67)+SUMIFS(Xero!$F:$F,Xero!$B:$B,Heron!Q$9,Xero!$A:$A,Heron!$A$5,Xero!$E:$E,Heron!$A67)</f>
        <v>0</v>
      </c>
      <c r="R67" s="99">
        <f>SUMIFS(Xero!$F:$F,Xero!$B:$B,Heron!R$9,Xero!$A:$A,Heron!$A$4,Xero!$E:$E,Heron!$A67)+SUMIFS(Xero!$F:$F,Xero!$B:$B,Heron!R$9,Xero!$A:$A,Heron!$A$5,Xero!$E:$E,Heron!$A67)</f>
        <v>0</v>
      </c>
      <c r="S67" s="99">
        <f>SUMIFS(Xero!$F:$F,Xero!$B:$B,Heron!S$9,Xero!$A:$A,Heron!$A$4,Xero!$E:$E,Heron!$A67)+SUMIFS(Xero!$F:$F,Xero!$B:$B,Heron!S$9,Xero!$A:$A,Heron!$A$5,Xero!$E:$E,Heron!$A67)</f>
        <v>0</v>
      </c>
      <c r="T67" s="99">
        <f>SUMIFS(Xero!$F:$F,Xero!$B:$B,Heron!T$9,Xero!$A:$A,Heron!$A$4,Xero!$E:$E,Heron!$A67)+SUMIFS(Xero!$F:$F,Xero!$B:$B,Heron!T$9,Xero!$A:$A,Heron!$A$5,Xero!$E:$E,Heron!$A67)</f>
        <v>0</v>
      </c>
      <c r="U67" s="99">
        <f>SUMIFS(Xero!$F:$F,Xero!$B:$B,Heron!U$9,Xero!$A:$A,Heron!$A$4,Xero!$E:$E,Heron!$A67)+SUMIFS(Xero!$F:$F,Xero!$B:$B,Heron!U$9,Xero!$A:$A,Heron!$A$5,Xero!$E:$E,Heron!$A67)</f>
        <v>0</v>
      </c>
      <c r="V67" s="99">
        <f>SUMIFS(Xero!$F:$F,Xero!$B:$B,Heron!V$9,Xero!$A:$A,Heron!$A$4,Xero!$E:$E,Heron!$A67)+SUMIFS(Xero!$F:$F,Xero!$B:$B,Heron!V$9,Xero!$A:$A,Heron!$A$5,Xero!$E:$E,Heron!$A67)</f>
        <v>0</v>
      </c>
      <c r="W67" s="99">
        <f>SUMIFS(Xero!$F:$F,Xero!$B:$B,Heron!W$9,Xero!$A:$A,Heron!$A$4,Xero!$E:$E,Heron!$A67)+SUMIFS(Xero!$F:$F,Xero!$B:$B,Heron!W$9,Xero!$A:$A,Heron!$A$5,Xero!$E:$E,Heron!$A67)</f>
        <v>0</v>
      </c>
      <c r="X67" s="99">
        <f>SUMIFS(Xero!$F:$F,Xero!$B:$B,Heron!X$9,Xero!$A:$A,Heron!$A$4,Xero!$E:$E,Heron!$A67)+SUMIFS(Xero!$F:$F,Xero!$B:$B,Heron!X$9,Xero!$A:$A,Heron!$A$5,Xero!$E:$E,Heron!$A67)</f>
        <v>0</v>
      </c>
      <c r="Y67" s="99">
        <f>SUMIFS(Xero!$F:$F,Xero!$B:$B,Heron!Y$9,Xero!$A:$A,Heron!$A$4,Xero!$E:$E,Heron!$A67)+SUMIFS(Xero!$F:$F,Xero!$B:$B,Heron!Y$9,Xero!$A:$A,Heron!$A$5,Xero!$E:$E,Heron!$A67)</f>
        <v>0</v>
      </c>
      <c r="Z67" s="99">
        <f>SUMIFS(Xero!$F:$F,Xero!$B:$B,Heron!Z$9,Xero!$A:$A,Heron!$A$4,Xero!$E:$E,Heron!$A67)+SUMIFS(Xero!$F:$F,Xero!$B:$B,Heron!Z$9,Xero!$A:$A,Heron!$A$5,Xero!$E:$E,Heron!$A67)</f>
        <v>0</v>
      </c>
      <c r="AA67" s="99">
        <f>SUMIFS(Xero!$F:$F,Xero!$B:$B,Heron!AA$9,Xero!$A:$A,Heron!$A$4,Xero!$E:$E,Heron!$A67)+SUMIFS(Xero!$F:$F,Xero!$B:$B,Heron!AA$9,Xero!$A:$A,Heron!$A$5,Xero!$E:$E,Heron!$A67)</f>
        <v>0</v>
      </c>
      <c r="AB67" s="99">
        <f>SUMIFS(Xero!$F:$F,Xero!$B:$B,Heron!AB$9,Xero!$A:$A,Heron!$A$4,Xero!$E:$E,Heron!$A67)+SUMIFS(Xero!$F:$F,Xero!$B:$B,Heron!AB$9,Xero!$A:$A,Heron!$A$5,Xero!$E:$E,Heron!$A67)</f>
        <v>0</v>
      </c>
      <c r="AC67" s="99">
        <f>SUMIFS(Xero!$F:$F,Xero!$B:$B,Heron!AC$9,Xero!$A:$A,Heron!$A$4,Xero!$E:$E,Heron!$A67)+SUMIFS(Xero!$F:$F,Xero!$B:$B,Heron!AC$9,Xero!$A:$A,Heron!$A$5,Xero!$E:$E,Heron!$A67)</f>
        <v>0</v>
      </c>
      <c r="AD67" s="99">
        <f>SUMIFS(Xero!$F:$F,Xero!$B:$B,Heron!AD$9,Xero!$A:$A,Heron!$A$4,Xero!$E:$E,Heron!$A67)+SUMIFS(Xero!$F:$F,Xero!$B:$B,Heron!AD$9,Xero!$A:$A,Heron!$A$5,Xero!$E:$E,Heron!$A67)</f>
        <v>0</v>
      </c>
      <c r="AE67" s="99">
        <f>SUMIFS(Xero!$F:$F,Xero!$B:$B,Heron!AE$9,Xero!$A:$A,Heron!$A$4,Xero!$E:$E,Heron!$A67)+SUMIFS(Xero!$F:$F,Xero!$B:$B,Heron!AE$9,Xero!$A:$A,Heron!$A$5,Xero!$E:$E,Heron!$A67)</f>
        <v>71583.149999999994</v>
      </c>
      <c r="AF67" s="99">
        <f>SUMIFS(Xero!$F:$F,Xero!$B:$B,Heron!AF$9,Xero!$A:$A,Heron!$A$4,Xero!$E:$E,Heron!$A67)+SUMIFS(Xero!$F:$F,Xero!$B:$B,Heron!AF$9,Xero!$A:$A,Heron!$A$5,Xero!$E:$E,Heron!$A67)</f>
        <v>5282.68</v>
      </c>
      <c r="AG67" s="99">
        <f>SUMIFS(Xero!$F:$F,Xero!$B:$B,Heron!AG$9,Xero!$A:$A,Heron!$A$4,Xero!$E:$E,Heron!$A67)+SUMIFS(Xero!$F:$F,Xero!$B:$B,Heron!AG$9,Xero!$A:$A,Heron!$A$5,Xero!$E:$E,Heron!$A67)</f>
        <v>0</v>
      </c>
      <c r="AH67" s="99">
        <f>SUMIFS(Xero!$F:$F,Xero!$B:$B,Heron!AH$9,Xero!$A:$A,Heron!$A$4,Xero!$E:$E,Heron!$A67)+SUMIFS(Xero!$F:$F,Xero!$B:$B,Heron!AH$9,Xero!$A:$A,Heron!$A$5,Xero!$E:$E,Heron!$A67)</f>
        <v>0</v>
      </c>
      <c r="AI67" s="99">
        <f>SUMIFS(Xero!$F:$F,Xero!$B:$B,Heron!AI$9,Xero!$A:$A,Heron!$A$4,Xero!$E:$E,Heron!$A67)+SUMIFS(Xero!$F:$F,Xero!$B:$B,Heron!AI$9,Xero!$A:$A,Heron!$A$5,Xero!$E:$E,Heron!$A67)</f>
        <v>0</v>
      </c>
      <c r="AJ67" s="99">
        <f>SUMIFS(Xero!$F:$F,Xero!$B:$B,Heron!AJ$9,Xero!$A:$A,Heron!$A$4,Xero!$E:$E,Heron!$A67)+SUMIFS(Xero!$F:$F,Xero!$B:$B,Heron!AJ$9,Xero!$A:$A,Heron!$A$5,Xero!$E:$E,Heron!$A67)</f>
        <v>0</v>
      </c>
      <c r="AK67" s="99">
        <f>SUMIFS(Xero!$F:$F,Xero!$B:$B,Heron!AK$9,Xero!$A:$A,Heron!$A$4,Xero!$E:$E,Heron!$A67)+SUMIFS(Xero!$F:$F,Xero!$B:$B,Heron!AK$9,Xero!$A:$A,Heron!$A$5,Xero!$E:$E,Heron!$A67)</f>
        <v>0</v>
      </c>
      <c r="AL67" s="99">
        <f>SUMIFS(Xero!$F:$F,Xero!$B:$B,Heron!AL$9,Xero!$A:$A,Heron!$A$4,Xero!$E:$E,Heron!$A67)+SUMIFS(Xero!$F:$F,Xero!$B:$B,Heron!AL$9,Xero!$A:$A,Heron!$A$5,Xero!$E:$E,Heron!$A67)</f>
        <v>0</v>
      </c>
      <c r="AM67" s="99">
        <f>SUMIFS(Xero!$F:$F,Xero!$B:$B,Heron!AM$9,Xero!$A:$A,Heron!$A$4,Xero!$E:$E,Heron!$A67)+SUMIFS(Xero!$F:$F,Xero!$B:$B,Heron!AM$9,Xero!$A:$A,Heron!$A$5,Xero!$E:$E,Heron!$A67)</f>
        <v>0</v>
      </c>
      <c r="AN67" s="99">
        <f>SUMIFS(Xero!$F:$F,Xero!$B:$B,Heron!AN$9,Xero!$A:$A,Heron!$A$4,Xero!$E:$E,Heron!$A67)+SUMIFS(Xero!$F:$F,Xero!$B:$B,Heron!AN$9,Xero!$A:$A,Heron!$A$5,Xero!$E:$E,Heron!$A67)</f>
        <v>0</v>
      </c>
      <c r="AO67" s="99">
        <f>SUMIFS(Xero!$F:$F,Xero!$B:$B,Heron!AO$9,Xero!$A:$A,Heron!$A$4,Xero!$E:$E,Heron!$A67)+SUMIFS(Xero!$F:$F,Xero!$B:$B,Heron!AO$9,Xero!$A:$A,Heron!$A$5,Xero!$E:$E,Heron!$A67)</f>
        <v>0</v>
      </c>
      <c r="AP67" s="99">
        <f>SUMIFS(Xero!$F:$F,Xero!$B:$B,Heron!AP$9,Xero!$A:$A,Heron!$A$4,Xero!$E:$E,Heron!$A67)+SUMIFS(Xero!$F:$F,Xero!$B:$B,Heron!AP$9,Xero!$A:$A,Heron!$A$5,Xero!$E:$E,Heron!$A67)</f>
        <v>0</v>
      </c>
      <c r="AQ67" s="99">
        <f>SUMIFS(Xero!$F:$F,Xero!$B:$B,Heron!AQ$9,Xero!$A:$A,Heron!$A$4,Xero!$E:$E,Heron!$A67)+SUMIFS(Xero!$F:$F,Xero!$B:$B,Heron!AQ$9,Xero!$A:$A,Heron!$A$5,Xero!$E:$E,Heron!$A67)</f>
        <v>0</v>
      </c>
      <c r="AR67" s="99">
        <f>SUMIFS(Xero!$F:$F,Xero!$B:$B,Heron!AR$9,Xero!$A:$A,Heron!$A$4,Xero!$E:$E,Heron!$A67)+SUMIFS(Xero!$F:$F,Xero!$B:$B,Heron!AR$9,Xero!$A:$A,Heron!$A$5,Xero!$E:$E,Heron!$A67)</f>
        <v>0</v>
      </c>
      <c r="AS67" s="99">
        <f>SUMIFS(Xero!$F:$F,Xero!$B:$B,Heron!AS$9,Xero!$A:$A,Heron!$A$4,Xero!$E:$E,Heron!$A67)+SUMIFS(Xero!$F:$F,Xero!$B:$B,Heron!AS$9,Xero!$A:$A,Heron!$A$5,Xero!$E:$E,Heron!$A67)</f>
        <v>0</v>
      </c>
      <c r="AT67" s="99">
        <f>SUMIFS(Xero!$F:$F,Xero!$B:$B,Heron!AT$9,Xero!$A:$A,Heron!$A$4,Xero!$E:$E,Heron!$A67)+SUMIFS(Xero!$F:$F,Xero!$B:$B,Heron!AT$9,Xero!$A:$A,Heron!$A$5,Xero!$E:$E,Heron!$A67)</f>
        <v>0</v>
      </c>
      <c r="AU67" s="99">
        <f>SUMIFS(Xero!$F:$F,Xero!$B:$B,Heron!AU$9,Xero!$A:$A,Heron!$A$4,Xero!$E:$E,Heron!$A67)+SUMIFS(Xero!$F:$F,Xero!$B:$B,Heron!AU$9,Xero!$A:$A,Heron!$A$5,Xero!$E:$E,Heron!$A67)</f>
        <v>0</v>
      </c>
      <c r="AV67" s="99">
        <f>SUMIFS(Xero!$F:$F,Xero!$B:$B,Heron!AV$9,Xero!$A:$A,Heron!$A$4,Xero!$E:$E,Heron!$A67)+SUMIFS(Xero!$F:$F,Xero!$B:$B,Heron!AV$9,Xero!$A:$A,Heron!$A$5,Xero!$E:$E,Heron!$A67)</f>
        <v>0</v>
      </c>
      <c r="AW67" s="99">
        <f>SUMIFS(Xero!$F:$F,Xero!$B:$B,Heron!AW$9,Xero!$A:$A,Heron!$A$4,Xero!$E:$E,Heron!$A67)+SUMIFS(Xero!$F:$F,Xero!$B:$B,Heron!AW$9,Xero!$A:$A,Heron!$A$5,Xero!$E:$E,Heron!$A67)</f>
        <v>0</v>
      </c>
      <c r="AX67" s="99">
        <f>SUMIFS(Xero!$F:$F,Xero!$B:$B,Heron!AX$9,Xero!$A:$A,Heron!$A$4,Xero!$E:$E,Heron!$A67)+SUMIFS(Xero!$F:$F,Xero!$B:$B,Heron!AX$9,Xero!$A:$A,Heron!$A$5,Xero!$E:$E,Heron!$A67)</f>
        <v>0</v>
      </c>
      <c r="AY67" s="99">
        <f>SUMIFS(Xero!$F:$F,Xero!$B:$B,Heron!AY$9,Xero!$A:$A,Heron!$A$4,Xero!$E:$E,Heron!$A67)+SUMIFS(Xero!$F:$F,Xero!$B:$B,Heron!AY$9,Xero!$A:$A,Heron!$A$5,Xero!$E:$E,Heron!$A67)</f>
        <v>0</v>
      </c>
      <c r="AZ67" s="99">
        <f>SUMIFS(Xero!$F:$F,Xero!$B:$B,Heron!AZ$9,Xero!$A:$A,Heron!$A$4,Xero!$E:$E,Heron!$A67)+SUMIFS(Xero!$F:$F,Xero!$B:$B,Heron!AZ$9,Xero!$A:$A,Heron!$A$5,Xero!$E:$E,Heron!$A67)</f>
        <v>0</v>
      </c>
      <c r="BA67" s="99">
        <f>SUMIFS(Xero!$F:$F,Xero!$B:$B,Heron!BA$9,Xero!$A:$A,Heron!$A$4,Xero!$E:$E,Heron!$A67)+SUMIFS(Xero!$F:$F,Xero!$B:$B,Heron!BA$9,Xero!$A:$A,Heron!$A$5,Xero!$E:$E,Heron!$A67)</f>
        <v>0</v>
      </c>
      <c r="BB67" s="99">
        <f>SUMIFS(Xero!$F:$F,Xero!$B:$B,Heron!BB$9,Xero!$A:$A,Heron!$A$4,Xero!$E:$E,Heron!$A67)+SUMIFS(Xero!$F:$F,Xero!$B:$B,Heron!BB$9,Xero!$A:$A,Heron!$A$5,Xero!$E:$E,Heron!$A67)</f>
        <v>0</v>
      </c>
      <c r="BC67" s="99">
        <f>SUMIFS(Xero!$F:$F,Xero!$B:$B,Heron!BC$9,Xero!$A:$A,Heron!$A$4,Xero!$E:$E,Heron!$A67)+SUMIFS(Xero!$F:$F,Xero!$B:$B,Heron!BC$9,Xero!$A:$A,Heron!$A$5,Xero!$E:$E,Heron!$A67)</f>
        <v>0</v>
      </c>
      <c r="BD67" s="99">
        <f>SUMIFS(Xero!$F:$F,Xero!$B:$B,Heron!BD$9,Xero!$A:$A,Heron!$A$4,Xero!$E:$E,Heron!$A67)+SUMIFS(Xero!$F:$F,Xero!$B:$B,Heron!BD$9,Xero!$A:$A,Heron!$A$5,Xero!$E:$E,Heron!$A67)</f>
        <v>0</v>
      </c>
      <c r="BE67" s="99">
        <f>SUMIFS(Xero!$F:$F,Xero!$B:$B,Heron!BE$9,Xero!$A:$A,Heron!$A$4,Xero!$E:$E,Heron!$A67)+SUMIFS(Xero!$F:$F,Xero!$B:$B,Heron!BE$9,Xero!$A:$A,Heron!$A$5,Xero!$E:$E,Heron!$A67)</f>
        <v>0</v>
      </c>
      <c r="BF67" s="99">
        <f>SUMIFS(Xero!$F:$F,Xero!$B:$B,Heron!BF$9,Xero!$A:$A,Heron!$A$4,Xero!$E:$E,Heron!$A67)+SUMIFS(Xero!$F:$F,Xero!$B:$B,Heron!BF$9,Xero!$A:$A,Heron!$A$5,Xero!$E:$E,Heron!$A67)</f>
        <v>0</v>
      </c>
      <c r="BG67" s="99">
        <f>SUMIFS(Xero!$F:$F,Xero!$B:$B,Heron!BG$9,Xero!$A:$A,Heron!$A$4,Xero!$E:$E,Heron!$A67)+SUMIFS(Xero!$F:$F,Xero!$B:$B,Heron!BG$9,Xero!$A:$A,Heron!$A$5,Xero!$E:$E,Heron!$A67)</f>
        <v>0</v>
      </c>
      <c r="BH67" s="99">
        <f>SUMIFS(Xero!$F:$F,Xero!$B:$B,Heron!BH$9,Xero!$A:$A,Heron!$A$4,Xero!$E:$E,Heron!$A67)+SUMIFS(Xero!$F:$F,Xero!$B:$B,Heron!BH$9,Xero!$A:$A,Heron!$A$5,Xero!$E:$E,Heron!$A67)</f>
        <v>0</v>
      </c>
      <c r="BI67" s="99">
        <f>SUMIFS(Xero!$F:$F,Xero!$B:$B,Heron!BI$9,Xero!$A:$A,Heron!$A$4,Xero!$E:$E,Heron!$A67)+SUMIFS(Xero!$F:$F,Xero!$B:$B,Heron!BI$9,Xero!$A:$A,Heron!$A$5,Xero!$E:$E,Heron!$A67)</f>
        <v>0</v>
      </c>
      <c r="BJ67" s="99">
        <f>SUMIFS(Xero!$F:$F,Xero!$B:$B,Heron!BJ$9,Xero!$A:$A,Heron!$A$4,Xero!$E:$E,Heron!$A67)+SUMIFS(Xero!$F:$F,Xero!$B:$B,Heron!BJ$9,Xero!$A:$A,Heron!$A$5,Xero!$E:$E,Heron!$A67)</f>
        <v>0</v>
      </c>
      <c r="BK67" s="99">
        <f t="shared" si="5"/>
        <v>76865.829999999987</v>
      </c>
    </row>
    <row r="68" spans="1:63" ht="16" x14ac:dyDescent="0.2">
      <c r="A68" s="98" t="s">
        <v>1787</v>
      </c>
      <c r="D68" s="99">
        <f>SUMIFS(Xero!$F:$F,Xero!$B:$B,Heron!D$9,Xero!$A:$A,Heron!$A$4,Xero!$E:$E,Heron!$A68)+SUMIFS(Xero!$F:$F,Xero!$B:$B,Heron!D$9,Xero!$A:$A,Heron!$A$5,Xero!$E:$E,Heron!$A68)</f>
        <v>0</v>
      </c>
      <c r="E68" s="99">
        <f>SUMIFS(Xero!$F:$F,Xero!$B:$B,Heron!E$9,Xero!$A:$A,Heron!$A$4,Xero!$E:$E,Heron!$A68)+SUMIFS(Xero!$F:$F,Xero!$B:$B,Heron!E$9,Xero!$A:$A,Heron!$A$5,Xero!$E:$E,Heron!$A68)</f>
        <v>0</v>
      </c>
      <c r="F68" s="99">
        <f>SUMIFS(Xero!$F:$F,Xero!$B:$B,Heron!F$9,Xero!$A:$A,Heron!$A$4,Xero!$E:$E,Heron!$A68)+SUMIFS(Xero!$F:$F,Xero!$B:$B,Heron!F$9,Xero!$A:$A,Heron!$A$5,Xero!$E:$E,Heron!$A68)</f>
        <v>0</v>
      </c>
      <c r="G68" s="99">
        <f>SUMIFS(Xero!$F:$F,Xero!$B:$B,Heron!G$9,Xero!$A:$A,Heron!$A$4,Xero!$E:$E,Heron!$A68)+SUMIFS(Xero!$F:$F,Xero!$B:$B,Heron!G$9,Xero!$A:$A,Heron!$A$5,Xero!$E:$E,Heron!$A68)</f>
        <v>0</v>
      </c>
      <c r="H68" s="99">
        <f>SUMIFS(Xero!$F:$F,Xero!$B:$B,Heron!H$9,Xero!$A:$A,Heron!$A$4,Xero!$E:$E,Heron!$A68)+SUMIFS(Xero!$F:$F,Xero!$B:$B,Heron!H$9,Xero!$A:$A,Heron!$A$5,Xero!$E:$E,Heron!$A68)</f>
        <v>0</v>
      </c>
      <c r="I68" s="99">
        <f>SUMIFS(Xero!$F:$F,Xero!$B:$B,Heron!I$9,Xero!$A:$A,Heron!$A$4,Xero!$E:$E,Heron!$A68)+SUMIFS(Xero!$F:$F,Xero!$B:$B,Heron!I$9,Xero!$A:$A,Heron!$A$5,Xero!$E:$E,Heron!$A68)</f>
        <v>0</v>
      </c>
      <c r="J68" s="99">
        <f>SUMIFS(Xero!$F:$F,Xero!$B:$B,Heron!J$9,Xero!$A:$A,Heron!$A$4,Xero!$E:$E,Heron!$A68)+SUMIFS(Xero!$F:$F,Xero!$B:$B,Heron!J$9,Xero!$A:$A,Heron!$A$5,Xero!$E:$E,Heron!$A68)</f>
        <v>0</v>
      </c>
      <c r="K68" s="99">
        <f>SUMIFS(Xero!$F:$F,Xero!$B:$B,Heron!K$9,Xero!$A:$A,Heron!$A$4,Xero!$E:$E,Heron!$A68)+SUMIFS(Xero!$F:$F,Xero!$B:$B,Heron!K$9,Xero!$A:$A,Heron!$A$5,Xero!$E:$E,Heron!$A68)</f>
        <v>0</v>
      </c>
      <c r="L68" s="99">
        <f>SUMIFS(Xero!$F:$F,Xero!$B:$B,Heron!L$9,Xero!$A:$A,Heron!$A$4,Xero!$E:$E,Heron!$A68)+SUMIFS(Xero!$F:$F,Xero!$B:$B,Heron!L$9,Xero!$A:$A,Heron!$A$5,Xero!$E:$E,Heron!$A68)</f>
        <v>0</v>
      </c>
      <c r="M68" s="99">
        <f>SUMIFS(Xero!$F:$F,Xero!$B:$B,Heron!M$9,Xero!$A:$A,Heron!$A$4,Xero!$E:$E,Heron!$A68)+SUMIFS(Xero!$F:$F,Xero!$B:$B,Heron!M$9,Xero!$A:$A,Heron!$A$5,Xero!$E:$E,Heron!$A68)</f>
        <v>0</v>
      </c>
      <c r="N68" s="99">
        <f>SUMIFS(Xero!$F:$F,Xero!$B:$B,Heron!N$9,Xero!$A:$A,Heron!$A$4,Xero!$E:$E,Heron!$A68)+SUMIFS(Xero!$F:$F,Xero!$B:$B,Heron!N$9,Xero!$A:$A,Heron!$A$5,Xero!$E:$E,Heron!$A68)</f>
        <v>0</v>
      </c>
      <c r="O68" s="99">
        <f>SUMIFS(Xero!$F:$F,Xero!$B:$B,Heron!O$9,Xero!$A:$A,Heron!$A$4,Xero!$E:$E,Heron!$A68)+SUMIFS(Xero!$F:$F,Xero!$B:$B,Heron!O$9,Xero!$A:$A,Heron!$A$5,Xero!$E:$E,Heron!$A68)</f>
        <v>0</v>
      </c>
      <c r="P68" s="99">
        <f>SUMIFS(Xero!$F:$F,Xero!$B:$B,Heron!P$9,Xero!$A:$A,Heron!$A$4,Xero!$E:$E,Heron!$A68)+SUMIFS(Xero!$F:$F,Xero!$B:$B,Heron!P$9,Xero!$A:$A,Heron!$A$5,Xero!$E:$E,Heron!$A68)</f>
        <v>0</v>
      </c>
      <c r="Q68" s="99">
        <f>SUMIFS(Xero!$F:$F,Xero!$B:$B,Heron!Q$9,Xero!$A:$A,Heron!$A$4,Xero!$E:$E,Heron!$A68)+SUMIFS(Xero!$F:$F,Xero!$B:$B,Heron!Q$9,Xero!$A:$A,Heron!$A$5,Xero!$E:$E,Heron!$A68)</f>
        <v>0</v>
      </c>
      <c r="R68" s="99">
        <f>SUMIFS(Xero!$F:$F,Xero!$B:$B,Heron!R$9,Xero!$A:$A,Heron!$A$4,Xero!$E:$E,Heron!$A68)+SUMIFS(Xero!$F:$F,Xero!$B:$B,Heron!R$9,Xero!$A:$A,Heron!$A$5,Xero!$E:$E,Heron!$A68)</f>
        <v>0</v>
      </c>
      <c r="S68" s="99">
        <f>SUMIFS(Xero!$F:$F,Xero!$B:$B,Heron!S$9,Xero!$A:$A,Heron!$A$4,Xero!$E:$E,Heron!$A68)+SUMIFS(Xero!$F:$F,Xero!$B:$B,Heron!S$9,Xero!$A:$A,Heron!$A$5,Xero!$E:$E,Heron!$A68)</f>
        <v>0</v>
      </c>
      <c r="T68" s="99">
        <f>SUMIFS(Xero!$F:$F,Xero!$B:$B,Heron!T$9,Xero!$A:$A,Heron!$A$4,Xero!$E:$E,Heron!$A68)+SUMIFS(Xero!$F:$F,Xero!$B:$B,Heron!T$9,Xero!$A:$A,Heron!$A$5,Xero!$E:$E,Heron!$A68)</f>
        <v>0</v>
      </c>
      <c r="U68" s="99">
        <f>SUMIFS(Xero!$F:$F,Xero!$B:$B,Heron!U$9,Xero!$A:$A,Heron!$A$4,Xero!$E:$E,Heron!$A68)+SUMIFS(Xero!$F:$F,Xero!$B:$B,Heron!U$9,Xero!$A:$A,Heron!$A$5,Xero!$E:$E,Heron!$A68)</f>
        <v>0</v>
      </c>
      <c r="V68" s="99">
        <f>SUMIFS(Xero!$F:$F,Xero!$B:$B,Heron!V$9,Xero!$A:$A,Heron!$A$4,Xero!$E:$E,Heron!$A68)+SUMIFS(Xero!$F:$F,Xero!$B:$B,Heron!V$9,Xero!$A:$A,Heron!$A$5,Xero!$E:$E,Heron!$A68)</f>
        <v>0</v>
      </c>
      <c r="W68" s="99">
        <f>SUMIFS(Xero!$F:$F,Xero!$B:$B,Heron!W$9,Xero!$A:$A,Heron!$A$4,Xero!$E:$E,Heron!$A68)+SUMIFS(Xero!$F:$F,Xero!$B:$B,Heron!W$9,Xero!$A:$A,Heron!$A$5,Xero!$E:$E,Heron!$A68)</f>
        <v>0</v>
      </c>
      <c r="X68" s="99">
        <f>SUMIFS(Xero!$F:$F,Xero!$B:$B,Heron!X$9,Xero!$A:$A,Heron!$A$4,Xero!$E:$E,Heron!$A68)+SUMIFS(Xero!$F:$F,Xero!$B:$B,Heron!X$9,Xero!$A:$A,Heron!$A$5,Xero!$E:$E,Heron!$A68)</f>
        <v>0</v>
      </c>
      <c r="Y68" s="99">
        <f>SUMIFS(Xero!$F:$F,Xero!$B:$B,Heron!Y$9,Xero!$A:$A,Heron!$A$4,Xero!$E:$E,Heron!$A68)+SUMIFS(Xero!$F:$F,Xero!$B:$B,Heron!Y$9,Xero!$A:$A,Heron!$A$5,Xero!$E:$E,Heron!$A68)</f>
        <v>0</v>
      </c>
      <c r="Z68" s="99">
        <f>SUMIFS(Xero!$F:$F,Xero!$B:$B,Heron!Z$9,Xero!$A:$A,Heron!$A$4,Xero!$E:$E,Heron!$A68)+SUMIFS(Xero!$F:$F,Xero!$B:$B,Heron!Z$9,Xero!$A:$A,Heron!$A$5,Xero!$E:$E,Heron!$A68)</f>
        <v>0</v>
      </c>
      <c r="AA68" s="99">
        <f>SUMIFS(Xero!$F:$F,Xero!$B:$B,Heron!AA$9,Xero!$A:$A,Heron!$A$4,Xero!$E:$E,Heron!$A68)+SUMIFS(Xero!$F:$F,Xero!$B:$B,Heron!AA$9,Xero!$A:$A,Heron!$A$5,Xero!$E:$E,Heron!$A68)</f>
        <v>0</v>
      </c>
      <c r="AB68" s="99">
        <f>SUMIFS(Xero!$F:$F,Xero!$B:$B,Heron!AB$9,Xero!$A:$A,Heron!$A$4,Xero!$E:$E,Heron!$A68)+SUMIFS(Xero!$F:$F,Xero!$B:$B,Heron!AB$9,Xero!$A:$A,Heron!$A$5,Xero!$E:$E,Heron!$A68)</f>
        <v>0</v>
      </c>
      <c r="AC68" s="99">
        <f>SUMIFS(Xero!$F:$F,Xero!$B:$B,Heron!AC$9,Xero!$A:$A,Heron!$A$4,Xero!$E:$E,Heron!$A68)+SUMIFS(Xero!$F:$F,Xero!$B:$B,Heron!AC$9,Xero!$A:$A,Heron!$A$5,Xero!$E:$E,Heron!$A68)</f>
        <v>0</v>
      </c>
      <c r="AD68" s="99">
        <f>SUMIFS(Xero!$F:$F,Xero!$B:$B,Heron!AD$9,Xero!$A:$A,Heron!$A$4,Xero!$E:$E,Heron!$A68)+SUMIFS(Xero!$F:$F,Xero!$B:$B,Heron!AD$9,Xero!$A:$A,Heron!$A$5,Xero!$E:$E,Heron!$A68)</f>
        <v>0</v>
      </c>
      <c r="AE68" s="99">
        <f>SUMIFS(Xero!$F:$F,Xero!$B:$B,Heron!AE$9,Xero!$A:$A,Heron!$A$4,Xero!$E:$E,Heron!$A68)+SUMIFS(Xero!$F:$F,Xero!$B:$B,Heron!AE$9,Xero!$A:$A,Heron!$A$5,Xero!$E:$E,Heron!$A68)</f>
        <v>0</v>
      </c>
      <c r="AF68" s="99">
        <f>SUMIFS(Xero!$F:$F,Xero!$B:$B,Heron!AF$9,Xero!$A:$A,Heron!$A$4,Xero!$E:$E,Heron!$A68)+SUMIFS(Xero!$F:$F,Xero!$B:$B,Heron!AF$9,Xero!$A:$A,Heron!$A$5,Xero!$E:$E,Heron!$A68)</f>
        <v>0</v>
      </c>
      <c r="AG68" s="99">
        <f>SUMIFS(Xero!$F:$F,Xero!$B:$B,Heron!AG$9,Xero!$A:$A,Heron!$A$4,Xero!$E:$E,Heron!$A68)+SUMIFS(Xero!$F:$F,Xero!$B:$B,Heron!AG$9,Xero!$A:$A,Heron!$A$5,Xero!$E:$E,Heron!$A68)</f>
        <v>0</v>
      </c>
      <c r="AH68" s="99">
        <f>SUMIFS(Xero!$F:$F,Xero!$B:$B,Heron!AH$9,Xero!$A:$A,Heron!$A$4,Xero!$E:$E,Heron!$A68)+SUMIFS(Xero!$F:$F,Xero!$B:$B,Heron!AH$9,Xero!$A:$A,Heron!$A$5,Xero!$E:$E,Heron!$A68)</f>
        <v>0</v>
      </c>
      <c r="AI68" s="99">
        <f>SUMIFS(Xero!$F:$F,Xero!$B:$B,Heron!AI$9,Xero!$A:$A,Heron!$A$4,Xero!$E:$E,Heron!$A68)+SUMIFS(Xero!$F:$F,Xero!$B:$B,Heron!AI$9,Xero!$A:$A,Heron!$A$5,Xero!$E:$E,Heron!$A68)</f>
        <v>0</v>
      </c>
      <c r="AJ68" s="99">
        <f>SUMIFS(Xero!$F:$F,Xero!$B:$B,Heron!AJ$9,Xero!$A:$A,Heron!$A$4,Xero!$E:$E,Heron!$A68)+SUMIFS(Xero!$F:$F,Xero!$B:$B,Heron!AJ$9,Xero!$A:$A,Heron!$A$5,Xero!$E:$E,Heron!$A68)</f>
        <v>0</v>
      </c>
      <c r="AK68" s="99">
        <f>SUMIFS(Xero!$F:$F,Xero!$B:$B,Heron!AK$9,Xero!$A:$A,Heron!$A$4,Xero!$E:$E,Heron!$A68)+SUMIFS(Xero!$F:$F,Xero!$B:$B,Heron!AK$9,Xero!$A:$A,Heron!$A$5,Xero!$E:$E,Heron!$A68)</f>
        <v>0</v>
      </c>
      <c r="AL68" s="99">
        <f>SUMIFS(Xero!$F:$F,Xero!$B:$B,Heron!AL$9,Xero!$A:$A,Heron!$A$4,Xero!$E:$E,Heron!$A68)+SUMIFS(Xero!$F:$F,Xero!$B:$B,Heron!AL$9,Xero!$A:$A,Heron!$A$5,Xero!$E:$E,Heron!$A68)</f>
        <v>0</v>
      </c>
      <c r="AM68" s="99">
        <f>SUMIFS(Xero!$F:$F,Xero!$B:$B,Heron!AM$9,Xero!$A:$A,Heron!$A$4,Xero!$E:$E,Heron!$A68)+SUMIFS(Xero!$F:$F,Xero!$B:$B,Heron!AM$9,Xero!$A:$A,Heron!$A$5,Xero!$E:$E,Heron!$A68)</f>
        <v>0</v>
      </c>
      <c r="AN68" s="99">
        <f>SUMIFS(Xero!$F:$F,Xero!$B:$B,Heron!AN$9,Xero!$A:$A,Heron!$A$4,Xero!$E:$E,Heron!$A68)+SUMIFS(Xero!$F:$F,Xero!$B:$B,Heron!AN$9,Xero!$A:$A,Heron!$A$5,Xero!$E:$E,Heron!$A68)</f>
        <v>0</v>
      </c>
      <c r="AO68" s="99">
        <f>SUMIFS(Xero!$F:$F,Xero!$B:$B,Heron!AO$9,Xero!$A:$A,Heron!$A$4,Xero!$E:$E,Heron!$A68)+SUMIFS(Xero!$F:$F,Xero!$B:$B,Heron!AO$9,Xero!$A:$A,Heron!$A$5,Xero!$E:$E,Heron!$A68)</f>
        <v>0</v>
      </c>
      <c r="AP68" s="99">
        <f>SUMIFS(Xero!$F:$F,Xero!$B:$B,Heron!AP$9,Xero!$A:$A,Heron!$A$4,Xero!$E:$E,Heron!$A68)+SUMIFS(Xero!$F:$F,Xero!$B:$B,Heron!AP$9,Xero!$A:$A,Heron!$A$5,Xero!$E:$E,Heron!$A68)</f>
        <v>0</v>
      </c>
      <c r="AQ68" s="99">
        <f>SUMIFS(Xero!$F:$F,Xero!$B:$B,Heron!AQ$9,Xero!$A:$A,Heron!$A$4,Xero!$E:$E,Heron!$A68)+SUMIFS(Xero!$F:$F,Xero!$B:$B,Heron!AQ$9,Xero!$A:$A,Heron!$A$5,Xero!$E:$E,Heron!$A68)</f>
        <v>0</v>
      </c>
      <c r="AR68" s="99">
        <f>SUMIFS(Xero!$F:$F,Xero!$B:$B,Heron!AR$9,Xero!$A:$A,Heron!$A$4,Xero!$E:$E,Heron!$A68)+SUMIFS(Xero!$F:$F,Xero!$B:$B,Heron!AR$9,Xero!$A:$A,Heron!$A$5,Xero!$E:$E,Heron!$A68)</f>
        <v>9396.76</v>
      </c>
      <c r="AS68" s="99">
        <f>SUMIFS(Xero!$F:$F,Xero!$B:$B,Heron!AS$9,Xero!$A:$A,Heron!$A$4,Xero!$E:$E,Heron!$A68)+SUMIFS(Xero!$F:$F,Xero!$B:$B,Heron!AS$9,Xero!$A:$A,Heron!$A$5,Xero!$E:$E,Heron!$A68)</f>
        <v>0</v>
      </c>
      <c r="AT68" s="99">
        <f>SUMIFS(Xero!$F:$F,Xero!$B:$B,Heron!AT$9,Xero!$A:$A,Heron!$A$4,Xero!$E:$E,Heron!$A68)+SUMIFS(Xero!$F:$F,Xero!$B:$B,Heron!AT$9,Xero!$A:$A,Heron!$A$5,Xero!$E:$E,Heron!$A68)</f>
        <v>0</v>
      </c>
      <c r="AU68" s="99">
        <f>SUMIFS(Xero!$F:$F,Xero!$B:$B,Heron!AU$9,Xero!$A:$A,Heron!$A$4,Xero!$E:$E,Heron!$A68)+SUMIFS(Xero!$F:$F,Xero!$B:$B,Heron!AU$9,Xero!$A:$A,Heron!$A$5,Xero!$E:$E,Heron!$A68)</f>
        <v>0</v>
      </c>
      <c r="AV68" s="99">
        <f>SUMIFS(Xero!$F:$F,Xero!$B:$B,Heron!AV$9,Xero!$A:$A,Heron!$A$4,Xero!$E:$E,Heron!$A68)+SUMIFS(Xero!$F:$F,Xero!$B:$B,Heron!AV$9,Xero!$A:$A,Heron!$A$5,Xero!$E:$E,Heron!$A68)</f>
        <v>0</v>
      </c>
      <c r="AW68" s="99">
        <f>SUMIFS(Xero!$F:$F,Xero!$B:$B,Heron!AW$9,Xero!$A:$A,Heron!$A$4,Xero!$E:$E,Heron!$A68)+SUMIFS(Xero!$F:$F,Xero!$B:$B,Heron!AW$9,Xero!$A:$A,Heron!$A$5,Xero!$E:$E,Heron!$A68)</f>
        <v>0</v>
      </c>
      <c r="AX68" s="99">
        <f>SUMIFS(Xero!$F:$F,Xero!$B:$B,Heron!AX$9,Xero!$A:$A,Heron!$A$4,Xero!$E:$E,Heron!$A68)+SUMIFS(Xero!$F:$F,Xero!$B:$B,Heron!AX$9,Xero!$A:$A,Heron!$A$5,Xero!$E:$E,Heron!$A68)</f>
        <v>0</v>
      </c>
      <c r="AY68" s="99">
        <f>SUMIFS(Xero!$F:$F,Xero!$B:$B,Heron!AY$9,Xero!$A:$A,Heron!$A$4,Xero!$E:$E,Heron!$A68)+SUMIFS(Xero!$F:$F,Xero!$B:$B,Heron!AY$9,Xero!$A:$A,Heron!$A$5,Xero!$E:$E,Heron!$A68)</f>
        <v>0</v>
      </c>
      <c r="AZ68" s="99">
        <f>SUMIFS(Xero!$F:$F,Xero!$B:$B,Heron!AZ$9,Xero!$A:$A,Heron!$A$4,Xero!$E:$E,Heron!$A68)+SUMIFS(Xero!$F:$F,Xero!$B:$B,Heron!AZ$9,Xero!$A:$A,Heron!$A$5,Xero!$E:$E,Heron!$A68)</f>
        <v>0</v>
      </c>
      <c r="BA68" s="99">
        <f>SUMIFS(Xero!$F:$F,Xero!$B:$B,Heron!BA$9,Xero!$A:$A,Heron!$A$4,Xero!$E:$E,Heron!$A68)+SUMIFS(Xero!$F:$F,Xero!$B:$B,Heron!BA$9,Xero!$A:$A,Heron!$A$5,Xero!$E:$E,Heron!$A68)</f>
        <v>0</v>
      </c>
      <c r="BB68" s="99">
        <f>SUMIFS(Xero!$F:$F,Xero!$B:$B,Heron!BB$9,Xero!$A:$A,Heron!$A$4,Xero!$E:$E,Heron!$A68)+SUMIFS(Xero!$F:$F,Xero!$B:$B,Heron!BB$9,Xero!$A:$A,Heron!$A$5,Xero!$E:$E,Heron!$A68)</f>
        <v>0</v>
      </c>
      <c r="BC68" s="99">
        <f>SUMIFS(Xero!$F:$F,Xero!$B:$B,Heron!BC$9,Xero!$A:$A,Heron!$A$4,Xero!$E:$E,Heron!$A68)+SUMIFS(Xero!$F:$F,Xero!$B:$B,Heron!BC$9,Xero!$A:$A,Heron!$A$5,Xero!$E:$E,Heron!$A68)</f>
        <v>0</v>
      </c>
      <c r="BD68" s="99">
        <f>SUMIFS(Xero!$F:$F,Xero!$B:$B,Heron!BD$9,Xero!$A:$A,Heron!$A$4,Xero!$E:$E,Heron!$A68)+SUMIFS(Xero!$F:$F,Xero!$B:$B,Heron!BD$9,Xero!$A:$A,Heron!$A$5,Xero!$E:$E,Heron!$A68)</f>
        <v>0</v>
      </c>
      <c r="BE68" s="99">
        <f>SUMIFS(Xero!$F:$F,Xero!$B:$B,Heron!BE$9,Xero!$A:$A,Heron!$A$4,Xero!$E:$E,Heron!$A68)+SUMIFS(Xero!$F:$F,Xero!$B:$B,Heron!BE$9,Xero!$A:$A,Heron!$A$5,Xero!$E:$E,Heron!$A68)</f>
        <v>0</v>
      </c>
      <c r="BF68" s="99">
        <f>SUMIFS(Xero!$F:$F,Xero!$B:$B,Heron!BF$9,Xero!$A:$A,Heron!$A$4,Xero!$E:$E,Heron!$A68)+SUMIFS(Xero!$F:$F,Xero!$B:$B,Heron!BF$9,Xero!$A:$A,Heron!$A$5,Xero!$E:$E,Heron!$A68)</f>
        <v>0</v>
      </c>
      <c r="BG68" s="99">
        <f>SUMIFS(Xero!$F:$F,Xero!$B:$B,Heron!BG$9,Xero!$A:$A,Heron!$A$4,Xero!$E:$E,Heron!$A68)+SUMIFS(Xero!$F:$F,Xero!$B:$B,Heron!BG$9,Xero!$A:$A,Heron!$A$5,Xero!$E:$E,Heron!$A68)</f>
        <v>0</v>
      </c>
      <c r="BH68" s="99">
        <f>SUMIFS(Xero!$F:$F,Xero!$B:$B,Heron!BH$9,Xero!$A:$A,Heron!$A$4,Xero!$E:$E,Heron!$A68)+SUMIFS(Xero!$F:$F,Xero!$B:$B,Heron!BH$9,Xero!$A:$A,Heron!$A$5,Xero!$E:$E,Heron!$A68)</f>
        <v>0</v>
      </c>
      <c r="BI68" s="99">
        <f>SUMIFS(Xero!$F:$F,Xero!$B:$B,Heron!BI$9,Xero!$A:$A,Heron!$A$4,Xero!$E:$E,Heron!$A68)+SUMIFS(Xero!$F:$F,Xero!$B:$B,Heron!BI$9,Xero!$A:$A,Heron!$A$5,Xero!$E:$E,Heron!$A68)</f>
        <v>0</v>
      </c>
      <c r="BJ68" s="99">
        <f>SUMIFS(Xero!$F:$F,Xero!$B:$B,Heron!BJ$9,Xero!$A:$A,Heron!$A$4,Xero!$E:$E,Heron!$A68)+SUMIFS(Xero!$F:$F,Xero!$B:$B,Heron!BJ$9,Xero!$A:$A,Heron!$A$5,Xero!$E:$E,Heron!$A68)</f>
        <v>0</v>
      </c>
      <c r="BK68" s="99">
        <f t="shared" si="5"/>
        <v>9396.76</v>
      </c>
    </row>
    <row r="69" spans="1:63" ht="16" x14ac:dyDescent="0.2">
      <c r="A69" s="98" t="s">
        <v>1131</v>
      </c>
      <c r="D69" s="99">
        <f>SUMIFS(Xero!$F:$F,Xero!$B:$B,Heron!D$9,Xero!$A:$A,Heron!$A$4,Xero!$E:$E,Heron!$A69)+SUMIFS(Xero!$F:$F,Xero!$B:$B,Heron!D$9,Xero!$A:$A,Heron!$A$5,Xero!$E:$E,Heron!$A69)</f>
        <v>0</v>
      </c>
      <c r="E69" s="99">
        <f>SUMIFS(Xero!$F:$F,Xero!$B:$B,Heron!E$9,Xero!$A:$A,Heron!$A$4,Xero!$E:$E,Heron!$A69)+SUMIFS(Xero!$F:$F,Xero!$B:$B,Heron!E$9,Xero!$A:$A,Heron!$A$5,Xero!$E:$E,Heron!$A69)</f>
        <v>250</v>
      </c>
      <c r="F69" s="99">
        <f>SUMIFS(Xero!$F:$F,Xero!$B:$B,Heron!F$9,Xero!$A:$A,Heron!$A$4,Xero!$E:$E,Heron!$A69)+SUMIFS(Xero!$F:$F,Xero!$B:$B,Heron!F$9,Xero!$A:$A,Heron!$A$5,Xero!$E:$E,Heron!$A69)</f>
        <v>0</v>
      </c>
      <c r="G69" s="99">
        <f>SUMIFS(Xero!$F:$F,Xero!$B:$B,Heron!G$9,Xero!$A:$A,Heron!$A$4,Xero!$E:$E,Heron!$A69)+SUMIFS(Xero!$F:$F,Xero!$B:$B,Heron!G$9,Xero!$A:$A,Heron!$A$5,Xero!$E:$E,Heron!$A69)</f>
        <v>0</v>
      </c>
      <c r="H69" s="99">
        <f>SUMIFS(Xero!$F:$F,Xero!$B:$B,Heron!H$9,Xero!$A:$A,Heron!$A$4,Xero!$E:$E,Heron!$A69)+SUMIFS(Xero!$F:$F,Xero!$B:$B,Heron!H$9,Xero!$A:$A,Heron!$A$5,Xero!$E:$E,Heron!$A69)</f>
        <v>0</v>
      </c>
      <c r="I69" s="99">
        <f>SUMIFS(Xero!$F:$F,Xero!$B:$B,Heron!I$9,Xero!$A:$A,Heron!$A$4,Xero!$E:$E,Heron!$A69)+SUMIFS(Xero!$F:$F,Xero!$B:$B,Heron!I$9,Xero!$A:$A,Heron!$A$5,Xero!$E:$E,Heron!$A69)</f>
        <v>0</v>
      </c>
      <c r="J69" s="99">
        <f>SUMIFS(Xero!$F:$F,Xero!$B:$B,Heron!J$9,Xero!$A:$A,Heron!$A$4,Xero!$E:$E,Heron!$A69)+SUMIFS(Xero!$F:$F,Xero!$B:$B,Heron!J$9,Xero!$A:$A,Heron!$A$5,Xero!$E:$E,Heron!$A69)</f>
        <v>0</v>
      </c>
      <c r="K69" s="99">
        <f>SUMIFS(Xero!$F:$F,Xero!$B:$B,Heron!K$9,Xero!$A:$A,Heron!$A$4,Xero!$E:$E,Heron!$A69)+SUMIFS(Xero!$F:$F,Xero!$B:$B,Heron!K$9,Xero!$A:$A,Heron!$A$5,Xero!$E:$E,Heron!$A69)</f>
        <v>0</v>
      </c>
      <c r="L69" s="99">
        <f>SUMIFS(Xero!$F:$F,Xero!$B:$B,Heron!L$9,Xero!$A:$A,Heron!$A$4,Xero!$E:$E,Heron!$A69)+SUMIFS(Xero!$F:$F,Xero!$B:$B,Heron!L$9,Xero!$A:$A,Heron!$A$5,Xero!$E:$E,Heron!$A69)</f>
        <v>0</v>
      </c>
      <c r="M69" s="99">
        <f>SUMIFS(Xero!$F:$F,Xero!$B:$B,Heron!M$9,Xero!$A:$A,Heron!$A$4,Xero!$E:$E,Heron!$A69)+SUMIFS(Xero!$F:$F,Xero!$B:$B,Heron!M$9,Xero!$A:$A,Heron!$A$5,Xero!$E:$E,Heron!$A69)</f>
        <v>0</v>
      </c>
      <c r="N69" s="99">
        <f>SUMIFS(Xero!$F:$F,Xero!$B:$B,Heron!N$9,Xero!$A:$A,Heron!$A$4,Xero!$E:$E,Heron!$A69)+SUMIFS(Xero!$F:$F,Xero!$B:$B,Heron!N$9,Xero!$A:$A,Heron!$A$5,Xero!$E:$E,Heron!$A69)</f>
        <v>0</v>
      </c>
      <c r="O69" s="99">
        <f>SUMIFS(Xero!$F:$F,Xero!$B:$B,Heron!O$9,Xero!$A:$A,Heron!$A$4,Xero!$E:$E,Heron!$A69)+SUMIFS(Xero!$F:$F,Xero!$B:$B,Heron!O$9,Xero!$A:$A,Heron!$A$5,Xero!$E:$E,Heron!$A69)</f>
        <v>0</v>
      </c>
      <c r="P69" s="99">
        <f>SUMIFS(Xero!$F:$F,Xero!$B:$B,Heron!P$9,Xero!$A:$A,Heron!$A$4,Xero!$E:$E,Heron!$A69)+SUMIFS(Xero!$F:$F,Xero!$B:$B,Heron!P$9,Xero!$A:$A,Heron!$A$5,Xero!$E:$E,Heron!$A69)</f>
        <v>0</v>
      </c>
      <c r="Q69" s="99">
        <f>SUMIFS(Xero!$F:$F,Xero!$B:$B,Heron!Q$9,Xero!$A:$A,Heron!$A$4,Xero!$E:$E,Heron!$A69)+SUMIFS(Xero!$F:$F,Xero!$B:$B,Heron!Q$9,Xero!$A:$A,Heron!$A$5,Xero!$E:$E,Heron!$A69)</f>
        <v>0</v>
      </c>
      <c r="R69" s="99">
        <f>SUMIFS(Xero!$F:$F,Xero!$B:$B,Heron!R$9,Xero!$A:$A,Heron!$A$4,Xero!$E:$E,Heron!$A69)+SUMIFS(Xero!$F:$F,Xero!$B:$B,Heron!R$9,Xero!$A:$A,Heron!$A$5,Xero!$E:$E,Heron!$A69)</f>
        <v>0</v>
      </c>
      <c r="S69" s="99">
        <f>SUMIFS(Xero!$F:$F,Xero!$B:$B,Heron!S$9,Xero!$A:$A,Heron!$A$4,Xero!$E:$E,Heron!$A69)+SUMIFS(Xero!$F:$F,Xero!$B:$B,Heron!S$9,Xero!$A:$A,Heron!$A$5,Xero!$E:$E,Heron!$A69)</f>
        <v>0</v>
      </c>
      <c r="T69" s="99">
        <f>SUMIFS(Xero!$F:$F,Xero!$B:$B,Heron!T$9,Xero!$A:$A,Heron!$A$4,Xero!$E:$E,Heron!$A69)+SUMIFS(Xero!$F:$F,Xero!$B:$B,Heron!T$9,Xero!$A:$A,Heron!$A$5,Xero!$E:$E,Heron!$A69)</f>
        <v>0</v>
      </c>
      <c r="U69" s="99">
        <f>SUMIFS(Xero!$F:$F,Xero!$B:$B,Heron!U$9,Xero!$A:$A,Heron!$A$4,Xero!$E:$E,Heron!$A69)+SUMIFS(Xero!$F:$F,Xero!$B:$B,Heron!U$9,Xero!$A:$A,Heron!$A$5,Xero!$E:$E,Heron!$A69)</f>
        <v>0</v>
      </c>
      <c r="V69" s="99">
        <f>SUMIFS(Xero!$F:$F,Xero!$B:$B,Heron!V$9,Xero!$A:$A,Heron!$A$4,Xero!$E:$E,Heron!$A69)+SUMIFS(Xero!$F:$F,Xero!$B:$B,Heron!V$9,Xero!$A:$A,Heron!$A$5,Xero!$E:$E,Heron!$A69)</f>
        <v>0</v>
      </c>
      <c r="W69" s="99">
        <f>SUMIFS(Xero!$F:$F,Xero!$B:$B,Heron!W$9,Xero!$A:$A,Heron!$A$4,Xero!$E:$E,Heron!$A69)+SUMIFS(Xero!$F:$F,Xero!$B:$B,Heron!W$9,Xero!$A:$A,Heron!$A$5,Xero!$E:$E,Heron!$A69)</f>
        <v>0</v>
      </c>
      <c r="X69" s="99">
        <f>SUMIFS(Xero!$F:$F,Xero!$B:$B,Heron!X$9,Xero!$A:$A,Heron!$A$4,Xero!$E:$E,Heron!$A69)+SUMIFS(Xero!$F:$F,Xero!$B:$B,Heron!X$9,Xero!$A:$A,Heron!$A$5,Xero!$E:$E,Heron!$A69)</f>
        <v>0</v>
      </c>
      <c r="Y69" s="99">
        <f>SUMIFS(Xero!$F:$F,Xero!$B:$B,Heron!Y$9,Xero!$A:$A,Heron!$A$4,Xero!$E:$E,Heron!$A69)+SUMIFS(Xero!$F:$F,Xero!$B:$B,Heron!Y$9,Xero!$A:$A,Heron!$A$5,Xero!$E:$E,Heron!$A69)</f>
        <v>0</v>
      </c>
      <c r="Z69" s="99">
        <f>SUMIFS(Xero!$F:$F,Xero!$B:$B,Heron!Z$9,Xero!$A:$A,Heron!$A$4,Xero!$E:$E,Heron!$A69)+SUMIFS(Xero!$F:$F,Xero!$B:$B,Heron!Z$9,Xero!$A:$A,Heron!$A$5,Xero!$E:$E,Heron!$A69)</f>
        <v>0</v>
      </c>
      <c r="AA69" s="99">
        <f>SUMIFS(Xero!$F:$F,Xero!$B:$B,Heron!AA$9,Xero!$A:$A,Heron!$A$4,Xero!$E:$E,Heron!$A69)+SUMIFS(Xero!$F:$F,Xero!$B:$B,Heron!AA$9,Xero!$A:$A,Heron!$A$5,Xero!$E:$E,Heron!$A69)</f>
        <v>0</v>
      </c>
      <c r="AB69" s="99">
        <f>SUMIFS(Xero!$F:$F,Xero!$B:$B,Heron!AB$9,Xero!$A:$A,Heron!$A$4,Xero!$E:$E,Heron!$A69)+SUMIFS(Xero!$F:$F,Xero!$B:$B,Heron!AB$9,Xero!$A:$A,Heron!$A$5,Xero!$E:$E,Heron!$A69)</f>
        <v>0</v>
      </c>
      <c r="AC69" s="99">
        <f>SUMIFS(Xero!$F:$F,Xero!$B:$B,Heron!AC$9,Xero!$A:$A,Heron!$A$4,Xero!$E:$E,Heron!$A69)+SUMIFS(Xero!$F:$F,Xero!$B:$B,Heron!AC$9,Xero!$A:$A,Heron!$A$5,Xero!$E:$E,Heron!$A69)</f>
        <v>0</v>
      </c>
      <c r="AD69" s="99">
        <f>SUMIFS(Xero!$F:$F,Xero!$B:$B,Heron!AD$9,Xero!$A:$A,Heron!$A$4,Xero!$E:$E,Heron!$A69)+SUMIFS(Xero!$F:$F,Xero!$B:$B,Heron!AD$9,Xero!$A:$A,Heron!$A$5,Xero!$E:$E,Heron!$A69)</f>
        <v>39.47</v>
      </c>
      <c r="AE69" s="99">
        <f>SUMIFS(Xero!$F:$F,Xero!$B:$B,Heron!AE$9,Xero!$A:$A,Heron!$A$4,Xero!$E:$E,Heron!$A69)+SUMIFS(Xero!$F:$F,Xero!$B:$B,Heron!AE$9,Xero!$A:$A,Heron!$A$5,Xero!$E:$E,Heron!$A69)</f>
        <v>0</v>
      </c>
      <c r="AF69" s="99">
        <f>SUMIFS(Xero!$F:$F,Xero!$B:$B,Heron!AF$9,Xero!$A:$A,Heron!$A$4,Xero!$E:$E,Heron!$A69)+SUMIFS(Xero!$F:$F,Xero!$B:$B,Heron!AF$9,Xero!$A:$A,Heron!$A$5,Xero!$E:$E,Heron!$A69)</f>
        <v>0</v>
      </c>
      <c r="AG69" s="99">
        <f>SUMIFS(Xero!$F:$F,Xero!$B:$B,Heron!AG$9,Xero!$A:$A,Heron!$A$4,Xero!$E:$E,Heron!$A69)+SUMIFS(Xero!$F:$F,Xero!$B:$B,Heron!AG$9,Xero!$A:$A,Heron!$A$5,Xero!$E:$E,Heron!$A69)</f>
        <v>0</v>
      </c>
      <c r="AH69" s="99">
        <f>SUMIFS(Xero!$F:$F,Xero!$B:$B,Heron!AH$9,Xero!$A:$A,Heron!$A$4,Xero!$E:$E,Heron!$A69)+SUMIFS(Xero!$F:$F,Xero!$B:$B,Heron!AH$9,Xero!$A:$A,Heron!$A$5,Xero!$E:$E,Heron!$A69)</f>
        <v>0</v>
      </c>
      <c r="AI69" s="99">
        <f>SUMIFS(Xero!$F:$F,Xero!$B:$B,Heron!AI$9,Xero!$A:$A,Heron!$A$4,Xero!$E:$E,Heron!$A69)+SUMIFS(Xero!$F:$F,Xero!$B:$B,Heron!AI$9,Xero!$A:$A,Heron!$A$5,Xero!$E:$E,Heron!$A69)</f>
        <v>0</v>
      </c>
      <c r="AJ69" s="99">
        <f>SUMIFS(Xero!$F:$F,Xero!$B:$B,Heron!AJ$9,Xero!$A:$A,Heron!$A$4,Xero!$E:$E,Heron!$A69)+SUMIFS(Xero!$F:$F,Xero!$B:$B,Heron!AJ$9,Xero!$A:$A,Heron!$A$5,Xero!$E:$E,Heron!$A69)</f>
        <v>0</v>
      </c>
      <c r="AK69" s="99">
        <f>SUMIFS(Xero!$F:$F,Xero!$B:$B,Heron!AK$9,Xero!$A:$A,Heron!$A$4,Xero!$E:$E,Heron!$A69)+SUMIFS(Xero!$F:$F,Xero!$B:$B,Heron!AK$9,Xero!$A:$A,Heron!$A$5,Xero!$E:$E,Heron!$A69)</f>
        <v>0</v>
      </c>
      <c r="AL69" s="99">
        <f>SUMIFS(Xero!$F:$F,Xero!$B:$B,Heron!AL$9,Xero!$A:$A,Heron!$A$4,Xero!$E:$E,Heron!$A69)+SUMIFS(Xero!$F:$F,Xero!$B:$B,Heron!AL$9,Xero!$A:$A,Heron!$A$5,Xero!$E:$E,Heron!$A69)</f>
        <v>0</v>
      </c>
      <c r="AM69" s="99">
        <f>SUMIFS(Xero!$F:$F,Xero!$B:$B,Heron!AM$9,Xero!$A:$A,Heron!$A$4,Xero!$E:$E,Heron!$A69)+SUMIFS(Xero!$F:$F,Xero!$B:$B,Heron!AM$9,Xero!$A:$A,Heron!$A$5,Xero!$E:$E,Heron!$A69)</f>
        <v>0</v>
      </c>
      <c r="AN69" s="99">
        <f>SUMIFS(Xero!$F:$F,Xero!$B:$B,Heron!AN$9,Xero!$A:$A,Heron!$A$4,Xero!$E:$E,Heron!$A69)+SUMIFS(Xero!$F:$F,Xero!$B:$B,Heron!AN$9,Xero!$A:$A,Heron!$A$5,Xero!$E:$E,Heron!$A69)</f>
        <v>0</v>
      </c>
      <c r="AO69" s="99">
        <f>SUMIFS(Xero!$F:$F,Xero!$B:$B,Heron!AO$9,Xero!$A:$A,Heron!$A$4,Xero!$E:$E,Heron!$A69)+SUMIFS(Xero!$F:$F,Xero!$B:$B,Heron!AO$9,Xero!$A:$A,Heron!$A$5,Xero!$E:$E,Heron!$A69)</f>
        <v>0</v>
      </c>
      <c r="AP69" s="99">
        <f>SUMIFS(Xero!$F:$F,Xero!$B:$B,Heron!AP$9,Xero!$A:$A,Heron!$A$4,Xero!$E:$E,Heron!$A69)+SUMIFS(Xero!$F:$F,Xero!$B:$B,Heron!AP$9,Xero!$A:$A,Heron!$A$5,Xero!$E:$E,Heron!$A69)</f>
        <v>0</v>
      </c>
      <c r="AQ69" s="99">
        <f>SUMIFS(Xero!$F:$F,Xero!$B:$B,Heron!AQ$9,Xero!$A:$A,Heron!$A$4,Xero!$E:$E,Heron!$A69)+SUMIFS(Xero!$F:$F,Xero!$B:$B,Heron!AQ$9,Xero!$A:$A,Heron!$A$5,Xero!$E:$E,Heron!$A69)</f>
        <v>0</v>
      </c>
      <c r="AR69" s="99">
        <f>SUMIFS(Xero!$F:$F,Xero!$B:$B,Heron!AR$9,Xero!$A:$A,Heron!$A$4,Xero!$E:$E,Heron!$A69)+SUMIFS(Xero!$F:$F,Xero!$B:$B,Heron!AR$9,Xero!$A:$A,Heron!$A$5,Xero!$E:$E,Heron!$A69)</f>
        <v>0</v>
      </c>
      <c r="AS69" s="99">
        <f>SUMIFS(Xero!$F:$F,Xero!$B:$B,Heron!AS$9,Xero!$A:$A,Heron!$A$4,Xero!$E:$E,Heron!$A69)+SUMIFS(Xero!$F:$F,Xero!$B:$B,Heron!AS$9,Xero!$A:$A,Heron!$A$5,Xero!$E:$E,Heron!$A69)</f>
        <v>0</v>
      </c>
      <c r="AT69" s="99">
        <f>SUMIFS(Xero!$F:$F,Xero!$B:$B,Heron!AT$9,Xero!$A:$A,Heron!$A$4,Xero!$E:$E,Heron!$A69)+SUMIFS(Xero!$F:$F,Xero!$B:$B,Heron!AT$9,Xero!$A:$A,Heron!$A$5,Xero!$E:$E,Heron!$A69)</f>
        <v>0</v>
      </c>
      <c r="AU69" s="99">
        <f>SUMIFS(Xero!$F:$F,Xero!$B:$B,Heron!AU$9,Xero!$A:$A,Heron!$A$4,Xero!$E:$E,Heron!$A69)+SUMIFS(Xero!$F:$F,Xero!$B:$B,Heron!AU$9,Xero!$A:$A,Heron!$A$5,Xero!$E:$E,Heron!$A69)</f>
        <v>0</v>
      </c>
      <c r="AV69" s="99">
        <f>SUMIFS(Xero!$F:$F,Xero!$B:$B,Heron!AV$9,Xero!$A:$A,Heron!$A$4,Xero!$E:$E,Heron!$A69)+SUMIFS(Xero!$F:$F,Xero!$B:$B,Heron!AV$9,Xero!$A:$A,Heron!$A$5,Xero!$E:$E,Heron!$A69)</f>
        <v>0</v>
      </c>
      <c r="AW69" s="99">
        <f>SUMIFS(Xero!$F:$F,Xero!$B:$B,Heron!AW$9,Xero!$A:$A,Heron!$A$4,Xero!$E:$E,Heron!$A69)+SUMIFS(Xero!$F:$F,Xero!$B:$B,Heron!AW$9,Xero!$A:$A,Heron!$A$5,Xero!$E:$E,Heron!$A69)</f>
        <v>0</v>
      </c>
      <c r="AX69" s="99">
        <f>SUMIFS(Xero!$F:$F,Xero!$B:$B,Heron!AX$9,Xero!$A:$A,Heron!$A$4,Xero!$E:$E,Heron!$A69)+SUMIFS(Xero!$F:$F,Xero!$B:$B,Heron!AX$9,Xero!$A:$A,Heron!$A$5,Xero!$E:$E,Heron!$A69)</f>
        <v>0</v>
      </c>
      <c r="AY69" s="99">
        <f>SUMIFS(Xero!$F:$F,Xero!$B:$B,Heron!AY$9,Xero!$A:$A,Heron!$A$4,Xero!$E:$E,Heron!$A69)+SUMIFS(Xero!$F:$F,Xero!$B:$B,Heron!AY$9,Xero!$A:$A,Heron!$A$5,Xero!$E:$E,Heron!$A69)</f>
        <v>0</v>
      </c>
      <c r="AZ69" s="99">
        <f>SUMIFS(Xero!$F:$F,Xero!$B:$B,Heron!AZ$9,Xero!$A:$A,Heron!$A$4,Xero!$E:$E,Heron!$A69)+SUMIFS(Xero!$F:$F,Xero!$B:$B,Heron!AZ$9,Xero!$A:$A,Heron!$A$5,Xero!$E:$E,Heron!$A69)</f>
        <v>0</v>
      </c>
      <c r="BA69" s="99">
        <f>SUMIFS(Xero!$F:$F,Xero!$B:$B,Heron!BA$9,Xero!$A:$A,Heron!$A$4,Xero!$E:$E,Heron!$A69)+SUMIFS(Xero!$F:$F,Xero!$B:$B,Heron!BA$9,Xero!$A:$A,Heron!$A$5,Xero!$E:$E,Heron!$A69)</f>
        <v>0</v>
      </c>
      <c r="BB69" s="99">
        <f>SUMIFS(Xero!$F:$F,Xero!$B:$B,Heron!BB$9,Xero!$A:$A,Heron!$A$4,Xero!$E:$E,Heron!$A69)+SUMIFS(Xero!$F:$F,Xero!$B:$B,Heron!BB$9,Xero!$A:$A,Heron!$A$5,Xero!$E:$E,Heron!$A69)</f>
        <v>0</v>
      </c>
      <c r="BC69" s="99">
        <f>SUMIFS(Xero!$F:$F,Xero!$B:$B,Heron!BC$9,Xero!$A:$A,Heron!$A$4,Xero!$E:$E,Heron!$A69)+SUMIFS(Xero!$F:$F,Xero!$B:$B,Heron!BC$9,Xero!$A:$A,Heron!$A$5,Xero!$E:$E,Heron!$A69)</f>
        <v>0</v>
      </c>
      <c r="BD69" s="99">
        <f>SUMIFS(Xero!$F:$F,Xero!$B:$B,Heron!BD$9,Xero!$A:$A,Heron!$A$4,Xero!$E:$E,Heron!$A69)+SUMIFS(Xero!$F:$F,Xero!$B:$B,Heron!BD$9,Xero!$A:$A,Heron!$A$5,Xero!$E:$E,Heron!$A69)</f>
        <v>0</v>
      </c>
      <c r="BE69" s="99">
        <f>SUMIFS(Xero!$F:$F,Xero!$B:$B,Heron!BE$9,Xero!$A:$A,Heron!$A$4,Xero!$E:$E,Heron!$A69)+SUMIFS(Xero!$F:$F,Xero!$B:$B,Heron!BE$9,Xero!$A:$A,Heron!$A$5,Xero!$E:$E,Heron!$A69)</f>
        <v>0</v>
      </c>
      <c r="BF69" s="99">
        <f>SUMIFS(Xero!$F:$F,Xero!$B:$B,Heron!BF$9,Xero!$A:$A,Heron!$A$4,Xero!$E:$E,Heron!$A69)+SUMIFS(Xero!$F:$F,Xero!$B:$B,Heron!BF$9,Xero!$A:$A,Heron!$A$5,Xero!$E:$E,Heron!$A69)</f>
        <v>0</v>
      </c>
      <c r="BG69" s="99">
        <f>SUMIFS(Xero!$F:$F,Xero!$B:$B,Heron!BG$9,Xero!$A:$A,Heron!$A$4,Xero!$E:$E,Heron!$A69)+SUMIFS(Xero!$F:$F,Xero!$B:$B,Heron!BG$9,Xero!$A:$A,Heron!$A$5,Xero!$E:$E,Heron!$A69)</f>
        <v>0</v>
      </c>
      <c r="BH69" s="99">
        <f>SUMIFS(Xero!$F:$F,Xero!$B:$B,Heron!BH$9,Xero!$A:$A,Heron!$A$4,Xero!$E:$E,Heron!$A69)+SUMIFS(Xero!$F:$F,Xero!$B:$B,Heron!BH$9,Xero!$A:$A,Heron!$A$5,Xero!$E:$E,Heron!$A69)</f>
        <v>0</v>
      </c>
      <c r="BI69" s="99">
        <f>SUMIFS(Xero!$F:$F,Xero!$B:$B,Heron!BI$9,Xero!$A:$A,Heron!$A$4,Xero!$E:$E,Heron!$A69)+SUMIFS(Xero!$F:$F,Xero!$B:$B,Heron!BI$9,Xero!$A:$A,Heron!$A$5,Xero!$E:$E,Heron!$A69)</f>
        <v>0</v>
      </c>
      <c r="BJ69" s="99">
        <f>SUMIFS(Xero!$F:$F,Xero!$B:$B,Heron!BJ$9,Xero!$A:$A,Heron!$A$4,Xero!$E:$E,Heron!$A69)+SUMIFS(Xero!$F:$F,Xero!$B:$B,Heron!BJ$9,Xero!$A:$A,Heron!$A$5,Xero!$E:$E,Heron!$A69)</f>
        <v>0</v>
      </c>
      <c r="BK69" s="99">
        <f t="shared" si="5"/>
        <v>289.47000000000003</v>
      </c>
    </row>
    <row r="70" spans="1:63" ht="16" x14ac:dyDescent="0.2">
      <c r="A70" s="98" t="s">
        <v>1082</v>
      </c>
      <c r="D70" s="99">
        <f>SUMIFS(Xero!$F:$F,Xero!$B:$B,Heron!D$9,Xero!$A:$A,Heron!$A$4,Xero!$E:$E,Heron!$A70)+SUMIFS(Xero!$F:$F,Xero!$B:$B,Heron!D$9,Xero!$A:$A,Heron!$A$5,Xero!$E:$E,Heron!$A70)</f>
        <v>0</v>
      </c>
      <c r="E70" s="99">
        <f>SUMIFS(Xero!$F:$F,Xero!$B:$B,Heron!E$9,Xero!$A:$A,Heron!$A$4,Xero!$E:$E,Heron!$A70)+SUMIFS(Xero!$F:$F,Xero!$B:$B,Heron!E$9,Xero!$A:$A,Heron!$A$5,Xero!$E:$E,Heron!$A70)</f>
        <v>0</v>
      </c>
      <c r="F70" s="99">
        <f>SUMIFS(Xero!$F:$F,Xero!$B:$B,Heron!F$9,Xero!$A:$A,Heron!$A$4,Xero!$E:$E,Heron!$A70)+SUMIFS(Xero!$F:$F,Xero!$B:$B,Heron!F$9,Xero!$A:$A,Heron!$A$5,Xero!$E:$E,Heron!$A70)</f>
        <v>0</v>
      </c>
      <c r="G70" s="99">
        <f>SUMIFS(Xero!$F:$F,Xero!$B:$B,Heron!G$9,Xero!$A:$A,Heron!$A$4,Xero!$E:$E,Heron!$A70)+SUMIFS(Xero!$F:$F,Xero!$B:$B,Heron!G$9,Xero!$A:$A,Heron!$A$5,Xero!$E:$E,Heron!$A70)</f>
        <v>0</v>
      </c>
      <c r="H70" s="99">
        <f>SUMIFS(Xero!$F:$F,Xero!$B:$B,Heron!H$9,Xero!$A:$A,Heron!$A$4,Xero!$E:$E,Heron!$A70)+SUMIFS(Xero!$F:$F,Xero!$B:$B,Heron!H$9,Xero!$A:$A,Heron!$A$5,Xero!$E:$E,Heron!$A70)</f>
        <v>0</v>
      </c>
      <c r="I70" s="99">
        <f>SUMIFS(Xero!$F:$F,Xero!$B:$B,Heron!I$9,Xero!$A:$A,Heron!$A$4,Xero!$E:$E,Heron!$A70)+SUMIFS(Xero!$F:$F,Xero!$B:$B,Heron!I$9,Xero!$A:$A,Heron!$A$5,Xero!$E:$E,Heron!$A70)</f>
        <v>0</v>
      </c>
      <c r="J70" s="99">
        <f>SUMIFS(Xero!$F:$F,Xero!$B:$B,Heron!J$9,Xero!$A:$A,Heron!$A$4,Xero!$E:$E,Heron!$A70)+SUMIFS(Xero!$F:$F,Xero!$B:$B,Heron!J$9,Xero!$A:$A,Heron!$A$5,Xero!$E:$E,Heron!$A70)</f>
        <v>0</v>
      </c>
      <c r="K70" s="99">
        <f>SUMIFS(Xero!$F:$F,Xero!$B:$B,Heron!K$9,Xero!$A:$A,Heron!$A$4,Xero!$E:$E,Heron!$A70)+SUMIFS(Xero!$F:$F,Xero!$B:$B,Heron!K$9,Xero!$A:$A,Heron!$A$5,Xero!$E:$E,Heron!$A70)</f>
        <v>0</v>
      </c>
      <c r="L70" s="99">
        <f>SUMIFS(Xero!$F:$F,Xero!$B:$B,Heron!L$9,Xero!$A:$A,Heron!$A$4,Xero!$E:$E,Heron!$A70)+SUMIFS(Xero!$F:$F,Xero!$B:$B,Heron!L$9,Xero!$A:$A,Heron!$A$5,Xero!$E:$E,Heron!$A70)</f>
        <v>0</v>
      </c>
      <c r="M70" s="99">
        <f>SUMIFS(Xero!$F:$F,Xero!$B:$B,Heron!M$9,Xero!$A:$A,Heron!$A$4,Xero!$E:$E,Heron!$A70)+SUMIFS(Xero!$F:$F,Xero!$B:$B,Heron!M$9,Xero!$A:$A,Heron!$A$5,Xero!$E:$E,Heron!$A70)</f>
        <v>0</v>
      </c>
      <c r="N70" s="99">
        <f>SUMIFS(Xero!$F:$F,Xero!$B:$B,Heron!N$9,Xero!$A:$A,Heron!$A$4,Xero!$E:$E,Heron!$A70)+SUMIFS(Xero!$F:$F,Xero!$B:$B,Heron!N$9,Xero!$A:$A,Heron!$A$5,Xero!$E:$E,Heron!$A70)</f>
        <v>0</v>
      </c>
      <c r="O70" s="99">
        <f>SUMIFS(Xero!$F:$F,Xero!$B:$B,Heron!O$9,Xero!$A:$A,Heron!$A$4,Xero!$E:$E,Heron!$A70)+SUMIFS(Xero!$F:$F,Xero!$B:$B,Heron!O$9,Xero!$A:$A,Heron!$A$5,Xero!$E:$E,Heron!$A70)</f>
        <v>0</v>
      </c>
      <c r="P70" s="99">
        <f>SUMIFS(Xero!$F:$F,Xero!$B:$B,Heron!P$9,Xero!$A:$A,Heron!$A$4,Xero!$E:$E,Heron!$A70)+SUMIFS(Xero!$F:$F,Xero!$B:$B,Heron!P$9,Xero!$A:$A,Heron!$A$5,Xero!$E:$E,Heron!$A70)</f>
        <v>0</v>
      </c>
      <c r="Q70" s="99">
        <f>SUMIFS(Xero!$F:$F,Xero!$B:$B,Heron!Q$9,Xero!$A:$A,Heron!$A$4,Xero!$E:$E,Heron!$A70)+SUMIFS(Xero!$F:$F,Xero!$B:$B,Heron!Q$9,Xero!$A:$A,Heron!$A$5,Xero!$E:$E,Heron!$A70)</f>
        <v>0</v>
      </c>
      <c r="R70" s="99">
        <f>SUMIFS(Xero!$F:$F,Xero!$B:$B,Heron!R$9,Xero!$A:$A,Heron!$A$4,Xero!$E:$E,Heron!$A70)+SUMIFS(Xero!$F:$F,Xero!$B:$B,Heron!R$9,Xero!$A:$A,Heron!$A$5,Xero!$E:$E,Heron!$A70)</f>
        <v>0</v>
      </c>
      <c r="S70" s="99">
        <f>SUMIFS(Xero!$F:$F,Xero!$B:$B,Heron!S$9,Xero!$A:$A,Heron!$A$4,Xero!$E:$E,Heron!$A70)+SUMIFS(Xero!$F:$F,Xero!$B:$B,Heron!S$9,Xero!$A:$A,Heron!$A$5,Xero!$E:$E,Heron!$A70)</f>
        <v>0</v>
      </c>
      <c r="T70" s="99">
        <f>SUMIFS(Xero!$F:$F,Xero!$B:$B,Heron!T$9,Xero!$A:$A,Heron!$A$4,Xero!$E:$E,Heron!$A70)+SUMIFS(Xero!$F:$F,Xero!$B:$B,Heron!T$9,Xero!$A:$A,Heron!$A$5,Xero!$E:$E,Heron!$A70)</f>
        <v>0</v>
      </c>
      <c r="U70" s="99">
        <f>SUMIFS(Xero!$F:$F,Xero!$B:$B,Heron!U$9,Xero!$A:$A,Heron!$A$4,Xero!$E:$E,Heron!$A70)+SUMIFS(Xero!$F:$F,Xero!$B:$B,Heron!U$9,Xero!$A:$A,Heron!$A$5,Xero!$E:$E,Heron!$A70)</f>
        <v>0</v>
      </c>
      <c r="V70" s="99">
        <f>SUMIFS(Xero!$F:$F,Xero!$B:$B,Heron!V$9,Xero!$A:$A,Heron!$A$4,Xero!$E:$E,Heron!$A70)+SUMIFS(Xero!$F:$F,Xero!$B:$B,Heron!V$9,Xero!$A:$A,Heron!$A$5,Xero!$E:$E,Heron!$A70)</f>
        <v>0</v>
      </c>
      <c r="W70" s="99">
        <f>SUMIFS(Xero!$F:$F,Xero!$B:$B,Heron!W$9,Xero!$A:$A,Heron!$A$4,Xero!$E:$E,Heron!$A70)+SUMIFS(Xero!$F:$F,Xero!$B:$B,Heron!W$9,Xero!$A:$A,Heron!$A$5,Xero!$E:$E,Heron!$A70)</f>
        <v>0</v>
      </c>
      <c r="X70" s="99">
        <f>SUMIFS(Xero!$F:$F,Xero!$B:$B,Heron!X$9,Xero!$A:$A,Heron!$A$4,Xero!$E:$E,Heron!$A70)+SUMIFS(Xero!$F:$F,Xero!$B:$B,Heron!X$9,Xero!$A:$A,Heron!$A$5,Xero!$E:$E,Heron!$A70)</f>
        <v>0</v>
      </c>
      <c r="Y70" s="99">
        <f>SUMIFS(Xero!$F:$F,Xero!$B:$B,Heron!Y$9,Xero!$A:$A,Heron!$A$4,Xero!$E:$E,Heron!$A70)+SUMIFS(Xero!$F:$F,Xero!$B:$B,Heron!Y$9,Xero!$A:$A,Heron!$A$5,Xero!$E:$E,Heron!$A70)</f>
        <v>0</v>
      </c>
      <c r="Z70" s="99">
        <f>SUMIFS(Xero!$F:$F,Xero!$B:$B,Heron!Z$9,Xero!$A:$A,Heron!$A$4,Xero!$E:$E,Heron!$A70)+SUMIFS(Xero!$F:$F,Xero!$B:$B,Heron!Z$9,Xero!$A:$A,Heron!$A$5,Xero!$E:$E,Heron!$A70)</f>
        <v>0</v>
      </c>
      <c r="AA70" s="99">
        <f>SUMIFS(Xero!$F:$F,Xero!$B:$B,Heron!AA$9,Xero!$A:$A,Heron!$A$4,Xero!$E:$E,Heron!$A70)+SUMIFS(Xero!$F:$F,Xero!$B:$B,Heron!AA$9,Xero!$A:$A,Heron!$A$5,Xero!$E:$E,Heron!$A70)</f>
        <v>0</v>
      </c>
      <c r="AB70" s="99">
        <f>SUMIFS(Xero!$F:$F,Xero!$B:$B,Heron!AB$9,Xero!$A:$A,Heron!$A$4,Xero!$E:$E,Heron!$A70)+SUMIFS(Xero!$F:$F,Xero!$B:$B,Heron!AB$9,Xero!$A:$A,Heron!$A$5,Xero!$E:$E,Heron!$A70)</f>
        <v>199.99</v>
      </c>
      <c r="AC70" s="99">
        <f>SUMIFS(Xero!$F:$F,Xero!$B:$B,Heron!AC$9,Xero!$A:$A,Heron!$A$4,Xero!$E:$E,Heron!$A70)+SUMIFS(Xero!$F:$F,Xero!$B:$B,Heron!AC$9,Xero!$A:$A,Heron!$A$5,Xero!$E:$E,Heron!$A70)</f>
        <v>0</v>
      </c>
      <c r="AD70" s="99">
        <f>SUMIFS(Xero!$F:$F,Xero!$B:$B,Heron!AD$9,Xero!$A:$A,Heron!$A$4,Xero!$E:$E,Heron!$A70)+SUMIFS(Xero!$F:$F,Xero!$B:$B,Heron!AD$9,Xero!$A:$A,Heron!$A$5,Xero!$E:$E,Heron!$A70)</f>
        <v>0</v>
      </c>
      <c r="AE70" s="99">
        <f>SUMIFS(Xero!$F:$F,Xero!$B:$B,Heron!AE$9,Xero!$A:$A,Heron!$A$4,Xero!$E:$E,Heron!$A70)+SUMIFS(Xero!$F:$F,Xero!$B:$B,Heron!AE$9,Xero!$A:$A,Heron!$A$5,Xero!$E:$E,Heron!$A70)</f>
        <v>0</v>
      </c>
      <c r="AF70" s="99">
        <f>SUMIFS(Xero!$F:$F,Xero!$B:$B,Heron!AF$9,Xero!$A:$A,Heron!$A$4,Xero!$E:$E,Heron!$A70)+SUMIFS(Xero!$F:$F,Xero!$B:$B,Heron!AF$9,Xero!$A:$A,Heron!$A$5,Xero!$E:$E,Heron!$A70)</f>
        <v>0</v>
      </c>
      <c r="AG70" s="99">
        <f>SUMIFS(Xero!$F:$F,Xero!$B:$B,Heron!AG$9,Xero!$A:$A,Heron!$A$4,Xero!$E:$E,Heron!$A70)+SUMIFS(Xero!$F:$F,Xero!$B:$B,Heron!AG$9,Xero!$A:$A,Heron!$A$5,Xero!$E:$E,Heron!$A70)</f>
        <v>0</v>
      </c>
      <c r="AH70" s="99">
        <f>SUMIFS(Xero!$F:$F,Xero!$B:$B,Heron!AH$9,Xero!$A:$A,Heron!$A$4,Xero!$E:$E,Heron!$A70)+SUMIFS(Xero!$F:$F,Xero!$B:$B,Heron!AH$9,Xero!$A:$A,Heron!$A$5,Xero!$E:$E,Heron!$A70)</f>
        <v>0</v>
      </c>
      <c r="AI70" s="99">
        <f>SUMIFS(Xero!$F:$F,Xero!$B:$B,Heron!AI$9,Xero!$A:$A,Heron!$A$4,Xero!$E:$E,Heron!$A70)+SUMIFS(Xero!$F:$F,Xero!$B:$B,Heron!AI$9,Xero!$A:$A,Heron!$A$5,Xero!$E:$E,Heron!$A70)</f>
        <v>0</v>
      </c>
      <c r="AJ70" s="99">
        <f>SUMIFS(Xero!$F:$F,Xero!$B:$B,Heron!AJ$9,Xero!$A:$A,Heron!$A$4,Xero!$E:$E,Heron!$A70)+SUMIFS(Xero!$F:$F,Xero!$B:$B,Heron!AJ$9,Xero!$A:$A,Heron!$A$5,Xero!$E:$E,Heron!$A70)</f>
        <v>0</v>
      </c>
      <c r="AK70" s="99">
        <f>SUMIFS(Xero!$F:$F,Xero!$B:$B,Heron!AK$9,Xero!$A:$A,Heron!$A$4,Xero!$E:$E,Heron!$A70)+SUMIFS(Xero!$F:$F,Xero!$B:$B,Heron!AK$9,Xero!$A:$A,Heron!$A$5,Xero!$E:$E,Heron!$A70)</f>
        <v>2956.52</v>
      </c>
      <c r="AL70" s="99">
        <f>SUMIFS(Xero!$F:$F,Xero!$B:$B,Heron!AL$9,Xero!$A:$A,Heron!$A$4,Xero!$E:$E,Heron!$A70)+SUMIFS(Xero!$F:$F,Xero!$B:$B,Heron!AL$9,Xero!$A:$A,Heron!$A$5,Xero!$E:$E,Heron!$A70)</f>
        <v>0</v>
      </c>
      <c r="AM70" s="99">
        <f>SUMIFS(Xero!$F:$F,Xero!$B:$B,Heron!AM$9,Xero!$A:$A,Heron!$A$4,Xero!$E:$E,Heron!$A70)+SUMIFS(Xero!$F:$F,Xero!$B:$B,Heron!AM$9,Xero!$A:$A,Heron!$A$5,Xero!$E:$E,Heron!$A70)</f>
        <v>0</v>
      </c>
      <c r="AN70" s="99">
        <f>SUMIFS(Xero!$F:$F,Xero!$B:$B,Heron!AN$9,Xero!$A:$A,Heron!$A$4,Xero!$E:$E,Heron!$A70)+SUMIFS(Xero!$F:$F,Xero!$B:$B,Heron!AN$9,Xero!$A:$A,Heron!$A$5,Xero!$E:$E,Heron!$A70)</f>
        <v>0</v>
      </c>
      <c r="AO70" s="99">
        <f>SUMIFS(Xero!$F:$F,Xero!$B:$B,Heron!AO$9,Xero!$A:$A,Heron!$A$4,Xero!$E:$E,Heron!$A70)+SUMIFS(Xero!$F:$F,Xero!$B:$B,Heron!AO$9,Xero!$A:$A,Heron!$A$5,Xero!$E:$E,Heron!$A70)</f>
        <v>0</v>
      </c>
      <c r="AP70" s="99">
        <f>SUMIFS(Xero!$F:$F,Xero!$B:$B,Heron!AP$9,Xero!$A:$A,Heron!$A$4,Xero!$E:$E,Heron!$A70)+SUMIFS(Xero!$F:$F,Xero!$B:$B,Heron!AP$9,Xero!$A:$A,Heron!$A$5,Xero!$E:$E,Heron!$A70)</f>
        <v>0</v>
      </c>
      <c r="AQ70" s="99">
        <f>SUMIFS(Xero!$F:$F,Xero!$B:$B,Heron!AQ$9,Xero!$A:$A,Heron!$A$4,Xero!$E:$E,Heron!$A70)+SUMIFS(Xero!$F:$F,Xero!$B:$B,Heron!AQ$9,Xero!$A:$A,Heron!$A$5,Xero!$E:$E,Heron!$A70)</f>
        <v>0</v>
      </c>
      <c r="AR70" s="99">
        <f>SUMIFS(Xero!$F:$F,Xero!$B:$B,Heron!AR$9,Xero!$A:$A,Heron!$A$4,Xero!$E:$E,Heron!$A70)+SUMIFS(Xero!$F:$F,Xero!$B:$B,Heron!AR$9,Xero!$A:$A,Heron!$A$5,Xero!$E:$E,Heron!$A70)</f>
        <v>0</v>
      </c>
      <c r="AS70" s="99">
        <f>SUMIFS(Xero!$F:$F,Xero!$B:$B,Heron!AS$9,Xero!$A:$A,Heron!$A$4,Xero!$E:$E,Heron!$A70)+SUMIFS(Xero!$F:$F,Xero!$B:$B,Heron!AS$9,Xero!$A:$A,Heron!$A$5,Xero!$E:$E,Heron!$A70)</f>
        <v>0</v>
      </c>
      <c r="AT70" s="99">
        <f>SUMIFS(Xero!$F:$F,Xero!$B:$B,Heron!AT$9,Xero!$A:$A,Heron!$A$4,Xero!$E:$E,Heron!$A70)+SUMIFS(Xero!$F:$F,Xero!$B:$B,Heron!AT$9,Xero!$A:$A,Heron!$A$5,Xero!$E:$E,Heron!$A70)</f>
        <v>0</v>
      </c>
      <c r="AU70" s="99">
        <f>SUMIFS(Xero!$F:$F,Xero!$B:$B,Heron!AU$9,Xero!$A:$A,Heron!$A$4,Xero!$E:$E,Heron!$A70)+SUMIFS(Xero!$F:$F,Xero!$B:$B,Heron!AU$9,Xero!$A:$A,Heron!$A$5,Xero!$E:$E,Heron!$A70)</f>
        <v>0</v>
      </c>
      <c r="AV70" s="99">
        <f>SUMIFS(Xero!$F:$F,Xero!$B:$B,Heron!AV$9,Xero!$A:$A,Heron!$A$4,Xero!$E:$E,Heron!$A70)+SUMIFS(Xero!$F:$F,Xero!$B:$B,Heron!AV$9,Xero!$A:$A,Heron!$A$5,Xero!$E:$E,Heron!$A70)</f>
        <v>0</v>
      </c>
      <c r="AW70" s="99">
        <f>SUMIFS(Xero!$F:$F,Xero!$B:$B,Heron!AW$9,Xero!$A:$A,Heron!$A$4,Xero!$E:$E,Heron!$A70)+SUMIFS(Xero!$F:$F,Xero!$B:$B,Heron!AW$9,Xero!$A:$A,Heron!$A$5,Xero!$E:$E,Heron!$A70)</f>
        <v>0</v>
      </c>
      <c r="AX70" s="99">
        <f>SUMIFS(Xero!$F:$F,Xero!$B:$B,Heron!AX$9,Xero!$A:$A,Heron!$A$4,Xero!$E:$E,Heron!$A70)+SUMIFS(Xero!$F:$F,Xero!$B:$B,Heron!AX$9,Xero!$A:$A,Heron!$A$5,Xero!$E:$E,Heron!$A70)</f>
        <v>0</v>
      </c>
      <c r="AY70" s="99">
        <f>SUMIFS(Xero!$F:$F,Xero!$B:$B,Heron!AY$9,Xero!$A:$A,Heron!$A$4,Xero!$E:$E,Heron!$A70)+SUMIFS(Xero!$F:$F,Xero!$B:$B,Heron!AY$9,Xero!$A:$A,Heron!$A$5,Xero!$E:$E,Heron!$A70)</f>
        <v>0</v>
      </c>
      <c r="AZ70" s="99">
        <f>SUMIFS(Xero!$F:$F,Xero!$B:$B,Heron!AZ$9,Xero!$A:$A,Heron!$A$4,Xero!$E:$E,Heron!$A70)+SUMIFS(Xero!$F:$F,Xero!$B:$B,Heron!AZ$9,Xero!$A:$A,Heron!$A$5,Xero!$E:$E,Heron!$A70)</f>
        <v>0</v>
      </c>
      <c r="BA70" s="99">
        <f>SUMIFS(Xero!$F:$F,Xero!$B:$B,Heron!BA$9,Xero!$A:$A,Heron!$A$4,Xero!$E:$E,Heron!$A70)+SUMIFS(Xero!$F:$F,Xero!$B:$B,Heron!BA$9,Xero!$A:$A,Heron!$A$5,Xero!$E:$E,Heron!$A70)</f>
        <v>0</v>
      </c>
      <c r="BB70" s="99">
        <f>SUMIFS(Xero!$F:$F,Xero!$B:$B,Heron!BB$9,Xero!$A:$A,Heron!$A$4,Xero!$E:$E,Heron!$A70)+SUMIFS(Xero!$F:$F,Xero!$B:$B,Heron!BB$9,Xero!$A:$A,Heron!$A$5,Xero!$E:$E,Heron!$A70)</f>
        <v>0</v>
      </c>
      <c r="BC70" s="99">
        <f>SUMIFS(Xero!$F:$F,Xero!$B:$B,Heron!BC$9,Xero!$A:$A,Heron!$A$4,Xero!$E:$E,Heron!$A70)+SUMIFS(Xero!$F:$F,Xero!$B:$B,Heron!BC$9,Xero!$A:$A,Heron!$A$5,Xero!$E:$E,Heron!$A70)</f>
        <v>0</v>
      </c>
      <c r="BD70" s="99">
        <f>SUMIFS(Xero!$F:$F,Xero!$B:$B,Heron!BD$9,Xero!$A:$A,Heron!$A$4,Xero!$E:$E,Heron!$A70)+SUMIFS(Xero!$F:$F,Xero!$B:$B,Heron!BD$9,Xero!$A:$A,Heron!$A$5,Xero!$E:$E,Heron!$A70)</f>
        <v>0</v>
      </c>
      <c r="BE70" s="99">
        <f>SUMIFS(Xero!$F:$F,Xero!$B:$B,Heron!BE$9,Xero!$A:$A,Heron!$A$4,Xero!$E:$E,Heron!$A70)+SUMIFS(Xero!$F:$F,Xero!$B:$B,Heron!BE$9,Xero!$A:$A,Heron!$A$5,Xero!$E:$E,Heron!$A70)</f>
        <v>0</v>
      </c>
      <c r="BF70" s="99">
        <f>SUMIFS(Xero!$F:$F,Xero!$B:$B,Heron!BF$9,Xero!$A:$A,Heron!$A$4,Xero!$E:$E,Heron!$A70)+SUMIFS(Xero!$F:$F,Xero!$B:$B,Heron!BF$9,Xero!$A:$A,Heron!$A$5,Xero!$E:$E,Heron!$A70)</f>
        <v>0</v>
      </c>
      <c r="BG70" s="99">
        <f>SUMIFS(Xero!$F:$F,Xero!$B:$B,Heron!BG$9,Xero!$A:$A,Heron!$A$4,Xero!$E:$E,Heron!$A70)+SUMIFS(Xero!$F:$F,Xero!$B:$B,Heron!BG$9,Xero!$A:$A,Heron!$A$5,Xero!$E:$E,Heron!$A70)</f>
        <v>0</v>
      </c>
      <c r="BH70" s="99">
        <f>SUMIFS(Xero!$F:$F,Xero!$B:$B,Heron!BH$9,Xero!$A:$A,Heron!$A$4,Xero!$E:$E,Heron!$A70)+SUMIFS(Xero!$F:$F,Xero!$B:$B,Heron!BH$9,Xero!$A:$A,Heron!$A$5,Xero!$E:$E,Heron!$A70)</f>
        <v>0</v>
      </c>
      <c r="BI70" s="99">
        <f>SUMIFS(Xero!$F:$F,Xero!$B:$B,Heron!BI$9,Xero!$A:$A,Heron!$A$4,Xero!$E:$E,Heron!$A70)+SUMIFS(Xero!$F:$F,Xero!$B:$B,Heron!BI$9,Xero!$A:$A,Heron!$A$5,Xero!$E:$E,Heron!$A70)</f>
        <v>0</v>
      </c>
      <c r="BJ70" s="99">
        <f>SUMIFS(Xero!$F:$F,Xero!$B:$B,Heron!BJ$9,Xero!$A:$A,Heron!$A$4,Xero!$E:$E,Heron!$A70)+SUMIFS(Xero!$F:$F,Xero!$B:$B,Heron!BJ$9,Xero!$A:$A,Heron!$A$5,Xero!$E:$E,Heron!$A70)</f>
        <v>0</v>
      </c>
      <c r="BK70" s="99">
        <f t="shared" si="5"/>
        <v>3156.51</v>
      </c>
    </row>
    <row r="71" spans="1:63" ht="16" x14ac:dyDescent="0.2">
      <c r="A71" s="98" t="s">
        <v>1159</v>
      </c>
      <c r="D71" s="99">
        <f>SUMIFS(Xero!$F:$F,Xero!$B:$B,Heron!D$9,Xero!$A:$A,Heron!$A$4,Xero!$E:$E,Heron!$A71)+SUMIFS(Xero!$F:$F,Xero!$B:$B,Heron!D$9,Xero!$A:$A,Heron!$A$5,Xero!$E:$E,Heron!$A71)</f>
        <v>0</v>
      </c>
      <c r="E71" s="99">
        <f>SUMIFS(Xero!$F:$F,Xero!$B:$B,Heron!E$9,Xero!$A:$A,Heron!$A$4,Xero!$E:$E,Heron!$A71)+SUMIFS(Xero!$F:$F,Xero!$B:$B,Heron!E$9,Xero!$A:$A,Heron!$A$5,Xero!$E:$E,Heron!$A71)</f>
        <v>0</v>
      </c>
      <c r="F71" s="99">
        <f>SUMIFS(Xero!$F:$F,Xero!$B:$B,Heron!F$9,Xero!$A:$A,Heron!$A$4,Xero!$E:$E,Heron!$A71)+SUMIFS(Xero!$F:$F,Xero!$B:$B,Heron!F$9,Xero!$A:$A,Heron!$A$5,Xero!$E:$E,Heron!$A71)</f>
        <v>0</v>
      </c>
      <c r="G71" s="99">
        <f>SUMIFS(Xero!$F:$F,Xero!$B:$B,Heron!G$9,Xero!$A:$A,Heron!$A$4,Xero!$E:$E,Heron!$A71)+SUMIFS(Xero!$F:$F,Xero!$B:$B,Heron!G$9,Xero!$A:$A,Heron!$A$5,Xero!$E:$E,Heron!$A71)</f>
        <v>0</v>
      </c>
      <c r="H71" s="99">
        <f>SUMIFS(Xero!$F:$F,Xero!$B:$B,Heron!H$9,Xero!$A:$A,Heron!$A$4,Xero!$E:$E,Heron!$A71)+SUMIFS(Xero!$F:$F,Xero!$B:$B,Heron!H$9,Xero!$A:$A,Heron!$A$5,Xero!$E:$E,Heron!$A71)</f>
        <v>0</v>
      </c>
      <c r="I71" s="99">
        <f>SUMIFS(Xero!$F:$F,Xero!$B:$B,Heron!I$9,Xero!$A:$A,Heron!$A$4,Xero!$E:$E,Heron!$A71)+SUMIFS(Xero!$F:$F,Xero!$B:$B,Heron!I$9,Xero!$A:$A,Heron!$A$5,Xero!$E:$E,Heron!$A71)</f>
        <v>0</v>
      </c>
      <c r="J71" s="99">
        <f>SUMIFS(Xero!$F:$F,Xero!$B:$B,Heron!J$9,Xero!$A:$A,Heron!$A$4,Xero!$E:$E,Heron!$A71)+SUMIFS(Xero!$F:$F,Xero!$B:$B,Heron!J$9,Xero!$A:$A,Heron!$A$5,Xero!$E:$E,Heron!$A71)</f>
        <v>0</v>
      </c>
      <c r="K71" s="99">
        <f>SUMIFS(Xero!$F:$F,Xero!$B:$B,Heron!K$9,Xero!$A:$A,Heron!$A$4,Xero!$E:$E,Heron!$A71)+SUMIFS(Xero!$F:$F,Xero!$B:$B,Heron!K$9,Xero!$A:$A,Heron!$A$5,Xero!$E:$E,Heron!$A71)</f>
        <v>0</v>
      </c>
      <c r="L71" s="99">
        <f>SUMIFS(Xero!$F:$F,Xero!$B:$B,Heron!L$9,Xero!$A:$A,Heron!$A$4,Xero!$E:$E,Heron!$A71)+SUMIFS(Xero!$F:$F,Xero!$B:$B,Heron!L$9,Xero!$A:$A,Heron!$A$5,Xero!$E:$E,Heron!$A71)</f>
        <v>0</v>
      </c>
      <c r="M71" s="99">
        <f>SUMIFS(Xero!$F:$F,Xero!$B:$B,Heron!M$9,Xero!$A:$A,Heron!$A$4,Xero!$E:$E,Heron!$A71)+SUMIFS(Xero!$F:$F,Xero!$B:$B,Heron!M$9,Xero!$A:$A,Heron!$A$5,Xero!$E:$E,Heron!$A71)</f>
        <v>0</v>
      </c>
      <c r="N71" s="99">
        <f>SUMIFS(Xero!$F:$F,Xero!$B:$B,Heron!N$9,Xero!$A:$A,Heron!$A$4,Xero!$E:$E,Heron!$A71)+SUMIFS(Xero!$F:$F,Xero!$B:$B,Heron!N$9,Xero!$A:$A,Heron!$A$5,Xero!$E:$E,Heron!$A71)</f>
        <v>0</v>
      </c>
      <c r="O71" s="99">
        <f>SUMIFS(Xero!$F:$F,Xero!$B:$B,Heron!O$9,Xero!$A:$A,Heron!$A$4,Xero!$E:$E,Heron!$A71)+SUMIFS(Xero!$F:$F,Xero!$B:$B,Heron!O$9,Xero!$A:$A,Heron!$A$5,Xero!$E:$E,Heron!$A71)</f>
        <v>0</v>
      </c>
      <c r="P71" s="99">
        <f>SUMIFS(Xero!$F:$F,Xero!$B:$B,Heron!P$9,Xero!$A:$A,Heron!$A$4,Xero!$E:$E,Heron!$A71)+SUMIFS(Xero!$F:$F,Xero!$B:$B,Heron!P$9,Xero!$A:$A,Heron!$A$5,Xero!$E:$E,Heron!$A71)</f>
        <v>0</v>
      </c>
      <c r="Q71" s="99">
        <f>SUMIFS(Xero!$F:$F,Xero!$B:$B,Heron!Q$9,Xero!$A:$A,Heron!$A$4,Xero!$E:$E,Heron!$A71)+SUMIFS(Xero!$F:$F,Xero!$B:$B,Heron!Q$9,Xero!$A:$A,Heron!$A$5,Xero!$E:$E,Heron!$A71)</f>
        <v>0</v>
      </c>
      <c r="R71" s="99">
        <f>SUMIFS(Xero!$F:$F,Xero!$B:$B,Heron!R$9,Xero!$A:$A,Heron!$A$4,Xero!$E:$E,Heron!$A71)+SUMIFS(Xero!$F:$F,Xero!$B:$B,Heron!R$9,Xero!$A:$A,Heron!$A$5,Xero!$E:$E,Heron!$A71)</f>
        <v>0</v>
      </c>
      <c r="S71" s="99">
        <f>SUMIFS(Xero!$F:$F,Xero!$B:$B,Heron!S$9,Xero!$A:$A,Heron!$A$4,Xero!$E:$E,Heron!$A71)+SUMIFS(Xero!$F:$F,Xero!$B:$B,Heron!S$9,Xero!$A:$A,Heron!$A$5,Xero!$E:$E,Heron!$A71)</f>
        <v>0</v>
      </c>
      <c r="T71" s="99">
        <f>SUMIFS(Xero!$F:$F,Xero!$B:$B,Heron!T$9,Xero!$A:$A,Heron!$A$4,Xero!$E:$E,Heron!$A71)+SUMIFS(Xero!$F:$F,Xero!$B:$B,Heron!T$9,Xero!$A:$A,Heron!$A$5,Xero!$E:$E,Heron!$A71)</f>
        <v>0</v>
      </c>
      <c r="U71" s="99">
        <f>SUMIFS(Xero!$F:$F,Xero!$B:$B,Heron!U$9,Xero!$A:$A,Heron!$A$4,Xero!$E:$E,Heron!$A71)+SUMIFS(Xero!$F:$F,Xero!$B:$B,Heron!U$9,Xero!$A:$A,Heron!$A$5,Xero!$E:$E,Heron!$A71)</f>
        <v>0</v>
      </c>
      <c r="V71" s="99">
        <f>SUMIFS(Xero!$F:$F,Xero!$B:$B,Heron!V$9,Xero!$A:$A,Heron!$A$4,Xero!$E:$E,Heron!$A71)+SUMIFS(Xero!$F:$F,Xero!$B:$B,Heron!V$9,Xero!$A:$A,Heron!$A$5,Xero!$E:$E,Heron!$A71)</f>
        <v>4142.3</v>
      </c>
      <c r="W71" s="99">
        <f>SUMIFS(Xero!$F:$F,Xero!$B:$B,Heron!W$9,Xero!$A:$A,Heron!$A$4,Xero!$E:$E,Heron!$A71)+SUMIFS(Xero!$F:$F,Xero!$B:$B,Heron!W$9,Xero!$A:$A,Heron!$A$5,Xero!$E:$E,Heron!$A71)</f>
        <v>0</v>
      </c>
      <c r="X71" s="99">
        <f>SUMIFS(Xero!$F:$F,Xero!$B:$B,Heron!X$9,Xero!$A:$A,Heron!$A$4,Xero!$E:$E,Heron!$A71)+SUMIFS(Xero!$F:$F,Xero!$B:$B,Heron!X$9,Xero!$A:$A,Heron!$A$5,Xero!$E:$E,Heron!$A71)</f>
        <v>4092.56</v>
      </c>
      <c r="Y71" s="99">
        <f>SUMIFS(Xero!$F:$F,Xero!$B:$B,Heron!Y$9,Xero!$A:$A,Heron!$A$4,Xero!$E:$E,Heron!$A71)+SUMIFS(Xero!$F:$F,Xero!$B:$B,Heron!Y$9,Xero!$A:$A,Heron!$A$5,Xero!$E:$E,Heron!$A71)</f>
        <v>4467.96</v>
      </c>
      <c r="Z71" s="99">
        <f>SUMIFS(Xero!$F:$F,Xero!$B:$B,Heron!Z$9,Xero!$A:$A,Heron!$A$4,Xero!$E:$E,Heron!$A71)+SUMIFS(Xero!$F:$F,Xero!$B:$B,Heron!Z$9,Xero!$A:$A,Heron!$A$5,Xero!$E:$E,Heron!$A71)</f>
        <v>4379.83</v>
      </c>
      <c r="AA71" s="99">
        <f>SUMIFS(Xero!$F:$F,Xero!$B:$B,Heron!AA$9,Xero!$A:$A,Heron!$A$4,Xero!$E:$E,Heron!$A71)+SUMIFS(Xero!$F:$F,Xero!$B:$B,Heron!AA$9,Xero!$A:$A,Heron!$A$5,Xero!$E:$E,Heron!$A71)</f>
        <v>9346.68</v>
      </c>
      <c r="AB71" s="99">
        <f>SUMIFS(Xero!$F:$F,Xero!$B:$B,Heron!AB$9,Xero!$A:$A,Heron!$A$4,Xero!$E:$E,Heron!$A71)+SUMIFS(Xero!$F:$F,Xero!$B:$B,Heron!AB$9,Xero!$A:$A,Heron!$A$5,Xero!$E:$E,Heron!$A71)</f>
        <v>0</v>
      </c>
      <c r="AC71" s="99">
        <f>SUMIFS(Xero!$F:$F,Xero!$B:$B,Heron!AC$9,Xero!$A:$A,Heron!$A$4,Xero!$E:$E,Heron!$A71)+SUMIFS(Xero!$F:$F,Xero!$B:$B,Heron!AC$9,Xero!$A:$A,Heron!$A$5,Xero!$E:$E,Heron!$A71)</f>
        <v>7350.33</v>
      </c>
      <c r="AD71" s="99">
        <f>SUMIFS(Xero!$F:$F,Xero!$B:$B,Heron!AD$9,Xero!$A:$A,Heron!$A$4,Xero!$E:$E,Heron!$A71)+SUMIFS(Xero!$F:$F,Xero!$B:$B,Heron!AD$9,Xero!$A:$A,Heron!$A$5,Xero!$E:$E,Heron!$A71)</f>
        <v>8823.9</v>
      </c>
      <c r="AE71" s="99">
        <f>SUMIFS(Xero!$F:$F,Xero!$B:$B,Heron!AE$9,Xero!$A:$A,Heron!$A$4,Xero!$E:$E,Heron!$A71)+SUMIFS(Xero!$F:$F,Xero!$B:$B,Heron!AE$9,Xero!$A:$A,Heron!$A$5,Xero!$E:$E,Heron!$A71)</f>
        <v>10741.66</v>
      </c>
      <c r="AF71" s="99">
        <f>SUMIFS(Xero!$F:$F,Xero!$B:$B,Heron!AF$9,Xero!$A:$A,Heron!$A$4,Xero!$E:$E,Heron!$A71)+SUMIFS(Xero!$F:$F,Xero!$B:$B,Heron!AF$9,Xero!$A:$A,Heron!$A$5,Xero!$E:$E,Heron!$A71)</f>
        <v>10459.969999999999</v>
      </c>
      <c r="AG71" s="99">
        <f>SUMIFS(Xero!$F:$F,Xero!$B:$B,Heron!AG$9,Xero!$A:$A,Heron!$A$4,Xero!$E:$E,Heron!$A71)+SUMIFS(Xero!$F:$F,Xero!$B:$B,Heron!AG$9,Xero!$A:$A,Heron!$A$5,Xero!$E:$E,Heron!$A71)</f>
        <v>10516.5</v>
      </c>
      <c r="AH71" s="99">
        <f>SUMIFS(Xero!$F:$F,Xero!$B:$B,Heron!AH$9,Xero!$A:$A,Heron!$A$4,Xero!$E:$E,Heron!$A71)+SUMIFS(Xero!$F:$F,Xero!$B:$B,Heron!AH$9,Xero!$A:$A,Heron!$A$5,Xero!$E:$E,Heron!$A71)</f>
        <v>13224.43</v>
      </c>
      <c r="AI71" s="99">
        <f>SUMIFS(Xero!$F:$F,Xero!$B:$B,Heron!AI$9,Xero!$A:$A,Heron!$A$4,Xero!$E:$E,Heron!$A71)+SUMIFS(Xero!$F:$F,Xero!$B:$B,Heron!AI$9,Xero!$A:$A,Heron!$A$5,Xero!$E:$E,Heron!$A71)</f>
        <v>12147.19</v>
      </c>
      <c r="AJ71" s="99">
        <f>SUMIFS(Xero!$F:$F,Xero!$B:$B,Heron!AJ$9,Xero!$A:$A,Heron!$A$4,Xero!$E:$E,Heron!$A71)+SUMIFS(Xero!$F:$F,Xero!$B:$B,Heron!AJ$9,Xero!$A:$A,Heron!$A$5,Xero!$E:$E,Heron!$A71)</f>
        <v>12118.18</v>
      </c>
      <c r="AK71" s="99">
        <f>SUMIFS(Xero!$F:$F,Xero!$B:$B,Heron!AK$9,Xero!$A:$A,Heron!$A$4,Xero!$E:$E,Heron!$A71)+SUMIFS(Xero!$F:$F,Xero!$B:$B,Heron!AK$9,Xero!$A:$A,Heron!$A$5,Xero!$E:$E,Heron!$A71)</f>
        <v>17021.080000000002</v>
      </c>
      <c r="AL71" s="99">
        <f>SUMIFS(Xero!$F:$F,Xero!$B:$B,Heron!AL$9,Xero!$A:$A,Heron!$A$4,Xero!$E:$E,Heron!$A71)+SUMIFS(Xero!$F:$F,Xero!$B:$B,Heron!AL$9,Xero!$A:$A,Heron!$A$5,Xero!$E:$E,Heron!$A71)</f>
        <v>15043.78</v>
      </c>
      <c r="AM71" s="99">
        <f>SUMIFS(Xero!$F:$F,Xero!$B:$B,Heron!AM$9,Xero!$A:$A,Heron!$A$4,Xero!$E:$E,Heron!$A71)+SUMIFS(Xero!$F:$F,Xero!$B:$B,Heron!AM$9,Xero!$A:$A,Heron!$A$5,Xero!$E:$E,Heron!$A71)</f>
        <v>15124.94</v>
      </c>
      <c r="AN71" s="99">
        <f>SUMIFS(Xero!$F:$F,Xero!$B:$B,Heron!AN$9,Xero!$A:$A,Heron!$A$4,Xero!$E:$E,Heron!$A71)+SUMIFS(Xero!$F:$F,Xero!$B:$B,Heron!AN$9,Xero!$A:$A,Heron!$A$5,Xero!$E:$E,Heron!$A71)</f>
        <v>15124.94</v>
      </c>
      <c r="AO71" s="99">
        <f>SUMIFS(Xero!$F:$F,Xero!$B:$B,Heron!AO$9,Xero!$A:$A,Heron!$A$4,Xero!$E:$E,Heron!$A71)+SUMIFS(Xero!$F:$F,Xero!$B:$B,Heron!AO$9,Xero!$A:$A,Heron!$A$5,Xero!$E:$E,Heron!$A71)</f>
        <v>0</v>
      </c>
      <c r="AP71" s="99">
        <f>SUMIFS(Xero!$F:$F,Xero!$B:$B,Heron!AP$9,Xero!$A:$A,Heron!$A$4,Xero!$E:$E,Heron!$A71)+SUMIFS(Xero!$F:$F,Xero!$B:$B,Heron!AP$9,Xero!$A:$A,Heron!$A$5,Xero!$E:$E,Heron!$A71)</f>
        <v>0</v>
      </c>
      <c r="AQ71" s="99">
        <f>SUMIFS(Xero!$F:$F,Xero!$B:$B,Heron!AQ$9,Xero!$A:$A,Heron!$A$4,Xero!$E:$E,Heron!$A71)+SUMIFS(Xero!$F:$F,Xero!$B:$B,Heron!AQ$9,Xero!$A:$A,Heron!$A$5,Xero!$E:$E,Heron!$A71)</f>
        <v>0</v>
      </c>
      <c r="AR71" s="99">
        <f>SUMIFS(Xero!$F:$F,Xero!$B:$B,Heron!AR$9,Xero!$A:$A,Heron!$A$4,Xero!$E:$E,Heron!$A71)+SUMIFS(Xero!$F:$F,Xero!$B:$B,Heron!AR$9,Xero!$A:$A,Heron!$A$5,Xero!$E:$E,Heron!$A71)</f>
        <v>0</v>
      </c>
      <c r="AS71" s="99">
        <f>SUMIFS(Xero!$F:$F,Xero!$B:$B,Heron!AS$9,Xero!$A:$A,Heron!$A$4,Xero!$E:$E,Heron!$A71)+SUMIFS(Xero!$F:$F,Xero!$B:$B,Heron!AS$9,Xero!$A:$A,Heron!$A$5,Xero!$E:$E,Heron!$A71)</f>
        <v>0</v>
      </c>
      <c r="AT71" s="99">
        <f>SUMIFS(Xero!$F:$F,Xero!$B:$B,Heron!AT$9,Xero!$A:$A,Heron!$A$4,Xero!$E:$E,Heron!$A71)+SUMIFS(Xero!$F:$F,Xero!$B:$B,Heron!AT$9,Xero!$A:$A,Heron!$A$5,Xero!$E:$E,Heron!$A71)</f>
        <v>0</v>
      </c>
      <c r="AU71" s="99">
        <f>SUMIFS(Xero!$F:$F,Xero!$B:$B,Heron!AU$9,Xero!$A:$A,Heron!$A$4,Xero!$E:$E,Heron!$A71)+SUMIFS(Xero!$F:$F,Xero!$B:$B,Heron!AU$9,Xero!$A:$A,Heron!$A$5,Xero!$E:$E,Heron!$A71)</f>
        <v>0</v>
      </c>
      <c r="AV71" s="99">
        <f>SUMIFS(Xero!$F:$F,Xero!$B:$B,Heron!AV$9,Xero!$A:$A,Heron!$A$4,Xero!$E:$E,Heron!$A71)+SUMIFS(Xero!$F:$F,Xero!$B:$B,Heron!AV$9,Xero!$A:$A,Heron!$A$5,Xero!$E:$E,Heron!$A71)</f>
        <v>0</v>
      </c>
      <c r="AW71" s="99">
        <f>SUMIFS(Xero!$F:$F,Xero!$B:$B,Heron!AW$9,Xero!$A:$A,Heron!$A$4,Xero!$E:$E,Heron!$A71)+SUMIFS(Xero!$F:$F,Xero!$B:$B,Heron!AW$9,Xero!$A:$A,Heron!$A$5,Xero!$E:$E,Heron!$A71)</f>
        <v>0</v>
      </c>
      <c r="AX71" s="99">
        <f>SUMIFS(Xero!$F:$F,Xero!$B:$B,Heron!AX$9,Xero!$A:$A,Heron!$A$4,Xero!$E:$E,Heron!$A71)+SUMIFS(Xero!$F:$F,Xero!$B:$B,Heron!AX$9,Xero!$A:$A,Heron!$A$5,Xero!$E:$E,Heron!$A71)</f>
        <v>0</v>
      </c>
      <c r="AY71" s="99">
        <f>SUMIFS(Xero!$F:$F,Xero!$B:$B,Heron!AY$9,Xero!$A:$A,Heron!$A$4,Xero!$E:$E,Heron!$A71)+SUMIFS(Xero!$F:$F,Xero!$B:$B,Heron!AY$9,Xero!$A:$A,Heron!$A$5,Xero!$E:$E,Heron!$A71)</f>
        <v>0</v>
      </c>
      <c r="AZ71" s="99">
        <f>SUMIFS(Xero!$F:$F,Xero!$B:$B,Heron!AZ$9,Xero!$A:$A,Heron!$A$4,Xero!$E:$E,Heron!$A71)+SUMIFS(Xero!$F:$F,Xero!$B:$B,Heron!AZ$9,Xero!$A:$A,Heron!$A$5,Xero!$E:$E,Heron!$A71)</f>
        <v>0</v>
      </c>
      <c r="BA71" s="99">
        <f>SUMIFS(Xero!$F:$F,Xero!$B:$B,Heron!BA$9,Xero!$A:$A,Heron!$A$4,Xero!$E:$E,Heron!$A71)+SUMIFS(Xero!$F:$F,Xero!$B:$B,Heron!BA$9,Xero!$A:$A,Heron!$A$5,Xero!$E:$E,Heron!$A71)</f>
        <v>0</v>
      </c>
      <c r="BB71" s="99">
        <f>SUMIFS(Xero!$F:$F,Xero!$B:$B,Heron!BB$9,Xero!$A:$A,Heron!$A$4,Xero!$E:$E,Heron!$A71)+SUMIFS(Xero!$F:$F,Xero!$B:$B,Heron!BB$9,Xero!$A:$A,Heron!$A$5,Xero!$E:$E,Heron!$A71)</f>
        <v>0</v>
      </c>
      <c r="BC71" s="99">
        <f>SUMIFS(Xero!$F:$F,Xero!$B:$B,Heron!BC$9,Xero!$A:$A,Heron!$A$4,Xero!$E:$E,Heron!$A71)+SUMIFS(Xero!$F:$F,Xero!$B:$B,Heron!BC$9,Xero!$A:$A,Heron!$A$5,Xero!$E:$E,Heron!$A71)</f>
        <v>0</v>
      </c>
      <c r="BD71" s="99">
        <f>SUMIFS(Xero!$F:$F,Xero!$B:$B,Heron!BD$9,Xero!$A:$A,Heron!$A$4,Xero!$E:$E,Heron!$A71)+SUMIFS(Xero!$F:$F,Xero!$B:$B,Heron!BD$9,Xero!$A:$A,Heron!$A$5,Xero!$E:$E,Heron!$A71)</f>
        <v>0</v>
      </c>
      <c r="BE71" s="99">
        <f>SUMIFS(Xero!$F:$F,Xero!$B:$B,Heron!BE$9,Xero!$A:$A,Heron!$A$4,Xero!$E:$E,Heron!$A71)+SUMIFS(Xero!$F:$F,Xero!$B:$B,Heron!BE$9,Xero!$A:$A,Heron!$A$5,Xero!$E:$E,Heron!$A71)</f>
        <v>0</v>
      </c>
      <c r="BF71" s="99">
        <f>SUMIFS(Xero!$F:$F,Xero!$B:$B,Heron!BF$9,Xero!$A:$A,Heron!$A$4,Xero!$E:$E,Heron!$A71)+SUMIFS(Xero!$F:$F,Xero!$B:$B,Heron!BF$9,Xero!$A:$A,Heron!$A$5,Xero!$E:$E,Heron!$A71)</f>
        <v>0</v>
      </c>
      <c r="BG71" s="99">
        <f>SUMIFS(Xero!$F:$F,Xero!$B:$B,Heron!BG$9,Xero!$A:$A,Heron!$A$4,Xero!$E:$E,Heron!$A71)+SUMIFS(Xero!$F:$F,Xero!$B:$B,Heron!BG$9,Xero!$A:$A,Heron!$A$5,Xero!$E:$E,Heron!$A71)</f>
        <v>0</v>
      </c>
      <c r="BH71" s="99">
        <f>SUMIFS(Xero!$F:$F,Xero!$B:$B,Heron!BH$9,Xero!$A:$A,Heron!$A$4,Xero!$E:$E,Heron!$A71)+SUMIFS(Xero!$F:$F,Xero!$B:$B,Heron!BH$9,Xero!$A:$A,Heron!$A$5,Xero!$E:$E,Heron!$A71)</f>
        <v>0</v>
      </c>
      <c r="BI71" s="99">
        <f>SUMIFS(Xero!$F:$F,Xero!$B:$B,Heron!BI$9,Xero!$A:$A,Heron!$A$4,Xero!$E:$E,Heron!$A71)+SUMIFS(Xero!$F:$F,Xero!$B:$B,Heron!BI$9,Xero!$A:$A,Heron!$A$5,Xero!$E:$E,Heron!$A71)</f>
        <v>0</v>
      </c>
      <c r="BJ71" s="99">
        <f>SUMIFS(Xero!$F:$F,Xero!$B:$B,Heron!BJ$9,Xero!$A:$A,Heron!$A$4,Xero!$E:$E,Heron!$A71)+SUMIFS(Xero!$F:$F,Xero!$B:$B,Heron!BJ$9,Xero!$A:$A,Heron!$A$5,Xero!$E:$E,Heron!$A71)</f>
        <v>0</v>
      </c>
      <c r="BK71" s="99">
        <f t="shared" si="5"/>
        <v>174126.23</v>
      </c>
    </row>
    <row r="72" spans="1:63" ht="16" x14ac:dyDescent="0.2">
      <c r="A72" s="98" t="s">
        <v>1457</v>
      </c>
      <c r="D72" s="99">
        <f>SUMIFS(Xero!$F:$F,Xero!$B:$B,Heron!D$9,Xero!$A:$A,Heron!$A$4,Xero!$E:$E,Heron!$A72)+SUMIFS(Xero!$F:$F,Xero!$B:$B,Heron!D$9,Xero!$A:$A,Heron!$A$5,Xero!$E:$E,Heron!$A72)</f>
        <v>0</v>
      </c>
      <c r="E72" s="99">
        <f>SUMIFS(Xero!$F:$F,Xero!$B:$B,Heron!E$9,Xero!$A:$A,Heron!$A$4,Xero!$E:$E,Heron!$A72)+SUMIFS(Xero!$F:$F,Xero!$B:$B,Heron!E$9,Xero!$A:$A,Heron!$A$5,Xero!$E:$E,Heron!$A72)</f>
        <v>0</v>
      </c>
      <c r="F72" s="99">
        <f>SUMIFS(Xero!$F:$F,Xero!$B:$B,Heron!F$9,Xero!$A:$A,Heron!$A$4,Xero!$E:$E,Heron!$A72)+SUMIFS(Xero!$F:$F,Xero!$B:$B,Heron!F$9,Xero!$A:$A,Heron!$A$5,Xero!$E:$E,Heron!$A72)</f>
        <v>0</v>
      </c>
      <c r="G72" s="99">
        <f>SUMIFS(Xero!$F:$F,Xero!$B:$B,Heron!G$9,Xero!$A:$A,Heron!$A$4,Xero!$E:$E,Heron!$A72)+SUMIFS(Xero!$F:$F,Xero!$B:$B,Heron!G$9,Xero!$A:$A,Heron!$A$5,Xero!$E:$E,Heron!$A72)</f>
        <v>0</v>
      </c>
      <c r="H72" s="99">
        <f>SUMIFS(Xero!$F:$F,Xero!$B:$B,Heron!H$9,Xero!$A:$A,Heron!$A$4,Xero!$E:$E,Heron!$A72)+SUMIFS(Xero!$F:$F,Xero!$B:$B,Heron!H$9,Xero!$A:$A,Heron!$A$5,Xero!$E:$E,Heron!$A72)</f>
        <v>0</v>
      </c>
      <c r="I72" s="99">
        <f>SUMIFS(Xero!$F:$F,Xero!$B:$B,Heron!I$9,Xero!$A:$A,Heron!$A$4,Xero!$E:$E,Heron!$A72)+SUMIFS(Xero!$F:$F,Xero!$B:$B,Heron!I$9,Xero!$A:$A,Heron!$A$5,Xero!$E:$E,Heron!$A72)</f>
        <v>0</v>
      </c>
      <c r="J72" s="99">
        <f>SUMIFS(Xero!$F:$F,Xero!$B:$B,Heron!J$9,Xero!$A:$A,Heron!$A$4,Xero!$E:$E,Heron!$A72)+SUMIFS(Xero!$F:$F,Xero!$B:$B,Heron!J$9,Xero!$A:$A,Heron!$A$5,Xero!$E:$E,Heron!$A72)</f>
        <v>0</v>
      </c>
      <c r="K72" s="99">
        <f>SUMIFS(Xero!$F:$F,Xero!$B:$B,Heron!K$9,Xero!$A:$A,Heron!$A$4,Xero!$E:$E,Heron!$A72)+SUMIFS(Xero!$F:$F,Xero!$B:$B,Heron!K$9,Xero!$A:$A,Heron!$A$5,Xero!$E:$E,Heron!$A72)</f>
        <v>0</v>
      </c>
      <c r="L72" s="99">
        <f>SUMIFS(Xero!$F:$F,Xero!$B:$B,Heron!L$9,Xero!$A:$A,Heron!$A$4,Xero!$E:$E,Heron!$A72)+SUMIFS(Xero!$F:$F,Xero!$B:$B,Heron!L$9,Xero!$A:$A,Heron!$A$5,Xero!$E:$E,Heron!$A72)</f>
        <v>0</v>
      </c>
      <c r="M72" s="99">
        <f>SUMIFS(Xero!$F:$F,Xero!$B:$B,Heron!M$9,Xero!$A:$A,Heron!$A$4,Xero!$E:$E,Heron!$A72)+SUMIFS(Xero!$F:$F,Xero!$B:$B,Heron!M$9,Xero!$A:$A,Heron!$A$5,Xero!$E:$E,Heron!$A72)</f>
        <v>0</v>
      </c>
      <c r="N72" s="99">
        <f>SUMIFS(Xero!$F:$F,Xero!$B:$B,Heron!N$9,Xero!$A:$A,Heron!$A$4,Xero!$E:$E,Heron!$A72)+SUMIFS(Xero!$F:$F,Xero!$B:$B,Heron!N$9,Xero!$A:$A,Heron!$A$5,Xero!$E:$E,Heron!$A72)</f>
        <v>35.369999999999997</v>
      </c>
      <c r="O72" s="99">
        <f>SUMIFS(Xero!$F:$F,Xero!$B:$B,Heron!O$9,Xero!$A:$A,Heron!$A$4,Xero!$E:$E,Heron!$A72)+SUMIFS(Xero!$F:$F,Xero!$B:$B,Heron!O$9,Xero!$A:$A,Heron!$A$5,Xero!$E:$E,Heron!$A72)</f>
        <v>0</v>
      </c>
      <c r="P72" s="99">
        <f>SUMIFS(Xero!$F:$F,Xero!$B:$B,Heron!P$9,Xero!$A:$A,Heron!$A$4,Xero!$E:$E,Heron!$A72)+SUMIFS(Xero!$F:$F,Xero!$B:$B,Heron!P$9,Xero!$A:$A,Heron!$A$5,Xero!$E:$E,Heron!$A72)</f>
        <v>54.64</v>
      </c>
      <c r="Q72" s="99">
        <f>SUMIFS(Xero!$F:$F,Xero!$B:$B,Heron!Q$9,Xero!$A:$A,Heron!$A$4,Xero!$E:$E,Heron!$A72)+SUMIFS(Xero!$F:$F,Xero!$B:$B,Heron!Q$9,Xero!$A:$A,Heron!$A$5,Xero!$E:$E,Heron!$A72)</f>
        <v>0</v>
      </c>
      <c r="R72" s="99">
        <f>SUMIFS(Xero!$F:$F,Xero!$B:$B,Heron!R$9,Xero!$A:$A,Heron!$A$4,Xero!$E:$E,Heron!$A72)+SUMIFS(Xero!$F:$F,Xero!$B:$B,Heron!R$9,Xero!$A:$A,Heron!$A$5,Xero!$E:$E,Heron!$A72)</f>
        <v>0</v>
      </c>
      <c r="S72" s="99">
        <f>SUMIFS(Xero!$F:$F,Xero!$B:$B,Heron!S$9,Xero!$A:$A,Heron!$A$4,Xero!$E:$E,Heron!$A72)+SUMIFS(Xero!$F:$F,Xero!$B:$B,Heron!S$9,Xero!$A:$A,Heron!$A$5,Xero!$E:$E,Heron!$A72)</f>
        <v>158.56</v>
      </c>
      <c r="T72" s="99">
        <f>SUMIFS(Xero!$F:$F,Xero!$B:$B,Heron!T$9,Xero!$A:$A,Heron!$A$4,Xero!$E:$E,Heron!$A72)+SUMIFS(Xero!$F:$F,Xero!$B:$B,Heron!T$9,Xero!$A:$A,Heron!$A$5,Xero!$E:$E,Heron!$A72)</f>
        <v>11.22</v>
      </c>
      <c r="U72" s="99">
        <f>SUMIFS(Xero!$F:$F,Xero!$B:$B,Heron!U$9,Xero!$A:$A,Heron!$A$4,Xero!$E:$E,Heron!$A72)+SUMIFS(Xero!$F:$F,Xero!$B:$B,Heron!U$9,Xero!$A:$A,Heron!$A$5,Xero!$E:$E,Heron!$A72)</f>
        <v>92.64</v>
      </c>
      <c r="V72" s="99">
        <f>SUMIFS(Xero!$F:$F,Xero!$B:$B,Heron!V$9,Xero!$A:$A,Heron!$A$4,Xero!$E:$E,Heron!$A72)+SUMIFS(Xero!$F:$F,Xero!$B:$B,Heron!V$9,Xero!$A:$A,Heron!$A$5,Xero!$E:$E,Heron!$A72)</f>
        <v>89.72</v>
      </c>
      <c r="W72" s="99">
        <f>SUMIFS(Xero!$F:$F,Xero!$B:$B,Heron!W$9,Xero!$A:$A,Heron!$A$4,Xero!$E:$E,Heron!$A72)+SUMIFS(Xero!$F:$F,Xero!$B:$B,Heron!W$9,Xero!$A:$A,Heron!$A$5,Xero!$E:$E,Heron!$A72)</f>
        <v>181.66</v>
      </c>
      <c r="X72" s="99">
        <f>SUMIFS(Xero!$F:$F,Xero!$B:$B,Heron!X$9,Xero!$A:$A,Heron!$A$4,Xero!$E:$E,Heron!$A72)+SUMIFS(Xero!$F:$F,Xero!$B:$B,Heron!X$9,Xero!$A:$A,Heron!$A$5,Xero!$E:$E,Heron!$A72)</f>
        <v>0</v>
      </c>
      <c r="Y72" s="99">
        <f>SUMIFS(Xero!$F:$F,Xero!$B:$B,Heron!Y$9,Xero!$A:$A,Heron!$A$4,Xero!$E:$E,Heron!$A72)+SUMIFS(Xero!$F:$F,Xero!$B:$B,Heron!Y$9,Xero!$A:$A,Heron!$A$5,Xero!$E:$E,Heron!$A72)</f>
        <v>0</v>
      </c>
      <c r="Z72" s="99">
        <f>SUMIFS(Xero!$F:$F,Xero!$B:$B,Heron!Z$9,Xero!$A:$A,Heron!$A$4,Xero!$E:$E,Heron!$A72)+SUMIFS(Xero!$F:$F,Xero!$B:$B,Heron!Z$9,Xero!$A:$A,Heron!$A$5,Xero!$E:$E,Heron!$A72)</f>
        <v>0</v>
      </c>
      <c r="AA72" s="99">
        <f>SUMIFS(Xero!$F:$F,Xero!$B:$B,Heron!AA$9,Xero!$A:$A,Heron!$A$4,Xero!$E:$E,Heron!$A72)+SUMIFS(Xero!$F:$F,Xero!$B:$B,Heron!AA$9,Xero!$A:$A,Heron!$A$5,Xero!$E:$E,Heron!$A72)</f>
        <v>0</v>
      </c>
      <c r="AB72" s="99">
        <f>SUMIFS(Xero!$F:$F,Xero!$B:$B,Heron!AB$9,Xero!$A:$A,Heron!$A$4,Xero!$E:$E,Heron!$A72)+SUMIFS(Xero!$F:$F,Xero!$B:$B,Heron!AB$9,Xero!$A:$A,Heron!$A$5,Xero!$E:$E,Heron!$A72)</f>
        <v>181.67</v>
      </c>
      <c r="AC72" s="99">
        <f>SUMIFS(Xero!$F:$F,Xero!$B:$B,Heron!AC$9,Xero!$A:$A,Heron!$A$4,Xero!$E:$E,Heron!$A72)+SUMIFS(Xero!$F:$F,Xero!$B:$B,Heron!AC$9,Xero!$A:$A,Heron!$A$5,Xero!$E:$E,Heron!$A72)</f>
        <v>-715.47</v>
      </c>
      <c r="AD72" s="99">
        <f>SUMIFS(Xero!$F:$F,Xero!$B:$B,Heron!AD$9,Xero!$A:$A,Heron!$A$4,Xero!$E:$E,Heron!$A72)+SUMIFS(Xero!$F:$F,Xero!$B:$B,Heron!AD$9,Xero!$A:$A,Heron!$A$5,Xero!$E:$E,Heron!$A72)</f>
        <v>0</v>
      </c>
      <c r="AE72" s="99">
        <f>SUMIFS(Xero!$F:$F,Xero!$B:$B,Heron!AE$9,Xero!$A:$A,Heron!$A$4,Xero!$E:$E,Heron!$A72)+SUMIFS(Xero!$F:$F,Xero!$B:$B,Heron!AE$9,Xero!$A:$A,Heron!$A$5,Xero!$E:$E,Heron!$A72)</f>
        <v>0</v>
      </c>
      <c r="AF72" s="99">
        <f>SUMIFS(Xero!$F:$F,Xero!$B:$B,Heron!AF$9,Xero!$A:$A,Heron!$A$4,Xero!$E:$E,Heron!$A72)+SUMIFS(Xero!$F:$F,Xero!$B:$B,Heron!AF$9,Xero!$A:$A,Heron!$A$5,Xero!$E:$E,Heron!$A72)</f>
        <v>0</v>
      </c>
      <c r="AG72" s="99">
        <f>SUMIFS(Xero!$F:$F,Xero!$B:$B,Heron!AG$9,Xero!$A:$A,Heron!$A$4,Xero!$E:$E,Heron!$A72)+SUMIFS(Xero!$F:$F,Xero!$B:$B,Heron!AG$9,Xero!$A:$A,Heron!$A$5,Xero!$E:$E,Heron!$A72)</f>
        <v>0</v>
      </c>
      <c r="AH72" s="99">
        <f>SUMIFS(Xero!$F:$F,Xero!$B:$B,Heron!AH$9,Xero!$A:$A,Heron!$A$4,Xero!$E:$E,Heron!$A72)+SUMIFS(Xero!$F:$F,Xero!$B:$B,Heron!AH$9,Xero!$A:$A,Heron!$A$5,Xero!$E:$E,Heron!$A72)</f>
        <v>0</v>
      </c>
      <c r="AI72" s="99">
        <f>SUMIFS(Xero!$F:$F,Xero!$B:$B,Heron!AI$9,Xero!$A:$A,Heron!$A$4,Xero!$E:$E,Heron!$A72)+SUMIFS(Xero!$F:$F,Xero!$B:$B,Heron!AI$9,Xero!$A:$A,Heron!$A$5,Xero!$E:$E,Heron!$A72)</f>
        <v>0</v>
      </c>
      <c r="AJ72" s="99">
        <f>SUMIFS(Xero!$F:$F,Xero!$B:$B,Heron!AJ$9,Xero!$A:$A,Heron!$A$4,Xero!$E:$E,Heron!$A72)+SUMIFS(Xero!$F:$F,Xero!$B:$B,Heron!AJ$9,Xero!$A:$A,Heron!$A$5,Xero!$E:$E,Heron!$A72)</f>
        <v>0</v>
      </c>
      <c r="AK72" s="99">
        <f>SUMIFS(Xero!$F:$F,Xero!$B:$B,Heron!AK$9,Xero!$A:$A,Heron!$A$4,Xero!$E:$E,Heron!$A72)+SUMIFS(Xero!$F:$F,Xero!$B:$B,Heron!AK$9,Xero!$A:$A,Heron!$A$5,Xero!$E:$E,Heron!$A72)</f>
        <v>0</v>
      </c>
      <c r="AL72" s="99">
        <f>SUMIFS(Xero!$F:$F,Xero!$B:$B,Heron!AL$9,Xero!$A:$A,Heron!$A$4,Xero!$E:$E,Heron!$A72)+SUMIFS(Xero!$F:$F,Xero!$B:$B,Heron!AL$9,Xero!$A:$A,Heron!$A$5,Xero!$E:$E,Heron!$A72)</f>
        <v>0</v>
      </c>
      <c r="AM72" s="99">
        <f>SUMIFS(Xero!$F:$F,Xero!$B:$B,Heron!AM$9,Xero!$A:$A,Heron!$A$4,Xero!$E:$E,Heron!$A72)+SUMIFS(Xero!$F:$F,Xero!$B:$B,Heron!AM$9,Xero!$A:$A,Heron!$A$5,Xero!$E:$E,Heron!$A72)</f>
        <v>0</v>
      </c>
      <c r="AN72" s="99">
        <f>SUMIFS(Xero!$F:$F,Xero!$B:$B,Heron!AN$9,Xero!$A:$A,Heron!$A$4,Xero!$E:$E,Heron!$A72)+SUMIFS(Xero!$F:$F,Xero!$B:$B,Heron!AN$9,Xero!$A:$A,Heron!$A$5,Xero!$E:$E,Heron!$A72)</f>
        <v>0</v>
      </c>
      <c r="AO72" s="99">
        <f>SUMIFS(Xero!$F:$F,Xero!$B:$B,Heron!AO$9,Xero!$A:$A,Heron!$A$4,Xero!$E:$E,Heron!$A72)+SUMIFS(Xero!$F:$F,Xero!$B:$B,Heron!AO$9,Xero!$A:$A,Heron!$A$5,Xero!$E:$E,Heron!$A72)</f>
        <v>3961.05</v>
      </c>
      <c r="AP72" s="99">
        <f>SUMIFS(Xero!$F:$F,Xero!$B:$B,Heron!AP$9,Xero!$A:$A,Heron!$A$4,Xero!$E:$E,Heron!$A72)+SUMIFS(Xero!$F:$F,Xero!$B:$B,Heron!AP$9,Xero!$A:$A,Heron!$A$5,Xero!$E:$E,Heron!$A72)</f>
        <v>5281.4</v>
      </c>
      <c r="AQ72" s="99">
        <f>SUMIFS(Xero!$F:$F,Xero!$B:$B,Heron!AQ$9,Xero!$A:$A,Heron!$A$4,Xero!$E:$E,Heron!$A72)+SUMIFS(Xero!$F:$F,Xero!$B:$B,Heron!AQ$9,Xero!$A:$A,Heron!$A$5,Xero!$E:$E,Heron!$A72)</f>
        <v>0</v>
      </c>
      <c r="AR72" s="99">
        <f>SUMIFS(Xero!$F:$F,Xero!$B:$B,Heron!AR$9,Xero!$A:$A,Heron!$A$4,Xero!$E:$E,Heron!$A72)+SUMIFS(Xero!$F:$F,Xero!$B:$B,Heron!AR$9,Xero!$A:$A,Heron!$A$5,Xero!$E:$E,Heron!$A72)</f>
        <v>0</v>
      </c>
      <c r="AS72" s="99">
        <f>SUMIFS(Xero!$F:$F,Xero!$B:$B,Heron!AS$9,Xero!$A:$A,Heron!$A$4,Xero!$E:$E,Heron!$A72)+SUMIFS(Xero!$F:$F,Xero!$B:$B,Heron!AS$9,Xero!$A:$A,Heron!$A$5,Xero!$E:$E,Heron!$A72)</f>
        <v>0</v>
      </c>
      <c r="AT72" s="99">
        <f>SUMIFS(Xero!$F:$F,Xero!$B:$B,Heron!AT$9,Xero!$A:$A,Heron!$A$4,Xero!$E:$E,Heron!$A72)+SUMIFS(Xero!$F:$F,Xero!$B:$B,Heron!AT$9,Xero!$A:$A,Heron!$A$5,Xero!$E:$E,Heron!$A72)</f>
        <v>0</v>
      </c>
      <c r="AU72" s="99">
        <f>SUMIFS(Xero!$F:$F,Xero!$B:$B,Heron!AU$9,Xero!$A:$A,Heron!$A$4,Xero!$E:$E,Heron!$A72)+SUMIFS(Xero!$F:$F,Xero!$B:$B,Heron!AU$9,Xero!$A:$A,Heron!$A$5,Xero!$E:$E,Heron!$A72)</f>
        <v>0</v>
      </c>
      <c r="AV72" s="99">
        <f>SUMIFS(Xero!$F:$F,Xero!$B:$B,Heron!AV$9,Xero!$A:$A,Heron!$A$4,Xero!$E:$E,Heron!$A72)+SUMIFS(Xero!$F:$F,Xero!$B:$B,Heron!AV$9,Xero!$A:$A,Heron!$A$5,Xero!$E:$E,Heron!$A72)</f>
        <v>0</v>
      </c>
      <c r="AW72" s="99">
        <f>SUMIFS(Xero!$F:$F,Xero!$B:$B,Heron!AW$9,Xero!$A:$A,Heron!$A$4,Xero!$E:$E,Heron!$A72)+SUMIFS(Xero!$F:$F,Xero!$B:$B,Heron!AW$9,Xero!$A:$A,Heron!$A$5,Xero!$E:$E,Heron!$A72)</f>
        <v>0</v>
      </c>
      <c r="AX72" s="99">
        <f>SUMIFS(Xero!$F:$F,Xero!$B:$B,Heron!AX$9,Xero!$A:$A,Heron!$A$4,Xero!$E:$E,Heron!$A72)+SUMIFS(Xero!$F:$F,Xero!$B:$B,Heron!AX$9,Xero!$A:$A,Heron!$A$5,Xero!$E:$E,Heron!$A72)</f>
        <v>0</v>
      </c>
      <c r="AY72" s="99">
        <f>SUMIFS(Xero!$F:$F,Xero!$B:$B,Heron!AY$9,Xero!$A:$A,Heron!$A$4,Xero!$E:$E,Heron!$A72)+SUMIFS(Xero!$F:$F,Xero!$B:$B,Heron!AY$9,Xero!$A:$A,Heron!$A$5,Xero!$E:$E,Heron!$A72)</f>
        <v>0</v>
      </c>
      <c r="AZ72" s="99">
        <f>SUMIFS(Xero!$F:$F,Xero!$B:$B,Heron!AZ$9,Xero!$A:$A,Heron!$A$4,Xero!$E:$E,Heron!$A72)+SUMIFS(Xero!$F:$F,Xero!$B:$B,Heron!AZ$9,Xero!$A:$A,Heron!$A$5,Xero!$E:$E,Heron!$A72)</f>
        <v>0</v>
      </c>
      <c r="BA72" s="99">
        <f>SUMIFS(Xero!$F:$F,Xero!$B:$B,Heron!BA$9,Xero!$A:$A,Heron!$A$4,Xero!$E:$E,Heron!$A72)+SUMIFS(Xero!$F:$F,Xero!$B:$B,Heron!BA$9,Xero!$A:$A,Heron!$A$5,Xero!$E:$E,Heron!$A72)</f>
        <v>0</v>
      </c>
      <c r="BB72" s="99">
        <f>SUMIFS(Xero!$F:$F,Xero!$B:$B,Heron!BB$9,Xero!$A:$A,Heron!$A$4,Xero!$E:$E,Heron!$A72)+SUMIFS(Xero!$F:$F,Xero!$B:$B,Heron!BB$9,Xero!$A:$A,Heron!$A$5,Xero!$E:$E,Heron!$A72)</f>
        <v>0</v>
      </c>
      <c r="BC72" s="99">
        <f>SUMIFS(Xero!$F:$F,Xero!$B:$B,Heron!BC$9,Xero!$A:$A,Heron!$A$4,Xero!$E:$E,Heron!$A72)+SUMIFS(Xero!$F:$F,Xero!$B:$B,Heron!BC$9,Xero!$A:$A,Heron!$A$5,Xero!$E:$E,Heron!$A72)</f>
        <v>0</v>
      </c>
      <c r="BD72" s="99">
        <f>SUMIFS(Xero!$F:$F,Xero!$B:$B,Heron!BD$9,Xero!$A:$A,Heron!$A$4,Xero!$E:$E,Heron!$A72)+SUMIFS(Xero!$F:$F,Xero!$B:$B,Heron!BD$9,Xero!$A:$A,Heron!$A$5,Xero!$E:$E,Heron!$A72)</f>
        <v>0</v>
      </c>
      <c r="BE72" s="99">
        <f>SUMIFS(Xero!$F:$F,Xero!$B:$B,Heron!BE$9,Xero!$A:$A,Heron!$A$4,Xero!$E:$E,Heron!$A72)+SUMIFS(Xero!$F:$F,Xero!$B:$B,Heron!BE$9,Xero!$A:$A,Heron!$A$5,Xero!$E:$E,Heron!$A72)</f>
        <v>0</v>
      </c>
      <c r="BF72" s="99">
        <f>SUMIFS(Xero!$F:$F,Xero!$B:$B,Heron!BF$9,Xero!$A:$A,Heron!$A$4,Xero!$E:$E,Heron!$A72)+SUMIFS(Xero!$F:$F,Xero!$B:$B,Heron!BF$9,Xero!$A:$A,Heron!$A$5,Xero!$E:$E,Heron!$A72)</f>
        <v>0</v>
      </c>
      <c r="BG72" s="99">
        <f>SUMIFS(Xero!$F:$F,Xero!$B:$B,Heron!BG$9,Xero!$A:$A,Heron!$A$4,Xero!$E:$E,Heron!$A72)+SUMIFS(Xero!$F:$F,Xero!$B:$B,Heron!BG$9,Xero!$A:$A,Heron!$A$5,Xero!$E:$E,Heron!$A72)</f>
        <v>0</v>
      </c>
      <c r="BH72" s="99">
        <f>SUMIFS(Xero!$F:$F,Xero!$B:$B,Heron!BH$9,Xero!$A:$A,Heron!$A$4,Xero!$E:$E,Heron!$A72)+SUMIFS(Xero!$F:$F,Xero!$B:$B,Heron!BH$9,Xero!$A:$A,Heron!$A$5,Xero!$E:$E,Heron!$A72)</f>
        <v>0</v>
      </c>
      <c r="BI72" s="99">
        <f>SUMIFS(Xero!$F:$F,Xero!$B:$B,Heron!BI$9,Xero!$A:$A,Heron!$A$4,Xero!$E:$E,Heron!$A72)+SUMIFS(Xero!$F:$F,Xero!$B:$B,Heron!BI$9,Xero!$A:$A,Heron!$A$5,Xero!$E:$E,Heron!$A72)</f>
        <v>0</v>
      </c>
      <c r="BJ72" s="99">
        <f>SUMIFS(Xero!$F:$F,Xero!$B:$B,Heron!BJ$9,Xero!$A:$A,Heron!$A$4,Xero!$E:$E,Heron!$A72)+SUMIFS(Xero!$F:$F,Xero!$B:$B,Heron!BJ$9,Xero!$A:$A,Heron!$A$5,Xero!$E:$E,Heron!$A72)</f>
        <v>0</v>
      </c>
      <c r="BK72" s="99">
        <f t="shared" si="5"/>
        <v>9332.4599999999991</v>
      </c>
    </row>
    <row r="73" spans="1:63" ht="16" x14ac:dyDescent="0.2">
      <c r="A73" s="98" t="s">
        <v>1711</v>
      </c>
      <c r="D73" s="99">
        <f>SUMIFS(Xero!$F:$F,Xero!$B:$B,Heron!D$9,Xero!$A:$A,Heron!$A$4,Xero!$E:$E,Heron!$A73)+SUMIFS(Xero!$F:$F,Xero!$B:$B,Heron!D$9,Xero!$A:$A,Heron!$A$5,Xero!$E:$E,Heron!$A73)</f>
        <v>0</v>
      </c>
      <c r="E73" s="99">
        <f>SUMIFS(Xero!$F:$F,Xero!$B:$B,Heron!E$9,Xero!$A:$A,Heron!$A$4,Xero!$E:$E,Heron!$A73)+SUMIFS(Xero!$F:$F,Xero!$B:$B,Heron!E$9,Xero!$A:$A,Heron!$A$5,Xero!$E:$E,Heron!$A73)</f>
        <v>0</v>
      </c>
      <c r="F73" s="99">
        <f>SUMIFS(Xero!$F:$F,Xero!$B:$B,Heron!F$9,Xero!$A:$A,Heron!$A$4,Xero!$E:$E,Heron!$A73)+SUMIFS(Xero!$F:$F,Xero!$B:$B,Heron!F$9,Xero!$A:$A,Heron!$A$5,Xero!$E:$E,Heron!$A73)</f>
        <v>0</v>
      </c>
      <c r="G73" s="99">
        <f>SUMIFS(Xero!$F:$F,Xero!$B:$B,Heron!G$9,Xero!$A:$A,Heron!$A$4,Xero!$E:$E,Heron!$A73)+SUMIFS(Xero!$F:$F,Xero!$B:$B,Heron!G$9,Xero!$A:$A,Heron!$A$5,Xero!$E:$E,Heron!$A73)</f>
        <v>0</v>
      </c>
      <c r="H73" s="99">
        <f>SUMIFS(Xero!$F:$F,Xero!$B:$B,Heron!H$9,Xero!$A:$A,Heron!$A$4,Xero!$E:$E,Heron!$A73)+SUMIFS(Xero!$F:$F,Xero!$B:$B,Heron!H$9,Xero!$A:$A,Heron!$A$5,Xero!$E:$E,Heron!$A73)</f>
        <v>0</v>
      </c>
      <c r="I73" s="99">
        <f>SUMIFS(Xero!$F:$F,Xero!$B:$B,Heron!I$9,Xero!$A:$A,Heron!$A$4,Xero!$E:$E,Heron!$A73)+SUMIFS(Xero!$F:$F,Xero!$B:$B,Heron!I$9,Xero!$A:$A,Heron!$A$5,Xero!$E:$E,Heron!$A73)</f>
        <v>0</v>
      </c>
      <c r="J73" s="99">
        <f>SUMIFS(Xero!$F:$F,Xero!$B:$B,Heron!J$9,Xero!$A:$A,Heron!$A$4,Xero!$E:$E,Heron!$A73)+SUMIFS(Xero!$F:$F,Xero!$B:$B,Heron!J$9,Xero!$A:$A,Heron!$A$5,Xero!$E:$E,Heron!$A73)</f>
        <v>0</v>
      </c>
      <c r="K73" s="99">
        <f>SUMIFS(Xero!$F:$F,Xero!$B:$B,Heron!K$9,Xero!$A:$A,Heron!$A$4,Xero!$E:$E,Heron!$A73)+SUMIFS(Xero!$F:$F,Xero!$B:$B,Heron!K$9,Xero!$A:$A,Heron!$A$5,Xero!$E:$E,Heron!$A73)</f>
        <v>0</v>
      </c>
      <c r="L73" s="99">
        <f>SUMIFS(Xero!$F:$F,Xero!$B:$B,Heron!L$9,Xero!$A:$A,Heron!$A$4,Xero!$E:$E,Heron!$A73)+SUMIFS(Xero!$F:$F,Xero!$B:$B,Heron!L$9,Xero!$A:$A,Heron!$A$5,Xero!$E:$E,Heron!$A73)</f>
        <v>0</v>
      </c>
      <c r="M73" s="99">
        <f>SUMIFS(Xero!$F:$F,Xero!$B:$B,Heron!M$9,Xero!$A:$A,Heron!$A$4,Xero!$E:$E,Heron!$A73)+SUMIFS(Xero!$F:$F,Xero!$B:$B,Heron!M$9,Xero!$A:$A,Heron!$A$5,Xero!$E:$E,Heron!$A73)</f>
        <v>0</v>
      </c>
      <c r="N73" s="99">
        <f>SUMIFS(Xero!$F:$F,Xero!$B:$B,Heron!N$9,Xero!$A:$A,Heron!$A$4,Xero!$E:$E,Heron!$A73)+SUMIFS(Xero!$F:$F,Xero!$B:$B,Heron!N$9,Xero!$A:$A,Heron!$A$5,Xero!$E:$E,Heron!$A73)</f>
        <v>0</v>
      </c>
      <c r="O73" s="99">
        <f>SUMIFS(Xero!$F:$F,Xero!$B:$B,Heron!O$9,Xero!$A:$A,Heron!$A$4,Xero!$E:$E,Heron!$A73)+SUMIFS(Xero!$F:$F,Xero!$B:$B,Heron!O$9,Xero!$A:$A,Heron!$A$5,Xero!$E:$E,Heron!$A73)</f>
        <v>0</v>
      </c>
      <c r="P73" s="99">
        <f>SUMIFS(Xero!$F:$F,Xero!$B:$B,Heron!P$9,Xero!$A:$A,Heron!$A$4,Xero!$E:$E,Heron!$A73)+SUMIFS(Xero!$F:$F,Xero!$B:$B,Heron!P$9,Xero!$A:$A,Heron!$A$5,Xero!$E:$E,Heron!$A73)</f>
        <v>0</v>
      </c>
      <c r="Q73" s="99">
        <f>SUMIFS(Xero!$F:$F,Xero!$B:$B,Heron!Q$9,Xero!$A:$A,Heron!$A$4,Xero!$E:$E,Heron!$A73)+SUMIFS(Xero!$F:$F,Xero!$B:$B,Heron!Q$9,Xero!$A:$A,Heron!$A$5,Xero!$E:$E,Heron!$A73)</f>
        <v>0</v>
      </c>
      <c r="R73" s="99">
        <f>SUMIFS(Xero!$F:$F,Xero!$B:$B,Heron!R$9,Xero!$A:$A,Heron!$A$4,Xero!$E:$E,Heron!$A73)+SUMIFS(Xero!$F:$F,Xero!$B:$B,Heron!R$9,Xero!$A:$A,Heron!$A$5,Xero!$E:$E,Heron!$A73)</f>
        <v>0</v>
      </c>
      <c r="S73" s="99">
        <f>SUMIFS(Xero!$F:$F,Xero!$B:$B,Heron!S$9,Xero!$A:$A,Heron!$A$4,Xero!$E:$E,Heron!$A73)+SUMIFS(Xero!$F:$F,Xero!$B:$B,Heron!S$9,Xero!$A:$A,Heron!$A$5,Xero!$E:$E,Heron!$A73)</f>
        <v>0</v>
      </c>
      <c r="T73" s="99">
        <f>SUMIFS(Xero!$F:$F,Xero!$B:$B,Heron!T$9,Xero!$A:$A,Heron!$A$4,Xero!$E:$E,Heron!$A73)+SUMIFS(Xero!$F:$F,Xero!$B:$B,Heron!T$9,Xero!$A:$A,Heron!$A$5,Xero!$E:$E,Heron!$A73)</f>
        <v>0</v>
      </c>
      <c r="U73" s="99">
        <f>SUMIFS(Xero!$F:$F,Xero!$B:$B,Heron!U$9,Xero!$A:$A,Heron!$A$4,Xero!$E:$E,Heron!$A73)+SUMIFS(Xero!$F:$F,Xero!$B:$B,Heron!U$9,Xero!$A:$A,Heron!$A$5,Xero!$E:$E,Heron!$A73)</f>
        <v>0</v>
      </c>
      <c r="V73" s="99">
        <f>SUMIFS(Xero!$F:$F,Xero!$B:$B,Heron!V$9,Xero!$A:$A,Heron!$A$4,Xero!$E:$E,Heron!$A73)+SUMIFS(Xero!$F:$F,Xero!$B:$B,Heron!V$9,Xero!$A:$A,Heron!$A$5,Xero!$E:$E,Heron!$A73)</f>
        <v>0</v>
      </c>
      <c r="W73" s="99">
        <f>SUMIFS(Xero!$F:$F,Xero!$B:$B,Heron!W$9,Xero!$A:$A,Heron!$A$4,Xero!$E:$E,Heron!$A73)+SUMIFS(Xero!$F:$F,Xero!$B:$B,Heron!W$9,Xero!$A:$A,Heron!$A$5,Xero!$E:$E,Heron!$A73)</f>
        <v>0</v>
      </c>
      <c r="X73" s="99">
        <f>SUMIFS(Xero!$F:$F,Xero!$B:$B,Heron!X$9,Xero!$A:$A,Heron!$A$4,Xero!$E:$E,Heron!$A73)+SUMIFS(Xero!$F:$F,Xero!$B:$B,Heron!X$9,Xero!$A:$A,Heron!$A$5,Xero!$E:$E,Heron!$A73)</f>
        <v>0</v>
      </c>
      <c r="Y73" s="99">
        <f>SUMIFS(Xero!$F:$F,Xero!$B:$B,Heron!Y$9,Xero!$A:$A,Heron!$A$4,Xero!$E:$E,Heron!$A73)+SUMIFS(Xero!$F:$F,Xero!$B:$B,Heron!Y$9,Xero!$A:$A,Heron!$A$5,Xero!$E:$E,Heron!$A73)</f>
        <v>0</v>
      </c>
      <c r="Z73" s="99">
        <f>SUMIFS(Xero!$F:$F,Xero!$B:$B,Heron!Z$9,Xero!$A:$A,Heron!$A$4,Xero!$E:$E,Heron!$A73)+SUMIFS(Xero!$F:$F,Xero!$B:$B,Heron!Z$9,Xero!$A:$A,Heron!$A$5,Xero!$E:$E,Heron!$A73)</f>
        <v>0</v>
      </c>
      <c r="AA73" s="99">
        <f>SUMIFS(Xero!$F:$F,Xero!$B:$B,Heron!AA$9,Xero!$A:$A,Heron!$A$4,Xero!$E:$E,Heron!$A73)+SUMIFS(Xero!$F:$F,Xero!$B:$B,Heron!AA$9,Xero!$A:$A,Heron!$A$5,Xero!$E:$E,Heron!$A73)</f>
        <v>0</v>
      </c>
      <c r="AB73" s="99">
        <f>SUMIFS(Xero!$F:$F,Xero!$B:$B,Heron!AB$9,Xero!$A:$A,Heron!$A$4,Xero!$E:$E,Heron!$A73)+SUMIFS(Xero!$F:$F,Xero!$B:$B,Heron!AB$9,Xero!$A:$A,Heron!$A$5,Xero!$E:$E,Heron!$A73)</f>
        <v>0</v>
      </c>
      <c r="AC73" s="99">
        <f>SUMIFS(Xero!$F:$F,Xero!$B:$B,Heron!AC$9,Xero!$A:$A,Heron!$A$4,Xero!$E:$E,Heron!$A73)+SUMIFS(Xero!$F:$F,Xero!$B:$B,Heron!AC$9,Xero!$A:$A,Heron!$A$5,Xero!$E:$E,Heron!$A73)</f>
        <v>0</v>
      </c>
      <c r="AD73" s="99">
        <f>SUMIFS(Xero!$F:$F,Xero!$B:$B,Heron!AD$9,Xero!$A:$A,Heron!$A$4,Xero!$E:$E,Heron!$A73)+SUMIFS(Xero!$F:$F,Xero!$B:$B,Heron!AD$9,Xero!$A:$A,Heron!$A$5,Xero!$E:$E,Heron!$A73)</f>
        <v>0</v>
      </c>
      <c r="AE73" s="99">
        <f>SUMIFS(Xero!$F:$F,Xero!$B:$B,Heron!AE$9,Xero!$A:$A,Heron!$A$4,Xero!$E:$E,Heron!$A73)+SUMIFS(Xero!$F:$F,Xero!$B:$B,Heron!AE$9,Xero!$A:$A,Heron!$A$5,Xero!$E:$E,Heron!$A73)</f>
        <v>0</v>
      </c>
      <c r="AF73" s="99">
        <f>SUMIFS(Xero!$F:$F,Xero!$B:$B,Heron!AF$9,Xero!$A:$A,Heron!$A$4,Xero!$E:$E,Heron!$A73)+SUMIFS(Xero!$F:$F,Xero!$B:$B,Heron!AF$9,Xero!$A:$A,Heron!$A$5,Xero!$E:$E,Heron!$A73)</f>
        <v>0</v>
      </c>
      <c r="AG73" s="99">
        <f>SUMIFS(Xero!$F:$F,Xero!$B:$B,Heron!AG$9,Xero!$A:$A,Heron!$A$4,Xero!$E:$E,Heron!$A73)+SUMIFS(Xero!$F:$F,Xero!$B:$B,Heron!AG$9,Xero!$A:$A,Heron!$A$5,Xero!$E:$E,Heron!$A73)</f>
        <v>1342.47</v>
      </c>
      <c r="AH73" s="99">
        <f>SUMIFS(Xero!$F:$F,Xero!$B:$B,Heron!AH$9,Xero!$A:$A,Heron!$A$4,Xero!$E:$E,Heron!$A73)+SUMIFS(Xero!$F:$F,Xero!$B:$B,Heron!AH$9,Xero!$A:$A,Heron!$A$5,Xero!$E:$E,Heron!$A73)</f>
        <v>4367.12</v>
      </c>
      <c r="AI73" s="99">
        <f>SUMIFS(Xero!$F:$F,Xero!$B:$B,Heron!AI$9,Xero!$A:$A,Heron!$A$4,Xero!$E:$E,Heron!$A73)+SUMIFS(Xero!$F:$F,Xero!$B:$B,Heron!AI$9,Xero!$A:$A,Heron!$A$5,Xero!$E:$E,Heron!$A73)</f>
        <v>0</v>
      </c>
      <c r="AJ73" s="99">
        <f>SUMIFS(Xero!$F:$F,Xero!$B:$B,Heron!AJ$9,Xero!$A:$A,Heron!$A$4,Xero!$E:$E,Heron!$A73)+SUMIFS(Xero!$F:$F,Xero!$B:$B,Heron!AJ$9,Xero!$A:$A,Heron!$A$5,Xero!$E:$E,Heron!$A73)</f>
        <v>0</v>
      </c>
      <c r="AK73" s="99">
        <f>SUMIFS(Xero!$F:$F,Xero!$B:$B,Heron!AK$9,Xero!$A:$A,Heron!$A$4,Xero!$E:$E,Heron!$A73)+SUMIFS(Xero!$F:$F,Xero!$B:$B,Heron!AK$9,Xero!$A:$A,Heron!$A$5,Xero!$E:$E,Heron!$A73)</f>
        <v>0</v>
      </c>
      <c r="AL73" s="99">
        <f>SUMIFS(Xero!$F:$F,Xero!$B:$B,Heron!AL$9,Xero!$A:$A,Heron!$A$4,Xero!$E:$E,Heron!$A73)+SUMIFS(Xero!$F:$F,Xero!$B:$B,Heron!AL$9,Xero!$A:$A,Heron!$A$5,Xero!$E:$E,Heron!$A73)</f>
        <v>0</v>
      </c>
      <c r="AM73" s="99">
        <f>SUMIFS(Xero!$F:$F,Xero!$B:$B,Heron!AM$9,Xero!$A:$A,Heron!$A$4,Xero!$E:$E,Heron!$A73)+SUMIFS(Xero!$F:$F,Xero!$B:$B,Heron!AM$9,Xero!$A:$A,Heron!$A$5,Xero!$E:$E,Heron!$A73)</f>
        <v>3821.92</v>
      </c>
      <c r="AN73" s="99">
        <f>SUMIFS(Xero!$F:$F,Xero!$B:$B,Heron!AN$9,Xero!$A:$A,Heron!$A$4,Xero!$E:$E,Heron!$A73)+SUMIFS(Xero!$F:$F,Xero!$B:$B,Heron!AN$9,Xero!$A:$A,Heron!$A$5,Xero!$E:$E,Heron!$A73)</f>
        <v>3821.92</v>
      </c>
      <c r="AO73" s="99">
        <f>SUMIFS(Xero!$F:$F,Xero!$B:$B,Heron!AO$9,Xero!$A:$A,Heron!$A$4,Xero!$E:$E,Heron!$A73)+SUMIFS(Xero!$F:$F,Xero!$B:$B,Heron!AO$9,Xero!$A:$A,Heron!$A$5,Xero!$E:$E,Heron!$A73)</f>
        <v>0</v>
      </c>
      <c r="AP73" s="99">
        <f>SUMIFS(Xero!$F:$F,Xero!$B:$B,Heron!AP$9,Xero!$A:$A,Heron!$A$4,Xero!$E:$E,Heron!$A73)+SUMIFS(Xero!$F:$F,Xero!$B:$B,Heron!AP$9,Xero!$A:$A,Heron!$A$5,Xero!$E:$E,Heron!$A73)</f>
        <v>0</v>
      </c>
      <c r="AQ73" s="99">
        <f>SUMIFS(Xero!$F:$F,Xero!$B:$B,Heron!AQ$9,Xero!$A:$A,Heron!$A$4,Xero!$E:$E,Heron!$A73)+SUMIFS(Xero!$F:$F,Xero!$B:$B,Heron!AQ$9,Xero!$A:$A,Heron!$A$5,Xero!$E:$E,Heron!$A73)</f>
        <v>0</v>
      </c>
      <c r="AR73" s="99">
        <f>SUMIFS(Xero!$F:$F,Xero!$B:$B,Heron!AR$9,Xero!$A:$A,Heron!$A$4,Xero!$E:$E,Heron!$A73)+SUMIFS(Xero!$F:$F,Xero!$B:$B,Heron!AR$9,Xero!$A:$A,Heron!$A$5,Xero!$E:$E,Heron!$A73)</f>
        <v>0</v>
      </c>
      <c r="AS73" s="99">
        <f>SUMIFS(Xero!$F:$F,Xero!$B:$B,Heron!AS$9,Xero!$A:$A,Heron!$A$4,Xero!$E:$E,Heron!$A73)+SUMIFS(Xero!$F:$F,Xero!$B:$B,Heron!AS$9,Xero!$A:$A,Heron!$A$5,Xero!$E:$E,Heron!$A73)</f>
        <v>0</v>
      </c>
      <c r="AT73" s="99">
        <f>SUMIFS(Xero!$F:$F,Xero!$B:$B,Heron!AT$9,Xero!$A:$A,Heron!$A$4,Xero!$E:$E,Heron!$A73)+SUMIFS(Xero!$F:$F,Xero!$B:$B,Heron!AT$9,Xero!$A:$A,Heron!$A$5,Xero!$E:$E,Heron!$A73)</f>
        <v>0</v>
      </c>
      <c r="AU73" s="99">
        <f>SUMIFS(Xero!$F:$F,Xero!$B:$B,Heron!AU$9,Xero!$A:$A,Heron!$A$4,Xero!$E:$E,Heron!$A73)+SUMIFS(Xero!$F:$F,Xero!$B:$B,Heron!AU$9,Xero!$A:$A,Heron!$A$5,Xero!$E:$E,Heron!$A73)</f>
        <v>0</v>
      </c>
      <c r="AV73" s="99">
        <f>SUMIFS(Xero!$F:$F,Xero!$B:$B,Heron!AV$9,Xero!$A:$A,Heron!$A$4,Xero!$E:$E,Heron!$A73)+SUMIFS(Xero!$F:$F,Xero!$B:$B,Heron!AV$9,Xero!$A:$A,Heron!$A$5,Xero!$E:$E,Heron!$A73)</f>
        <v>0</v>
      </c>
      <c r="AW73" s="99">
        <f>SUMIFS(Xero!$F:$F,Xero!$B:$B,Heron!AW$9,Xero!$A:$A,Heron!$A$4,Xero!$E:$E,Heron!$A73)+SUMIFS(Xero!$F:$F,Xero!$B:$B,Heron!AW$9,Xero!$A:$A,Heron!$A$5,Xero!$E:$E,Heron!$A73)</f>
        <v>0</v>
      </c>
      <c r="AX73" s="99">
        <f>SUMIFS(Xero!$F:$F,Xero!$B:$B,Heron!AX$9,Xero!$A:$A,Heron!$A$4,Xero!$E:$E,Heron!$A73)+SUMIFS(Xero!$F:$F,Xero!$B:$B,Heron!AX$9,Xero!$A:$A,Heron!$A$5,Xero!$E:$E,Heron!$A73)</f>
        <v>0</v>
      </c>
      <c r="AY73" s="99">
        <f>SUMIFS(Xero!$F:$F,Xero!$B:$B,Heron!AY$9,Xero!$A:$A,Heron!$A$4,Xero!$E:$E,Heron!$A73)+SUMIFS(Xero!$F:$F,Xero!$B:$B,Heron!AY$9,Xero!$A:$A,Heron!$A$5,Xero!$E:$E,Heron!$A73)</f>
        <v>0</v>
      </c>
      <c r="AZ73" s="99">
        <f>SUMIFS(Xero!$F:$F,Xero!$B:$B,Heron!AZ$9,Xero!$A:$A,Heron!$A$4,Xero!$E:$E,Heron!$A73)+SUMIFS(Xero!$F:$F,Xero!$B:$B,Heron!AZ$9,Xero!$A:$A,Heron!$A$5,Xero!$E:$E,Heron!$A73)</f>
        <v>0</v>
      </c>
      <c r="BA73" s="99">
        <f>SUMIFS(Xero!$F:$F,Xero!$B:$B,Heron!BA$9,Xero!$A:$A,Heron!$A$4,Xero!$E:$E,Heron!$A73)+SUMIFS(Xero!$F:$F,Xero!$B:$B,Heron!BA$9,Xero!$A:$A,Heron!$A$5,Xero!$E:$E,Heron!$A73)</f>
        <v>0</v>
      </c>
      <c r="BB73" s="99">
        <f>SUMIFS(Xero!$F:$F,Xero!$B:$B,Heron!BB$9,Xero!$A:$A,Heron!$A$4,Xero!$E:$E,Heron!$A73)+SUMIFS(Xero!$F:$F,Xero!$B:$B,Heron!BB$9,Xero!$A:$A,Heron!$A$5,Xero!$E:$E,Heron!$A73)</f>
        <v>0</v>
      </c>
      <c r="BC73" s="99">
        <f>SUMIFS(Xero!$F:$F,Xero!$B:$B,Heron!BC$9,Xero!$A:$A,Heron!$A$4,Xero!$E:$E,Heron!$A73)+SUMIFS(Xero!$F:$F,Xero!$B:$B,Heron!BC$9,Xero!$A:$A,Heron!$A$5,Xero!$E:$E,Heron!$A73)</f>
        <v>0</v>
      </c>
      <c r="BD73" s="99">
        <f>SUMIFS(Xero!$F:$F,Xero!$B:$B,Heron!BD$9,Xero!$A:$A,Heron!$A$4,Xero!$E:$E,Heron!$A73)+SUMIFS(Xero!$F:$F,Xero!$B:$B,Heron!BD$9,Xero!$A:$A,Heron!$A$5,Xero!$E:$E,Heron!$A73)</f>
        <v>0</v>
      </c>
      <c r="BE73" s="99">
        <f>SUMIFS(Xero!$F:$F,Xero!$B:$B,Heron!BE$9,Xero!$A:$A,Heron!$A$4,Xero!$E:$E,Heron!$A73)+SUMIFS(Xero!$F:$F,Xero!$B:$B,Heron!BE$9,Xero!$A:$A,Heron!$A$5,Xero!$E:$E,Heron!$A73)</f>
        <v>0</v>
      </c>
      <c r="BF73" s="99">
        <f>SUMIFS(Xero!$F:$F,Xero!$B:$B,Heron!BF$9,Xero!$A:$A,Heron!$A$4,Xero!$E:$E,Heron!$A73)+SUMIFS(Xero!$F:$F,Xero!$B:$B,Heron!BF$9,Xero!$A:$A,Heron!$A$5,Xero!$E:$E,Heron!$A73)</f>
        <v>0</v>
      </c>
      <c r="BG73" s="99">
        <f>SUMIFS(Xero!$F:$F,Xero!$B:$B,Heron!BG$9,Xero!$A:$A,Heron!$A$4,Xero!$E:$E,Heron!$A73)+SUMIFS(Xero!$F:$F,Xero!$B:$B,Heron!BG$9,Xero!$A:$A,Heron!$A$5,Xero!$E:$E,Heron!$A73)</f>
        <v>0</v>
      </c>
      <c r="BH73" s="99">
        <f>SUMIFS(Xero!$F:$F,Xero!$B:$B,Heron!BH$9,Xero!$A:$A,Heron!$A$4,Xero!$E:$E,Heron!$A73)+SUMIFS(Xero!$F:$F,Xero!$B:$B,Heron!BH$9,Xero!$A:$A,Heron!$A$5,Xero!$E:$E,Heron!$A73)</f>
        <v>0</v>
      </c>
      <c r="BI73" s="99">
        <f>SUMIFS(Xero!$F:$F,Xero!$B:$B,Heron!BI$9,Xero!$A:$A,Heron!$A$4,Xero!$E:$E,Heron!$A73)+SUMIFS(Xero!$F:$F,Xero!$B:$B,Heron!BI$9,Xero!$A:$A,Heron!$A$5,Xero!$E:$E,Heron!$A73)</f>
        <v>0</v>
      </c>
      <c r="BJ73" s="99">
        <f>SUMIFS(Xero!$F:$F,Xero!$B:$B,Heron!BJ$9,Xero!$A:$A,Heron!$A$4,Xero!$E:$E,Heron!$A73)+SUMIFS(Xero!$F:$F,Xero!$B:$B,Heron!BJ$9,Xero!$A:$A,Heron!$A$5,Xero!$E:$E,Heron!$A73)</f>
        <v>0</v>
      </c>
      <c r="BK73" s="99">
        <f t="shared" si="5"/>
        <v>13353.43</v>
      </c>
    </row>
    <row r="74" spans="1:63" ht="16" x14ac:dyDescent="0.2">
      <c r="A74" s="98" t="s">
        <v>1713</v>
      </c>
      <c r="D74" s="99">
        <f>SUMIFS(Xero!$F:$F,Xero!$B:$B,Heron!D$9,Xero!$A:$A,Heron!$A$4,Xero!$E:$E,Heron!$A74)+SUMIFS(Xero!$F:$F,Xero!$B:$B,Heron!D$9,Xero!$A:$A,Heron!$A$5,Xero!$E:$E,Heron!$A74)</f>
        <v>0</v>
      </c>
      <c r="E74" s="99">
        <f>SUMIFS(Xero!$F:$F,Xero!$B:$B,Heron!E$9,Xero!$A:$A,Heron!$A$4,Xero!$E:$E,Heron!$A74)+SUMIFS(Xero!$F:$F,Xero!$B:$B,Heron!E$9,Xero!$A:$A,Heron!$A$5,Xero!$E:$E,Heron!$A74)</f>
        <v>0</v>
      </c>
      <c r="F74" s="99">
        <f>SUMIFS(Xero!$F:$F,Xero!$B:$B,Heron!F$9,Xero!$A:$A,Heron!$A$4,Xero!$E:$E,Heron!$A74)+SUMIFS(Xero!$F:$F,Xero!$B:$B,Heron!F$9,Xero!$A:$A,Heron!$A$5,Xero!$E:$E,Heron!$A74)</f>
        <v>0</v>
      </c>
      <c r="G74" s="99">
        <f>SUMIFS(Xero!$F:$F,Xero!$B:$B,Heron!G$9,Xero!$A:$A,Heron!$A$4,Xero!$E:$E,Heron!$A74)+SUMIFS(Xero!$F:$F,Xero!$B:$B,Heron!G$9,Xero!$A:$A,Heron!$A$5,Xero!$E:$E,Heron!$A74)</f>
        <v>0</v>
      </c>
      <c r="H74" s="99">
        <f>SUMIFS(Xero!$F:$F,Xero!$B:$B,Heron!H$9,Xero!$A:$A,Heron!$A$4,Xero!$E:$E,Heron!$A74)+SUMIFS(Xero!$F:$F,Xero!$B:$B,Heron!H$9,Xero!$A:$A,Heron!$A$5,Xero!$E:$E,Heron!$A74)</f>
        <v>0</v>
      </c>
      <c r="I74" s="99">
        <f>SUMIFS(Xero!$F:$F,Xero!$B:$B,Heron!I$9,Xero!$A:$A,Heron!$A$4,Xero!$E:$E,Heron!$A74)+SUMIFS(Xero!$F:$F,Xero!$B:$B,Heron!I$9,Xero!$A:$A,Heron!$A$5,Xero!$E:$E,Heron!$A74)</f>
        <v>0</v>
      </c>
      <c r="J74" s="99">
        <f>SUMIFS(Xero!$F:$F,Xero!$B:$B,Heron!J$9,Xero!$A:$A,Heron!$A$4,Xero!$E:$E,Heron!$A74)+SUMIFS(Xero!$F:$F,Xero!$B:$B,Heron!J$9,Xero!$A:$A,Heron!$A$5,Xero!$E:$E,Heron!$A74)</f>
        <v>0</v>
      </c>
      <c r="K74" s="99">
        <f>SUMIFS(Xero!$F:$F,Xero!$B:$B,Heron!K$9,Xero!$A:$A,Heron!$A$4,Xero!$E:$E,Heron!$A74)+SUMIFS(Xero!$F:$F,Xero!$B:$B,Heron!K$9,Xero!$A:$A,Heron!$A$5,Xero!$E:$E,Heron!$A74)</f>
        <v>0</v>
      </c>
      <c r="L74" s="99">
        <f>SUMIFS(Xero!$F:$F,Xero!$B:$B,Heron!L$9,Xero!$A:$A,Heron!$A$4,Xero!$E:$E,Heron!$A74)+SUMIFS(Xero!$F:$F,Xero!$B:$B,Heron!L$9,Xero!$A:$A,Heron!$A$5,Xero!$E:$E,Heron!$A74)</f>
        <v>0</v>
      </c>
      <c r="M74" s="99">
        <f>SUMIFS(Xero!$F:$F,Xero!$B:$B,Heron!M$9,Xero!$A:$A,Heron!$A$4,Xero!$E:$E,Heron!$A74)+SUMIFS(Xero!$F:$F,Xero!$B:$B,Heron!M$9,Xero!$A:$A,Heron!$A$5,Xero!$E:$E,Heron!$A74)</f>
        <v>0</v>
      </c>
      <c r="N74" s="99">
        <f>SUMIFS(Xero!$F:$F,Xero!$B:$B,Heron!N$9,Xero!$A:$A,Heron!$A$4,Xero!$E:$E,Heron!$A74)+SUMIFS(Xero!$F:$F,Xero!$B:$B,Heron!N$9,Xero!$A:$A,Heron!$A$5,Xero!$E:$E,Heron!$A74)</f>
        <v>0</v>
      </c>
      <c r="O74" s="99">
        <f>SUMIFS(Xero!$F:$F,Xero!$B:$B,Heron!O$9,Xero!$A:$A,Heron!$A$4,Xero!$E:$E,Heron!$A74)+SUMIFS(Xero!$F:$F,Xero!$B:$B,Heron!O$9,Xero!$A:$A,Heron!$A$5,Xero!$E:$E,Heron!$A74)</f>
        <v>0</v>
      </c>
      <c r="P74" s="99">
        <f>SUMIFS(Xero!$F:$F,Xero!$B:$B,Heron!P$9,Xero!$A:$A,Heron!$A$4,Xero!$E:$E,Heron!$A74)+SUMIFS(Xero!$F:$F,Xero!$B:$B,Heron!P$9,Xero!$A:$A,Heron!$A$5,Xero!$E:$E,Heron!$A74)</f>
        <v>0</v>
      </c>
      <c r="Q74" s="99">
        <f>SUMIFS(Xero!$F:$F,Xero!$B:$B,Heron!Q$9,Xero!$A:$A,Heron!$A$4,Xero!$E:$E,Heron!$A74)+SUMIFS(Xero!$F:$F,Xero!$B:$B,Heron!Q$9,Xero!$A:$A,Heron!$A$5,Xero!$E:$E,Heron!$A74)</f>
        <v>0</v>
      </c>
      <c r="R74" s="99">
        <f>SUMIFS(Xero!$F:$F,Xero!$B:$B,Heron!R$9,Xero!$A:$A,Heron!$A$4,Xero!$E:$E,Heron!$A74)+SUMIFS(Xero!$F:$F,Xero!$B:$B,Heron!R$9,Xero!$A:$A,Heron!$A$5,Xero!$E:$E,Heron!$A74)</f>
        <v>0</v>
      </c>
      <c r="S74" s="99">
        <f>SUMIFS(Xero!$F:$F,Xero!$B:$B,Heron!S$9,Xero!$A:$A,Heron!$A$4,Xero!$E:$E,Heron!$A74)+SUMIFS(Xero!$F:$F,Xero!$B:$B,Heron!S$9,Xero!$A:$A,Heron!$A$5,Xero!$E:$E,Heron!$A74)</f>
        <v>0</v>
      </c>
      <c r="T74" s="99">
        <f>SUMIFS(Xero!$F:$F,Xero!$B:$B,Heron!T$9,Xero!$A:$A,Heron!$A$4,Xero!$E:$E,Heron!$A74)+SUMIFS(Xero!$F:$F,Xero!$B:$B,Heron!T$9,Xero!$A:$A,Heron!$A$5,Xero!$E:$E,Heron!$A74)</f>
        <v>0</v>
      </c>
      <c r="U74" s="99">
        <f>SUMIFS(Xero!$F:$F,Xero!$B:$B,Heron!U$9,Xero!$A:$A,Heron!$A$4,Xero!$E:$E,Heron!$A74)+SUMIFS(Xero!$F:$F,Xero!$B:$B,Heron!U$9,Xero!$A:$A,Heron!$A$5,Xero!$E:$E,Heron!$A74)</f>
        <v>0</v>
      </c>
      <c r="V74" s="99">
        <f>SUMIFS(Xero!$F:$F,Xero!$B:$B,Heron!V$9,Xero!$A:$A,Heron!$A$4,Xero!$E:$E,Heron!$A74)+SUMIFS(Xero!$F:$F,Xero!$B:$B,Heron!V$9,Xero!$A:$A,Heron!$A$5,Xero!$E:$E,Heron!$A74)</f>
        <v>0</v>
      </c>
      <c r="W74" s="99">
        <f>SUMIFS(Xero!$F:$F,Xero!$B:$B,Heron!W$9,Xero!$A:$A,Heron!$A$4,Xero!$E:$E,Heron!$A74)+SUMIFS(Xero!$F:$F,Xero!$B:$B,Heron!W$9,Xero!$A:$A,Heron!$A$5,Xero!$E:$E,Heron!$A74)</f>
        <v>0</v>
      </c>
      <c r="X74" s="99">
        <f>SUMIFS(Xero!$F:$F,Xero!$B:$B,Heron!X$9,Xero!$A:$A,Heron!$A$4,Xero!$E:$E,Heron!$A74)+SUMIFS(Xero!$F:$F,Xero!$B:$B,Heron!X$9,Xero!$A:$A,Heron!$A$5,Xero!$E:$E,Heron!$A74)</f>
        <v>0</v>
      </c>
      <c r="Y74" s="99">
        <f>SUMIFS(Xero!$F:$F,Xero!$B:$B,Heron!Y$9,Xero!$A:$A,Heron!$A$4,Xero!$E:$E,Heron!$A74)+SUMIFS(Xero!$F:$F,Xero!$B:$B,Heron!Y$9,Xero!$A:$A,Heron!$A$5,Xero!$E:$E,Heron!$A74)</f>
        <v>0</v>
      </c>
      <c r="Z74" s="99">
        <f>SUMIFS(Xero!$F:$F,Xero!$B:$B,Heron!Z$9,Xero!$A:$A,Heron!$A$4,Xero!$E:$E,Heron!$A74)+SUMIFS(Xero!$F:$F,Xero!$B:$B,Heron!Z$9,Xero!$A:$A,Heron!$A$5,Xero!$E:$E,Heron!$A74)</f>
        <v>0</v>
      </c>
      <c r="AA74" s="99">
        <f>SUMIFS(Xero!$F:$F,Xero!$B:$B,Heron!AA$9,Xero!$A:$A,Heron!$A$4,Xero!$E:$E,Heron!$A74)+SUMIFS(Xero!$F:$F,Xero!$B:$B,Heron!AA$9,Xero!$A:$A,Heron!$A$5,Xero!$E:$E,Heron!$A74)</f>
        <v>0</v>
      </c>
      <c r="AB74" s="99">
        <f>SUMIFS(Xero!$F:$F,Xero!$B:$B,Heron!AB$9,Xero!$A:$A,Heron!$A$4,Xero!$E:$E,Heron!$A74)+SUMIFS(Xero!$F:$F,Xero!$B:$B,Heron!AB$9,Xero!$A:$A,Heron!$A$5,Xero!$E:$E,Heron!$A74)</f>
        <v>0</v>
      </c>
      <c r="AC74" s="99">
        <f>SUMIFS(Xero!$F:$F,Xero!$B:$B,Heron!AC$9,Xero!$A:$A,Heron!$A$4,Xero!$E:$E,Heron!$A74)+SUMIFS(Xero!$F:$F,Xero!$B:$B,Heron!AC$9,Xero!$A:$A,Heron!$A$5,Xero!$E:$E,Heron!$A74)</f>
        <v>0</v>
      </c>
      <c r="AD74" s="99">
        <f>SUMIFS(Xero!$F:$F,Xero!$B:$B,Heron!AD$9,Xero!$A:$A,Heron!$A$4,Xero!$E:$E,Heron!$A74)+SUMIFS(Xero!$F:$F,Xero!$B:$B,Heron!AD$9,Xero!$A:$A,Heron!$A$5,Xero!$E:$E,Heron!$A74)</f>
        <v>0</v>
      </c>
      <c r="AE74" s="99">
        <f>SUMIFS(Xero!$F:$F,Xero!$B:$B,Heron!AE$9,Xero!$A:$A,Heron!$A$4,Xero!$E:$E,Heron!$A74)+SUMIFS(Xero!$F:$F,Xero!$B:$B,Heron!AE$9,Xero!$A:$A,Heron!$A$5,Xero!$E:$E,Heron!$A74)</f>
        <v>0</v>
      </c>
      <c r="AF74" s="99">
        <f>SUMIFS(Xero!$F:$F,Xero!$B:$B,Heron!AF$9,Xero!$A:$A,Heron!$A$4,Xero!$E:$E,Heron!$A74)+SUMIFS(Xero!$F:$F,Xero!$B:$B,Heron!AF$9,Xero!$A:$A,Heron!$A$5,Xero!$E:$E,Heron!$A74)</f>
        <v>0</v>
      </c>
      <c r="AG74" s="99">
        <f>SUMIFS(Xero!$F:$F,Xero!$B:$B,Heron!AG$9,Xero!$A:$A,Heron!$A$4,Xero!$E:$E,Heron!$A74)+SUMIFS(Xero!$F:$F,Xero!$B:$B,Heron!AG$9,Xero!$A:$A,Heron!$A$5,Xero!$E:$E,Heron!$A74)</f>
        <v>1610.96</v>
      </c>
      <c r="AH74" s="99">
        <f>SUMIFS(Xero!$F:$F,Xero!$B:$B,Heron!AH$9,Xero!$A:$A,Heron!$A$4,Xero!$E:$E,Heron!$A74)+SUMIFS(Xero!$F:$F,Xero!$B:$B,Heron!AH$9,Xero!$A:$A,Heron!$A$5,Xero!$E:$E,Heron!$A74)</f>
        <v>17723.419999999998</v>
      </c>
      <c r="AI74" s="99">
        <f>SUMIFS(Xero!$F:$F,Xero!$B:$B,Heron!AI$9,Xero!$A:$A,Heron!$A$4,Xero!$E:$E,Heron!$A74)+SUMIFS(Xero!$F:$F,Xero!$B:$B,Heron!AI$9,Xero!$A:$A,Heron!$A$5,Xero!$E:$E,Heron!$A74)</f>
        <v>0</v>
      </c>
      <c r="AJ74" s="99">
        <f>SUMIFS(Xero!$F:$F,Xero!$B:$B,Heron!AJ$9,Xero!$A:$A,Heron!$A$4,Xero!$E:$E,Heron!$A74)+SUMIFS(Xero!$F:$F,Xero!$B:$B,Heron!AJ$9,Xero!$A:$A,Heron!$A$5,Xero!$E:$E,Heron!$A74)</f>
        <v>0</v>
      </c>
      <c r="AK74" s="99">
        <f>SUMIFS(Xero!$F:$F,Xero!$B:$B,Heron!AK$9,Xero!$A:$A,Heron!$A$4,Xero!$E:$E,Heron!$A74)+SUMIFS(Xero!$F:$F,Xero!$B:$B,Heron!AK$9,Xero!$A:$A,Heron!$A$5,Xero!$E:$E,Heron!$A74)</f>
        <v>0</v>
      </c>
      <c r="AL74" s="99">
        <f>SUMIFS(Xero!$F:$F,Xero!$B:$B,Heron!AL$9,Xero!$A:$A,Heron!$A$4,Xero!$E:$E,Heron!$A74)+SUMIFS(Xero!$F:$F,Xero!$B:$B,Heron!AL$9,Xero!$A:$A,Heron!$A$5,Xero!$E:$E,Heron!$A74)</f>
        <v>0</v>
      </c>
      <c r="AM74" s="99">
        <f>SUMIFS(Xero!$F:$F,Xero!$B:$B,Heron!AM$9,Xero!$A:$A,Heron!$A$4,Xero!$E:$E,Heron!$A74)+SUMIFS(Xero!$F:$F,Xero!$B:$B,Heron!AM$9,Xero!$A:$A,Heron!$A$5,Xero!$E:$E,Heron!$A74)</f>
        <v>0</v>
      </c>
      <c r="AN74" s="99">
        <f>SUMIFS(Xero!$F:$F,Xero!$B:$B,Heron!AN$9,Xero!$A:$A,Heron!$A$4,Xero!$E:$E,Heron!$A74)+SUMIFS(Xero!$F:$F,Xero!$B:$B,Heron!AN$9,Xero!$A:$A,Heron!$A$5,Xero!$E:$E,Heron!$A74)</f>
        <v>0</v>
      </c>
      <c r="AO74" s="99">
        <f>SUMIFS(Xero!$F:$F,Xero!$B:$B,Heron!AO$9,Xero!$A:$A,Heron!$A$4,Xero!$E:$E,Heron!$A74)+SUMIFS(Xero!$F:$F,Xero!$B:$B,Heron!AO$9,Xero!$A:$A,Heron!$A$5,Xero!$E:$E,Heron!$A74)</f>
        <v>0</v>
      </c>
      <c r="AP74" s="99">
        <f>SUMIFS(Xero!$F:$F,Xero!$B:$B,Heron!AP$9,Xero!$A:$A,Heron!$A$4,Xero!$E:$E,Heron!$A74)+SUMIFS(Xero!$F:$F,Xero!$B:$B,Heron!AP$9,Xero!$A:$A,Heron!$A$5,Xero!$E:$E,Heron!$A74)</f>
        <v>0</v>
      </c>
      <c r="AQ74" s="99">
        <f>SUMIFS(Xero!$F:$F,Xero!$B:$B,Heron!AQ$9,Xero!$A:$A,Heron!$A$4,Xero!$E:$E,Heron!$A74)+SUMIFS(Xero!$F:$F,Xero!$B:$B,Heron!AQ$9,Xero!$A:$A,Heron!$A$5,Xero!$E:$E,Heron!$A74)</f>
        <v>0</v>
      </c>
      <c r="AR74" s="99">
        <f>SUMIFS(Xero!$F:$F,Xero!$B:$B,Heron!AR$9,Xero!$A:$A,Heron!$A$4,Xero!$E:$E,Heron!$A74)+SUMIFS(Xero!$F:$F,Xero!$B:$B,Heron!AR$9,Xero!$A:$A,Heron!$A$5,Xero!$E:$E,Heron!$A74)</f>
        <v>0</v>
      </c>
      <c r="AS74" s="99">
        <f>SUMIFS(Xero!$F:$F,Xero!$B:$B,Heron!AS$9,Xero!$A:$A,Heron!$A$4,Xero!$E:$E,Heron!$A74)+SUMIFS(Xero!$F:$F,Xero!$B:$B,Heron!AS$9,Xero!$A:$A,Heron!$A$5,Xero!$E:$E,Heron!$A74)</f>
        <v>0</v>
      </c>
      <c r="AT74" s="99">
        <f>SUMIFS(Xero!$F:$F,Xero!$B:$B,Heron!AT$9,Xero!$A:$A,Heron!$A$4,Xero!$E:$E,Heron!$A74)+SUMIFS(Xero!$F:$F,Xero!$B:$B,Heron!AT$9,Xero!$A:$A,Heron!$A$5,Xero!$E:$E,Heron!$A74)</f>
        <v>0</v>
      </c>
      <c r="AU74" s="99">
        <f>SUMIFS(Xero!$F:$F,Xero!$B:$B,Heron!AU$9,Xero!$A:$A,Heron!$A$4,Xero!$E:$E,Heron!$A74)+SUMIFS(Xero!$F:$F,Xero!$B:$B,Heron!AU$9,Xero!$A:$A,Heron!$A$5,Xero!$E:$E,Heron!$A74)</f>
        <v>0</v>
      </c>
      <c r="AV74" s="99">
        <f>SUMIFS(Xero!$F:$F,Xero!$B:$B,Heron!AV$9,Xero!$A:$A,Heron!$A$4,Xero!$E:$E,Heron!$A74)+SUMIFS(Xero!$F:$F,Xero!$B:$B,Heron!AV$9,Xero!$A:$A,Heron!$A$5,Xero!$E:$E,Heron!$A74)</f>
        <v>0</v>
      </c>
      <c r="AW74" s="99">
        <f>SUMIFS(Xero!$F:$F,Xero!$B:$B,Heron!AW$9,Xero!$A:$A,Heron!$A$4,Xero!$E:$E,Heron!$A74)+SUMIFS(Xero!$F:$F,Xero!$B:$B,Heron!AW$9,Xero!$A:$A,Heron!$A$5,Xero!$E:$E,Heron!$A74)</f>
        <v>0</v>
      </c>
      <c r="AX74" s="99">
        <f>SUMIFS(Xero!$F:$F,Xero!$B:$B,Heron!AX$9,Xero!$A:$A,Heron!$A$4,Xero!$E:$E,Heron!$A74)+SUMIFS(Xero!$F:$F,Xero!$B:$B,Heron!AX$9,Xero!$A:$A,Heron!$A$5,Xero!$E:$E,Heron!$A74)</f>
        <v>0</v>
      </c>
      <c r="AY74" s="99">
        <f>SUMIFS(Xero!$F:$F,Xero!$B:$B,Heron!AY$9,Xero!$A:$A,Heron!$A$4,Xero!$E:$E,Heron!$A74)+SUMIFS(Xero!$F:$F,Xero!$B:$B,Heron!AY$9,Xero!$A:$A,Heron!$A$5,Xero!$E:$E,Heron!$A74)</f>
        <v>0</v>
      </c>
      <c r="AZ74" s="99">
        <f>SUMIFS(Xero!$F:$F,Xero!$B:$B,Heron!AZ$9,Xero!$A:$A,Heron!$A$4,Xero!$E:$E,Heron!$A74)+SUMIFS(Xero!$F:$F,Xero!$B:$B,Heron!AZ$9,Xero!$A:$A,Heron!$A$5,Xero!$E:$E,Heron!$A74)</f>
        <v>0</v>
      </c>
      <c r="BA74" s="99">
        <f>SUMIFS(Xero!$F:$F,Xero!$B:$B,Heron!BA$9,Xero!$A:$A,Heron!$A$4,Xero!$E:$E,Heron!$A74)+SUMIFS(Xero!$F:$F,Xero!$B:$B,Heron!BA$9,Xero!$A:$A,Heron!$A$5,Xero!$E:$E,Heron!$A74)</f>
        <v>0</v>
      </c>
      <c r="BB74" s="99">
        <f>SUMIFS(Xero!$F:$F,Xero!$B:$B,Heron!BB$9,Xero!$A:$A,Heron!$A$4,Xero!$E:$E,Heron!$A74)+SUMIFS(Xero!$F:$F,Xero!$B:$B,Heron!BB$9,Xero!$A:$A,Heron!$A$5,Xero!$E:$E,Heron!$A74)</f>
        <v>0</v>
      </c>
      <c r="BC74" s="99">
        <f>SUMIFS(Xero!$F:$F,Xero!$B:$B,Heron!BC$9,Xero!$A:$A,Heron!$A$4,Xero!$E:$E,Heron!$A74)+SUMIFS(Xero!$F:$F,Xero!$B:$B,Heron!BC$9,Xero!$A:$A,Heron!$A$5,Xero!$E:$E,Heron!$A74)</f>
        <v>0</v>
      </c>
      <c r="BD74" s="99">
        <f>SUMIFS(Xero!$F:$F,Xero!$B:$B,Heron!BD$9,Xero!$A:$A,Heron!$A$4,Xero!$E:$E,Heron!$A74)+SUMIFS(Xero!$F:$F,Xero!$B:$B,Heron!BD$9,Xero!$A:$A,Heron!$A$5,Xero!$E:$E,Heron!$A74)</f>
        <v>0</v>
      </c>
      <c r="BE74" s="99">
        <f>SUMIFS(Xero!$F:$F,Xero!$B:$B,Heron!BE$9,Xero!$A:$A,Heron!$A$4,Xero!$E:$E,Heron!$A74)+SUMIFS(Xero!$F:$F,Xero!$B:$B,Heron!BE$9,Xero!$A:$A,Heron!$A$5,Xero!$E:$E,Heron!$A74)</f>
        <v>0</v>
      </c>
      <c r="BF74" s="99">
        <f>SUMIFS(Xero!$F:$F,Xero!$B:$B,Heron!BF$9,Xero!$A:$A,Heron!$A$4,Xero!$E:$E,Heron!$A74)+SUMIFS(Xero!$F:$F,Xero!$B:$B,Heron!BF$9,Xero!$A:$A,Heron!$A$5,Xero!$E:$E,Heron!$A74)</f>
        <v>0</v>
      </c>
      <c r="BG74" s="99">
        <f>SUMIFS(Xero!$F:$F,Xero!$B:$B,Heron!BG$9,Xero!$A:$A,Heron!$A$4,Xero!$E:$E,Heron!$A74)+SUMIFS(Xero!$F:$F,Xero!$B:$B,Heron!BG$9,Xero!$A:$A,Heron!$A$5,Xero!$E:$E,Heron!$A74)</f>
        <v>0</v>
      </c>
      <c r="BH74" s="99">
        <f>SUMIFS(Xero!$F:$F,Xero!$B:$B,Heron!BH$9,Xero!$A:$A,Heron!$A$4,Xero!$E:$E,Heron!$A74)+SUMIFS(Xero!$F:$F,Xero!$B:$B,Heron!BH$9,Xero!$A:$A,Heron!$A$5,Xero!$E:$E,Heron!$A74)</f>
        <v>0</v>
      </c>
      <c r="BI74" s="99">
        <f>SUMIFS(Xero!$F:$F,Xero!$B:$B,Heron!BI$9,Xero!$A:$A,Heron!$A$4,Xero!$E:$E,Heron!$A74)+SUMIFS(Xero!$F:$F,Xero!$B:$B,Heron!BI$9,Xero!$A:$A,Heron!$A$5,Xero!$E:$E,Heron!$A74)</f>
        <v>0</v>
      </c>
      <c r="BJ74" s="99">
        <f>SUMIFS(Xero!$F:$F,Xero!$B:$B,Heron!BJ$9,Xero!$A:$A,Heron!$A$4,Xero!$E:$E,Heron!$A74)+SUMIFS(Xero!$F:$F,Xero!$B:$B,Heron!BJ$9,Xero!$A:$A,Heron!$A$5,Xero!$E:$E,Heron!$A74)</f>
        <v>0</v>
      </c>
      <c r="BK74" s="99">
        <f t="shared" si="5"/>
        <v>19334.379999999997</v>
      </c>
    </row>
    <row r="75" spans="1:63" ht="16" x14ac:dyDescent="0.2">
      <c r="A75" s="98" t="s">
        <v>1720</v>
      </c>
      <c r="D75" s="99">
        <f>SUMIFS(Xero!$F:$F,Xero!$B:$B,Heron!D$9,Xero!$A:$A,Heron!$A$4,Xero!$E:$E,Heron!$A75)+SUMIFS(Xero!$F:$F,Xero!$B:$B,Heron!D$9,Xero!$A:$A,Heron!$A$5,Xero!$E:$E,Heron!$A75)</f>
        <v>0</v>
      </c>
      <c r="E75" s="99">
        <f>SUMIFS(Xero!$F:$F,Xero!$B:$B,Heron!E$9,Xero!$A:$A,Heron!$A$4,Xero!$E:$E,Heron!$A75)+SUMIFS(Xero!$F:$F,Xero!$B:$B,Heron!E$9,Xero!$A:$A,Heron!$A$5,Xero!$E:$E,Heron!$A75)</f>
        <v>0</v>
      </c>
      <c r="F75" s="99">
        <f>SUMIFS(Xero!$F:$F,Xero!$B:$B,Heron!F$9,Xero!$A:$A,Heron!$A$4,Xero!$E:$E,Heron!$A75)+SUMIFS(Xero!$F:$F,Xero!$B:$B,Heron!F$9,Xero!$A:$A,Heron!$A$5,Xero!$E:$E,Heron!$A75)</f>
        <v>0</v>
      </c>
      <c r="G75" s="99">
        <f>SUMIFS(Xero!$F:$F,Xero!$B:$B,Heron!G$9,Xero!$A:$A,Heron!$A$4,Xero!$E:$E,Heron!$A75)+SUMIFS(Xero!$F:$F,Xero!$B:$B,Heron!G$9,Xero!$A:$A,Heron!$A$5,Xero!$E:$E,Heron!$A75)</f>
        <v>0</v>
      </c>
      <c r="H75" s="99">
        <f>SUMIFS(Xero!$F:$F,Xero!$B:$B,Heron!H$9,Xero!$A:$A,Heron!$A$4,Xero!$E:$E,Heron!$A75)+SUMIFS(Xero!$F:$F,Xero!$B:$B,Heron!H$9,Xero!$A:$A,Heron!$A$5,Xero!$E:$E,Heron!$A75)</f>
        <v>0</v>
      </c>
      <c r="I75" s="99">
        <f>SUMIFS(Xero!$F:$F,Xero!$B:$B,Heron!I$9,Xero!$A:$A,Heron!$A$4,Xero!$E:$E,Heron!$A75)+SUMIFS(Xero!$F:$F,Xero!$B:$B,Heron!I$9,Xero!$A:$A,Heron!$A$5,Xero!$E:$E,Heron!$A75)</f>
        <v>0</v>
      </c>
      <c r="J75" s="99">
        <f>SUMIFS(Xero!$F:$F,Xero!$B:$B,Heron!J$9,Xero!$A:$A,Heron!$A$4,Xero!$E:$E,Heron!$A75)+SUMIFS(Xero!$F:$F,Xero!$B:$B,Heron!J$9,Xero!$A:$A,Heron!$A$5,Xero!$E:$E,Heron!$A75)</f>
        <v>0</v>
      </c>
      <c r="K75" s="99">
        <f>SUMIFS(Xero!$F:$F,Xero!$B:$B,Heron!K$9,Xero!$A:$A,Heron!$A$4,Xero!$E:$E,Heron!$A75)+SUMIFS(Xero!$F:$F,Xero!$B:$B,Heron!K$9,Xero!$A:$A,Heron!$A$5,Xero!$E:$E,Heron!$A75)</f>
        <v>0</v>
      </c>
      <c r="L75" s="99">
        <f>SUMIFS(Xero!$F:$F,Xero!$B:$B,Heron!L$9,Xero!$A:$A,Heron!$A$4,Xero!$E:$E,Heron!$A75)+SUMIFS(Xero!$F:$F,Xero!$B:$B,Heron!L$9,Xero!$A:$A,Heron!$A$5,Xero!$E:$E,Heron!$A75)</f>
        <v>0</v>
      </c>
      <c r="M75" s="99">
        <f>SUMIFS(Xero!$F:$F,Xero!$B:$B,Heron!M$9,Xero!$A:$A,Heron!$A$4,Xero!$E:$E,Heron!$A75)+SUMIFS(Xero!$F:$F,Xero!$B:$B,Heron!M$9,Xero!$A:$A,Heron!$A$5,Xero!$E:$E,Heron!$A75)</f>
        <v>0</v>
      </c>
      <c r="N75" s="99">
        <f>SUMIFS(Xero!$F:$F,Xero!$B:$B,Heron!N$9,Xero!$A:$A,Heron!$A$4,Xero!$E:$E,Heron!$A75)+SUMIFS(Xero!$F:$F,Xero!$B:$B,Heron!N$9,Xero!$A:$A,Heron!$A$5,Xero!$E:$E,Heron!$A75)</f>
        <v>0</v>
      </c>
      <c r="O75" s="99">
        <f>SUMIFS(Xero!$F:$F,Xero!$B:$B,Heron!O$9,Xero!$A:$A,Heron!$A$4,Xero!$E:$E,Heron!$A75)+SUMIFS(Xero!$F:$F,Xero!$B:$B,Heron!O$9,Xero!$A:$A,Heron!$A$5,Xero!$E:$E,Heron!$A75)</f>
        <v>0</v>
      </c>
      <c r="P75" s="99">
        <f>SUMIFS(Xero!$F:$F,Xero!$B:$B,Heron!P$9,Xero!$A:$A,Heron!$A$4,Xero!$E:$E,Heron!$A75)+SUMIFS(Xero!$F:$F,Xero!$B:$B,Heron!P$9,Xero!$A:$A,Heron!$A$5,Xero!$E:$E,Heron!$A75)</f>
        <v>0</v>
      </c>
      <c r="Q75" s="99">
        <f>SUMIFS(Xero!$F:$F,Xero!$B:$B,Heron!Q$9,Xero!$A:$A,Heron!$A$4,Xero!$E:$E,Heron!$A75)+SUMIFS(Xero!$F:$F,Xero!$B:$B,Heron!Q$9,Xero!$A:$A,Heron!$A$5,Xero!$E:$E,Heron!$A75)</f>
        <v>0</v>
      </c>
      <c r="R75" s="99">
        <f>SUMIFS(Xero!$F:$F,Xero!$B:$B,Heron!R$9,Xero!$A:$A,Heron!$A$4,Xero!$E:$E,Heron!$A75)+SUMIFS(Xero!$F:$F,Xero!$B:$B,Heron!R$9,Xero!$A:$A,Heron!$A$5,Xero!$E:$E,Heron!$A75)</f>
        <v>0</v>
      </c>
      <c r="S75" s="99">
        <f>SUMIFS(Xero!$F:$F,Xero!$B:$B,Heron!S$9,Xero!$A:$A,Heron!$A$4,Xero!$E:$E,Heron!$A75)+SUMIFS(Xero!$F:$F,Xero!$B:$B,Heron!S$9,Xero!$A:$A,Heron!$A$5,Xero!$E:$E,Heron!$A75)</f>
        <v>0</v>
      </c>
      <c r="T75" s="99">
        <f>SUMIFS(Xero!$F:$F,Xero!$B:$B,Heron!T$9,Xero!$A:$A,Heron!$A$4,Xero!$E:$E,Heron!$A75)+SUMIFS(Xero!$F:$F,Xero!$B:$B,Heron!T$9,Xero!$A:$A,Heron!$A$5,Xero!$E:$E,Heron!$A75)</f>
        <v>0</v>
      </c>
      <c r="U75" s="99">
        <f>SUMIFS(Xero!$F:$F,Xero!$B:$B,Heron!U$9,Xero!$A:$A,Heron!$A$4,Xero!$E:$E,Heron!$A75)+SUMIFS(Xero!$F:$F,Xero!$B:$B,Heron!U$9,Xero!$A:$A,Heron!$A$5,Xero!$E:$E,Heron!$A75)</f>
        <v>0</v>
      </c>
      <c r="V75" s="99">
        <f>SUMIFS(Xero!$F:$F,Xero!$B:$B,Heron!V$9,Xero!$A:$A,Heron!$A$4,Xero!$E:$E,Heron!$A75)+SUMIFS(Xero!$F:$F,Xero!$B:$B,Heron!V$9,Xero!$A:$A,Heron!$A$5,Xero!$E:$E,Heron!$A75)</f>
        <v>0</v>
      </c>
      <c r="W75" s="99">
        <f>SUMIFS(Xero!$F:$F,Xero!$B:$B,Heron!W$9,Xero!$A:$A,Heron!$A$4,Xero!$E:$E,Heron!$A75)+SUMIFS(Xero!$F:$F,Xero!$B:$B,Heron!W$9,Xero!$A:$A,Heron!$A$5,Xero!$E:$E,Heron!$A75)</f>
        <v>0</v>
      </c>
      <c r="X75" s="99">
        <f>SUMIFS(Xero!$F:$F,Xero!$B:$B,Heron!X$9,Xero!$A:$A,Heron!$A$4,Xero!$E:$E,Heron!$A75)+SUMIFS(Xero!$F:$F,Xero!$B:$B,Heron!X$9,Xero!$A:$A,Heron!$A$5,Xero!$E:$E,Heron!$A75)</f>
        <v>0</v>
      </c>
      <c r="Y75" s="99">
        <f>SUMIFS(Xero!$F:$F,Xero!$B:$B,Heron!Y$9,Xero!$A:$A,Heron!$A$4,Xero!$E:$E,Heron!$A75)+SUMIFS(Xero!$F:$F,Xero!$B:$B,Heron!Y$9,Xero!$A:$A,Heron!$A$5,Xero!$E:$E,Heron!$A75)</f>
        <v>0</v>
      </c>
      <c r="Z75" s="99">
        <f>SUMIFS(Xero!$F:$F,Xero!$B:$B,Heron!Z$9,Xero!$A:$A,Heron!$A$4,Xero!$E:$E,Heron!$A75)+SUMIFS(Xero!$F:$F,Xero!$B:$B,Heron!Z$9,Xero!$A:$A,Heron!$A$5,Xero!$E:$E,Heron!$A75)</f>
        <v>0</v>
      </c>
      <c r="AA75" s="99">
        <f>SUMIFS(Xero!$F:$F,Xero!$B:$B,Heron!AA$9,Xero!$A:$A,Heron!$A$4,Xero!$E:$E,Heron!$A75)+SUMIFS(Xero!$F:$F,Xero!$B:$B,Heron!AA$9,Xero!$A:$A,Heron!$A$5,Xero!$E:$E,Heron!$A75)</f>
        <v>0</v>
      </c>
      <c r="AB75" s="99">
        <f>SUMIFS(Xero!$F:$F,Xero!$B:$B,Heron!AB$9,Xero!$A:$A,Heron!$A$4,Xero!$E:$E,Heron!$A75)+SUMIFS(Xero!$F:$F,Xero!$B:$B,Heron!AB$9,Xero!$A:$A,Heron!$A$5,Xero!$E:$E,Heron!$A75)</f>
        <v>0</v>
      </c>
      <c r="AC75" s="99">
        <f>SUMIFS(Xero!$F:$F,Xero!$B:$B,Heron!AC$9,Xero!$A:$A,Heron!$A$4,Xero!$E:$E,Heron!$A75)+SUMIFS(Xero!$F:$F,Xero!$B:$B,Heron!AC$9,Xero!$A:$A,Heron!$A$5,Xero!$E:$E,Heron!$A75)</f>
        <v>0</v>
      </c>
      <c r="AD75" s="99">
        <f>SUMIFS(Xero!$F:$F,Xero!$B:$B,Heron!AD$9,Xero!$A:$A,Heron!$A$4,Xero!$E:$E,Heron!$A75)+SUMIFS(Xero!$F:$F,Xero!$B:$B,Heron!AD$9,Xero!$A:$A,Heron!$A$5,Xero!$E:$E,Heron!$A75)</f>
        <v>0</v>
      </c>
      <c r="AE75" s="99">
        <f>SUMIFS(Xero!$F:$F,Xero!$B:$B,Heron!AE$9,Xero!$A:$A,Heron!$A$4,Xero!$E:$E,Heron!$A75)+SUMIFS(Xero!$F:$F,Xero!$B:$B,Heron!AE$9,Xero!$A:$A,Heron!$A$5,Xero!$E:$E,Heron!$A75)</f>
        <v>0</v>
      </c>
      <c r="AF75" s="99">
        <f>SUMIFS(Xero!$F:$F,Xero!$B:$B,Heron!AF$9,Xero!$A:$A,Heron!$A$4,Xero!$E:$E,Heron!$A75)+SUMIFS(Xero!$F:$F,Xero!$B:$B,Heron!AF$9,Xero!$A:$A,Heron!$A$5,Xero!$E:$E,Heron!$A75)</f>
        <v>0</v>
      </c>
      <c r="AG75" s="99">
        <f>SUMIFS(Xero!$F:$F,Xero!$B:$B,Heron!AG$9,Xero!$A:$A,Heron!$A$4,Xero!$E:$E,Heron!$A75)+SUMIFS(Xero!$F:$F,Xero!$B:$B,Heron!AG$9,Xero!$A:$A,Heron!$A$5,Xero!$E:$E,Heron!$A75)</f>
        <v>0</v>
      </c>
      <c r="AH75" s="99">
        <f>SUMIFS(Xero!$F:$F,Xero!$B:$B,Heron!AH$9,Xero!$A:$A,Heron!$A$4,Xero!$E:$E,Heron!$A75)+SUMIFS(Xero!$F:$F,Xero!$B:$B,Heron!AH$9,Xero!$A:$A,Heron!$A$5,Xero!$E:$E,Heron!$A75)</f>
        <v>9131.51</v>
      </c>
      <c r="AI75" s="99">
        <f>SUMIFS(Xero!$F:$F,Xero!$B:$B,Heron!AI$9,Xero!$A:$A,Heron!$A$4,Xero!$E:$E,Heron!$A75)+SUMIFS(Xero!$F:$F,Xero!$B:$B,Heron!AI$9,Xero!$A:$A,Heron!$A$5,Xero!$E:$E,Heron!$A75)</f>
        <v>0</v>
      </c>
      <c r="AJ75" s="99">
        <f>SUMIFS(Xero!$F:$F,Xero!$B:$B,Heron!AJ$9,Xero!$A:$A,Heron!$A$4,Xero!$E:$E,Heron!$A75)+SUMIFS(Xero!$F:$F,Xero!$B:$B,Heron!AJ$9,Xero!$A:$A,Heron!$A$5,Xero!$E:$E,Heron!$A75)</f>
        <v>0</v>
      </c>
      <c r="AK75" s="99">
        <f>SUMIFS(Xero!$F:$F,Xero!$B:$B,Heron!AK$9,Xero!$A:$A,Heron!$A$4,Xero!$E:$E,Heron!$A75)+SUMIFS(Xero!$F:$F,Xero!$B:$B,Heron!AK$9,Xero!$A:$A,Heron!$A$5,Xero!$E:$E,Heron!$A75)</f>
        <v>0</v>
      </c>
      <c r="AL75" s="99">
        <f>SUMIFS(Xero!$F:$F,Xero!$B:$B,Heron!AL$9,Xero!$A:$A,Heron!$A$4,Xero!$E:$E,Heron!$A75)+SUMIFS(Xero!$F:$F,Xero!$B:$B,Heron!AL$9,Xero!$A:$A,Heron!$A$5,Xero!$E:$E,Heron!$A75)</f>
        <v>0</v>
      </c>
      <c r="AM75" s="99">
        <f>SUMIFS(Xero!$F:$F,Xero!$B:$B,Heron!AM$9,Xero!$A:$A,Heron!$A$4,Xero!$E:$E,Heron!$A75)+SUMIFS(Xero!$F:$F,Xero!$B:$B,Heron!AM$9,Xero!$A:$A,Heron!$A$5,Xero!$E:$E,Heron!$A75)</f>
        <v>0</v>
      </c>
      <c r="AN75" s="99">
        <f>SUMIFS(Xero!$F:$F,Xero!$B:$B,Heron!AN$9,Xero!$A:$A,Heron!$A$4,Xero!$E:$E,Heron!$A75)+SUMIFS(Xero!$F:$F,Xero!$B:$B,Heron!AN$9,Xero!$A:$A,Heron!$A$5,Xero!$E:$E,Heron!$A75)</f>
        <v>0</v>
      </c>
      <c r="AO75" s="99">
        <f>SUMIFS(Xero!$F:$F,Xero!$B:$B,Heron!AO$9,Xero!$A:$A,Heron!$A$4,Xero!$E:$E,Heron!$A75)+SUMIFS(Xero!$F:$F,Xero!$B:$B,Heron!AO$9,Xero!$A:$A,Heron!$A$5,Xero!$E:$E,Heron!$A75)</f>
        <v>0</v>
      </c>
      <c r="AP75" s="99">
        <f>SUMIFS(Xero!$F:$F,Xero!$B:$B,Heron!AP$9,Xero!$A:$A,Heron!$A$4,Xero!$E:$E,Heron!$A75)+SUMIFS(Xero!$F:$F,Xero!$B:$B,Heron!AP$9,Xero!$A:$A,Heron!$A$5,Xero!$E:$E,Heron!$A75)</f>
        <v>0</v>
      </c>
      <c r="AQ75" s="99">
        <f>SUMIFS(Xero!$F:$F,Xero!$B:$B,Heron!AQ$9,Xero!$A:$A,Heron!$A$4,Xero!$E:$E,Heron!$A75)+SUMIFS(Xero!$F:$F,Xero!$B:$B,Heron!AQ$9,Xero!$A:$A,Heron!$A$5,Xero!$E:$E,Heron!$A75)</f>
        <v>0</v>
      </c>
      <c r="AR75" s="99">
        <f>SUMIFS(Xero!$F:$F,Xero!$B:$B,Heron!AR$9,Xero!$A:$A,Heron!$A$4,Xero!$E:$E,Heron!$A75)+SUMIFS(Xero!$F:$F,Xero!$B:$B,Heron!AR$9,Xero!$A:$A,Heron!$A$5,Xero!$E:$E,Heron!$A75)</f>
        <v>0</v>
      </c>
      <c r="AS75" s="99">
        <f>SUMIFS(Xero!$F:$F,Xero!$B:$B,Heron!AS$9,Xero!$A:$A,Heron!$A$4,Xero!$E:$E,Heron!$A75)+SUMIFS(Xero!$F:$F,Xero!$B:$B,Heron!AS$9,Xero!$A:$A,Heron!$A$5,Xero!$E:$E,Heron!$A75)</f>
        <v>0</v>
      </c>
      <c r="AT75" s="99">
        <f>SUMIFS(Xero!$F:$F,Xero!$B:$B,Heron!AT$9,Xero!$A:$A,Heron!$A$4,Xero!$E:$E,Heron!$A75)+SUMIFS(Xero!$F:$F,Xero!$B:$B,Heron!AT$9,Xero!$A:$A,Heron!$A$5,Xero!$E:$E,Heron!$A75)</f>
        <v>0</v>
      </c>
      <c r="AU75" s="99">
        <f>SUMIFS(Xero!$F:$F,Xero!$B:$B,Heron!AU$9,Xero!$A:$A,Heron!$A$4,Xero!$E:$E,Heron!$A75)+SUMIFS(Xero!$F:$F,Xero!$B:$B,Heron!AU$9,Xero!$A:$A,Heron!$A$5,Xero!$E:$E,Heron!$A75)</f>
        <v>0</v>
      </c>
      <c r="AV75" s="99">
        <f>SUMIFS(Xero!$F:$F,Xero!$B:$B,Heron!AV$9,Xero!$A:$A,Heron!$A$4,Xero!$E:$E,Heron!$A75)+SUMIFS(Xero!$F:$F,Xero!$B:$B,Heron!AV$9,Xero!$A:$A,Heron!$A$5,Xero!$E:$E,Heron!$A75)</f>
        <v>0</v>
      </c>
      <c r="AW75" s="99">
        <f>SUMIFS(Xero!$F:$F,Xero!$B:$B,Heron!AW$9,Xero!$A:$A,Heron!$A$4,Xero!$E:$E,Heron!$A75)+SUMIFS(Xero!$F:$F,Xero!$B:$B,Heron!AW$9,Xero!$A:$A,Heron!$A$5,Xero!$E:$E,Heron!$A75)</f>
        <v>0</v>
      </c>
      <c r="AX75" s="99">
        <f>SUMIFS(Xero!$F:$F,Xero!$B:$B,Heron!AX$9,Xero!$A:$A,Heron!$A$4,Xero!$E:$E,Heron!$A75)+SUMIFS(Xero!$F:$F,Xero!$B:$B,Heron!AX$9,Xero!$A:$A,Heron!$A$5,Xero!$E:$E,Heron!$A75)</f>
        <v>0</v>
      </c>
      <c r="AY75" s="99">
        <f>SUMIFS(Xero!$F:$F,Xero!$B:$B,Heron!AY$9,Xero!$A:$A,Heron!$A$4,Xero!$E:$E,Heron!$A75)+SUMIFS(Xero!$F:$F,Xero!$B:$B,Heron!AY$9,Xero!$A:$A,Heron!$A$5,Xero!$E:$E,Heron!$A75)</f>
        <v>0</v>
      </c>
      <c r="AZ75" s="99">
        <f>SUMIFS(Xero!$F:$F,Xero!$B:$B,Heron!AZ$9,Xero!$A:$A,Heron!$A$4,Xero!$E:$E,Heron!$A75)+SUMIFS(Xero!$F:$F,Xero!$B:$B,Heron!AZ$9,Xero!$A:$A,Heron!$A$5,Xero!$E:$E,Heron!$A75)</f>
        <v>0</v>
      </c>
      <c r="BA75" s="99">
        <f>SUMIFS(Xero!$F:$F,Xero!$B:$B,Heron!BA$9,Xero!$A:$A,Heron!$A$4,Xero!$E:$E,Heron!$A75)+SUMIFS(Xero!$F:$F,Xero!$B:$B,Heron!BA$9,Xero!$A:$A,Heron!$A$5,Xero!$E:$E,Heron!$A75)</f>
        <v>0</v>
      </c>
      <c r="BB75" s="99">
        <f>SUMIFS(Xero!$F:$F,Xero!$B:$B,Heron!BB$9,Xero!$A:$A,Heron!$A$4,Xero!$E:$E,Heron!$A75)+SUMIFS(Xero!$F:$F,Xero!$B:$B,Heron!BB$9,Xero!$A:$A,Heron!$A$5,Xero!$E:$E,Heron!$A75)</f>
        <v>0</v>
      </c>
      <c r="BC75" s="99">
        <f>SUMIFS(Xero!$F:$F,Xero!$B:$B,Heron!BC$9,Xero!$A:$A,Heron!$A$4,Xero!$E:$E,Heron!$A75)+SUMIFS(Xero!$F:$F,Xero!$B:$B,Heron!BC$9,Xero!$A:$A,Heron!$A$5,Xero!$E:$E,Heron!$A75)</f>
        <v>0</v>
      </c>
      <c r="BD75" s="99">
        <f>SUMIFS(Xero!$F:$F,Xero!$B:$B,Heron!BD$9,Xero!$A:$A,Heron!$A$4,Xero!$E:$E,Heron!$A75)+SUMIFS(Xero!$F:$F,Xero!$B:$B,Heron!BD$9,Xero!$A:$A,Heron!$A$5,Xero!$E:$E,Heron!$A75)</f>
        <v>0</v>
      </c>
      <c r="BE75" s="99">
        <f>SUMIFS(Xero!$F:$F,Xero!$B:$B,Heron!BE$9,Xero!$A:$A,Heron!$A$4,Xero!$E:$E,Heron!$A75)+SUMIFS(Xero!$F:$F,Xero!$B:$B,Heron!BE$9,Xero!$A:$A,Heron!$A$5,Xero!$E:$E,Heron!$A75)</f>
        <v>0</v>
      </c>
      <c r="BF75" s="99">
        <f>SUMIFS(Xero!$F:$F,Xero!$B:$B,Heron!BF$9,Xero!$A:$A,Heron!$A$4,Xero!$E:$E,Heron!$A75)+SUMIFS(Xero!$F:$F,Xero!$B:$B,Heron!BF$9,Xero!$A:$A,Heron!$A$5,Xero!$E:$E,Heron!$A75)</f>
        <v>0</v>
      </c>
      <c r="BG75" s="99">
        <f>SUMIFS(Xero!$F:$F,Xero!$B:$B,Heron!BG$9,Xero!$A:$A,Heron!$A$4,Xero!$E:$E,Heron!$A75)+SUMIFS(Xero!$F:$F,Xero!$B:$B,Heron!BG$9,Xero!$A:$A,Heron!$A$5,Xero!$E:$E,Heron!$A75)</f>
        <v>0</v>
      </c>
      <c r="BH75" s="99">
        <f>SUMIFS(Xero!$F:$F,Xero!$B:$B,Heron!BH$9,Xero!$A:$A,Heron!$A$4,Xero!$E:$E,Heron!$A75)+SUMIFS(Xero!$F:$F,Xero!$B:$B,Heron!BH$9,Xero!$A:$A,Heron!$A$5,Xero!$E:$E,Heron!$A75)</f>
        <v>0</v>
      </c>
      <c r="BI75" s="99">
        <f>SUMIFS(Xero!$F:$F,Xero!$B:$B,Heron!BI$9,Xero!$A:$A,Heron!$A$4,Xero!$E:$E,Heron!$A75)+SUMIFS(Xero!$F:$F,Xero!$B:$B,Heron!BI$9,Xero!$A:$A,Heron!$A$5,Xero!$E:$E,Heron!$A75)</f>
        <v>0</v>
      </c>
      <c r="BJ75" s="99">
        <f>SUMIFS(Xero!$F:$F,Xero!$B:$B,Heron!BJ$9,Xero!$A:$A,Heron!$A$4,Xero!$E:$E,Heron!$A75)+SUMIFS(Xero!$F:$F,Xero!$B:$B,Heron!BJ$9,Xero!$A:$A,Heron!$A$5,Xero!$E:$E,Heron!$A75)</f>
        <v>0</v>
      </c>
      <c r="BK75" s="99">
        <f t="shared" si="5"/>
        <v>9131.51</v>
      </c>
    </row>
    <row r="76" spans="1:63" ht="16" x14ac:dyDescent="0.2">
      <c r="A76" s="98" t="s">
        <v>1572</v>
      </c>
      <c r="D76" s="99">
        <f>SUMIFS(Xero!$F:$F,Xero!$B:$B,Heron!D$9,Xero!$A:$A,Heron!$A$4,Xero!$E:$E,Heron!$A76)+SUMIFS(Xero!$F:$F,Xero!$B:$B,Heron!D$9,Xero!$A:$A,Heron!$A$5,Xero!$E:$E,Heron!$A76)</f>
        <v>0</v>
      </c>
      <c r="E76" s="99">
        <f>SUMIFS(Xero!$F:$F,Xero!$B:$B,Heron!E$9,Xero!$A:$A,Heron!$A$4,Xero!$E:$E,Heron!$A76)+SUMIFS(Xero!$F:$F,Xero!$B:$B,Heron!E$9,Xero!$A:$A,Heron!$A$5,Xero!$E:$E,Heron!$A76)</f>
        <v>0</v>
      </c>
      <c r="F76" s="99">
        <f>SUMIFS(Xero!$F:$F,Xero!$B:$B,Heron!F$9,Xero!$A:$A,Heron!$A$4,Xero!$E:$E,Heron!$A76)+SUMIFS(Xero!$F:$F,Xero!$B:$B,Heron!F$9,Xero!$A:$A,Heron!$A$5,Xero!$E:$E,Heron!$A76)</f>
        <v>0</v>
      </c>
      <c r="G76" s="99">
        <f>SUMIFS(Xero!$F:$F,Xero!$B:$B,Heron!G$9,Xero!$A:$A,Heron!$A$4,Xero!$E:$E,Heron!$A76)+SUMIFS(Xero!$F:$F,Xero!$B:$B,Heron!G$9,Xero!$A:$A,Heron!$A$5,Xero!$E:$E,Heron!$A76)</f>
        <v>0</v>
      </c>
      <c r="H76" s="99">
        <f>SUMIFS(Xero!$F:$F,Xero!$B:$B,Heron!H$9,Xero!$A:$A,Heron!$A$4,Xero!$E:$E,Heron!$A76)+SUMIFS(Xero!$F:$F,Xero!$B:$B,Heron!H$9,Xero!$A:$A,Heron!$A$5,Xero!$E:$E,Heron!$A76)</f>
        <v>0</v>
      </c>
      <c r="I76" s="99">
        <f>SUMIFS(Xero!$F:$F,Xero!$B:$B,Heron!I$9,Xero!$A:$A,Heron!$A$4,Xero!$E:$E,Heron!$A76)+SUMIFS(Xero!$F:$F,Xero!$B:$B,Heron!I$9,Xero!$A:$A,Heron!$A$5,Xero!$E:$E,Heron!$A76)</f>
        <v>0</v>
      </c>
      <c r="J76" s="99">
        <f>SUMIFS(Xero!$F:$F,Xero!$B:$B,Heron!J$9,Xero!$A:$A,Heron!$A$4,Xero!$E:$E,Heron!$A76)+SUMIFS(Xero!$F:$F,Xero!$B:$B,Heron!J$9,Xero!$A:$A,Heron!$A$5,Xero!$E:$E,Heron!$A76)</f>
        <v>0</v>
      </c>
      <c r="K76" s="99">
        <f>SUMIFS(Xero!$F:$F,Xero!$B:$B,Heron!K$9,Xero!$A:$A,Heron!$A$4,Xero!$E:$E,Heron!$A76)+SUMIFS(Xero!$F:$F,Xero!$B:$B,Heron!K$9,Xero!$A:$A,Heron!$A$5,Xero!$E:$E,Heron!$A76)</f>
        <v>0</v>
      </c>
      <c r="L76" s="99">
        <f>SUMIFS(Xero!$F:$F,Xero!$B:$B,Heron!L$9,Xero!$A:$A,Heron!$A$4,Xero!$E:$E,Heron!$A76)+SUMIFS(Xero!$F:$F,Xero!$B:$B,Heron!L$9,Xero!$A:$A,Heron!$A$5,Xero!$E:$E,Heron!$A76)</f>
        <v>0</v>
      </c>
      <c r="M76" s="99">
        <f>SUMIFS(Xero!$F:$F,Xero!$B:$B,Heron!M$9,Xero!$A:$A,Heron!$A$4,Xero!$E:$E,Heron!$A76)+SUMIFS(Xero!$F:$F,Xero!$B:$B,Heron!M$9,Xero!$A:$A,Heron!$A$5,Xero!$E:$E,Heron!$A76)</f>
        <v>0</v>
      </c>
      <c r="N76" s="99">
        <f>SUMIFS(Xero!$F:$F,Xero!$B:$B,Heron!N$9,Xero!$A:$A,Heron!$A$4,Xero!$E:$E,Heron!$A76)+SUMIFS(Xero!$F:$F,Xero!$B:$B,Heron!N$9,Xero!$A:$A,Heron!$A$5,Xero!$E:$E,Heron!$A76)</f>
        <v>0</v>
      </c>
      <c r="O76" s="99">
        <f>SUMIFS(Xero!$F:$F,Xero!$B:$B,Heron!O$9,Xero!$A:$A,Heron!$A$4,Xero!$E:$E,Heron!$A76)+SUMIFS(Xero!$F:$F,Xero!$B:$B,Heron!O$9,Xero!$A:$A,Heron!$A$5,Xero!$E:$E,Heron!$A76)</f>
        <v>0</v>
      </c>
      <c r="P76" s="99">
        <f>SUMIFS(Xero!$F:$F,Xero!$B:$B,Heron!P$9,Xero!$A:$A,Heron!$A$4,Xero!$E:$E,Heron!$A76)+SUMIFS(Xero!$F:$F,Xero!$B:$B,Heron!P$9,Xero!$A:$A,Heron!$A$5,Xero!$E:$E,Heron!$A76)</f>
        <v>0</v>
      </c>
      <c r="Q76" s="99">
        <f>SUMIFS(Xero!$F:$F,Xero!$B:$B,Heron!Q$9,Xero!$A:$A,Heron!$A$4,Xero!$E:$E,Heron!$A76)+SUMIFS(Xero!$F:$F,Xero!$B:$B,Heron!Q$9,Xero!$A:$A,Heron!$A$5,Xero!$E:$E,Heron!$A76)</f>
        <v>0</v>
      </c>
      <c r="R76" s="99">
        <f>SUMIFS(Xero!$F:$F,Xero!$B:$B,Heron!R$9,Xero!$A:$A,Heron!$A$4,Xero!$E:$E,Heron!$A76)+SUMIFS(Xero!$F:$F,Xero!$B:$B,Heron!R$9,Xero!$A:$A,Heron!$A$5,Xero!$E:$E,Heron!$A76)</f>
        <v>0</v>
      </c>
      <c r="S76" s="99">
        <f>SUMIFS(Xero!$F:$F,Xero!$B:$B,Heron!S$9,Xero!$A:$A,Heron!$A$4,Xero!$E:$E,Heron!$A76)+SUMIFS(Xero!$F:$F,Xero!$B:$B,Heron!S$9,Xero!$A:$A,Heron!$A$5,Xero!$E:$E,Heron!$A76)</f>
        <v>0</v>
      </c>
      <c r="T76" s="99">
        <f>SUMIFS(Xero!$F:$F,Xero!$B:$B,Heron!T$9,Xero!$A:$A,Heron!$A$4,Xero!$E:$E,Heron!$A76)+SUMIFS(Xero!$F:$F,Xero!$B:$B,Heron!T$9,Xero!$A:$A,Heron!$A$5,Xero!$E:$E,Heron!$A76)</f>
        <v>0</v>
      </c>
      <c r="U76" s="99">
        <f>SUMIFS(Xero!$F:$F,Xero!$B:$B,Heron!U$9,Xero!$A:$A,Heron!$A$4,Xero!$E:$E,Heron!$A76)+SUMIFS(Xero!$F:$F,Xero!$B:$B,Heron!U$9,Xero!$A:$A,Heron!$A$5,Xero!$E:$E,Heron!$A76)</f>
        <v>0</v>
      </c>
      <c r="V76" s="99">
        <f>SUMIFS(Xero!$F:$F,Xero!$B:$B,Heron!V$9,Xero!$A:$A,Heron!$A$4,Xero!$E:$E,Heron!$A76)+SUMIFS(Xero!$F:$F,Xero!$B:$B,Heron!V$9,Xero!$A:$A,Heron!$A$5,Xero!$E:$E,Heron!$A76)</f>
        <v>0</v>
      </c>
      <c r="W76" s="99">
        <f>SUMIFS(Xero!$F:$F,Xero!$B:$B,Heron!W$9,Xero!$A:$A,Heron!$A$4,Xero!$E:$E,Heron!$A76)+SUMIFS(Xero!$F:$F,Xero!$B:$B,Heron!W$9,Xero!$A:$A,Heron!$A$5,Xero!$E:$E,Heron!$A76)</f>
        <v>0</v>
      </c>
      <c r="X76" s="99">
        <f>SUMIFS(Xero!$F:$F,Xero!$B:$B,Heron!X$9,Xero!$A:$A,Heron!$A$4,Xero!$E:$E,Heron!$A76)+SUMIFS(Xero!$F:$F,Xero!$B:$B,Heron!X$9,Xero!$A:$A,Heron!$A$5,Xero!$E:$E,Heron!$A76)</f>
        <v>10317.81</v>
      </c>
      <c r="Y76" s="99">
        <f>SUMIFS(Xero!$F:$F,Xero!$B:$B,Heron!Y$9,Xero!$A:$A,Heron!$A$4,Xero!$E:$E,Heron!$A76)+SUMIFS(Xero!$F:$F,Xero!$B:$B,Heron!Y$9,Xero!$A:$A,Heron!$A$5,Xero!$E:$E,Heron!$A76)</f>
        <v>53315.08</v>
      </c>
      <c r="Z76" s="99">
        <f>SUMIFS(Xero!$F:$F,Xero!$B:$B,Heron!Z$9,Xero!$A:$A,Heron!$A$4,Xero!$E:$E,Heron!$A76)+SUMIFS(Xero!$F:$F,Xero!$B:$B,Heron!Z$9,Xero!$A:$A,Heron!$A$5,Xero!$E:$E,Heron!$A76)</f>
        <v>79243.86</v>
      </c>
      <c r="AA76" s="99">
        <f>SUMIFS(Xero!$F:$F,Xero!$B:$B,Heron!AA$9,Xero!$A:$A,Heron!$A$4,Xero!$E:$E,Heron!$A76)+SUMIFS(Xero!$F:$F,Xero!$B:$B,Heron!AA$9,Xero!$A:$A,Heron!$A$5,Xero!$E:$E,Heron!$A76)</f>
        <v>0</v>
      </c>
      <c r="AB76" s="99">
        <f>SUMIFS(Xero!$F:$F,Xero!$B:$B,Heron!AB$9,Xero!$A:$A,Heron!$A$4,Xero!$E:$E,Heron!$A76)+SUMIFS(Xero!$F:$F,Xero!$B:$B,Heron!AB$9,Xero!$A:$A,Heron!$A$5,Xero!$E:$E,Heron!$A76)</f>
        <v>40376.71</v>
      </c>
      <c r="AC76" s="99">
        <f>SUMIFS(Xero!$F:$F,Xero!$B:$B,Heron!AC$9,Xero!$A:$A,Heron!$A$4,Xero!$E:$E,Heron!$A76)+SUMIFS(Xero!$F:$F,Xero!$B:$B,Heron!AC$9,Xero!$A:$A,Heron!$A$5,Xero!$E:$E,Heron!$A76)</f>
        <v>0</v>
      </c>
      <c r="AD76" s="99">
        <f>SUMIFS(Xero!$F:$F,Xero!$B:$B,Heron!AD$9,Xero!$A:$A,Heron!$A$4,Xero!$E:$E,Heron!$A76)+SUMIFS(Xero!$F:$F,Xero!$B:$B,Heron!AD$9,Xero!$A:$A,Heron!$A$5,Xero!$E:$E,Heron!$A76)</f>
        <v>229887.83</v>
      </c>
      <c r="AE76" s="99">
        <f>SUMIFS(Xero!$F:$F,Xero!$B:$B,Heron!AE$9,Xero!$A:$A,Heron!$A$4,Xero!$E:$E,Heron!$A76)+SUMIFS(Xero!$F:$F,Xero!$B:$B,Heron!AE$9,Xero!$A:$A,Heron!$A$5,Xero!$E:$E,Heron!$A76)</f>
        <v>130102.66</v>
      </c>
      <c r="AF76" s="99">
        <f>SUMIFS(Xero!$F:$F,Xero!$B:$B,Heron!AF$9,Xero!$A:$A,Heron!$A$4,Xero!$E:$E,Heron!$A76)+SUMIFS(Xero!$F:$F,Xero!$B:$B,Heron!AF$9,Xero!$A:$A,Heron!$A$5,Xero!$E:$E,Heron!$A76)</f>
        <v>0</v>
      </c>
      <c r="AG76" s="99">
        <f>SUMIFS(Xero!$F:$F,Xero!$B:$B,Heron!AG$9,Xero!$A:$A,Heron!$A$4,Xero!$E:$E,Heron!$A76)+SUMIFS(Xero!$F:$F,Xero!$B:$B,Heron!AG$9,Xero!$A:$A,Heron!$A$5,Xero!$E:$E,Heron!$A76)</f>
        <v>314994.21999999997</v>
      </c>
      <c r="AH76" s="99">
        <f>SUMIFS(Xero!$F:$F,Xero!$B:$B,Heron!AH$9,Xero!$A:$A,Heron!$A$4,Xero!$E:$E,Heron!$A76)+SUMIFS(Xero!$F:$F,Xero!$B:$B,Heron!AH$9,Xero!$A:$A,Heron!$A$5,Xero!$E:$E,Heron!$A76)</f>
        <v>274749.93</v>
      </c>
      <c r="AI76" s="99">
        <f>SUMIFS(Xero!$F:$F,Xero!$B:$B,Heron!AI$9,Xero!$A:$A,Heron!$A$4,Xero!$E:$E,Heron!$A76)+SUMIFS(Xero!$F:$F,Xero!$B:$B,Heron!AI$9,Xero!$A:$A,Heron!$A$5,Xero!$E:$E,Heron!$A76)</f>
        <v>0</v>
      </c>
      <c r="AJ76" s="99">
        <f>SUMIFS(Xero!$F:$F,Xero!$B:$B,Heron!AJ$9,Xero!$A:$A,Heron!$A$4,Xero!$E:$E,Heron!$A76)+SUMIFS(Xero!$F:$F,Xero!$B:$B,Heron!AJ$9,Xero!$A:$A,Heron!$A$5,Xero!$E:$E,Heron!$A76)</f>
        <v>15468.15</v>
      </c>
      <c r="AK76" s="99">
        <f>SUMIFS(Xero!$F:$F,Xero!$B:$B,Heron!AK$9,Xero!$A:$A,Heron!$A$4,Xero!$E:$E,Heron!$A76)+SUMIFS(Xero!$F:$F,Xero!$B:$B,Heron!AK$9,Xero!$A:$A,Heron!$A$5,Xero!$E:$E,Heron!$A76)</f>
        <v>0</v>
      </c>
      <c r="AL76" s="99">
        <f>SUMIFS(Xero!$F:$F,Xero!$B:$B,Heron!AL$9,Xero!$A:$A,Heron!$A$4,Xero!$E:$E,Heron!$A76)+SUMIFS(Xero!$F:$F,Xero!$B:$B,Heron!AL$9,Xero!$A:$A,Heron!$A$5,Xero!$E:$E,Heron!$A76)</f>
        <v>78686.33</v>
      </c>
      <c r="AM76" s="99">
        <f>SUMIFS(Xero!$F:$F,Xero!$B:$B,Heron!AM$9,Xero!$A:$A,Heron!$A$4,Xero!$E:$E,Heron!$A76)+SUMIFS(Xero!$F:$F,Xero!$B:$B,Heron!AM$9,Xero!$A:$A,Heron!$A$5,Xero!$E:$E,Heron!$A76)</f>
        <v>70767.12</v>
      </c>
      <c r="AN76" s="99">
        <f>SUMIFS(Xero!$F:$F,Xero!$B:$B,Heron!AN$9,Xero!$A:$A,Heron!$A$4,Xero!$E:$E,Heron!$A76)+SUMIFS(Xero!$F:$F,Xero!$B:$B,Heron!AN$9,Xero!$A:$A,Heron!$A$5,Xero!$E:$E,Heron!$A76)</f>
        <v>262448.15000000002</v>
      </c>
      <c r="AO76" s="99">
        <f>SUMIFS(Xero!$F:$F,Xero!$B:$B,Heron!AO$9,Xero!$A:$A,Heron!$A$4,Xero!$E:$E,Heron!$A76)+SUMIFS(Xero!$F:$F,Xero!$B:$B,Heron!AO$9,Xero!$A:$A,Heron!$A$5,Xero!$E:$E,Heron!$A76)</f>
        <v>0</v>
      </c>
      <c r="AP76" s="99">
        <f>SUMIFS(Xero!$F:$F,Xero!$B:$B,Heron!AP$9,Xero!$A:$A,Heron!$A$4,Xero!$E:$E,Heron!$A76)+SUMIFS(Xero!$F:$F,Xero!$B:$B,Heron!AP$9,Xero!$A:$A,Heron!$A$5,Xero!$E:$E,Heron!$A76)</f>
        <v>0</v>
      </c>
      <c r="AQ76" s="99">
        <f>SUMIFS(Xero!$F:$F,Xero!$B:$B,Heron!AQ$9,Xero!$A:$A,Heron!$A$4,Xero!$E:$E,Heron!$A76)+SUMIFS(Xero!$F:$F,Xero!$B:$B,Heron!AQ$9,Xero!$A:$A,Heron!$A$5,Xero!$E:$E,Heron!$A76)</f>
        <v>0</v>
      </c>
      <c r="AR76" s="99">
        <f>SUMIFS(Xero!$F:$F,Xero!$B:$B,Heron!AR$9,Xero!$A:$A,Heron!$A$4,Xero!$E:$E,Heron!$A76)+SUMIFS(Xero!$F:$F,Xero!$B:$B,Heron!AR$9,Xero!$A:$A,Heron!$A$5,Xero!$E:$E,Heron!$A76)</f>
        <v>0</v>
      </c>
      <c r="AS76" s="99">
        <f>SUMIFS(Xero!$F:$F,Xero!$B:$B,Heron!AS$9,Xero!$A:$A,Heron!$A$4,Xero!$E:$E,Heron!$A76)+SUMIFS(Xero!$F:$F,Xero!$B:$B,Heron!AS$9,Xero!$A:$A,Heron!$A$5,Xero!$E:$E,Heron!$A76)</f>
        <v>0</v>
      </c>
      <c r="AT76" s="99">
        <f>SUMIFS(Xero!$F:$F,Xero!$B:$B,Heron!AT$9,Xero!$A:$A,Heron!$A$4,Xero!$E:$E,Heron!$A76)+SUMIFS(Xero!$F:$F,Xero!$B:$B,Heron!AT$9,Xero!$A:$A,Heron!$A$5,Xero!$E:$E,Heron!$A76)</f>
        <v>0</v>
      </c>
      <c r="AU76" s="99">
        <f>SUMIFS(Xero!$F:$F,Xero!$B:$B,Heron!AU$9,Xero!$A:$A,Heron!$A$4,Xero!$E:$E,Heron!$A76)+SUMIFS(Xero!$F:$F,Xero!$B:$B,Heron!AU$9,Xero!$A:$A,Heron!$A$5,Xero!$E:$E,Heron!$A76)</f>
        <v>0</v>
      </c>
      <c r="AV76" s="99">
        <f>SUMIFS(Xero!$F:$F,Xero!$B:$B,Heron!AV$9,Xero!$A:$A,Heron!$A$4,Xero!$E:$E,Heron!$A76)+SUMIFS(Xero!$F:$F,Xero!$B:$B,Heron!AV$9,Xero!$A:$A,Heron!$A$5,Xero!$E:$E,Heron!$A76)</f>
        <v>0</v>
      </c>
      <c r="AW76" s="99">
        <f>SUMIFS(Xero!$F:$F,Xero!$B:$B,Heron!AW$9,Xero!$A:$A,Heron!$A$4,Xero!$E:$E,Heron!$A76)+SUMIFS(Xero!$F:$F,Xero!$B:$B,Heron!AW$9,Xero!$A:$A,Heron!$A$5,Xero!$E:$E,Heron!$A76)</f>
        <v>0</v>
      </c>
      <c r="AX76" s="99">
        <f>SUMIFS(Xero!$F:$F,Xero!$B:$B,Heron!AX$9,Xero!$A:$A,Heron!$A$4,Xero!$E:$E,Heron!$A76)+SUMIFS(Xero!$F:$F,Xero!$B:$B,Heron!AX$9,Xero!$A:$A,Heron!$A$5,Xero!$E:$E,Heron!$A76)</f>
        <v>0</v>
      </c>
      <c r="AY76" s="99">
        <f>SUMIFS(Xero!$F:$F,Xero!$B:$B,Heron!AY$9,Xero!$A:$A,Heron!$A$4,Xero!$E:$E,Heron!$A76)+SUMIFS(Xero!$F:$F,Xero!$B:$B,Heron!AY$9,Xero!$A:$A,Heron!$A$5,Xero!$E:$E,Heron!$A76)</f>
        <v>0</v>
      </c>
      <c r="AZ76" s="99">
        <f>SUMIFS(Xero!$F:$F,Xero!$B:$B,Heron!AZ$9,Xero!$A:$A,Heron!$A$4,Xero!$E:$E,Heron!$A76)+SUMIFS(Xero!$F:$F,Xero!$B:$B,Heron!AZ$9,Xero!$A:$A,Heron!$A$5,Xero!$E:$E,Heron!$A76)</f>
        <v>0</v>
      </c>
      <c r="BA76" s="99">
        <f>SUMIFS(Xero!$F:$F,Xero!$B:$B,Heron!BA$9,Xero!$A:$A,Heron!$A$4,Xero!$E:$E,Heron!$A76)+SUMIFS(Xero!$F:$F,Xero!$B:$B,Heron!BA$9,Xero!$A:$A,Heron!$A$5,Xero!$E:$E,Heron!$A76)</f>
        <v>0</v>
      </c>
      <c r="BB76" s="99">
        <f>SUMIFS(Xero!$F:$F,Xero!$B:$B,Heron!BB$9,Xero!$A:$A,Heron!$A$4,Xero!$E:$E,Heron!$A76)+SUMIFS(Xero!$F:$F,Xero!$B:$B,Heron!BB$9,Xero!$A:$A,Heron!$A$5,Xero!$E:$E,Heron!$A76)</f>
        <v>0</v>
      </c>
      <c r="BC76" s="99">
        <f>SUMIFS(Xero!$F:$F,Xero!$B:$B,Heron!BC$9,Xero!$A:$A,Heron!$A$4,Xero!$E:$E,Heron!$A76)+SUMIFS(Xero!$F:$F,Xero!$B:$B,Heron!BC$9,Xero!$A:$A,Heron!$A$5,Xero!$E:$E,Heron!$A76)</f>
        <v>0</v>
      </c>
      <c r="BD76" s="99">
        <f>SUMIFS(Xero!$F:$F,Xero!$B:$B,Heron!BD$9,Xero!$A:$A,Heron!$A$4,Xero!$E:$E,Heron!$A76)+SUMIFS(Xero!$F:$F,Xero!$B:$B,Heron!BD$9,Xero!$A:$A,Heron!$A$5,Xero!$E:$E,Heron!$A76)</f>
        <v>0</v>
      </c>
      <c r="BE76" s="99">
        <f>SUMIFS(Xero!$F:$F,Xero!$B:$B,Heron!BE$9,Xero!$A:$A,Heron!$A$4,Xero!$E:$E,Heron!$A76)+SUMIFS(Xero!$F:$F,Xero!$B:$B,Heron!BE$9,Xero!$A:$A,Heron!$A$5,Xero!$E:$E,Heron!$A76)</f>
        <v>0</v>
      </c>
      <c r="BF76" s="99">
        <f>SUMIFS(Xero!$F:$F,Xero!$B:$B,Heron!BF$9,Xero!$A:$A,Heron!$A$4,Xero!$E:$E,Heron!$A76)+SUMIFS(Xero!$F:$F,Xero!$B:$B,Heron!BF$9,Xero!$A:$A,Heron!$A$5,Xero!$E:$E,Heron!$A76)</f>
        <v>0</v>
      </c>
      <c r="BG76" s="99">
        <f>SUMIFS(Xero!$F:$F,Xero!$B:$B,Heron!BG$9,Xero!$A:$A,Heron!$A$4,Xero!$E:$E,Heron!$A76)+SUMIFS(Xero!$F:$F,Xero!$B:$B,Heron!BG$9,Xero!$A:$A,Heron!$A$5,Xero!$E:$E,Heron!$A76)</f>
        <v>0</v>
      </c>
      <c r="BH76" s="99">
        <f>SUMIFS(Xero!$F:$F,Xero!$B:$B,Heron!BH$9,Xero!$A:$A,Heron!$A$4,Xero!$E:$E,Heron!$A76)+SUMIFS(Xero!$F:$F,Xero!$B:$B,Heron!BH$9,Xero!$A:$A,Heron!$A$5,Xero!$E:$E,Heron!$A76)</f>
        <v>0</v>
      </c>
      <c r="BI76" s="99">
        <f>SUMIFS(Xero!$F:$F,Xero!$B:$B,Heron!BI$9,Xero!$A:$A,Heron!$A$4,Xero!$E:$E,Heron!$A76)+SUMIFS(Xero!$F:$F,Xero!$B:$B,Heron!BI$9,Xero!$A:$A,Heron!$A$5,Xero!$E:$E,Heron!$A76)</f>
        <v>0</v>
      </c>
      <c r="BJ76" s="99">
        <f>SUMIFS(Xero!$F:$F,Xero!$B:$B,Heron!BJ$9,Xero!$A:$A,Heron!$A$4,Xero!$E:$E,Heron!$A76)+SUMIFS(Xero!$F:$F,Xero!$B:$B,Heron!BJ$9,Xero!$A:$A,Heron!$A$5,Xero!$E:$E,Heron!$A76)</f>
        <v>0</v>
      </c>
      <c r="BK76" s="99">
        <f t="shared" si="5"/>
        <v>1560357.8499999996</v>
      </c>
    </row>
    <row r="77" spans="1:63" ht="16" x14ac:dyDescent="0.2">
      <c r="A77" s="98" t="s">
        <v>1574</v>
      </c>
      <c r="D77" s="99">
        <f>SUMIFS(Xero!$F:$F,Xero!$B:$B,Heron!D$9,Xero!$A:$A,Heron!$A$4,Xero!$E:$E,Heron!$A77)+SUMIFS(Xero!$F:$F,Xero!$B:$B,Heron!D$9,Xero!$A:$A,Heron!$A$5,Xero!$E:$E,Heron!$A77)</f>
        <v>0</v>
      </c>
      <c r="E77" s="99">
        <f>SUMIFS(Xero!$F:$F,Xero!$B:$B,Heron!E$9,Xero!$A:$A,Heron!$A$4,Xero!$E:$E,Heron!$A77)+SUMIFS(Xero!$F:$F,Xero!$B:$B,Heron!E$9,Xero!$A:$A,Heron!$A$5,Xero!$E:$E,Heron!$A77)</f>
        <v>0</v>
      </c>
      <c r="F77" s="99">
        <f>SUMIFS(Xero!$F:$F,Xero!$B:$B,Heron!F$9,Xero!$A:$A,Heron!$A$4,Xero!$E:$E,Heron!$A77)+SUMIFS(Xero!$F:$F,Xero!$B:$B,Heron!F$9,Xero!$A:$A,Heron!$A$5,Xero!$E:$E,Heron!$A77)</f>
        <v>0</v>
      </c>
      <c r="G77" s="99">
        <f>SUMIFS(Xero!$F:$F,Xero!$B:$B,Heron!G$9,Xero!$A:$A,Heron!$A$4,Xero!$E:$E,Heron!$A77)+SUMIFS(Xero!$F:$F,Xero!$B:$B,Heron!G$9,Xero!$A:$A,Heron!$A$5,Xero!$E:$E,Heron!$A77)</f>
        <v>0</v>
      </c>
      <c r="H77" s="99">
        <f>SUMIFS(Xero!$F:$F,Xero!$B:$B,Heron!H$9,Xero!$A:$A,Heron!$A$4,Xero!$E:$E,Heron!$A77)+SUMIFS(Xero!$F:$F,Xero!$B:$B,Heron!H$9,Xero!$A:$A,Heron!$A$5,Xero!$E:$E,Heron!$A77)</f>
        <v>0</v>
      </c>
      <c r="I77" s="99">
        <f>SUMIFS(Xero!$F:$F,Xero!$B:$B,Heron!I$9,Xero!$A:$A,Heron!$A$4,Xero!$E:$E,Heron!$A77)+SUMIFS(Xero!$F:$F,Xero!$B:$B,Heron!I$9,Xero!$A:$A,Heron!$A$5,Xero!$E:$E,Heron!$A77)</f>
        <v>0</v>
      </c>
      <c r="J77" s="99">
        <f>SUMIFS(Xero!$F:$F,Xero!$B:$B,Heron!J$9,Xero!$A:$A,Heron!$A$4,Xero!$E:$E,Heron!$A77)+SUMIFS(Xero!$F:$F,Xero!$B:$B,Heron!J$9,Xero!$A:$A,Heron!$A$5,Xero!$E:$E,Heron!$A77)</f>
        <v>0</v>
      </c>
      <c r="K77" s="99">
        <f>SUMIFS(Xero!$F:$F,Xero!$B:$B,Heron!K$9,Xero!$A:$A,Heron!$A$4,Xero!$E:$E,Heron!$A77)+SUMIFS(Xero!$F:$F,Xero!$B:$B,Heron!K$9,Xero!$A:$A,Heron!$A$5,Xero!$E:$E,Heron!$A77)</f>
        <v>0</v>
      </c>
      <c r="L77" s="99">
        <f>SUMIFS(Xero!$F:$F,Xero!$B:$B,Heron!L$9,Xero!$A:$A,Heron!$A$4,Xero!$E:$E,Heron!$A77)+SUMIFS(Xero!$F:$F,Xero!$B:$B,Heron!L$9,Xero!$A:$A,Heron!$A$5,Xero!$E:$E,Heron!$A77)</f>
        <v>0</v>
      </c>
      <c r="M77" s="99">
        <f>SUMIFS(Xero!$F:$F,Xero!$B:$B,Heron!M$9,Xero!$A:$A,Heron!$A$4,Xero!$E:$E,Heron!$A77)+SUMIFS(Xero!$F:$F,Xero!$B:$B,Heron!M$9,Xero!$A:$A,Heron!$A$5,Xero!$E:$E,Heron!$A77)</f>
        <v>0</v>
      </c>
      <c r="N77" s="99">
        <f>SUMIFS(Xero!$F:$F,Xero!$B:$B,Heron!N$9,Xero!$A:$A,Heron!$A$4,Xero!$E:$E,Heron!$A77)+SUMIFS(Xero!$F:$F,Xero!$B:$B,Heron!N$9,Xero!$A:$A,Heron!$A$5,Xero!$E:$E,Heron!$A77)</f>
        <v>0</v>
      </c>
      <c r="O77" s="99">
        <f>SUMIFS(Xero!$F:$F,Xero!$B:$B,Heron!O$9,Xero!$A:$A,Heron!$A$4,Xero!$E:$E,Heron!$A77)+SUMIFS(Xero!$F:$F,Xero!$B:$B,Heron!O$9,Xero!$A:$A,Heron!$A$5,Xero!$E:$E,Heron!$A77)</f>
        <v>0</v>
      </c>
      <c r="P77" s="99">
        <f>SUMIFS(Xero!$F:$F,Xero!$B:$B,Heron!P$9,Xero!$A:$A,Heron!$A$4,Xero!$E:$E,Heron!$A77)+SUMIFS(Xero!$F:$F,Xero!$B:$B,Heron!P$9,Xero!$A:$A,Heron!$A$5,Xero!$E:$E,Heron!$A77)</f>
        <v>0</v>
      </c>
      <c r="Q77" s="99">
        <f>SUMIFS(Xero!$F:$F,Xero!$B:$B,Heron!Q$9,Xero!$A:$A,Heron!$A$4,Xero!$E:$E,Heron!$A77)+SUMIFS(Xero!$F:$F,Xero!$B:$B,Heron!Q$9,Xero!$A:$A,Heron!$A$5,Xero!$E:$E,Heron!$A77)</f>
        <v>0</v>
      </c>
      <c r="R77" s="99">
        <f>SUMIFS(Xero!$F:$F,Xero!$B:$B,Heron!R$9,Xero!$A:$A,Heron!$A$4,Xero!$E:$E,Heron!$A77)+SUMIFS(Xero!$F:$F,Xero!$B:$B,Heron!R$9,Xero!$A:$A,Heron!$A$5,Xero!$E:$E,Heron!$A77)</f>
        <v>0</v>
      </c>
      <c r="S77" s="99">
        <f>SUMIFS(Xero!$F:$F,Xero!$B:$B,Heron!S$9,Xero!$A:$A,Heron!$A$4,Xero!$E:$E,Heron!$A77)+SUMIFS(Xero!$F:$F,Xero!$B:$B,Heron!S$9,Xero!$A:$A,Heron!$A$5,Xero!$E:$E,Heron!$A77)</f>
        <v>0</v>
      </c>
      <c r="T77" s="99">
        <f>SUMIFS(Xero!$F:$F,Xero!$B:$B,Heron!T$9,Xero!$A:$A,Heron!$A$4,Xero!$E:$E,Heron!$A77)+SUMIFS(Xero!$F:$F,Xero!$B:$B,Heron!T$9,Xero!$A:$A,Heron!$A$5,Xero!$E:$E,Heron!$A77)</f>
        <v>0</v>
      </c>
      <c r="U77" s="99">
        <f>SUMIFS(Xero!$F:$F,Xero!$B:$B,Heron!U$9,Xero!$A:$A,Heron!$A$4,Xero!$E:$E,Heron!$A77)+SUMIFS(Xero!$F:$F,Xero!$B:$B,Heron!U$9,Xero!$A:$A,Heron!$A$5,Xero!$E:$E,Heron!$A77)</f>
        <v>0</v>
      </c>
      <c r="V77" s="99">
        <f>SUMIFS(Xero!$F:$F,Xero!$B:$B,Heron!V$9,Xero!$A:$A,Heron!$A$4,Xero!$E:$E,Heron!$A77)+SUMIFS(Xero!$F:$F,Xero!$B:$B,Heron!V$9,Xero!$A:$A,Heron!$A$5,Xero!$E:$E,Heron!$A77)</f>
        <v>0</v>
      </c>
      <c r="W77" s="99">
        <f>SUMIFS(Xero!$F:$F,Xero!$B:$B,Heron!W$9,Xero!$A:$A,Heron!$A$4,Xero!$E:$E,Heron!$A77)+SUMIFS(Xero!$F:$F,Xero!$B:$B,Heron!W$9,Xero!$A:$A,Heron!$A$5,Xero!$E:$E,Heron!$A77)</f>
        <v>0</v>
      </c>
      <c r="X77" s="99">
        <f>SUMIFS(Xero!$F:$F,Xero!$B:$B,Heron!X$9,Xero!$A:$A,Heron!$A$4,Xero!$E:$E,Heron!$A77)+SUMIFS(Xero!$F:$F,Xero!$B:$B,Heron!X$9,Xero!$A:$A,Heron!$A$5,Xero!$E:$E,Heron!$A77)</f>
        <v>376726.01</v>
      </c>
      <c r="Y77" s="99">
        <f>SUMIFS(Xero!$F:$F,Xero!$B:$B,Heron!Y$9,Xero!$A:$A,Heron!$A$4,Xero!$E:$E,Heron!$A77)+SUMIFS(Xero!$F:$F,Xero!$B:$B,Heron!Y$9,Xero!$A:$A,Heron!$A$5,Xero!$E:$E,Heron!$A77)</f>
        <v>324986.28000000003</v>
      </c>
      <c r="Z77" s="99">
        <f>SUMIFS(Xero!$F:$F,Xero!$B:$B,Heron!Z$9,Xero!$A:$A,Heron!$A$4,Xero!$E:$E,Heron!$A77)+SUMIFS(Xero!$F:$F,Xero!$B:$B,Heron!Z$9,Xero!$A:$A,Heron!$A$5,Xero!$E:$E,Heron!$A77)</f>
        <v>333904.11</v>
      </c>
      <c r="AA77" s="99">
        <f>SUMIFS(Xero!$F:$F,Xero!$B:$B,Heron!AA$9,Xero!$A:$A,Heron!$A$4,Xero!$E:$E,Heron!$A77)+SUMIFS(Xero!$F:$F,Xero!$B:$B,Heron!AA$9,Xero!$A:$A,Heron!$A$5,Xero!$E:$E,Heron!$A77)</f>
        <v>51945.21</v>
      </c>
      <c r="AB77" s="99">
        <f>SUMIFS(Xero!$F:$F,Xero!$B:$B,Heron!AB$9,Xero!$A:$A,Heron!$A$4,Xero!$E:$E,Heron!$A77)+SUMIFS(Xero!$F:$F,Xero!$B:$B,Heron!AB$9,Xero!$A:$A,Heron!$A$5,Xero!$E:$E,Heron!$A77)</f>
        <v>133335.60999999999</v>
      </c>
      <c r="AC77" s="99">
        <f>SUMIFS(Xero!$F:$F,Xero!$B:$B,Heron!AC$9,Xero!$A:$A,Heron!$A$4,Xero!$E:$E,Heron!$A77)+SUMIFS(Xero!$F:$F,Xero!$B:$B,Heron!AC$9,Xero!$A:$A,Heron!$A$5,Xero!$E:$E,Heron!$A77)</f>
        <v>55479.45</v>
      </c>
      <c r="AD77" s="99">
        <f>SUMIFS(Xero!$F:$F,Xero!$B:$B,Heron!AD$9,Xero!$A:$A,Heron!$A$4,Xero!$E:$E,Heron!$A77)+SUMIFS(Xero!$F:$F,Xero!$B:$B,Heron!AD$9,Xero!$A:$A,Heron!$A$5,Xero!$E:$E,Heron!$A77)</f>
        <v>117904.12</v>
      </c>
      <c r="AE77" s="99">
        <f>SUMIFS(Xero!$F:$F,Xero!$B:$B,Heron!AE$9,Xero!$A:$A,Heron!$A$4,Xero!$E:$E,Heron!$A77)+SUMIFS(Xero!$F:$F,Xero!$B:$B,Heron!AE$9,Xero!$A:$A,Heron!$A$5,Xero!$E:$E,Heron!$A77)</f>
        <v>0</v>
      </c>
      <c r="AF77" s="99">
        <f>SUMIFS(Xero!$F:$F,Xero!$B:$B,Heron!AF$9,Xero!$A:$A,Heron!$A$4,Xero!$E:$E,Heron!$A77)+SUMIFS(Xero!$F:$F,Xero!$B:$B,Heron!AF$9,Xero!$A:$A,Heron!$A$5,Xero!$E:$E,Heron!$A77)</f>
        <v>26630.13</v>
      </c>
      <c r="AG77" s="99">
        <f>SUMIFS(Xero!$F:$F,Xero!$B:$B,Heron!AG$9,Xero!$A:$A,Heron!$A$4,Xero!$E:$E,Heron!$A77)+SUMIFS(Xero!$F:$F,Xero!$B:$B,Heron!AG$9,Xero!$A:$A,Heron!$A$5,Xero!$E:$E,Heron!$A77)</f>
        <v>0</v>
      </c>
      <c r="AH77" s="99">
        <f>SUMIFS(Xero!$F:$F,Xero!$B:$B,Heron!AH$9,Xero!$A:$A,Heron!$A$4,Xero!$E:$E,Heron!$A77)+SUMIFS(Xero!$F:$F,Xero!$B:$B,Heron!AH$9,Xero!$A:$A,Heron!$A$5,Xero!$E:$E,Heron!$A77)</f>
        <v>0</v>
      </c>
      <c r="AI77" s="99">
        <f>SUMIFS(Xero!$F:$F,Xero!$B:$B,Heron!AI$9,Xero!$A:$A,Heron!$A$4,Xero!$E:$E,Heron!$A77)+SUMIFS(Xero!$F:$F,Xero!$B:$B,Heron!AI$9,Xero!$A:$A,Heron!$A$5,Xero!$E:$E,Heron!$A77)</f>
        <v>0</v>
      </c>
      <c r="AJ77" s="99">
        <f>SUMIFS(Xero!$F:$F,Xero!$B:$B,Heron!AJ$9,Xero!$A:$A,Heron!$A$4,Xero!$E:$E,Heron!$A77)+SUMIFS(Xero!$F:$F,Xero!$B:$B,Heron!AJ$9,Xero!$A:$A,Heron!$A$5,Xero!$E:$E,Heron!$A77)</f>
        <v>0</v>
      </c>
      <c r="AK77" s="99">
        <f>SUMIFS(Xero!$F:$F,Xero!$B:$B,Heron!AK$9,Xero!$A:$A,Heron!$A$4,Xero!$E:$E,Heron!$A77)+SUMIFS(Xero!$F:$F,Xero!$B:$B,Heron!AK$9,Xero!$A:$A,Heron!$A$5,Xero!$E:$E,Heron!$A77)</f>
        <v>0</v>
      </c>
      <c r="AL77" s="99">
        <f>SUMIFS(Xero!$F:$F,Xero!$B:$B,Heron!AL$9,Xero!$A:$A,Heron!$A$4,Xero!$E:$E,Heron!$A77)+SUMIFS(Xero!$F:$F,Xero!$B:$B,Heron!AL$9,Xero!$A:$A,Heron!$A$5,Xero!$E:$E,Heron!$A77)</f>
        <v>0</v>
      </c>
      <c r="AM77" s="99">
        <f>SUMIFS(Xero!$F:$F,Xero!$B:$B,Heron!AM$9,Xero!$A:$A,Heron!$A$4,Xero!$E:$E,Heron!$A77)+SUMIFS(Xero!$F:$F,Xero!$B:$B,Heron!AM$9,Xero!$A:$A,Heron!$A$5,Xero!$E:$E,Heron!$A77)</f>
        <v>0</v>
      </c>
      <c r="AN77" s="99">
        <f>SUMIFS(Xero!$F:$F,Xero!$B:$B,Heron!AN$9,Xero!$A:$A,Heron!$A$4,Xero!$E:$E,Heron!$A77)+SUMIFS(Xero!$F:$F,Xero!$B:$B,Heron!AN$9,Xero!$A:$A,Heron!$A$5,Xero!$E:$E,Heron!$A77)</f>
        <v>0</v>
      </c>
      <c r="AO77" s="99">
        <f>SUMIFS(Xero!$F:$F,Xero!$B:$B,Heron!AO$9,Xero!$A:$A,Heron!$A$4,Xero!$E:$E,Heron!$A77)+SUMIFS(Xero!$F:$F,Xero!$B:$B,Heron!AO$9,Xero!$A:$A,Heron!$A$5,Xero!$E:$E,Heron!$A77)</f>
        <v>0</v>
      </c>
      <c r="AP77" s="99">
        <f>SUMIFS(Xero!$F:$F,Xero!$B:$B,Heron!AP$9,Xero!$A:$A,Heron!$A$4,Xero!$E:$E,Heron!$A77)+SUMIFS(Xero!$F:$F,Xero!$B:$B,Heron!AP$9,Xero!$A:$A,Heron!$A$5,Xero!$E:$E,Heron!$A77)</f>
        <v>0</v>
      </c>
      <c r="AQ77" s="99">
        <f>SUMIFS(Xero!$F:$F,Xero!$B:$B,Heron!AQ$9,Xero!$A:$A,Heron!$A$4,Xero!$E:$E,Heron!$A77)+SUMIFS(Xero!$F:$F,Xero!$B:$B,Heron!AQ$9,Xero!$A:$A,Heron!$A$5,Xero!$E:$E,Heron!$A77)</f>
        <v>0</v>
      </c>
      <c r="AR77" s="99">
        <f>SUMIFS(Xero!$F:$F,Xero!$B:$B,Heron!AR$9,Xero!$A:$A,Heron!$A$4,Xero!$E:$E,Heron!$A77)+SUMIFS(Xero!$F:$F,Xero!$B:$B,Heron!AR$9,Xero!$A:$A,Heron!$A$5,Xero!$E:$E,Heron!$A77)</f>
        <v>0</v>
      </c>
      <c r="AS77" s="99">
        <f>SUMIFS(Xero!$F:$F,Xero!$B:$B,Heron!AS$9,Xero!$A:$A,Heron!$A$4,Xero!$E:$E,Heron!$A77)+SUMIFS(Xero!$F:$F,Xero!$B:$B,Heron!AS$9,Xero!$A:$A,Heron!$A$5,Xero!$E:$E,Heron!$A77)</f>
        <v>0</v>
      </c>
      <c r="AT77" s="99">
        <f>SUMIFS(Xero!$F:$F,Xero!$B:$B,Heron!AT$9,Xero!$A:$A,Heron!$A$4,Xero!$E:$E,Heron!$A77)+SUMIFS(Xero!$F:$F,Xero!$B:$B,Heron!AT$9,Xero!$A:$A,Heron!$A$5,Xero!$E:$E,Heron!$A77)</f>
        <v>0</v>
      </c>
      <c r="AU77" s="99">
        <f>SUMIFS(Xero!$F:$F,Xero!$B:$B,Heron!AU$9,Xero!$A:$A,Heron!$A$4,Xero!$E:$E,Heron!$A77)+SUMIFS(Xero!$F:$F,Xero!$B:$B,Heron!AU$9,Xero!$A:$A,Heron!$A$5,Xero!$E:$E,Heron!$A77)</f>
        <v>0</v>
      </c>
      <c r="AV77" s="99">
        <f>SUMIFS(Xero!$F:$F,Xero!$B:$B,Heron!AV$9,Xero!$A:$A,Heron!$A$4,Xero!$E:$E,Heron!$A77)+SUMIFS(Xero!$F:$F,Xero!$B:$B,Heron!AV$9,Xero!$A:$A,Heron!$A$5,Xero!$E:$E,Heron!$A77)</f>
        <v>0</v>
      </c>
      <c r="AW77" s="99">
        <f>SUMIFS(Xero!$F:$F,Xero!$B:$B,Heron!AW$9,Xero!$A:$A,Heron!$A$4,Xero!$E:$E,Heron!$A77)+SUMIFS(Xero!$F:$F,Xero!$B:$B,Heron!AW$9,Xero!$A:$A,Heron!$A$5,Xero!$E:$E,Heron!$A77)</f>
        <v>0</v>
      </c>
      <c r="AX77" s="99">
        <f>SUMIFS(Xero!$F:$F,Xero!$B:$B,Heron!AX$9,Xero!$A:$A,Heron!$A$4,Xero!$E:$E,Heron!$A77)+SUMIFS(Xero!$F:$F,Xero!$B:$B,Heron!AX$9,Xero!$A:$A,Heron!$A$5,Xero!$E:$E,Heron!$A77)</f>
        <v>0</v>
      </c>
      <c r="AY77" s="99">
        <f>SUMIFS(Xero!$F:$F,Xero!$B:$B,Heron!AY$9,Xero!$A:$A,Heron!$A$4,Xero!$E:$E,Heron!$A77)+SUMIFS(Xero!$F:$F,Xero!$B:$B,Heron!AY$9,Xero!$A:$A,Heron!$A$5,Xero!$E:$E,Heron!$A77)</f>
        <v>0</v>
      </c>
      <c r="AZ77" s="99">
        <f>SUMIFS(Xero!$F:$F,Xero!$B:$B,Heron!AZ$9,Xero!$A:$A,Heron!$A$4,Xero!$E:$E,Heron!$A77)+SUMIFS(Xero!$F:$F,Xero!$B:$B,Heron!AZ$9,Xero!$A:$A,Heron!$A$5,Xero!$E:$E,Heron!$A77)</f>
        <v>0</v>
      </c>
      <c r="BA77" s="99">
        <f>SUMIFS(Xero!$F:$F,Xero!$B:$B,Heron!BA$9,Xero!$A:$A,Heron!$A$4,Xero!$E:$E,Heron!$A77)+SUMIFS(Xero!$F:$F,Xero!$B:$B,Heron!BA$9,Xero!$A:$A,Heron!$A$5,Xero!$E:$E,Heron!$A77)</f>
        <v>0</v>
      </c>
      <c r="BB77" s="99">
        <f>SUMIFS(Xero!$F:$F,Xero!$B:$B,Heron!BB$9,Xero!$A:$A,Heron!$A$4,Xero!$E:$E,Heron!$A77)+SUMIFS(Xero!$F:$F,Xero!$B:$B,Heron!BB$9,Xero!$A:$A,Heron!$A$5,Xero!$E:$E,Heron!$A77)</f>
        <v>0</v>
      </c>
      <c r="BC77" s="99">
        <f>SUMIFS(Xero!$F:$F,Xero!$B:$B,Heron!BC$9,Xero!$A:$A,Heron!$A$4,Xero!$E:$E,Heron!$A77)+SUMIFS(Xero!$F:$F,Xero!$B:$B,Heron!BC$9,Xero!$A:$A,Heron!$A$5,Xero!$E:$E,Heron!$A77)</f>
        <v>0</v>
      </c>
      <c r="BD77" s="99">
        <f>SUMIFS(Xero!$F:$F,Xero!$B:$B,Heron!BD$9,Xero!$A:$A,Heron!$A$4,Xero!$E:$E,Heron!$A77)+SUMIFS(Xero!$F:$F,Xero!$B:$B,Heron!BD$9,Xero!$A:$A,Heron!$A$5,Xero!$E:$E,Heron!$A77)</f>
        <v>0</v>
      </c>
      <c r="BE77" s="99">
        <f>SUMIFS(Xero!$F:$F,Xero!$B:$B,Heron!BE$9,Xero!$A:$A,Heron!$A$4,Xero!$E:$E,Heron!$A77)+SUMIFS(Xero!$F:$F,Xero!$B:$B,Heron!BE$9,Xero!$A:$A,Heron!$A$5,Xero!$E:$E,Heron!$A77)</f>
        <v>0</v>
      </c>
      <c r="BF77" s="99">
        <f>SUMIFS(Xero!$F:$F,Xero!$B:$B,Heron!BF$9,Xero!$A:$A,Heron!$A$4,Xero!$E:$E,Heron!$A77)+SUMIFS(Xero!$F:$F,Xero!$B:$B,Heron!BF$9,Xero!$A:$A,Heron!$A$5,Xero!$E:$E,Heron!$A77)</f>
        <v>0</v>
      </c>
      <c r="BG77" s="99">
        <f>SUMIFS(Xero!$F:$F,Xero!$B:$B,Heron!BG$9,Xero!$A:$A,Heron!$A$4,Xero!$E:$E,Heron!$A77)+SUMIFS(Xero!$F:$F,Xero!$B:$B,Heron!BG$9,Xero!$A:$A,Heron!$A$5,Xero!$E:$E,Heron!$A77)</f>
        <v>0</v>
      </c>
      <c r="BH77" s="99">
        <f>SUMIFS(Xero!$F:$F,Xero!$B:$B,Heron!BH$9,Xero!$A:$A,Heron!$A$4,Xero!$E:$E,Heron!$A77)+SUMIFS(Xero!$F:$F,Xero!$B:$B,Heron!BH$9,Xero!$A:$A,Heron!$A$5,Xero!$E:$E,Heron!$A77)</f>
        <v>0</v>
      </c>
      <c r="BI77" s="99">
        <f>SUMIFS(Xero!$F:$F,Xero!$B:$B,Heron!BI$9,Xero!$A:$A,Heron!$A$4,Xero!$E:$E,Heron!$A77)+SUMIFS(Xero!$F:$F,Xero!$B:$B,Heron!BI$9,Xero!$A:$A,Heron!$A$5,Xero!$E:$E,Heron!$A77)</f>
        <v>0</v>
      </c>
      <c r="BJ77" s="99">
        <f>SUMIFS(Xero!$F:$F,Xero!$B:$B,Heron!BJ$9,Xero!$A:$A,Heron!$A$4,Xero!$E:$E,Heron!$A77)+SUMIFS(Xero!$F:$F,Xero!$B:$B,Heron!BJ$9,Xero!$A:$A,Heron!$A$5,Xero!$E:$E,Heron!$A77)</f>
        <v>0</v>
      </c>
      <c r="BK77" s="99">
        <f t="shared" si="5"/>
        <v>1420910.92</v>
      </c>
    </row>
    <row r="78" spans="1:63" ht="16" x14ac:dyDescent="0.2">
      <c r="A78" s="98" t="s">
        <v>1630</v>
      </c>
      <c r="D78" s="99">
        <f>SUMIFS(Xero!$F:$F,Xero!$B:$B,Heron!D$9,Xero!$A:$A,Heron!$A$4,Xero!$E:$E,Heron!$A78)+SUMIFS(Xero!$F:$F,Xero!$B:$B,Heron!D$9,Xero!$A:$A,Heron!$A$5,Xero!$E:$E,Heron!$A78)</f>
        <v>0</v>
      </c>
      <c r="E78" s="99">
        <f>SUMIFS(Xero!$F:$F,Xero!$B:$B,Heron!E$9,Xero!$A:$A,Heron!$A$4,Xero!$E:$E,Heron!$A78)+SUMIFS(Xero!$F:$F,Xero!$B:$B,Heron!E$9,Xero!$A:$A,Heron!$A$5,Xero!$E:$E,Heron!$A78)</f>
        <v>0</v>
      </c>
      <c r="F78" s="99">
        <f>SUMIFS(Xero!$F:$F,Xero!$B:$B,Heron!F$9,Xero!$A:$A,Heron!$A$4,Xero!$E:$E,Heron!$A78)+SUMIFS(Xero!$F:$F,Xero!$B:$B,Heron!F$9,Xero!$A:$A,Heron!$A$5,Xero!$E:$E,Heron!$A78)</f>
        <v>0</v>
      </c>
      <c r="G78" s="99">
        <f>SUMIFS(Xero!$F:$F,Xero!$B:$B,Heron!G$9,Xero!$A:$A,Heron!$A$4,Xero!$E:$E,Heron!$A78)+SUMIFS(Xero!$F:$F,Xero!$B:$B,Heron!G$9,Xero!$A:$A,Heron!$A$5,Xero!$E:$E,Heron!$A78)</f>
        <v>0</v>
      </c>
      <c r="H78" s="99">
        <f>SUMIFS(Xero!$F:$F,Xero!$B:$B,Heron!H$9,Xero!$A:$A,Heron!$A$4,Xero!$E:$E,Heron!$A78)+SUMIFS(Xero!$F:$F,Xero!$B:$B,Heron!H$9,Xero!$A:$A,Heron!$A$5,Xero!$E:$E,Heron!$A78)</f>
        <v>0</v>
      </c>
      <c r="I78" s="99">
        <f>SUMIFS(Xero!$F:$F,Xero!$B:$B,Heron!I$9,Xero!$A:$A,Heron!$A$4,Xero!$E:$E,Heron!$A78)+SUMIFS(Xero!$F:$F,Xero!$B:$B,Heron!I$9,Xero!$A:$A,Heron!$A$5,Xero!$E:$E,Heron!$A78)</f>
        <v>0</v>
      </c>
      <c r="J78" s="99">
        <f>SUMIFS(Xero!$F:$F,Xero!$B:$B,Heron!J$9,Xero!$A:$A,Heron!$A$4,Xero!$E:$E,Heron!$A78)+SUMIFS(Xero!$F:$F,Xero!$B:$B,Heron!J$9,Xero!$A:$A,Heron!$A$5,Xero!$E:$E,Heron!$A78)</f>
        <v>0</v>
      </c>
      <c r="K78" s="99">
        <f>SUMIFS(Xero!$F:$F,Xero!$B:$B,Heron!K$9,Xero!$A:$A,Heron!$A$4,Xero!$E:$E,Heron!$A78)+SUMIFS(Xero!$F:$F,Xero!$B:$B,Heron!K$9,Xero!$A:$A,Heron!$A$5,Xero!$E:$E,Heron!$A78)</f>
        <v>0</v>
      </c>
      <c r="L78" s="99">
        <f>SUMIFS(Xero!$F:$F,Xero!$B:$B,Heron!L$9,Xero!$A:$A,Heron!$A$4,Xero!$E:$E,Heron!$A78)+SUMIFS(Xero!$F:$F,Xero!$B:$B,Heron!L$9,Xero!$A:$A,Heron!$A$5,Xero!$E:$E,Heron!$A78)</f>
        <v>0</v>
      </c>
      <c r="M78" s="99">
        <f>SUMIFS(Xero!$F:$F,Xero!$B:$B,Heron!M$9,Xero!$A:$A,Heron!$A$4,Xero!$E:$E,Heron!$A78)+SUMIFS(Xero!$F:$F,Xero!$B:$B,Heron!M$9,Xero!$A:$A,Heron!$A$5,Xero!$E:$E,Heron!$A78)</f>
        <v>0</v>
      </c>
      <c r="N78" s="99">
        <f>SUMIFS(Xero!$F:$F,Xero!$B:$B,Heron!N$9,Xero!$A:$A,Heron!$A$4,Xero!$E:$E,Heron!$A78)+SUMIFS(Xero!$F:$F,Xero!$B:$B,Heron!N$9,Xero!$A:$A,Heron!$A$5,Xero!$E:$E,Heron!$A78)</f>
        <v>0</v>
      </c>
      <c r="O78" s="99">
        <f>SUMIFS(Xero!$F:$F,Xero!$B:$B,Heron!O$9,Xero!$A:$A,Heron!$A$4,Xero!$E:$E,Heron!$A78)+SUMIFS(Xero!$F:$F,Xero!$B:$B,Heron!O$9,Xero!$A:$A,Heron!$A$5,Xero!$E:$E,Heron!$A78)</f>
        <v>0</v>
      </c>
      <c r="P78" s="99">
        <f>SUMIFS(Xero!$F:$F,Xero!$B:$B,Heron!P$9,Xero!$A:$A,Heron!$A$4,Xero!$E:$E,Heron!$A78)+SUMIFS(Xero!$F:$F,Xero!$B:$B,Heron!P$9,Xero!$A:$A,Heron!$A$5,Xero!$E:$E,Heron!$A78)</f>
        <v>0</v>
      </c>
      <c r="Q78" s="99">
        <f>SUMIFS(Xero!$F:$F,Xero!$B:$B,Heron!Q$9,Xero!$A:$A,Heron!$A$4,Xero!$E:$E,Heron!$A78)+SUMIFS(Xero!$F:$F,Xero!$B:$B,Heron!Q$9,Xero!$A:$A,Heron!$A$5,Xero!$E:$E,Heron!$A78)</f>
        <v>0</v>
      </c>
      <c r="R78" s="99">
        <f>SUMIFS(Xero!$F:$F,Xero!$B:$B,Heron!R$9,Xero!$A:$A,Heron!$A$4,Xero!$E:$E,Heron!$A78)+SUMIFS(Xero!$F:$F,Xero!$B:$B,Heron!R$9,Xero!$A:$A,Heron!$A$5,Xero!$E:$E,Heron!$A78)</f>
        <v>0</v>
      </c>
      <c r="S78" s="99">
        <f>SUMIFS(Xero!$F:$F,Xero!$B:$B,Heron!S$9,Xero!$A:$A,Heron!$A$4,Xero!$E:$E,Heron!$A78)+SUMIFS(Xero!$F:$F,Xero!$B:$B,Heron!S$9,Xero!$A:$A,Heron!$A$5,Xero!$E:$E,Heron!$A78)</f>
        <v>0</v>
      </c>
      <c r="T78" s="99">
        <f>SUMIFS(Xero!$F:$F,Xero!$B:$B,Heron!T$9,Xero!$A:$A,Heron!$A$4,Xero!$E:$E,Heron!$A78)+SUMIFS(Xero!$F:$F,Xero!$B:$B,Heron!T$9,Xero!$A:$A,Heron!$A$5,Xero!$E:$E,Heron!$A78)</f>
        <v>0</v>
      </c>
      <c r="U78" s="99">
        <f>SUMIFS(Xero!$F:$F,Xero!$B:$B,Heron!U$9,Xero!$A:$A,Heron!$A$4,Xero!$E:$E,Heron!$A78)+SUMIFS(Xero!$F:$F,Xero!$B:$B,Heron!U$9,Xero!$A:$A,Heron!$A$5,Xero!$E:$E,Heron!$A78)</f>
        <v>0</v>
      </c>
      <c r="V78" s="99">
        <f>SUMIFS(Xero!$F:$F,Xero!$B:$B,Heron!V$9,Xero!$A:$A,Heron!$A$4,Xero!$E:$E,Heron!$A78)+SUMIFS(Xero!$F:$F,Xero!$B:$B,Heron!V$9,Xero!$A:$A,Heron!$A$5,Xero!$E:$E,Heron!$A78)</f>
        <v>0</v>
      </c>
      <c r="W78" s="99">
        <f>SUMIFS(Xero!$F:$F,Xero!$B:$B,Heron!W$9,Xero!$A:$A,Heron!$A$4,Xero!$E:$E,Heron!$A78)+SUMIFS(Xero!$F:$F,Xero!$B:$B,Heron!W$9,Xero!$A:$A,Heron!$A$5,Xero!$E:$E,Heron!$A78)</f>
        <v>0</v>
      </c>
      <c r="X78" s="99">
        <f>SUMIFS(Xero!$F:$F,Xero!$B:$B,Heron!X$9,Xero!$A:$A,Heron!$A$4,Xero!$E:$E,Heron!$A78)+SUMIFS(Xero!$F:$F,Xero!$B:$B,Heron!X$9,Xero!$A:$A,Heron!$A$5,Xero!$E:$E,Heron!$A78)</f>
        <v>0</v>
      </c>
      <c r="Y78" s="99">
        <f>SUMIFS(Xero!$F:$F,Xero!$B:$B,Heron!Y$9,Xero!$A:$A,Heron!$A$4,Xero!$E:$E,Heron!$A78)+SUMIFS(Xero!$F:$F,Xero!$B:$B,Heron!Y$9,Xero!$A:$A,Heron!$A$5,Xero!$E:$E,Heron!$A78)</f>
        <v>0</v>
      </c>
      <c r="Z78" s="99">
        <f>SUMIFS(Xero!$F:$F,Xero!$B:$B,Heron!Z$9,Xero!$A:$A,Heron!$A$4,Xero!$E:$E,Heron!$A78)+SUMIFS(Xero!$F:$F,Xero!$B:$B,Heron!Z$9,Xero!$A:$A,Heron!$A$5,Xero!$E:$E,Heron!$A78)</f>
        <v>138082.19</v>
      </c>
      <c r="AA78" s="99">
        <f>SUMIFS(Xero!$F:$F,Xero!$B:$B,Heron!AA$9,Xero!$A:$A,Heron!$A$4,Xero!$E:$E,Heron!$A78)+SUMIFS(Xero!$F:$F,Xero!$B:$B,Heron!AA$9,Xero!$A:$A,Heron!$A$5,Xero!$E:$E,Heron!$A78)</f>
        <v>0</v>
      </c>
      <c r="AB78" s="99">
        <f>SUMIFS(Xero!$F:$F,Xero!$B:$B,Heron!AB$9,Xero!$A:$A,Heron!$A$4,Xero!$E:$E,Heron!$A78)+SUMIFS(Xero!$F:$F,Xero!$B:$B,Heron!AB$9,Xero!$A:$A,Heron!$A$5,Xero!$E:$E,Heron!$A78)</f>
        <v>0</v>
      </c>
      <c r="AC78" s="99">
        <f>SUMIFS(Xero!$F:$F,Xero!$B:$B,Heron!AC$9,Xero!$A:$A,Heron!$A$4,Xero!$E:$E,Heron!$A78)+SUMIFS(Xero!$F:$F,Xero!$B:$B,Heron!AC$9,Xero!$A:$A,Heron!$A$5,Xero!$E:$E,Heron!$A78)</f>
        <v>14451.92</v>
      </c>
      <c r="AD78" s="99">
        <f>SUMIFS(Xero!$F:$F,Xero!$B:$B,Heron!AD$9,Xero!$A:$A,Heron!$A$4,Xero!$E:$E,Heron!$A78)+SUMIFS(Xero!$F:$F,Xero!$B:$B,Heron!AD$9,Xero!$A:$A,Heron!$A$5,Xero!$E:$E,Heron!$A78)</f>
        <v>33052.06</v>
      </c>
      <c r="AE78" s="99">
        <f>SUMIFS(Xero!$F:$F,Xero!$B:$B,Heron!AE$9,Xero!$A:$A,Heron!$A$4,Xero!$E:$E,Heron!$A78)+SUMIFS(Xero!$F:$F,Xero!$B:$B,Heron!AE$9,Xero!$A:$A,Heron!$A$5,Xero!$E:$E,Heron!$A78)</f>
        <v>-30</v>
      </c>
      <c r="AF78" s="99">
        <f>SUMIFS(Xero!$F:$F,Xero!$B:$B,Heron!AF$9,Xero!$A:$A,Heron!$A$4,Xero!$E:$E,Heron!$A78)+SUMIFS(Xero!$F:$F,Xero!$B:$B,Heron!AF$9,Xero!$A:$A,Heron!$A$5,Xero!$E:$E,Heron!$A78)</f>
        <v>0</v>
      </c>
      <c r="AG78" s="99">
        <f>SUMIFS(Xero!$F:$F,Xero!$B:$B,Heron!AG$9,Xero!$A:$A,Heron!$A$4,Xero!$E:$E,Heron!$A78)+SUMIFS(Xero!$F:$F,Xero!$B:$B,Heron!AG$9,Xero!$A:$A,Heron!$A$5,Xero!$E:$E,Heron!$A78)</f>
        <v>36699.18</v>
      </c>
      <c r="AH78" s="99">
        <f>SUMIFS(Xero!$F:$F,Xero!$B:$B,Heron!AH$9,Xero!$A:$A,Heron!$A$4,Xero!$E:$E,Heron!$A78)+SUMIFS(Xero!$F:$F,Xero!$B:$B,Heron!AH$9,Xero!$A:$A,Heron!$A$5,Xero!$E:$E,Heron!$A78)</f>
        <v>91616.44</v>
      </c>
      <c r="AI78" s="99">
        <f>SUMIFS(Xero!$F:$F,Xero!$B:$B,Heron!AI$9,Xero!$A:$A,Heron!$A$4,Xero!$E:$E,Heron!$A78)+SUMIFS(Xero!$F:$F,Xero!$B:$B,Heron!AI$9,Xero!$A:$A,Heron!$A$5,Xero!$E:$E,Heron!$A78)</f>
        <v>0</v>
      </c>
      <c r="AJ78" s="99">
        <f>SUMIFS(Xero!$F:$F,Xero!$B:$B,Heron!AJ$9,Xero!$A:$A,Heron!$A$4,Xero!$E:$E,Heron!$A78)+SUMIFS(Xero!$F:$F,Xero!$B:$B,Heron!AJ$9,Xero!$A:$A,Heron!$A$5,Xero!$E:$E,Heron!$A78)</f>
        <v>0</v>
      </c>
      <c r="AK78" s="99">
        <f>SUMIFS(Xero!$F:$F,Xero!$B:$B,Heron!AK$9,Xero!$A:$A,Heron!$A$4,Xero!$E:$E,Heron!$A78)+SUMIFS(Xero!$F:$F,Xero!$B:$B,Heron!AK$9,Xero!$A:$A,Heron!$A$5,Xero!$E:$E,Heron!$A78)</f>
        <v>92712.320000000007</v>
      </c>
      <c r="AL78" s="99">
        <f>SUMIFS(Xero!$F:$F,Xero!$B:$B,Heron!AL$9,Xero!$A:$A,Heron!$A$4,Xero!$E:$E,Heron!$A78)+SUMIFS(Xero!$F:$F,Xero!$B:$B,Heron!AL$9,Xero!$A:$A,Heron!$A$5,Xero!$E:$E,Heron!$A78)</f>
        <v>52778.080000000002</v>
      </c>
      <c r="AM78" s="99">
        <f>SUMIFS(Xero!$F:$F,Xero!$B:$B,Heron!AM$9,Xero!$A:$A,Heron!$A$4,Xero!$E:$E,Heron!$A78)+SUMIFS(Xero!$F:$F,Xero!$B:$B,Heron!AM$9,Xero!$A:$A,Heron!$A$5,Xero!$E:$E,Heron!$A78)</f>
        <v>0</v>
      </c>
      <c r="AN78" s="99">
        <f>SUMIFS(Xero!$F:$F,Xero!$B:$B,Heron!AN$9,Xero!$A:$A,Heron!$A$4,Xero!$E:$E,Heron!$A78)+SUMIFS(Xero!$F:$F,Xero!$B:$B,Heron!AN$9,Xero!$A:$A,Heron!$A$5,Xero!$E:$E,Heron!$A78)</f>
        <v>314189.8</v>
      </c>
      <c r="AO78" s="99">
        <f>SUMIFS(Xero!$F:$F,Xero!$B:$B,Heron!AO$9,Xero!$A:$A,Heron!$A$4,Xero!$E:$E,Heron!$A78)+SUMIFS(Xero!$F:$F,Xero!$B:$B,Heron!AO$9,Xero!$A:$A,Heron!$A$5,Xero!$E:$E,Heron!$A78)</f>
        <v>0</v>
      </c>
      <c r="AP78" s="99">
        <f>SUMIFS(Xero!$F:$F,Xero!$B:$B,Heron!AP$9,Xero!$A:$A,Heron!$A$4,Xero!$E:$E,Heron!$A78)+SUMIFS(Xero!$F:$F,Xero!$B:$B,Heron!AP$9,Xero!$A:$A,Heron!$A$5,Xero!$E:$E,Heron!$A78)</f>
        <v>0</v>
      </c>
      <c r="AQ78" s="99">
        <f>SUMIFS(Xero!$F:$F,Xero!$B:$B,Heron!AQ$9,Xero!$A:$A,Heron!$A$4,Xero!$E:$E,Heron!$A78)+SUMIFS(Xero!$F:$F,Xero!$B:$B,Heron!AQ$9,Xero!$A:$A,Heron!$A$5,Xero!$E:$E,Heron!$A78)</f>
        <v>0</v>
      </c>
      <c r="AR78" s="99">
        <f>SUMIFS(Xero!$F:$F,Xero!$B:$B,Heron!AR$9,Xero!$A:$A,Heron!$A$4,Xero!$E:$E,Heron!$A78)+SUMIFS(Xero!$F:$F,Xero!$B:$B,Heron!AR$9,Xero!$A:$A,Heron!$A$5,Xero!$E:$E,Heron!$A78)</f>
        <v>0</v>
      </c>
      <c r="AS78" s="99">
        <f>SUMIFS(Xero!$F:$F,Xero!$B:$B,Heron!AS$9,Xero!$A:$A,Heron!$A$4,Xero!$E:$E,Heron!$A78)+SUMIFS(Xero!$F:$F,Xero!$B:$B,Heron!AS$9,Xero!$A:$A,Heron!$A$5,Xero!$E:$E,Heron!$A78)</f>
        <v>0</v>
      </c>
      <c r="AT78" s="99">
        <f>SUMIFS(Xero!$F:$F,Xero!$B:$B,Heron!AT$9,Xero!$A:$A,Heron!$A$4,Xero!$E:$E,Heron!$A78)+SUMIFS(Xero!$F:$F,Xero!$B:$B,Heron!AT$9,Xero!$A:$A,Heron!$A$5,Xero!$E:$E,Heron!$A78)</f>
        <v>0</v>
      </c>
      <c r="AU78" s="99">
        <f>SUMIFS(Xero!$F:$F,Xero!$B:$B,Heron!AU$9,Xero!$A:$A,Heron!$A$4,Xero!$E:$E,Heron!$A78)+SUMIFS(Xero!$F:$F,Xero!$B:$B,Heron!AU$9,Xero!$A:$A,Heron!$A$5,Xero!$E:$E,Heron!$A78)</f>
        <v>0</v>
      </c>
      <c r="AV78" s="99">
        <f>SUMIFS(Xero!$F:$F,Xero!$B:$B,Heron!AV$9,Xero!$A:$A,Heron!$A$4,Xero!$E:$E,Heron!$A78)+SUMIFS(Xero!$F:$F,Xero!$B:$B,Heron!AV$9,Xero!$A:$A,Heron!$A$5,Xero!$E:$E,Heron!$A78)</f>
        <v>0</v>
      </c>
      <c r="AW78" s="99">
        <f>SUMIFS(Xero!$F:$F,Xero!$B:$B,Heron!AW$9,Xero!$A:$A,Heron!$A$4,Xero!$E:$E,Heron!$A78)+SUMIFS(Xero!$F:$F,Xero!$B:$B,Heron!AW$9,Xero!$A:$A,Heron!$A$5,Xero!$E:$E,Heron!$A78)</f>
        <v>0</v>
      </c>
      <c r="AX78" s="99">
        <f>SUMIFS(Xero!$F:$F,Xero!$B:$B,Heron!AX$9,Xero!$A:$A,Heron!$A$4,Xero!$E:$E,Heron!$A78)+SUMIFS(Xero!$F:$F,Xero!$B:$B,Heron!AX$9,Xero!$A:$A,Heron!$A$5,Xero!$E:$E,Heron!$A78)</f>
        <v>0</v>
      </c>
      <c r="AY78" s="99">
        <f>SUMIFS(Xero!$F:$F,Xero!$B:$B,Heron!AY$9,Xero!$A:$A,Heron!$A$4,Xero!$E:$E,Heron!$A78)+SUMIFS(Xero!$F:$F,Xero!$B:$B,Heron!AY$9,Xero!$A:$A,Heron!$A$5,Xero!$E:$E,Heron!$A78)</f>
        <v>0</v>
      </c>
      <c r="AZ78" s="99">
        <f>SUMIFS(Xero!$F:$F,Xero!$B:$B,Heron!AZ$9,Xero!$A:$A,Heron!$A$4,Xero!$E:$E,Heron!$A78)+SUMIFS(Xero!$F:$F,Xero!$B:$B,Heron!AZ$9,Xero!$A:$A,Heron!$A$5,Xero!$E:$E,Heron!$A78)</f>
        <v>0</v>
      </c>
      <c r="BA78" s="99">
        <f>SUMIFS(Xero!$F:$F,Xero!$B:$B,Heron!BA$9,Xero!$A:$A,Heron!$A$4,Xero!$E:$E,Heron!$A78)+SUMIFS(Xero!$F:$F,Xero!$B:$B,Heron!BA$9,Xero!$A:$A,Heron!$A$5,Xero!$E:$E,Heron!$A78)</f>
        <v>0</v>
      </c>
      <c r="BB78" s="99">
        <f>SUMIFS(Xero!$F:$F,Xero!$B:$B,Heron!BB$9,Xero!$A:$A,Heron!$A$4,Xero!$E:$E,Heron!$A78)+SUMIFS(Xero!$F:$F,Xero!$B:$B,Heron!BB$9,Xero!$A:$A,Heron!$A$5,Xero!$E:$E,Heron!$A78)</f>
        <v>0</v>
      </c>
      <c r="BC78" s="99">
        <f>SUMIFS(Xero!$F:$F,Xero!$B:$B,Heron!BC$9,Xero!$A:$A,Heron!$A$4,Xero!$E:$E,Heron!$A78)+SUMIFS(Xero!$F:$F,Xero!$B:$B,Heron!BC$9,Xero!$A:$A,Heron!$A$5,Xero!$E:$E,Heron!$A78)</f>
        <v>0</v>
      </c>
      <c r="BD78" s="99">
        <f>SUMIFS(Xero!$F:$F,Xero!$B:$B,Heron!BD$9,Xero!$A:$A,Heron!$A$4,Xero!$E:$E,Heron!$A78)+SUMIFS(Xero!$F:$F,Xero!$B:$B,Heron!BD$9,Xero!$A:$A,Heron!$A$5,Xero!$E:$E,Heron!$A78)</f>
        <v>0</v>
      </c>
      <c r="BE78" s="99">
        <f>SUMIFS(Xero!$F:$F,Xero!$B:$B,Heron!BE$9,Xero!$A:$A,Heron!$A$4,Xero!$E:$E,Heron!$A78)+SUMIFS(Xero!$F:$F,Xero!$B:$B,Heron!BE$9,Xero!$A:$A,Heron!$A$5,Xero!$E:$E,Heron!$A78)</f>
        <v>0</v>
      </c>
      <c r="BF78" s="99">
        <f>SUMIFS(Xero!$F:$F,Xero!$B:$B,Heron!BF$9,Xero!$A:$A,Heron!$A$4,Xero!$E:$E,Heron!$A78)+SUMIFS(Xero!$F:$F,Xero!$B:$B,Heron!BF$9,Xero!$A:$A,Heron!$A$5,Xero!$E:$E,Heron!$A78)</f>
        <v>0</v>
      </c>
      <c r="BG78" s="99">
        <f>SUMIFS(Xero!$F:$F,Xero!$B:$B,Heron!BG$9,Xero!$A:$A,Heron!$A$4,Xero!$E:$E,Heron!$A78)+SUMIFS(Xero!$F:$F,Xero!$B:$B,Heron!BG$9,Xero!$A:$A,Heron!$A$5,Xero!$E:$E,Heron!$A78)</f>
        <v>0</v>
      </c>
      <c r="BH78" s="99">
        <f>SUMIFS(Xero!$F:$F,Xero!$B:$B,Heron!BH$9,Xero!$A:$A,Heron!$A$4,Xero!$E:$E,Heron!$A78)+SUMIFS(Xero!$F:$F,Xero!$B:$B,Heron!BH$9,Xero!$A:$A,Heron!$A$5,Xero!$E:$E,Heron!$A78)</f>
        <v>0</v>
      </c>
      <c r="BI78" s="99">
        <f>SUMIFS(Xero!$F:$F,Xero!$B:$B,Heron!BI$9,Xero!$A:$A,Heron!$A$4,Xero!$E:$E,Heron!$A78)+SUMIFS(Xero!$F:$F,Xero!$B:$B,Heron!BI$9,Xero!$A:$A,Heron!$A$5,Xero!$E:$E,Heron!$A78)</f>
        <v>0</v>
      </c>
      <c r="BJ78" s="99">
        <f>SUMIFS(Xero!$F:$F,Xero!$B:$B,Heron!BJ$9,Xero!$A:$A,Heron!$A$4,Xero!$E:$E,Heron!$A78)+SUMIFS(Xero!$F:$F,Xero!$B:$B,Heron!BJ$9,Xero!$A:$A,Heron!$A$5,Xero!$E:$E,Heron!$A78)</f>
        <v>0</v>
      </c>
      <c r="BK78" s="99">
        <f t="shared" si="5"/>
        <v>773551.99</v>
      </c>
    </row>
    <row r="79" spans="1:63" ht="16" x14ac:dyDescent="0.2">
      <c r="A79" s="98" t="s">
        <v>1576</v>
      </c>
      <c r="D79" s="99">
        <f>SUMIFS(Xero!$F:$F,Xero!$B:$B,Heron!D$9,Xero!$A:$A,Heron!$A$4,Xero!$E:$E,Heron!$A79)+SUMIFS(Xero!$F:$F,Xero!$B:$B,Heron!D$9,Xero!$A:$A,Heron!$A$5,Xero!$E:$E,Heron!$A79)+SUMIFS(Investors!$S:$S,Investors!$G:$G,FALSE,Investors!$O:$O,FALSE,Investors!$P:$P,FALSE,Investors!$K:$K,"&lt;="&amp;Heron!D$9,Investors!$K:$K,"&gt;"&amp;Heron!C$9)</f>
        <v>0</v>
      </c>
      <c r="E79" s="99">
        <f>SUMIFS(Xero!$F:$F,Xero!$B:$B,Heron!E$9,Xero!$A:$A,Heron!$A$4,Xero!$E:$E,Heron!$A79)+SUMIFS(Xero!$F:$F,Xero!$B:$B,Heron!E$9,Xero!$A:$A,Heron!$A$5,Xero!$E:$E,Heron!$A79)+SUMIFS(Investors!$S:$S,Investors!$G:$G,FALSE,Investors!$O:$O,FALSE,Investors!$P:$P,FALSE,Investors!$K:$K,"&lt;="&amp;Heron!E$9,Investors!$K:$K,"&gt;"&amp;Heron!D$9)</f>
        <v>0</v>
      </c>
      <c r="F79" s="99">
        <f>SUMIFS(Xero!$F:$F,Xero!$B:$B,Heron!F$9,Xero!$A:$A,Heron!$A$4,Xero!$E:$E,Heron!$A79)+SUMIFS(Xero!$F:$F,Xero!$B:$B,Heron!F$9,Xero!$A:$A,Heron!$A$5,Xero!$E:$E,Heron!$A79)+SUMIFS(Investors!$S:$S,Investors!$G:$G,FALSE,Investors!$O:$O,FALSE,Investors!$P:$P,FALSE,Investors!$K:$K,"&lt;="&amp;Heron!F$9,Investors!$K:$K,"&gt;"&amp;Heron!E$9)</f>
        <v>0</v>
      </c>
      <c r="G79" s="99">
        <f>SUMIFS(Xero!$F:$F,Xero!$B:$B,Heron!G$9,Xero!$A:$A,Heron!$A$4,Xero!$E:$E,Heron!$A79)+SUMIFS(Xero!$F:$F,Xero!$B:$B,Heron!G$9,Xero!$A:$A,Heron!$A$5,Xero!$E:$E,Heron!$A79)+SUMIFS(Investors!$S:$S,Investors!$G:$G,FALSE,Investors!$O:$O,FALSE,Investors!$P:$P,FALSE,Investors!$K:$K,"&lt;="&amp;Heron!G$9,Investors!$K:$K,"&gt;"&amp;Heron!F$9)</f>
        <v>0</v>
      </c>
      <c r="H79" s="99">
        <f>SUMIFS(Xero!$F:$F,Xero!$B:$B,Heron!H$9,Xero!$A:$A,Heron!$A$4,Xero!$E:$E,Heron!$A79)+SUMIFS(Xero!$F:$F,Xero!$B:$B,Heron!H$9,Xero!$A:$A,Heron!$A$5,Xero!$E:$E,Heron!$A79)+SUMIFS(Investors!$S:$S,Investors!$G:$G,FALSE,Investors!$O:$O,FALSE,Investors!$P:$P,FALSE,Investors!$K:$K,"&lt;="&amp;Heron!H$9,Investors!$K:$K,"&gt;"&amp;Heron!G$9)</f>
        <v>0</v>
      </c>
      <c r="I79" s="99">
        <f>SUMIFS(Xero!$F:$F,Xero!$B:$B,Heron!I$9,Xero!$A:$A,Heron!$A$4,Xero!$E:$E,Heron!$A79)+SUMIFS(Xero!$F:$F,Xero!$B:$B,Heron!I$9,Xero!$A:$A,Heron!$A$5,Xero!$E:$E,Heron!$A79)+SUMIFS(Investors!$S:$S,Investors!$G:$G,FALSE,Investors!$O:$O,FALSE,Investors!$P:$P,FALSE,Investors!$K:$K,"&lt;="&amp;Heron!I$9,Investors!$K:$K,"&gt;"&amp;Heron!H$9)</f>
        <v>0</v>
      </c>
      <c r="J79" s="99">
        <f>SUMIFS(Xero!$F:$F,Xero!$B:$B,Heron!J$9,Xero!$A:$A,Heron!$A$4,Xero!$E:$E,Heron!$A79)+SUMIFS(Xero!$F:$F,Xero!$B:$B,Heron!J$9,Xero!$A:$A,Heron!$A$5,Xero!$E:$E,Heron!$A79)+SUMIFS(Investors!$S:$S,Investors!$G:$G,FALSE,Investors!$O:$O,FALSE,Investors!$P:$P,FALSE,Investors!$K:$K,"&lt;="&amp;Heron!J$9,Investors!$K:$K,"&gt;"&amp;Heron!I$9)</f>
        <v>0</v>
      </c>
      <c r="K79" s="99">
        <f>SUMIFS(Xero!$F:$F,Xero!$B:$B,Heron!K$9,Xero!$A:$A,Heron!$A$4,Xero!$E:$E,Heron!$A79)+SUMIFS(Xero!$F:$F,Xero!$B:$B,Heron!K$9,Xero!$A:$A,Heron!$A$5,Xero!$E:$E,Heron!$A79)+SUMIFS(Investors!$S:$S,Investors!$G:$G,FALSE,Investors!$O:$O,FALSE,Investors!$P:$P,FALSE,Investors!$K:$K,"&lt;="&amp;Heron!K$9,Investors!$K:$K,"&gt;"&amp;Heron!J$9)</f>
        <v>0</v>
      </c>
      <c r="L79" s="99">
        <f>SUMIFS(Xero!$F:$F,Xero!$B:$B,Heron!L$9,Xero!$A:$A,Heron!$A$4,Xero!$E:$E,Heron!$A79)+SUMIFS(Xero!$F:$F,Xero!$B:$B,Heron!L$9,Xero!$A:$A,Heron!$A$5,Xero!$E:$E,Heron!$A79)+SUMIFS(Investors!$S:$S,Investors!$G:$G,FALSE,Investors!$O:$O,FALSE,Investors!$P:$P,FALSE,Investors!$K:$K,"&lt;="&amp;Heron!L$9,Investors!$K:$K,"&gt;"&amp;Heron!K$9)</f>
        <v>0</v>
      </c>
      <c r="M79" s="99">
        <f>SUMIFS(Xero!$F:$F,Xero!$B:$B,Heron!M$9,Xero!$A:$A,Heron!$A$4,Xero!$E:$E,Heron!$A79)+SUMIFS(Xero!$F:$F,Xero!$B:$B,Heron!M$9,Xero!$A:$A,Heron!$A$5,Xero!$E:$E,Heron!$A79)+SUMIFS(Investors!$S:$S,Investors!$G:$G,FALSE,Investors!$O:$O,FALSE,Investors!$P:$P,FALSE,Investors!$K:$K,"&lt;="&amp;Heron!M$9,Investors!$K:$K,"&gt;"&amp;Heron!L$9)</f>
        <v>0</v>
      </c>
      <c r="N79" s="99">
        <f>SUMIFS(Xero!$F:$F,Xero!$B:$B,Heron!N$9,Xero!$A:$A,Heron!$A$4,Xero!$E:$E,Heron!$A79)+SUMIFS(Xero!$F:$F,Xero!$B:$B,Heron!N$9,Xero!$A:$A,Heron!$A$5,Xero!$E:$E,Heron!$A79)+SUMIFS(Investors!$S:$S,Investors!$G:$G,FALSE,Investors!$O:$O,FALSE,Investors!$P:$P,FALSE,Investors!$K:$K,"&lt;="&amp;Heron!N$9,Investors!$K:$K,"&gt;"&amp;Heron!M$9)</f>
        <v>0</v>
      </c>
      <c r="O79" s="99">
        <f>SUMIFS(Xero!$F:$F,Xero!$B:$B,Heron!O$9,Xero!$A:$A,Heron!$A$4,Xero!$E:$E,Heron!$A79)+SUMIFS(Xero!$F:$F,Xero!$B:$B,Heron!O$9,Xero!$A:$A,Heron!$A$5,Xero!$E:$E,Heron!$A79)+SUMIFS(Investors!$S:$S,Investors!$G:$G,FALSE,Investors!$O:$O,FALSE,Investors!$P:$P,FALSE,Investors!$K:$K,"&lt;="&amp;Heron!O$9,Investors!$K:$K,"&gt;"&amp;Heron!N$9)</f>
        <v>0</v>
      </c>
      <c r="P79" s="99">
        <f>SUMIFS(Xero!$F:$F,Xero!$B:$B,Heron!P$9,Xero!$A:$A,Heron!$A$4,Xero!$E:$E,Heron!$A79)+SUMIFS(Xero!$F:$F,Xero!$B:$B,Heron!P$9,Xero!$A:$A,Heron!$A$5,Xero!$E:$E,Heron!$A79)+SUMIFS(Investors!$S:$S,Investors!$G:$G,FALSE,Investors!$O:$O,FALSE,Investors!$P:$P,FALSE,Investors!$K:$K,"&lt;="&amp;Heron!P$9,Investors!$K:$K,"&gt;"&amp;Heron!O$9)</f>
        <v>0</v>
      </c>
      <c r="Q79" s="99">
        <f>SUMIFS(Xero!$F:$F,Xero!$B:$B,Heron!Q$9,Xero!$A:$A,Heron!$A$4,Xero!$E:$E,Heron!$A79)+SUMIFS(Xero!$F:$F,Xero!$B:$B,Heron!Q$9,Xero!$A:$A,Heron!$A$5,Xero!$E:$E,Heron!$A79)+SUMIFS(Investors!$S:$S,Investors!$G:$G,FALSE,Investors!$O:$O,FALSE,Investors!$P:$P,FALSE,Investors!$K:$K,"&lt;="&amp;Heron!Q$9,Investors!$K:$K,"&gt;"&amp;Heron!P$9)</f>
        <v>0</v>
      </c>
      <c r="R79" s="99">
        <f>SUMIFS(Xero!$F:$F,Xero!$B:$B,Heron!R$9,Xero!$A:$A,Heron!$A$4,Xero!$E:$E,Heron!$A79)+SUMIFS(Xero!$F:$F,Xero!$B:$B,Heron!R$9,Xero!$A:$A,Heron!$A$5,Xero!$E:$E,Heron!$A79)+SUMIFS(Investors!$S:$S,Investors!$G:$G,FALSE,Investors!$O:$O,FALSE,Investors!$P:$P,FALSE,Investors!$K:$K,"&lt;="&amp;Heron!R$9,Investors!$K:$K,"&gt;"&amp;Heron!Q$9)</f>
        <v>0</v>
      </c>
      <c r="S79" s="99">
        <f>SUMIFS(Xero!$F:$F,Xero!$B:$B,Heron!S$9,Xero!$A:$A,Heron!$A$4,Xero!$E:$E,Heron!$A79)+SUMIFS(Xero!$F:$F,Xero!$B:$B,Heron!S$9,Xero!$A:$A,Heron!$A$5,Xero!$E:$E,Heron!$A79)+SUMIFS(Investors!$S:$S,Investors!$G:$G,FALSE,Investors!$O:$O,FALSE,Investors!$P:$P,FALSE,Investors!$K:$K,"&lt;="&amp;Heron!S$9,Investors!$K:$K,"&gt;"&amp;Heron!R$9)</f>
        <v>0</v>
      </c>
      <c r="T79" s="99">
        <f>SUMIFS(Xero!$F:$F,Xero!$B:$B,Heron!T$9,Xero!$A:$A,Heron!$A$4,Xero!$E:$E,Heron!$A79)+SUMIFS(Xero!$F:$F,Xero!$B:$B,Heron!T$9,Xero!$A:$A,Heron!$A$5,Xero!$E:$E,Heron!$A79)+SUMIFS(Investors!$S:$S,Investors!$G:$G,FALSE,Investors!$O:$O,FALSE,Investors!$P:$P,FALSE,Investors!$K:$K,"&lt;="&amp;Heron!T$9,Investors!$K:$K,"&gt;"&amp;Heron!S$9)</f>
        <v>0</v>
      </c>
      <c r="U79" s="99">
        <f>SUMIFS(Xero!$F:$F,Xero!$B:$B,Heron!U$9,Xero!$A:$A,Heron!$A$4,Xero!$E:$E,Heron!$A79)+SUMIFS(Xero!$F:$F,Xero!$B:$B,Heron!U$9,Xero!$A:$A,Heron!$A$5,Xero!$E:$E,Heron!$A79)+SUMIFS(Investors!$S:$S,Investors!$G:$G,FALSE,Investors!$O:$O,FALSE,Investors!$P:$P,FALSE,Investors!$K:$K,"&lt;="&amp;Heron!U$9,Investors!$K:$K,"&gt;"&amp;Heron!T$9)</f>
        <v>0</v>
      </c>
      <c r="V79" s="99">
        <f>SUMIFS(Xero!$F:$F,Xero!$B:$B,Heron!V$9,Xero!$A:$A,Heron!$A$4,Xero!$E:$E,Heron!$A79)+SUMIFS(Xero!$F:$F,Xero!$B:$B,Heron!V$9,Xero!$A:$A,Heron!$A$5,Xero!$E:$E,Heron!$A79)+SUMIFS(Investors!$S:$S,Investors!$G:$G,FALSE,Investors!$O:$O,FALSE,Investors!$P:$P,FALSE,Investors!$K:$K,"&lt;="&amp;Heron!V$9,Investors!$K:$K,"&gt;"&amp;Heron!U$9)</f>
        <v>0</v>
      </c>
      <c r="W79" s="99">
        <f>SUMIFS(Xero!$F:$F,Xero!$B:$B,Heron!W$9,Xero!$A:$A,Heron!$A$4,Xero!$E:$E,Heron!$A79)+SUMIFS(Xero!$F:$F,Xero!$B:$B,Heron!W$9,Xero!$A:$A,Heron!$A$5,Xero!$E:$E,Heron!$A79)+SUMIFS(Investors!$S:$S,Investors!$G:$G,FALSE,Investors!$O:$O,FALSE,Investors!$P:$P,FALSE,Investors!$K:$K,"&lt;="&amp;Heron!W$9,Investors!$K:$K,"&gt;"&amp;Heron!V$9)</f>
        <v>0</v>
      </c>
      <c r="X79" s="99">
        <f>SUMIFS(Xero!$F:$F,Xero!$B:$B,Heron!X$9,Xero!$A:$A,Heron!$A$4,Xero!$E:$E,Heron!$A79)+SUMIFS(Xero!$F:$F,Xero!$B:$B,Heron!X$9,Xero!$A:$A,Heron!$A$5,Xero!$E:$E,Heron!$A79)+SUMIFS(Investors!$S:$S,Investors!$G:$G,FALSE,Investors!$O:$O,FALSE,Investors!$P:$P,FALSE,Investors!$K:$K,"&lt;="&amp;Heron!X$9,Investors!$K:$K,"&gt;"&amp;Heron!W$9)</f>
        <v>2035109.56</v>
      </c>
      <c r="Y79" s="99">
        <f>SUMIFS(Xero!$F:$F,Xero!$B:$B,Heron!Y$9,Xero!$A:$A,Heron!$A$4,Xero!$E:$E,Heron!$A79)+SUMIFS(Xero!$F:$F,Xero!$B:$B,Heron!Y$9,Xero!$A:$A,Heron!$A$5,Xero!$E:$E,Heron!$A79)+SUMIFS(Investors!$S:$S,Investors!$G:$G,FALSE,Investors!$O:$O,FALSE,Investors!$P:$P,FALSE,Investors!$K:$K,"&lt;="&amp;Heron!Y$9,Investors!$K:$K,"&gt;"&amp;Heron!X$9)</f>
        <v>1199211.5</v>
      </c>
      <c r="Z79" s="99">
        <f>SUMIFS(Xero!$F:$F,Xero!$B:$B,Heron!Z$9,Xero!$A:$A,Heron!$A$4,Xero!$E:$E,Heron!$A79)+SUMIFS(Xero!$F:$F,Xero!$B:$B,Heron!Z$9,Xero!$A:$A,Heron!$A$5,Xero!$E:$E,Heron!$A79)+SUMIFS(Investors!$S:$S,Investors!$G:$G,FALSE,Investors!$O:$O,FALSE,Investors!$P:$P,FALSE,Investors!$K:$K,"&lt;="&amp;Heron!Z$9,Investors!$K:$K,"&gt;"&amp;Heron!Y$9)</f>
        <v>1167405.8799999999</v>
      </c>
      <c r="AA79" s="99">
        <f>SUMIFS(Xero!$F:$F,Xero!$B:$B,Heron!AA$9,Xero!$A:$A,Heron!$A$4,Xero!$E:$E,Heron!$A79)+SUMIFS(Xero!$F:$F,Xero!$B:$B,Heron!AA$9,Xero!$A:$A,Heron!$A$5,Xero!$E:$E,Heron!$A79)+SUMIFS(Investors!$S:$S,Investors!$G:$G,FALSE,Investors!$O:$O,FALSE,Investors!$P:$P,FALSE,Investors!$K:$K,"&lt;="&amp;Heron!AA$9,Investors!$K:$K,"&gt;"&amp;Heron!Z$9)</f>
        <v>454945.07</v>
      </c>
      <c r="AB79" s="99">
        <f>SUMIFS(Xero!$F:$F,Xero!$B:$B,Heron!AB$9,Xero!$A:$A,Heron!$A$4,Xero!$E:$E,Heron!$A79)+SUMIFS(Xero!$F:$F,Xero!$B:$B,Heron!AB$9,Xero!$A:$A,Heron!$A$5,Xero!$E:$E,Heron!$A79)+SUMIFS(Investors!$S:$S,Investors!$G:$G,FALSE,Investors!$O:$O,FALSE,Investors!$P:$P,FALSE,Investors!$K:$K,"&lt;="&amp;Heron!AB$9,Investors!$K:$K,"&gt;"&amp;Heron!AA$9)</f>
        <v>1115603.3</v>
      </c>
      <c r="AC79" s="99">
        <f>SUMIFS(Xero!$F:$F,Xero!$B:$B,Heron!AC$9,Xero!$A:$A,Heron!$A$4,Xero!$E:$E,Heron!$A79)+SUMIFS(Xero!$F:$F,Xero!$B:$B,Heron!AC$9,Xero!$A:$A,Heron!$A$5,Xero!$E:$E,Heron!$A79)+SUMIFS(Investors!$S:$S,Investors!$G:$G,FALSE,Investors!$O:$O,FALSE,Investors!$P:$P,FALSE,Investors!$K:$K,"&lt;="&amp;Heron!AC$9,Investors!$K:$K,"&gt;"&amp;Heron!AB$9)</f>
        <v>1454819.17</v>
      </c>
      <c r="AD79" s="99">
        <f>SUMIFS(Xero!$F:$F,Xero!$B:$B,Heron!AD$9,Xero!$A:$A,Heron!$A$4,Xero!$E:$E,Heron!$A79)+SUMIFS(Xero!$F:$F,Xero!$B:$B,Heron!AD$9,Xero!$A:$A,Heron!$A$5,Xero!$E:$E,Heron!$A79)+SUMIFS(Investors!$S:$S,Investors!$G:$G,FALSE,Investors!$O:$O,FALSE,Investors!$P:$P,FALSE,Investors!$K:$K,"&lt;="&amp;Heron!AD$9,Investors!$K:$K,"&gt;"&amp;Heron!AC$9)</f>
        <v>214964.38</v>
      </c>
      <c r="AE79" s="99">
        <f>SUMIFS(Xero!$F:$F,Xero!$B:$B,Heron!AE$9,Xero!$A:$A,Heron!$A$4,Xero!$E:$E,Heron!$A79)+SUMIFS(Xero!$F:$F,Xero!$B:$B,Heron!AE$9,Xero!$A:$A,Heron!$A$5,Xero!$E:$E,Heron!$A79)+SUMIFS(Investors!$S:$S,Investors!$G:$G,FALSE,Investors!$O:$O,FALSE,Investors!$P:$P,FALSE,Investors!$K:$K,"&lt;="&amp;Heron!AE$9,Investors!$K:$K,"&gt;"&amp;Heron!AD$9)</f>
        <v>0</v>
      </c>
      <c r="AF79" s="99">
        <f>SUMIFS(Xero!$F:$F,Xero!$B:$B,Heron!AF$9,Xero!$A:$A,Heron!$A$4,Xero!$E:$E,Heron!$A79)+SUMIFS(Xero!$F:$F,Xero!$B:$B,Heron!AF$9,Xero!$A:$A,Heron!$A$5,Xero!$E:$E,Heron!$A79)+SUMIFS(Investors!$S:$S,Investors!$G:$G,FALSE,Investors!$O:$O,FALSE,Investors!$P:$P,FALSE,Investors!$K:$K,"&lt;="&amp;Heron!AF$9,Investors!$K:$K,"&gt;"&amp;Heron!AE$9)</f>
        <v>411780.83</v>
      </c>
      <c r="AG79" s="99">
        <f>SUMIFS(Xero!$F:$F,Xero!$B:$B,Heron!AG$9,Xero!$A:$A,Heron!$A$4,Xero!$E:$E,Heron!$A79)+SUMIFS(Xero!$F:$F,Xero!$B:$B,Heron!AG$9,Xero!$A:$A,Heron!$A$5,Xero!$E:$E,Heron!$A79)+SUMIFS(Investors!$S:$S,Investors!$G:$G,FALSE,Investors!$O:$O,FALSE,Investors!$P:$P,FALSE,Investors!$K:$K,"&lt;="&amp;Heron!AG$9,Investors!$K:$K,"&gt;"&amp;Heron!AF$9)</f>
        <v>403347.95</v>
      </c>
      <c r="AH79" s="99">
        <f>SUMIFS(Xero!$F:$F,Xero!$B:$B,Heron!AH$9,Xero!$A:$A,Heron!$A$4,Xero!$E:$E,Heron!$A79)+SUMIFS(Xero!$F:$F,Xero!$B:$B,Heron!AH$9,Xero!$A:$A,Heron!$A$5,Xero!$E:$E,Heron!$A79)+SUMIFS(Investors!$S:$S,Investors!$G:$G,FALSE,Investors!$O:$O,FALSE,Investors!$P:$P,FALSE,Investors!$K:$K,"&lt;="&amp;Heron!AH$9,Investors!$K:$K,"&gt;"&amp;Heron!AG$9)</f>
        <v>1025053.74</v>
      </c>
      <c r="AI79" s="99">
        <f>SUMIFS(Xero!$F:$F,Xero!$B:$B,Heron!AI$9,Xero!$A:$A,Heron!$A$4,Xero!$E:$E,Heron!$A79)+SUMIFS(Xero!$F:$F,Xero!$B:$B,Heron!AI$9,Xero!$A:$A,Heron!$A$5,Xero!$E:$E,Heron!$A79)+SUMIFS(Investors!$S:$S,Investors!$G:$G,FALSE,Investors!$O:$O,FALSE,Investors!$P:$P,FALSE,Investors!$K:$K,"&lt;="&amp;Heron!AI$9,Investors!$K:$K,"&gt;"&amp;Heron!AH$9)</f>
        <v>0</v>
      </c>
      <c r="AJ79" s="99">
        <f>SUMIFS(Xero!$F:$F,Xero!$B:$B,Heron!AJ$9,Xero!$A:$A,Heron!$A$4,Xero!$E:$E,Heron!$A79)+SUMIFS(Xero!$F:$F,Xero!$B:$B,Heron!AJ$9,Xero!$A:$A,Heron!$A$5,Xero!$E:$E,Heron!$A79)+SUMIFS(Investors!$S:$S,Investors!$G:$G,FALSE,Investors!$O:$O,FALSE,Investors!$P:$P,FALSE,Investors!$K:$K,"&lt;="&amp;Heron!AJ$9,Investors!$K:$K,"&gt;"&amp;Heron!AI$9)</f>
        <v>204164.39</v>
      </c>
      <c r="AK79" s="99">
        <f>SUMIFS(Xero!$F:$F,Xero!$B:$B,Heron!AK$9,Xero!$A:$A,Heron!$A$4,Xero!$E:$E,Heron!$A79)+SUMIFS(Xero!$F:$F,Xero!$B:$B,Heron!AK$9,Xero!$A:$A,Heron!$A$5,Xero!$E:$E,Heron!$A79)+SUMIFS(Investors!$S:$S,Investors!$G:$G,FALSE,Investors!$O:$O,FALSE,Investors!$P:$P,FALSE,Investors!$K:$K,"&lt;="&amp;Heron!AK$9,Investors!$K:$K,"&gt;"&amp;Heron!AJ$9)</f>
        <v>105583.63</v>
      </c>
      <c r="AL79" s="99">
        <f>SUMIFS(Xero!$F:$F,Xero!$B:$B,Heron!AL$9,Xero!$A:$A,Heron!$A$4,Xero!$E:$E,Heron!$A79)+SUMIFS(Xero!$F:$F,Xero!$B:$B,Heron!AL$9,Xero!$A:$A,Heron!$A$5,Xero!$E:$E,Heron!$A79)+SUMIFS(Investors!$S:$S,Investors!$G:$G,FALSE,Investors!$O:$O,FALSE,Investors!$P:$P,FALSE,Investors!$K:$K,"&lt;="&amp;Heron!AL$9,Investors!$K:$K,"&gt;"&amp;Heron!AK$9)</f>
        <v>1185476.01</v>
      </c>
      <c r="AM79" s="99">
        <f>SUMIFS(Xero!$F:$F,Xero!$B:$B,Heron!AM$9,Xero!$A:$A,Heron!$A$4,Xero!$E:$E,Heron!$A79)+SUMIFS(Xero!$F:$F,Xero!$B:$B,Heron!AM$9,Xero!$A:$A,Heron!$A$5,Xero!$E:$E,Heron!$A79)+SUMIFS(Investors!$S:$S,Investors!$G:$G,FALSE,Investors!$O:$O,FALSE,Investors!$P:$P,FALSE,Investors!$K:$K,"&lt;="&amp;Heron!AM$9,Investors!$K:$K,"&gt;"&amp;Heron!AL$9)</f>
        <v>170952</v>
      </c>
      <c r="AN79" s="99">
        <f>SUMIFS(Xero!$F:$F,Xero!$B:$B,Heron!AN$9,Xero!$A:$A,Heron!$A$4,Xero!$E:$E,Heron!$A79)+SUMIFS(Xero!$F:$F,Xero!$B:$B,Heron!AN$9,Xero!$A:$A,Heron!$A$5,Xero!$E:$E,Heron!$A79)+SUMIFS(Investors!$S:$S,Investors!$G:$G,FALSE,Investors!$O:$O,FALSE,Investors!$P:$P,FALSE,Investors!$K:$K,"&lt;="&amp;Heron!AN$9,Investors!$K:$K,"&gt;"&amp;Heron!AM$9)</f>
        <v>1540729.37</v>
      </c>
      <c r="AO79" s="99">
        <f>SUMIFS(Xero!$F:$F,Xero!$B:$B,Heron!AO$9,Xero!$A:$A,Heron!$A$4,Xero!$E:$E,Heron!$A79)+SUMIFS(Xero!$F:$F,Xero!$B:$B,Heron!AO$9,Xero!$A:$A,Heron!$A$5,Xero!$E:$E,Heron!$A79)+SUMIFS(Investors!$S:$S,Investors!$G:$G,FALSE,Investors!$O:$O,FALSE,Investors!$P:$P,FALSE,Investors!$K:$K,"&lt;="&amp;Heron!AO$9,Investors!$K:$K,"&gt;"&amp;Heron!AN$9)</f>
        <v>0</v>
      </c>
      <c r="AP79" s="99">
        <f>SUMIFS(Xero!$F:$F,Xero!$B:$B,Heron!AP$9,Xero!$A:$A,Heron!$A$4,Xero!$E:$E,Heron!$A79)+SUMIFS(Xero!$F:$F,Xero!$B:$B,Heron!AP$9,Xero!$A:$A,Heron!$A$5,Xero!$E:$E,Heron!$A79)+SUMIFS(Investors!$S:$S,Investors!$G:$G,FALSE,Investors!$O:$O,FALSE,Investors!$P:$P,FALSE,Investors!$K:$K,"&lt;="&amp;Heron!AP$9,Investors!$K:$K,"&gt;"&amp;Heron!AO$9)</f>
        <v>0</v>
      </c>
      <c r="AQ79" s="99">
        <f>SUMIFS(Xero!$F:$F,Xero!$B:$B,Heron!AQ$9,Xero!$A:$A,Heron!$A$4,Xero!$E:$E,Heron!$A79)+SUMIFS(Xero!$F:$F,Xero!$B:$B,Heron!AQ$9,Xero!$A:$A,Heron!$A$5,Xero!$E:$E,Heron!$A79)+SUMIFS(Investors!$S:$S,Investors!$G:$G,FALSE,Investors!$O:$O,FALSE,Investors!$P:$P,FALSE,Investors!$K:$K,"&lt;="&amp;Heron!AQ$9,Investors!$K:$K,"&gt;"&amp;Heron!AP$9)</f>
        <v>0</v>
      </c>
      <c r="AR79" s="99">
        <f>SUMIFS(Xero!$F:$F,Xero!$B:$B,Heron!AR$9,Xero!$A:$A,Heron!$A$4,Xero!$E:$E,Heron!$A79)+SUMIFS(Xero!$F:$F,Xero!$B:$B,Heron!AR$9,Xero!$A:$A,Heron!$A$5,Xero!$E:$E,Heron!$A79)+SUMIFS(Investors!$S:$S,Investors!$G:$G,FALSE,Investors!$O:$O,FALSE,Investors!$P:$P,FALSE,Investors!$K:$K,"&lt;="&amp;Heron!AR$9,Investors!$K:$K,"&gt;"&amp;Heron!AQ$9)</f>
        <v>571581.27377863019</v>
      </c>
      <c r="AS79" s="99">
        <f>SUMIFS(Xero!$F:$F,Xero!$B:$B,Heron!AS$9,Xero!$A:$A,Heron!$A$4,Xero!$E:$E,Heron!$A79)+SUMIFS(Xero!$F:$F,Xero!$B:$B,Heron!AS$9,Xero!$A:$A,Heron!$A$5,Xero!$E:$E,Heron!$A79)+SUMIFS(Investors!$S:$S,Investors!$G:$G,FALSE,Investors!$O:$O,FALSE,Investors!$P:$P,FALSE,Investors!$K:$K,"&lt;="&amp;Heron!AS$9,Investors!$K:$K,"&gt;"&amp;Heron!AR$9)</f>
        <v>1474273.8397558907</v>
      </c>
      <c r="AT79" s="99">
        <f>SUMIFS(Xero!$F:$F,Xero!$B:$B,Heron!AT$9,Xero!$A:$A,Heron!$A$4,Xero!$E:$E,Heron!$A79)+SUMIFS(Xero!$F:$F,Xero!$B:$B,Heron!AT$9,Xero!$A:$A,Heron!$A$5,Xero!$E:$E,Heron!$A79)+SUMIFS(Investors!$S:$S,Investors!$G:$G,FALSE,Investors!$O:$O,FALSE,Investors!$P:$P,FALSE,Investors!$K:$K,"&lt;="&amp;Heron!AT$9,Investors!$K:$K,"&gt;"&amp;Heron!AS$9)</f>
        <v>3120025.9017786984</v>
      </c>
      <c r="AU79" s="99">
        <f>SUMIFS(Xero!$F:$F,Xero!$B:$B,Heron!AU$9,Xero!$A:$A,Heron!$A$4,Xero!$E:$E,Heron!$A79)+SUMIFS(Xero!$F:$F,Xero!$B:$B,Heron!AU$9,Xero!$A:$A,Heron!$A$5,Xero!$E:$E,Heron!$A79)+SUMIFS(Investors!$S:$S,Investors!$G:$G,FALSE,Investors!$O:$O,FALSE,Investors!$P:$P,FALSE,Investors!$K:$K,"&lt;="&amp;Heron!AU$9,Investors!$K:$K,"&gt;"&amp;Heron!AT$9)</f>
        <v>11002734.146022264</v>
      </c>
      <c r="AV79" s="99">
        <f>SUMIFS(Xero!$F:$F,Xero!$B:$B,Heron!AV$9,Xero!$A:$A,Heron!$A$4,Xero!$E:$E,Heron!$A79)+SUMIFS(Xero!$F:$F,Xero!$B:$B,Heron!AV$9,Xero!$A:$A,Heron!$A$5,Xero!$E:$E,Heron!$A79)+SUMIFS(Investors!$S:$S,Investors!$G:$G,FALSE,Investors!$O:$O,FALSE,Investors!$P:$P,FALSE,Investors!$K:$K,"&lt;="&amp;Heron!AV$9,Investors!$K:$K,"&gt;"&amp;Heron!AU$9)</f>
        <v>6733762.2753603403</v>
      </c>
      <c r="AW79" s="99">
        <f>SUMIFS(Xero!$F:$F,Xero!$B:$B,Heron!AW$9,Xero!$A:$A,Heron!$A$4,Xero!$E:$E,Heron!$A79)+SUMIFS(Xero!$F:$F,Xero!$B:$B,Heron!AW$9,Xero!$A:$A,Heron!$A$5,Xero!$E:$E,Heron!$A79)+SUMIFS(Investors!$S:$S,Investors!$G:$G,FALSE,Investors!$O:$O,FALSE,Investors!$P:$P,FALSE,Investors!$K:$K,"&lt;="&amp;Heron!AW$9,Investors!$K:$K,"&gt;"&amp;Heron!AV$9)</f>
        <v>2969445.9426204115</v>
      </c>
      <c r="AX79" s="99">
        <f>SUMIFS(Xero!$F:$F,Xero!$B:$B,Heron!AX$9,Xero!$A:$A,Heron!$A$4,Xero!$E:$E,Heron!$A79)+SUMIFS(Xero!$F:$F,Xero!$B:$B,Heron!AX$9,Xero!$A:$A,Heron!$A$5,Xero!$E:$E,Heron!$A79)+SUMIFS(Investors!$S:$S,Investors!$G:$G,FALSE,Investors!$O:$O,FALSE,Investors!$P:$P,FALSE,Investors!$K:$K,"&lt;="&amp;Heron!AX$9,Investors!$K:$K,"&gt;"&amp;Heron!AW$9)</f>
        <v>2747564.7759010964</v>
      </c>
      <c r="AY79" s="99">
        <f>SUMIFS(Xero!$F:$F,Xero!$B:$B,Heron!AY$9,Xero!$A:$A,Heron!$A$4,Xero!$E:$E,Heron!$A79)+SUMIFS(Xero!$F:$F,Xero!$B:$B,Heron!AY$9,Xero!$A:$A,Heron!$A$5,Xero!$E:$E,Heron!$A79)+SUMIFS(Investors!$S:$S,Investors!$G:$G,FALSE,Investors!$O:$O,FALSE,Investors!$P:$P,FALSE,Investors!$K:$K,"&lt;="&amp;Heron!AY$9,Investors!$K:$K,"&gt;"&amp;Heron!AX$9)</f>
        <v>675028.90931863035</v>
      </c>
      <c r="AZ79" s="99">
        <f>SUMIFS(Xero!$F:$F,Xero!$B:$B,Heron!AZ$9,Xero!$A:$A,Heron!$A$4,Xero!$E:$E,Heron!$A79)+SUMIFS(Xero!$F:$F,Xero!$B:$B,Heron!AZ$9,Xero!$A:$A,Heron!$A$5,Xero!$E:$E,Heron!$A79)+SUMIFS(Investors!$S:$S,Investors!$G:$G,FALSE,Investors!$O:$O,FALSE,Investors!$P:$P,FALSE,Investors!$K:$K,"&lt;="&amp;Heron!AZ$9,Investors!$K:$K,"&gt;"&amp;Heron!AY$9)</f>
        <v>4168062.2694002739</v>
      </c>
      <c r="BA79" s="99">
        <f>SUMIFS(Xero!$F:$F,Xero!$B:$B,Heron!BA$9,Xero!$A:$A,Heron!$A$4,Xero!$E:$E,Heron!$A79)+SUMIFS(Xero!$F:$F,Xero!$B:$B,Heron!BA$9,Xero!$A:$A,Heron!$A$5,Xero!$E:$E,Heron!$A79)+SUMIFS(Investors!$S:$S,Investors!$G:$G,FALSE,Investors!$O:$O,FALSE,Investors!$P:$P,FALSE,Investors!$K:$K,"&lt;="&amp;Heron!BA$9,Investors!$K:$K,"&gt;"&amp;Heron!AZ$9)</f>
        <v>0</v>
      </c>
      <c r="BB79" s="99">
        <f>SUMIFS(Xero!$F:$F,Xero!$B:$B,Heron!BB$9,Xero!$A:$A,Heron!$A$4,Xero!$E:$E,Heron!$A79)+SUMIFS(Xero!$F:$F,Xero!$B:$B,Heron!BB$9,Xero!$A:$A,Heron!$A$5,Xero!$E:$E,Heron!$A79)+SUMIFS(Investors!$S:$S,Investors!$G:$G,FALSE,Investors!$O:$O,FALSE,Investors!$P:$P,FALSE,Investors!$K:$K,"&lt;="&amp;Heron!BB$9,Investors!$K:$K,"&gt;"&amp;Heron!BA$9)</f>
        <v>0</v>
      </c>
      <c r="BC79" s="99">
        <f>SUMIFS(Xero!$F:$F,Xero!$B:$B,Heron!BC$9,Xero!$A:$A,Heron!$A$4,Xero!$E:$E,Heron!$A79)+SUMIFS(Xero!$F:$F,Xero!$B:$B,Heron!BC$9,Xero!$A:$A,Heron!$A$5,Xero!$E:$E,Heron!$A79)+SUMIFS(Investors!$S:$S,Investors!$G:$G,FALSE,Investors!$O:$O,FALSE,Investors!$P:$P,FALSE,Investors!$K:$K,"&lt;="&amp;Heron!BC$9,Investors!$K:$K,"&gt;"&amp;Heron!BB$9)</f>
        <v>0</v>
      </c>
      <c r="BD79" s="99">
        <f>SUMIFS(Xero!$F:$F,Xero!$B:$B,Heron!BD$9,Xero!$A:$A,Heron!$A$4,Xero!$E:$E,Heron!$A79)+SUMIFS(Xero!$F:$F,Xero!$B:$B,Heron!BD$9,Xero!$A:$A,Heron!$A$5,Xero!$E:$E,Heron!$A79)+SUMIFS(Investors!$S:$S,Investors!$G:$G,FALSE,Investors!$O:$O,FALSE,Investors!$P:$P,FALSE,Investors!$K:$K,"&lt;="&amp;Heron!BD$9,Investors!$K:$K,"&gt;"&amp;Heron!BC$9)</f>
        <v>0</v>
      </c>
      <c r="BE79" s="99">
        <f>SUMIFS(Xero!$F:$F,Xero!$B:$B,Heron!BE$9,Xero!$A:$A,Heron!$A$4,Xero!$E:$E,Heron!$A79)+SUMIFS(Xero!$F:$F,Xero!$B:$B,Heron!BE$9,Xero!$A:$A,Heron!$A$5,Xero!$E:$E,Heron!$A79)+SUMIFS(Investors!$S:$S,Investors!$G:$G,FALSE,Investors!$O:$O,FALSE,Investors!$P:$P,FALSE,Investors!$K:$K,"&lt;="&amp;Heron!BE$9,Investors!$K:$K,"&gt;"&amp;Heron!BD$9)</f>
        <v>0</v>
      </c>
      <c r="BF79" s="99">
        <f>SUMIFS(Xero!$F:$F,Xero!$B:$B,Heron!BF$9,Xero!$A:$A,Heron!$A$4,Xero!$E:$E,Heron!$A79)+SUMIFS(Xero!$F:$F,Xero!$B:$B,Heron!BF$9,Xero!$A:$A,Heron!$A$5,Xero!$E:$E,Heron!$A79)+SUMIFS(Investors!$S:$S,Investors!$G:$G,FALSE,Investors!$O:$O,FALSE,Investors!$P:$P,FALSE,Investors!$K:$K,"&lt;="&amp;Heron!BF$9,Investors!$K:$K,"&gt;"&amp;Heron!BE$9)</f>
        <v>0</v>
      </c>
      <c r="BG79" s="99">
        <f>SUMIFS(Xero!$F:$F,Xero!$B:$B,Heron!BG$9,Xero!$A:$A,Heron!$A$4,Xero!$E:$E,Heron!$A79)+SUMIFS(Xero!$F:$F,Xero!$B:$B,Heron!BG$9,Xero!$A:$A,Heron!$A$5,Xero!$E:$E,Heron!$A79)+SUMIFS(Investors!$S:$S,Investors!$G:$G,FALSE,Investors!$O:$O,FALSE,Investors!$P:$P,FALSE,Investors!$K:$K,"&lt;="&amp;Heron!BG$9,Investors!$K:$K,"&gt;"&amp;Heron!BF$9)</f>
        <v>0</v>
      </c>
      <c r="BH79" s="99">
        <f>SUMIFS(Xero!$F:$F,Xero!$B:$B,Heron!BH$9,Xero!$A:$A,Heron!$A$4,Xero!$E:$E,Heron!$A79)+SUMIFS(Xero!$F:$F,Xero!$B:$B,Heron!BH$9,Xero!$A:$A,Heron!$A$5,Xero!$E:$E,Heron!$A79)+SUMIFS(Investors!$S:$S,Investors!$G:$G,FALSE,Investors!$O:$O,FALSE,Investors!$P:$P,FALSE,Investors!$K:$K,"&lt;="&amp;Heron!BH$9,Investors!$K:$K,"&gt;"&amp;Heron!BG$9)</f>
        <v>0</v>
      </c>
      <c r="BI79" s="99">
        <f>SUMIFS(Xero!$F:$F,Xero!$B:$B,Heron!BI$9,Xero!$A:$A,Heron!$A$4,Xero!$E:$E,Heron!$A79)+SUMIFS(Xero!$F:$F,Xero!$B:$B,Heron!BI$9,Xero!$A:$A,Heron!$A$5,Xero!$E:$E,Heron!$A79)+SUMIFS(Investors!$S:$S,Investors!$G:$G,FALSE,Investors!$O:$O,FALSE,Investors!$P:$P,FALSE,Investors!$K:$K,"&lt;="&amp;Heron!BI$9,Investors!$K:$K,"&gt;"&amp;Heron!BH$9)</f>
        <v>0</v>
      </c>
      <c r="BJ79" s="99">
        <f>SUMIFS(Xero!$F:$F,Xero!$B:$B,Heron!BJ$9,Xero!$A:$A,Heron!$A$4,Xero!$E:$E,Heron!$A79)+SUMIFS(Xero!$F:$F,Xero!$B:$B,Heron!BJ$9,Xero!$A:$A,Heron!$A$5,Xero!$E:$E,Heron!$A79)+SUMIFS(Investors!$S:$S,Investors!$G:$G,FALSE,Investors!$O:$O,FALSE,Investors!$P:$P,FALSE,Investors!$K:$K,"&lt;="&amp;Heron!BJ$9,Investors!$K:$K,"&gt;"&amp;Heron!BI$9)</f>
        <v>0</v>
      </c>
      <c r="BK79" s="99">
        <f t="shared" si="5"/>
        <v>46151626.113936238</v>
      </c>
    </row>
    <row r="80" spans="1:63" ht="16" x14ac:dyDescent="0.2">
      <c r="A80" s="98" t="s">
        <v>1566</v>
      </c>
      <c r="D80" s="99">
        <f>SUMIFS(Xero!$F:$F,Xero!$B:$B,Heron!D$9,Xero!$A:$A,Heron!$A$4,Xero!$E:$E,Heron!$A80)+SUMIFS(Xero!$F:$F,Xero!$B:$B,Heron!D$9,Xero!$A:$A,Heron!$A$5,Xero!$E:$E,Heron!$A80)</f>
        <v>0</v>
      </c>
      <c r="E80" s="99">
        <f>SUMIFS(Xero!$F:$F,Xero!$B:$B,Heron!E$9,Xero!$A:$A,Heron!$A$4,Xero!$E:$E,Heron!$A80)+SUMIFS(Xero!$F:$F,Xero!$B:$B,Heron!E$9,Xero!$A:$A,Heron!$A$5,Xero!$E:$E,Heron!$A80)</f>
        <v>0</v>
      </c>
      <c r="F80" s="99">
        <f>SUMIFS(Xero!$F:$F,Xero!$B:$B,Heron!F$9,Xero!$A:$A,Heron!$A$4,Xero!$E:$E,Heron!$A80)+SUMIFS(Xero!$F:$F,Xero!$B:$B,Heron!F$9,Xero!$A:$A,Heron!$A$5,Xero!$E:$E,Heron!$A80)</f>
        <v>0</v>
      </c>
      <c r="G80" s="99">
        <f>SUMIFS(Xero!$F:$F,Xero!$B:$B,Heron!G$9,Xero!$A:$A,Heron!$A$4,Xero!$E:$E,Heron!$A80)+SUMIFS(Xero!$F:$F,Xero!$B:$B,Heron!G$9,Xero!$A:$A,Heron!$A$5,Xero!$E:$E,Heron!$A80)</f>
        <v>0</v>
      </c>
      <c r="H80" s="99">
        <f>SUMIFS(Xero!$F:$F,Xero!$B:$B,Heron!H$9,Xero!$A:$A,Heron!$A$4,Xero!$E:$E,Heron!$A80)+SUMIFS(Xero!$F:$F,Xero!$B:$B,Heron!H$9,Xero!$A:$A,Heron!$A$5,Xero!$E:$E,Heron!$A80)</f>
        <v>0</v>
      </c>
      <c r="I80" s="99">
        <f>SUMIFS(Xero!$F:$F,Xero!$B:$B,Heron!I$9,Xero!$A:$A,Heron!$A$4,Xero!$E:$E,Heron!$A80)+SUMIFS(Xero!$F:$F,Xero!$B:$B,Heron!I$9,Xero!$A:$A,Heron!$A$5,Xero!$E:$E,Heron!$A80)</f>
        <v>0</v>
      </c>
      <c r="J80" s="99">
        <f>SUMIFS(Xero!$F:$F,Xero!$B:$B,Heron!J$9,Xero!$A:$A,Heron!$A$4,Xero!$E:$E,Heron!$A80)+SUMIFS(Xero!$F:$F,Xero!$B:$B,Heron!J$9,Xero!$A:$A,Heron!$A$5,Xero!$E:$E,Heron!$A80)</f>
        <v>0</v>
      </c>
      <c r="K80" s="99">
        <f>SUMIFS(Xero!$F:$F,Xero!$B:$B,Heron!K$9,Xero!$A:$A,Heron!$A$4,Xero!$E:$E,Heron!$A80)+SUMIFS(Xero!$F:$F,Xero!$B:$B,Heron!K$9,Xero!$A:$A,Heron!$A$5,Xero!$E:$E,Heron!$A80)</f>
        <v>0</v>
      </c>
      <c r="L80" s="99">
        <f>SUMIFS(Xero!$F:$F,Xero!$B:$B,Heron!L$9,Xero!$A:$A,Heron!$A$4,Xero!$E:$E,Heron!$A80)+SUMIFS(Xero!$F:$F,Xero!$B:$B,Heron!L$9,Xero!$A:$A,Heron!$A$5,Xero!$E:$E,Heron!$A80)</f>
        <v>0</v>
      </c>
      <c r="M80" s="99">
        <f>SUMIFS(Xero!$F:$F,Xero!$B:$B,Heron!M$9,Xero!$A:$A,Heron!$A$4,Xero!$E:$E,Heron!$A80)+SUMIFS(Xero!$F:$F,Xero!$B:$B,Heron!M$9,Xero!$A:$A,Heron!$A$5,Xero!$E:$E,Heron!$A80)</f>
        <v>0</v>
      </c>
      <c r="N80" s="99">
        <f>SUMIFS(Xero!$F:$F,Xero!$B:$B,Heron!N$9,Xero!$A:$A,Heron!$A$4,Xero!$E:$E,Heron!$A80)+SUMIFS(Xero!$F:$F,Xero!$B:$B,Heron!N$9,Xero!$A:$A,Heron!$A$5,Xero!$E:$E,Heron!$A80)</f>
        <v>0</v>
      </c>
      <c r="O80" s="99">
        <f>SUMIFS(Xero!$F:$F,Xero!$B:$B,Heron!O$9,Xero!$A:$A,Heron!$A$4,Xero!$E:$E,Heron!$A80)+SUMIFS(Xero!$F:$F,Xero!$B:$B,Heron!O$9,Xero!$A:$A,Heron!$A$5,Xero!$E:$E,Heron!$A80)</f>
        <v>0</v>
      </c>
      <c r="P80" s="99">
        <f>SUMIFS(Xero!$F:$F,Xero!$B:$B,Heron!P$9,Xero!$A:$A,Heron!$A$4,Xero!$E:$E,Heron!$A80)+SUMIFS(Xero!$F:$F,Xero!$B:$B,Heron!P$9,Xero!$A:$A,Heron!$A$5,Xero!$E:$E,Heron!$A80)</f>
        <v>0</v>
      </c>
      <c r="Q80" s="99">
        <f>SUMIFS(Xero!$F:$F,Xero!$B:$B,Heron!Q$9,Xero!$A:$A,Heron!$A$4,Xero!$E:$E,Heron!$A80)+SUMIFS(Xero!$F:$F,Xero!$B:$B,Heron!Q$9,Xero!$A:$A,Heron!$A$5,Xero!$E:$E,Heron!$A80)</f>
        <v>0</v>
      </c>
      <c r="R80" s="99">
        <f>SUMIFS(Xero!$F:$F,Xero!$B:$B,Heron!R$9,Xero!$A:$A,Heron!$A$4,Xero!$E:$E,Heron!$A80)+SUMIFS(Xero!$F:$F,Xero!$B:$B,Heron!R$9,Xero!$A:$A,Heron!$A$5,Xero!$E:$E,Heron!$A80)</f>
        <v>0</v>
      </c>
      <c r="S80" s="99">
        <f>SUMIFS(Xero!$F:$F,Xero!$B:$B,Heron!S$9,Xero!$A:$A,Heron!$A$4,Xero!$E:$E,Heron!$A80)+SUMIFS(Xero!$F:$F,Xero!$B:$B,Heron!S$9,Xero!$A:$A,Heron!$A$5,Xero!$E:$E,Heron!$A80)</f>
        <v>0</v>
      </c>
      <c r="T80" s="99">
        <f>SUMIFS(Xero!$F:$F,Xero!$B:$B,Heron!T$9,Xero!$A:$A,Heron!$A$4,Xero!$E:$E,Heron!$A80)+SUMIFS(Xero!$F:$F,Xero!$B:$B,Heron!T$9,Xero!$A:$A,Heron!$A$5,Xero!$E:$E,Heron!$A80)</f>
        <v>0</v>
      </c>
      <c r="U80" s="99">
        <f>SUMIFS(Xero!$F:$F,Xero!$B:$B,Heron!U$9,Xero!$A:$A,Heron!$A$4,Xero!$E:$E,Heron!$A80)+SUMIFS(Xero!$F:$F,Xero!$B:$B,Heron!U$9,Xero!$A:$A,Heron!$A$5,Xero!$E:$E,Heron!$A80)</f>
        <v>0</v>
      </c>
      <c r="V80" s="99">
        <f>SUMIFS(Xero!$F:$F,Xero!$B:$B,Heron!V$9,Xero!$A:$A,Heron!$A$4,Xero!$E:$E,Heron!$A80)+SUMIFS(Xero!$F:$F,Xero!$B:$B,Heron!V$9,Xero!$A:$A,Heron!$A$5,Xero!$E:$E,Heron!$A80)</f>
        <v>0</v>
      </c>
      <c r="W80" s="99">
        <f>SUMIFS(Xero!$F:$F,Xero!$B:$B,Heron!W$9,Xero!$A:$A,Heron!$A$4,Xero!$E:$E,Heron!$A80)+SUMIFS(Xero!$F:$F,Xero!$B:$B,Heron!W$9,Xero!$A:$A,Heron!$A$5,Xero!$E:$E,Heron!$A80)</f>
        <v>0</v>
      </c>
      <c r="X80" s="99">
        <f>SUMIFS(Xero!$F:$F,Xero!$B:$B,Heron!X$9,Xero!$A:$A,Heron!$A$4,Xero!$E:$E,Heron!$A80)+SUMIFS(Xero!$F:$F,Xero!$B:$B,Heron!X$9,Xero!$A:$A,Heron!$A$5,Xero!$E:$E,Heron!$A80)</f>
        <v>218305.31</v>
      </c>
      <c r="Y80" s="99">
        <f>SUMIFS(Xero!$F:$F,Xero!$B:$B,Heron!Y$9,Xero!$A:$A,Heron!$A$4,Xero!$E:$E,Heron!$A80)+SUMIFS(Xero!$F:$F,Xero!$B:$B,Heron!Y$9,Xero!$A:$A,Heron!$A$5,Xero!$E:$E,Heron!$A80)</f>
        <v>146097.54999999999</v>
      </c>
      <c r="Z80" s="99">
        <f>SUMIFS(Xero!$F:$F,Xero!$B:$B,Heron!Z$9,Xero!$A:$A,Heron!$A$4,Xero!$E:$E,Heron!$A80)+SUMIFS(Xero!$F:$F,Xero!$B:$B,Heron!Z$9,Xero!$A:$A,Heron!$A$5,Xero!$E:$E,Heron!$A80)</f>
        <v>114401.55</v>
      </c>
      <c r="AA80" s="99">
        <f>SUMIFS(Xero!$F:$F,Xero!$B:$B,Heron!AA$9,Xero!$A:$A,Heron!$A$4,Xero!$E:$E,Heron!$A80)+SUMIFS(Xero!$F:$F,Xero!$B:$B,Heron!AA$9,Xero!$A:$A,Heron!$A$5,Xero!$E:$E,Heron!$A80)</f>
        <v>27652.39</v>
      </c>
      <c r="AB80" s="99">
        <f>SUMIFS(Xero!$F:$F,Xero!$B:$B,Heron!AB$9,Xero!$A:$A,Heron!$A$4,Xero!$E:$E,Heron!$A80)+SUMIFS(Xero!$F:$F,Xero!$B:$B,Heron!AB$9,Xero!$A:$A,Heron!$A$5,Xero!$E:$E,Heron!$A80)</f>
        <v>63203.46</v>
      </c>
      <c r="AC80" s="99">
        <f>SUMIFS(Xero!$F:$F,Xero!$B:$B,Heron!AC$9,Xero!$A:$A,Heron!$A$4,Xero!$E:$E,Heron!$A80)+SUMIFS(Xero!$F:$F,Xero!$B:$B,Heron!AC$9,Xero!$A:$A,Heron!$A$5,Xero!$E:$E,Heron!$A80)</f>
        <v>62219.17</v>
      </c>
      <c r="AD80" s="99">
        <f>SUMIFS(Xero!$F:$F,Xero!$B:$B,Heron!AD$9,Xero!$A:$A,Heron!$A$4,Xero!$E:$E,Heron!$A80)+SUMIFS(Xero!$F:$F,Xero!$B:$B,Heron!AD$9,Xero!$A:$A,Heron!$A$5,Xero!$E:$E,Heron!$A80)</f>
        <v>22371.58</v>
      </c>
      <c r="AE80" s="99">
        <f>SUMIFS(Xero!$F:$F,Xero!$B:$B,Heron!AE$9,Xero!$A:$A,Heron!$A$4,Xero!$E:$E,Heron!$A80)+SUMIFS(Xero!$F:$F,Xero!$B:$B,Heron!AE$9,Xero!$A:$A,Heron!$A$5,Xero!$E:$E,Heron!$A80)</f>
        <v>4041.1</v>
      </c>
      <c r="AF80" s="99">
        <f>SUMIFS(Xero!$F:$F,Xero!$B:$B,Heron!AF$9,Xero!$A:$A,Heron!$A$4,Xero!$E:$E,Heron!$A80)+SUMIFS(Xero!$F:$F,Xero!$B:$B,Heron!AF$9,Xero!$A:$A,Heron!$A$5,Xero!$E:$E,Heron!$A80)</f>
        <v>15410.95</v>
      </c>
      <c r="AG80" s="99">
        <f>SUMIFS(Xero!$F:$F,Xero!$B:$B,Heron!AG$9,Xero!$A:$A,Heron!$A$4,Xero!$E:$E,Heron!$A80)+SUMIFS(Xero!$F:$F,Xero!$B:$B,Heron!AG$9,Xero!$A:$A,Heron!$A$5,Xero!$E:$E,Heron!$A80)</f>
        <v>-0.09</v>
      </c>
      <c r="AH80" s="99">
        <f>SUMIFS(Xero!$F:$F,Xero!$B:$B,Heron!AH$9,Xero!$A:$A,Heron!$A$4,Xero!$E:$E,Heron!$A80)+SUMIFS(Xero!$F:$F,Xero!$B:$B,Heron!AH$9,Xero!$A:$A,Heron!$A$5,Xero!$E:$E,Heron!$A80)</f>
        <v>0</v>
      </c>
      <c r="AI80" s="99">
        <f>SUMIFS(Xero!$F:$F,Xero!$B:$B,Heron!AI$9,Xero!$A:$A,Heron!$A$4,Xero!$E:$E,Heron!$A80)+SUMIFS(Xero!$F:$F,Xero!$B:$B,Heron!AI$9,Xero!$A:$A,Heron!$A$5,Xero!$E:$E,Heron!$A80)</f>
        <v>0</v>
      </c>
      <c r="AJ80" s="99">
        <f>SUMIFS(Xero!$F:$F,Xero!$B:$B,Heron!AJ$9,Xero!$A:$A,Heron!$A$4,Xero!$E:$E,Heron!$A80)+SUMIFS(Xero!$F:$F,Xero!$B:$B,Heron!AJ$9,Xero!$A:$A,Heron!$A$5,Xero!$E:$E,Heron!$A80)</f>
        <v>0</v>
      </c>
      <c r="AK80" s="99">
        <f>SUMIFS(Xero!$F:$F,Xero!$B:$B,Heron!AK$9,Xero!$A:$A,Heron!$A$4,Xero!$E:$E,Heron!$A80)+SUMIFS(Xero!$F:$F,Xero!$B:$B,Heron!AK$9,Xero!$A:$A,Heron!$A$5,Xero!$E:$E,Heron!$A80)</f>
        <v>0</v>
      </c>
      <c r="AL80" s="99">
        <f>SUMIFS(Xero!$F:$F,Xero!$B:$B,Heron!AL$9,Xero!$A:$A,Heron!$A$4,Xero!$E:$E,Heron!$A80)+SUMIFS(Xero!$F:$F,Xero!$B:$B,Heron!AL$9,Xero!$A:$A,Heron!$A$5,Xero!$E:$E,Heron!$A80)</f>
        <v>0</v>
      </c>
      <c r="AM80" s="99">
        <f>SUMIFS(Xero!$F:$F,Xero!$B:$B,Heron!AM$9,Xero!$A:$A,Heron!$A$4,Xero!$E:$E,Heron!$A80)+SUMIFS(Xero!$F:$F,Xero!$B:$B,Heron!AM$9,Xero!$A:$A,Heron!$A$5,Xero!$E:$E,Heron!$A80)</f>
        <v>0</v>
      </c>
      <c r="AN80" s="99">
        <f>SUMIFS(Xero!$F:$F,Xero!$B:$B,Heron!AN$9,Xero!$A:$A,Heron!$A$4,Xero!$E:$E,Heron!$A80)+SUMIFS(Xero!$F:$F,Xero!$B:$B,Heron!AN$9,Xero!$A:$A,Heron!$A$5,Xero!$E:$E,Heron!$A80)</f>
        <v>0</v>
      </c>
      <c r="AO80" s="99">
        <f>SUMIFS(Xero!$F:$F,Xero!$B:$B,Heron!AO$9,Xero!$A:$A,Heron!$A$4,Xero!$E:$E,Heron!$A80)+SUMIFS(Xero!$F:$F,Xero!$B:$B,Heron!AO$9,Xero!$A:$A,Heron!$A$5,Xero!$E:$E,Heron!$A80)</f>
        <v>0</v>
      </c>
      <c r="AP80" s="99">
        <f>SUMIFS(Xero!$F:$F,Xero!$B:$B,Heron!AP$9,Xero!$A:$A,Heron!$A$4,Xero!$E:$E,Heron!$A80)+SUMIFS(Xero!$F:$F,Xero!$B:$B,Heron!AP$9,Xero!$A:$A,Heron!$A$5,Xero!$E:$E,Heron!$A80)</f>
        <v>0</v>
      </c>
      <c r="AQ80" s="99">
        <f>SUMIFS(Xero!$F:$F,Xero!$B:$B,Heron!AQ$9,Xero!$A:$A,Heron!$A$4,Xero!$E:$E,Heron!$A80)+SUMIFS(Xero!$F:$F,Xero!$B:$B,Heron!AQ$9,Xero!$A:$A,Heron!$A$5,Xero!$E:$E,Heron!$A80)</f>
        <v>0</v>
      </c>
      <c r="AR80" s="99">
        <f>SUMIFS(Xero!$F:$F,Xero!$B:$B,Heron!AR$9,Xero!$A:$A,Heron!$A$4,Xero!$E:$E,Heron!$A80)+SUMIFS(Xero!$F:$F,Xero!$B:$B,Heron!AR$9,Xero!$A:$A,Heron!$A$5,Xero!$E:$E,Heron!$A80)</f>
        <v>0</v>
      </c>
      <c r="AS80" s="99">
        <f>SUMIFS(Xero!$F:$F,Xero!$B:$B,Heron!AS$9,Xero!$A:$A,Heron!$A$4,Xero!$E:$E,Heron!$A80)+SUMIFS(Xero!$F:$F,Xero!$B:$B,Heron!AS$9,Xero!$A:$A,Heron!$A$5,Xero!$E:$E,Heron!$A80)</f>
        <v>0</v>
      </c>
      <c r="AT80" s="99">
        <f>SUMIFS(Xero!$F:$F,Xero!$B:$B,Heron!AT$9,Xero!$A:$A,Heron!$A$4,Xero!$E:$E,Heron!$A80)+SUMIFS(Xero!$F:$F,Xero!$B:$B,Heron!AT$9,Xero!$A:$A,Heron!$A$5,Xero!$E:$E,Heron!$A80)</f>
        <v>0</v>
      </c>
      <c r="AU80" s="99">
        <f>SUMIFS(Xero!$F:$F,Xero!$B:$B,Heron!AU$9,Xero!$A:$A,Heron!$A$4,Xero!$E:$E,Heron!$A80)+SUMIFS(Xero!$F:$F,Xero!$B:$B,Heron!AU$9,Xero!$A:$A,Heron!$A$5,Xero!$E:$E,Heron!$A80)</f>
        <v>0</v>
      </c>
      <c r="AV80" s="99">
        <f>SUMIFS(Xero!$F:$F,Xero!$B:$B,Heron!AV$9,Xero!$A:$A,Heron!$A$4,Xero!$E:$E,Heron!$A80)+SUMIFS(Xero!$F:$F,Xero!$B:$B,Heron!AV$9,Xero!$A:$A,Heron!$A$5,Xero!$E:$E,Heron!$A80)</f>
        <v>0</v>
      </c>
      <c r="AW80" s="99">
        <f>SUMIFS(Xero!$F:$F,Xero!$B:$B,Heron!AW$9,Xero!$A:$A,Heron!$A$4,Xero!$E:$E,Heron!$A80)+SUMIFS(Xero!$F:$F,Xero!$B:$B,Heron!AW$9,Xero!$A:$A,Heron!$A$5,Xero!$E:$E,Heron!$A80)</f>
        <v>0</v>
      </c>
      <c r="AX80" s="99">
        <f>SUMIFS(Xero!$F:$F,Xero!$B:$B,Heron!AX$9,Xero!$A:$A,Heron!$A$4,Xero!$E:$E,Heron!$A80)+SUMIFS(Xero!$F:$F,Xero!$B:$B,Heron!AX$9,Xero!$A:$A,Heron!$A$5,Xero!$E:$E,Heron!$A80)</f>
        <v>0</v>
      </c>
      <c r="AY80" s="99">
        <f>SUMIFS(Xero!$F:$F,Xero!$B:$B,Heron!AY$9,Xero!$A:$A,Heron!$A$4,Xero!$E:$E,Heron!$A80)+SUMIFS(Xero!$F:$F,Xero!$B:$B,Heron!AY$9,Xero!$A:$A,Heron!$A$5,Xero!$E:$E,Heron!$A80)</f>
        <v>0</v>
      </c>
      <c r="AZ80" s="99">
        <f>SUMIFS(Xero!$F:$F,Xero!$B:$B,Heron!AZ$9,Xero!$A:$A,Heron!$A$4,Xero!$E:$E,Heron!$A80)+SUMIFS(Xero!$F:$F,Xero!$B:$B,Heron!AZ$9,Xero!$A:$A,Heron!$A$5,Xero!$E:$E,Heron!$A80)</f>
        <v>0</v>
      </c>
      <c r="BA80" s="99">
        <f>SUMIFS(Xero!$F:$F,Xero!$B:$B,Heron!BA$9,Xero!$A:$A,Heron!$A$4,Xero!$E:$E,Heron!$A80)+SUMIFS(Xero!$F:$F,Xero!$B:$B,Heron!BA$9,Xero!$A:$A,Heron!$A$5,Xero!$E:$E,Heron!$A80)</f>
        <v>0</v>
      </c>
      <c r="BB80" s="99">
        <f>SUMIFS(Xero!$F:$F,Xero!$B:$B,Heron!BB$9,Xero!$A:$A,Heron!$A$4,Xero!$E:$E,Heron!$A80)+SUMIFS(Xero!$F:$F,Xero!$B:$B,Heron!BB$9,Xero!$A:$A,Heron!$A$5,Xero!$E:$E,Heron!$A80)</f>
        <v>0</v>
      </c>
      <c r="BC80" s="99">
        <f>SUMIFS(Xero!$F:$F,Xero!$B:$B,Heron!BC$9,Xero!$A:$A,Heron!$A$4,Xero!$E:$E,Heron!$A80)+SUMIFS(Xero!$F:$F,Xero!$B:$B,Heron!BC$9,Xero!$A:$A,Heron!$A$5,Xero!$E:$E,Heron!$A80)</f>
        <v>0</v>
      </c>
      <c r="BD80" s="99">
        <f>SUMIFS(Xero!$F:$F,Xero!$B:$B,Heron!BD$9,Xero!$A:$A,Heron!$A$4,Xero!$E:$E,Heron!$A80)+SUMIFS(Xero!$F:$F,Xero!$B:$B,Heron!BD$9,Xero!$A:$A,Heron!$A$5,Xero!$E:$E,Heron!$A80)</f>
        <v>0</v>
      </c>
      <c r="BE80" s="99">
        <f>SUMIFS(Xero!$F:$F,Xero!$B:$B,Heron!BE$9,Xero!$A:$A,Heron!$A$4,Xero!$E:$E,Heron!$A80)+SUMIFS(Xero!$F:$F,Xero!$B:$B,Heron!BE$9,Xero!$A:$A,Heron!$A$5,Xero!$E:$E,Heron!$A80)</f>
        <v>0</v>
      </c>
      <c r="BF80" s="99">
        <f>SUMIFS(Xero!$F:$F,Xero!$B:$B,Heron!BF$9,Xero!$A:$A,Heron!$A$4,Xero!$E:$E,Heron!$A80)+SUMIFS(Xero!$F:$F,Xero!$B:$B,Heron!BF$9,Xero!$A:$A,Heron!$A$5,Xero!$E:$E,Heron!$A80)</f>
        <v>0</v>
      </c>
      <c r="BG80" s="99">
        <f>SUMIFS(Xero!$F:$F,Xero!$B:$B,Heron!BG$9,Xero!$A:$A,Heron!$A$4,Xero!$E:$E,Heron!$A80)+SUMIFS(Xero!$F:$F,Xero!$B:$B,Heron!BG$9,Xero!$A:$A,Heron!$A$5,Xero!$E:$E,Heron!$A80)</f>
        <v>0</v>
      </c>
      <c r="BH80" s="99">
        <f>SUMIFS(Xero!$F:$F,Xero!$B:$B,Heron!BH$9,Xero!$A:$A,Heron!$A$4,Xero!$E:$E,Heron!$A80)+SUMIFS(Xero!$F:$F,Xero!$B:$B,Heron!BH$9,Xero!$A:$A,Heron!$A$5,Xero!$E:$E,Heron!$A80)</f>
        <v>0</v>
      </c>
      <c r="BI80" s="99">
        <f>SUMIFS(Xero!$F:$F,Xero!$B:$B,Heron!BI$9,Xero!$A:$A,Heron!$A$4,Xero!$E:$E,Heron!$A80)+SUMIFS(Xero!$F:$F,Xero!$B:$B,Heron!BI$9,Xero!$A:$A,Heron!$A$5,Xero!$E:$E,Heron!$A80)</f>
        <v>0</v>
      </c>
      <c r="BJ80" s="99">
        <f>SUMIFS(Xero!$F:$F,Xero!$B:$B,Heron!BJ$9,Xero!$A:$A,Heron!$A$4,Xero!$E:$E,Heron!$A80)+SUMIFS(Xero!$F:$F,Xero!$B:$B,Heron!BJ$9,Xero!$A:$A,Heron!$A$5,Xero!$E:$E,Heron!$A80)</f>
        <v>0</v>
      </c>
      <c r="BK80" s="99">
        <f t="shared" si="5"/>
        <v>673702.97</v>
      </c>
    </row>
    <row r="81" spans="1:63" ht="16" x14ac:dyDescent="0.2">
      <c r="A81" s="98" t="s">
        <v>1568</v>
      </c>
      <c r="D81" s="99">
        <f>SUMIFS(Xero!$F:$F,Xero!$B:$B,Heron!D$9,Xero!$A:$A,Heron!$A$4,Xero!$E:$E,Heron!$A81)+SUMIFS(Xero!$F:$F,Xero!$B:$B,Heron!D$9,Xero!$A:$A,Heron!$A$5,Xero!$E:$E,Heron!$A81)</f>
        <v>0</v>
      </c>
      <c r="E81" s="99">
        <f>SUMIFS(Xero!$F:$F,Xero!$B:$B,Heron!E$9,Xero!$A:$A,Heron!$A$4,Xero!$E:$E,Heron!$A81)+SUMIFS(Xero!$F:$F,Xero!$B:$B,Heron!E$9,Xero!$A:$A,Heron!$A$5,Xero!$E:$E,Heron!$A81)</f>
        <v>0</v>
      </c>
      <c r="F81" s="99">
        <f>SUMIFS(Xero!$F:$F,Xero!$B:$B,Heron!F$9,Xero!$A:$A,Heron!$A$4,Xero!$E:$E,Heron!$A81)+SUMIFS(Xero!$F:$F,Xero!$B:$B,Heron!F$9,Xero!$A:$A,Heron!$A$5,Xero!$E:$E,Heron!$A81)</f>
        <v>0</v>
      </c>
      <c r="G81" s="99">
        <f>SUMIFS(Xero!$F:$F,Xero!$B:$B,Heron!G$9,Xero!$A:$A,Heron!$A$4,Xero!$E:$E,Heron!$A81)+SUMIFS(Xero!$F:$F,Xero!$B:$B,Heron!G$9,Xero!$A:$A,Heron!$A$5,Xero!$E:$E,Heron!$A81)</f>
        <v>0</v>
      </c>
      <c r="H81" s="99">
        <f>SUMIFS(Xero!$F:$F,Xero!$B:$B,Heron!H$9,Xero!$A:$A,Heron!$A$4,Xero!$E:$E,Heron!$A81)+SUMIFS(Xero!$F:$F,Xero!$B:$B,Heron!H$9,Xero!$A:$A,Heron!$A$5,Xero!$E:$E,Heron!$A81)</f>
        <v>0</v>
      </c>
      <c r="I81" s="99">
        <f>SUMIFS(Xero!$F:$F,Xero!$B:$B,Heron!I$9,Xero!$A:$A,Heron!$A$4,Xero!$E:$E,Heron!$A81)+SUMIFS(Xero!$F:$F,Xero!$B:$B,Heron!I$9,Xero!$A:$A,Heron!$A$5,Xero!$E:$E,Heron!$A81)</f>
        <v>0</v>
      </c>
      <c r="J81" s="99">
        <f>SUMIFS(Xero!$F:$F,Xero!$B:$B,Heron!J$9,Xero!$A:$A,Heron!$A$4,Xero!$E:$E,Heron!$A81)+SUMIFS(Xero!$F:$F,Xero!$B:$B,Heron!J$9,Xero!$A:$A,Heron!$A$5,Xero!$E:$E,Heron!$A81)</f>
        <v>0</v>
      </c>
      <c r="K81" s="99">
        <f>SUMIFS(Xero!$F:$F,Xero!$B:$B,Heron!K$9,Xero!$A:$A,Heron!$A$4,Xero!$E:$E,Heron!$A81)+SUMIFS(Xero!$F:$F,Xero!$B:$B,Heron!K$9,Xero!$A:$A,Heron!$A$5,Xero!$E:$E,Heron!$A81)</f>
        <v>0</v>
      </c>
      <c r="L81" s="99">
        <f>SUMIFS(Xero!$F:$F,Xero!$B:$B,Heron!L$9,Xero!$A:$A,Heron!$A$4,Xero!$E:$E,Heron!$A81)+SUMIFS(Xero!$F:$F,Xero!$B:$B,Heron!L$9,Xero!$A:$A,Heron!$A$5,Xero!$E:$E,Heron!$A81)</f>
        <v>0</v>
      </c>
      <c r="M81" s="99">
        <f>SUMIFS(Xero!$F:$F,Xero!$B:$B,Heron!M$9,Xero!$A:$A,Heron!$A$4,Xero!$E:$E,Heron!$A81)+SUMIFS(Xero!$F:$F,Xero!$B:$B,Heron!M$9,Xero!$A:$A,Heron!$A$5,Xero!$E:$E,Heron!$A81)</f>
        <v>0</v>
      </c>
      <c r="N81" s="99">
        <f>SUMIFS(Xero!$F:$F,Xero!$B:$B,Heron!N$9,Xero!$A:$A,Heron!$A$4,Xero!$E:$E,Heron!$A81)+SUMIFS(Xero!$F:$F,Xero!$B:$B,Heron!N$9,Xero!$A:$A,Heron!$A$5,Xero!$E:$E,Heron!$A81)</f>
        <v>0</v>
      </c>
      <c r="O81" s="99">
        <f>SUMIFS(Xero!$F:$F,Xero!$B:$B,Heron!O$9,Xero!$A:$A,Heron!$A$4,Xero!$E:$E,Heron!$A81)+SUMIFS(Xero!$F:$F,Xero!$B:$B,Heron!O$9,Xero!$A:$A,Heron!$A$5,Xero!$E:$E,Heron!$A81)</f>
        <v>0</v>
      </c>
      <c r="P81" s="99">
        <f>SUMIFS(Xero!$F:$F,Xero!$B:$B,Heron!P$9,Xero!$A:$A,Heron!$A$4,Xero!$E:$E,Heron!$A81)+SUMIFS(Xero!$F:$F,Xero!$B:$B,Heron!P$9,Xero!$A:$A,Heron!$A$5,Xero!$E:$E,Heron!$A81)</f>
        <v>0</v>
      </c>
      <c r="Q81" s="99">
        <f>SUMIFS(Xero!$F:$F,Xero!$B:$B,Heron!Q$9,Xero!$A:$A,Heron!$A$4,Xero!$E:$E,Heron!$A81)+SUMIFS(Xero!$F:$F,Xero!$B:$B,Heron!Q$9,Xero!$A:$A,Heron!$A$5,Xero!$E:$E,Heron!$A81)</f>
        <v>0</v>
      </c>
      <c r="R81" s="99">
        <f>SUMIFS(Xero!$F:$F,Xero!$B:$B,Heron!R$9,Xero!$A:$A,Heron!$A$4,Xero!$E:$E,Heron!$A81)+SUMIFS(Xero!$F:$F,Xero!$B:$B,Heron!R$9,Xero!$A:$A,Heron!$A$5,Xero!$E:$E,Heron!$A81)</f>
        <v>0</v>
      </c>
      <c r="S81" s="99">
        <f>SUMIFS(Xero!$F:$F,Xero!$B:$B,Heron!S$9,Xero!$A:$A,Heron!$A$4,Xero!$E:$E,Heron!$A81)+SUMIFS(Xero!$F:$F,Xero!$B:$B,Heron!S$9,Xero!$A:$A,Heron!$A$5,Xero!$E:$E,Heron!$A81)</f>
        <v>0</v>
      </c>
      <c r="T81" s="99">
        <f>SUMIFS(Xero!$F:$F,Xero!$B:$B,Heron!T$9,Xero!$A:$A,Heron!$A$4,Xero!$E:$E,Heron!$A81)+SUMIFS(Xero!$F:$F,Xero!$B:$B,Heron!T$9,Xero!$A:$A,Heron!$A$5,Xero!$E:$E,Heron!$A81)</f>
        <v>0</v>
      </c>
      <c r="U81" s="99">
        <f>SUMIFS(Xero!$F:$F,Xero!$B:$B,Heron!U$9,Xero!$A:$A,Heron!$A$4,Xero!$E:$E,Heron!$A81)+SUMIFS(Xero!$F:$F,Xero!$B:$B,Heron!U$9,Xero!$A:$A,Heron!$A$5,Xero!$E:$E,Heron!$A81)</f>
        <v>0</v>
      </c>
      <c r="V81" s="99">
        <f>SUMIFS(Xero!$F:$F,Xero!$B:$B,Heron!V$9,Xero!$A:$A,Heron!$A$4,Xero!$E:$E,Heron!$A81)+SUMIFS(Xero!$F:$F,Xero!$B:$B,Heron!V$9,Xero!$A:$A,Heron!$A$5,Xero!$E:$E,Heron!$A81)</f>
        <v>0</v>
      </c>
      <c r="W81" s="99">
        <f>SUMIFS(Xero!$F:$F,Xero!$B:$B,Heron!W$9,Xero!$A:$A,Heron!$A$4,Xero!$E:$E,Heron!$A81)+SUMIFS(Xero!$F:$F,Xero!$B:$B,Heron!W$9,Xero!$A:$A,Heron!$A$5,Xero!$E:$E,Heron!$A81)</f>
        <v>0</v>
      </c>
      <c r="X81" s="99">
        <f>SUMIFS(Xero!$F:$F,Xero!$B:$B,Heron!X$9,Xero!$A:$A,Heron!$A$4,Xero!$E:$E,Heron!$A81)+SUMIFS(Xero!$F:$F,Xero!$B:$B,Heron!X$9,Xero!$A:$A,Heron!$A$5,Xero!$E:$E,Heron!$A81)</f>
        <v>29312.34</v>
      </c>
      <c r="Y81" s="99">
        <f>SUMIFS(Xero!$F:$F,Xero!$B:$B,Heron!Y$9,Xero!$A:$A,Heron!$A$4,Xero!$E:$E,Heron!$A81)+SUMIFS(Xero!$F:$F,Xero!$B:$B,Heron!Y$9,Xero!$A:$A,Heron!$A$5,Xero!$E:$E,Heron!$A81)</f>
        <v>2920.55</v>
      </c>
      <c r="Z81" s="99">
        <f>SUMIFS(Xero!$F:$F,Xero!$B:$B,Heron!Z$9,Xero!$A:$A,Heron!$A$4,Xero!$E:$E,Heron!$A81)+SUMIFS(Xero!$F:$F,Xero!$B:$B,Heron!Z$9,Xero!$A:$A,Heron!$A$5,Xero!$E:$E,Heron!$A81)</f>
        <v>18431.5</v>
      </c>
      <c r="AA81" s="99">
        <f>SUMIFS(Xero!$F:$F,Xero!$B:$B,Heron!AA$9,Xero!$A:$A,Heron!$A$4,Xero!$E:$E,Heron!$A81)+SUMIFS(Xero!$F:$F,Xero!$B:$B,Heron!AA$9,Xero!$A:$A,Heron!$A$5,Xero!$E:$E,Heron!$A81)</f>
        <v>178.08</v>
      </c>
      <c r="AB81" s="99">
        <f>SUMIFS(Xero!$F:$F,Xero!$B:$B,Heron!AB$9,Xero!$A:$A,Heron!$A$4,Xero!$E:$E,Heron!$A81)+SUMIFS(Xero!$F:$F,Xero!$B:$B,Heron!AB$9,Xero!$A:$A,Heron!$A$5,Xero!$E:$E,Heron!$A81)</f>
        <v>3561.64</v>
      </c>
      <c r="AC81" s="99">
        <f>SUMIFS(Xero!$F:$F,Xero!$B:$B,Heron!AC$9,Xero!$A:$A,Heron!$A$4,Xero!$E:$E,Heron!$A81)+SUMIFS(Xero!$F:$F,Xero!$B:$B,Heron!AC$9,Xero!$A:$A,Heron!$A$5,Xero!$E:$E,Heron!$A81)</f>
        <v>37361.65</v>
      </c>
      <c r="AD81" s="99">
        <f>SUMIFS(Xero!$F:$F,Xero!$B:$B,Heron!AD$9,Xero!$A:$A,Heron!$A$4,Xero!$E:$E,Heron!$A81)+SUMIFS(Xero!$F:$F,Xero!$B:$B,Heron!AD$9,Xero!$A:$A,Heron!$A$5,Xero!$E:$E,Heron!$A81)</f>
        <v>15457.54</v>
      </c>
      <c r="AE81" s="99">
        <f>SUMIFS(Xero!$F:$F,Xero!$B:$B,Heron!AE$9,Xero!$A:$A,Heron!$A$4,Xero!$E:$E,Heron!$A81)+SUMIFS(Xero!$F:$F,Xero!$B:$B,Heron!AE$9,Xero!$A:$A,Heron!$A$5,Xero!$E:$E,Heron!$A81)</f>
        <v>5520.55</v>
      </c>
      <c r="AF81" s="99">
        <f>SUMIFS(Xero!$F:$F,Xero!$B:$B,Heron!AF$9,Xero!$A:$A,Heron!$A$4,Xero!$E:$E,Heron!$A81)+SUMIFS(Xero!$F:$F,Xero!$B:$B,Heron!AF$9,Xero!$A:$A,Heron!$A$5,Xero!$E:$E,Heron!$A81)</f>
        <v>11041.1</v>
      </c>
      <c r="AG81" s="99">
        <f>SUMIFS(Xero!$F:$F,Xero!$B:$B,Heron!AG$9,Xero!$A:$A,Heron!$A$4,Xero!$E:$E,Heron!$A81)+SUMIFS(Xero!$F:$F,Xero!$B:$B,Heron!AG$9,Xero!$A:$A,Heron!$A$5,Xero!$E:$E,Heron!$A81)</f>
        <v>0</v>
      </c>
      <c r="AH81" s="99">
        <f>SUMIFS(Xero!$F:$F,Xero!$B:$B,Heron!AH$9,Xero!$A:$A,Heron!$A$4,Xero!$E:$E,Heron!$A81)+SUMIFS(Xero!$F:$F,Xero!$B:$B,Heron!AH$9,Xero!$A:$A,Heron!$A$5,Xero!$E:$E,Heron!$A81)</f>
        <v>0</v>
      </c>
      <c r="AI81" s="99">
        <f>SUMIFS(Xero!$F:$F,Xero!$B:$B,Heron!AI$9,Xero!$A:$A,Heron!$A$4,Xero!$E:$E,Heron!$A81)+SUMIFS(Xero!$F:$F,Xero!$B:$B,Heron!AI$9,Xero!$A:$A,Heron!$A$5,Xero!$E:$E,Heron!$A81)</f>
        <v>0</v>
      </c>
      <c r="AJ81" s="99">
        <f>SUMIFS(Xero!$F:$F,Xero!$B:$B,Heron!AJ$9,Xero!$A:$A,Heron!$A$4,Xero!$E:$E,Heron!$A81)+SUMIFS(Xero!$F:$F,Xero!$B:$B,Heron!AJ$9,Xero!$A:$A,Heron!$A$5,Xero!$E:$E,Heron!$A81)</f>
        <v>0</v>
      </c>
      <c r="AK81" s="99">
        <f>SUMIFS(Xero!$F:$F,Xero!$B:$B,Heron!AK$9,Xero!$A:$A,Heron!$A$4,Xero!$E:$E,Heron!$A81)+SUMIFS(Xero!$F:$F,Xero!$B:$B,Heron!AK$9,Xero!$A:$A,Heron!$A$5,Xero!$E:$E,Heron!$A81)</f>
        <v>0</v>
      </c>
      <c r="AL81" s="99">
        <f>SUMIFS(Xero!$F:$F,Xero!$B:$B,Heron!AL$9,Xero!$A:$A,Heron!$A$4,Xero!$E:$E,Heron!$A81)+SUMIFS(Xero!$F:$F,Xero!$B:$B,Heron!AL$9,Xero!$A:$A,Heron!$A$5,Xero!$E:$E,Heron!$A81)</f>
        <v>0</v>
      </c>
      <c r="AM81" s="99">
        <f>SUMIFS(Xero!$F:$F,Xero!$B:$B,Heron!AM$9,Xero!$A:$A,Heron!$A$4,Xero!$E:$E,Heron!$A81)+SUMIFS(Xero!$F:$F,Xero!$B:$B,Heron!AM$9,Xero!$A:$A,Heron!$A$5,Xero!$E:$E,Heron!$A81)</f>
        <v>0</v>
      </c>
      <c r="AN81" s="99">
        <f>SUMIFS(Xero!$F:$F,Xero!$B:$B,Heron!AN$9,Xero!$A:$A,Heron!$A$4,Xero!$E:$E,Heron!$A81)+SUMIFS(Xero!$F:$F,Xero!$B:$B,Heron!AN$9,Xero!$A:$A,Heron!$A$5,Xero!$E:$E,Heron!$A81)</f>
        <v>0</v>
      </c>
      <c r="AO81" s="99">
        <f>SUMIFS(Xero!$F:$F,Xero!$B:$B,Heron!AO$9,Xero!$A:$A,Heron!$A$4,Xero!$E:$E,Heron!$A81)+SUMIFS(Xero!$F:$F,Xero!$B:$B,Heron!AO$9,Xero!$A:$A,Heron!$A$5,Xero!$E:$E,Heron!$A81)</f>
        <v>0</v>
      </c>
      <c r="AP81" s="99">
        <f>SUMIFS(Xero!$F:$F,Xero!$B:$B,Heron!AP$9,Xero!$A:$A,Heron!$A$4,Xero!$E:$E,Heron!$A81)+SUMIFS(Xero!$F:$F,Xero!$B:$B,Heron!AP$9,Xero!$A:$A,Heron!$A$5,Xero!$E:$E,Heron!$A81)</f>
        <v>0</v>
      </c>
      <c r="AQ81" s="99">
        <f>SUMIFS(Xero!$F:$F,Xero!$B:$B,Heron!AQ$9,Xero!$A:$A,Heron!$A$4,Xero!$E:$E,Heron!$A81)+SUMIFS(Xero!$F:$F,Xero!$B:$B,Heron!AQ$9,Xero!$A:$A,Heron!$A$5,Xero!$E:$E,Heron!$A81)</f>
        <v>0</v>
      </c>
      <c r="AR81" s="99">
        <f>SUMIFS(Xero!$F:$F,Xero!$B:$B,Heron!AR$9,Xero!$A:$A,Heron!$A$4,Xero!$E:$E,Heron!$A81)+SUMIFS(Xero!$F:$F,Xero!$B:$B,Heron!AR$9,Xero!$A:$A,Heron!$A$5,Xero!$E:$E,Heron!$A81)</f>
        <v>0</v>
      </c>
      <c r="AS81" s="99">
        <f>SUMIFS(Xero!$F:$F,Xero!$B:$B,Heron!AS$9,Xero!$A:$A,Heron!$A$4,Xero!$E:$E,Heron!$A81)+SUMIFS(Xero!$F:$F,Xero!$B:$B,Heron!AS$9,Xero!$A:$A,Heron!$A$5,Xero!$E:$E,Heron!$A81)</f>
        <v>0</v>
      </c>
      <c r="AT81" s="99">
        <f>SUMIFS(Xero!$F:$F,Xero!$B:$B,Heron!AT$9,Xero!$A:$A,Heron!$A$4,Xero!$E:$E,Heron!$A81)+SUMIFS(Xero!$F:$F,Xero!$B:$B,Heron!AT$9,Xero!$A:$A,Heron!$A$5,Xero!$E:$E,Heron!$A81)</f>
        <v>0</v>
      </c>
      <c r="AU81" s="99">
        <f>SUMIFS(Xero!$F:$F,Xero!$B:$B,Heron!AU$9,Xero!$A:$A,Heron!$A$4,Xero!$E:$E,Heron!$A81)+SUMIFS(Xero!$F:$F,Xero!$B:$B,Heron!AU$9,Xero!$A:$A,Heron!$A$5,Xero!$E:$E,Heron!$A81)</f>
        <v>0</v>
      </c>
      <c r="AV81" s="99">
        <f>SUMIFS(Xero!$F:$F,Xero!$B:$B,Heron!AV$9,Xero!$A:$A,Heron!$A$4,Xero!$E:$E,Heron!$A81)+SUMIFS(Xero!$F:$F,Xero!$B:$B,Heron!AV$9,Xero!$A:$A,Heron!$A$5,Xero!$E:$E,Heron!$A81)</f>
        <v>0</v>
      </c>
      <c r="AW81" s="99">
        <f>SUMIFS(Xero!$F:$F,Xero!$B:$B,Heron!AW$9,Xero!$A:$A,Heron!$A$4,Xero!$E:$E,Heron!$A81)+SUMIFS(Xero!$F:$F,Xero!$B:$B,Heron!AW$9,Xero!$A:$A,Heron!$A$5,Xero!$E:$E,Heron!$A81)</f>
        <v>0</v>
      </c>
      <c r="AX81" s="99">
        <f>SUMIFS(Xero!$F:$F,Xero!$B:$B,Heron!AX$9,Xero!$A:$A,Heron!$A$4,Xero!$E:$E,Heron!$A81)+SUMIFS(Xero!$F:$F,Xero!$B:$B,Heron!AX$9,Xero!$A:$A,Heron!$A$5,Xero!$E:$E,Heron!$A81)</f>
        <v>0</v>
      </c>
      <c r="AY81" s="99">
        <f>SUMIFS(Xero!$F:$F,Xero!$B:$B,Heron!AY$9,Xero!$A:$A,Heron!$A$4,Xero!$E:$E,Heron!$A81)+SUMIFS(Xero!$F:$F,Xero!$B:$B,Heron!AY$9,Xero!$A:$A,Heron!$A$5,Xero!$E:$E,Heron!$A81)</f>
        <v>0</v>
      </c>
      <c r="AZ81" s="99">
        <f>SUMIFS(Xero!$F:$F,Xero!$B:$B,Heron!AZ$9,Xero!$A:$A,Heron!$A$4,Xero!$E:$E,Heron!$A81)+SUMIFS(Xero!$F:$F,Xero!$B:$B,Heron!AZ$9,Xero!$A:$A,Heron!$A$5,Xero!$E:$E,Heron!$A81)</f>
        <v>0</v>
      </c>
      <c r="BA81" s="99">
        <f>SUMIFS(Xero!$F:$F,Xero!$B:$B,Heron!BA$9,Xero!$A:$A,Heron!$A$4,Xero!$E:$E,Heron!$A81)+SUMIFS(Xero!$F:$F,Xero!$B:$B,Heron!BA$9,Xero!$A:$A,Heron!$A$5,Xero!$E:$E,Heron!$A81)</f>
        <v>0</v>
      </c>
      <c r="BB81" s="99">
        <f>SUMIFS(Xero!$F:$F,Xero!$B:$B,Heron!BB$9,Xero!$A:$A,Heron!$A$4,Xero!$E:$E,Heron!$A81)+SUMIFS(Xero!$F:$F,Xero!$B:$B,Heron!BB$9,Xero!$A:$A,Heron!$A$5,Xero!$E:$E,Heron!$A81)</f>
        <v>0</v>
      </c>
      <c r="BC81" s="99">
        <f>SUMIFS(Xero!$F:$F,Xero!$B:$B,Heron!BC$9,Xero!$A:$A,Heron!$A$4,Xero!$E:$E,Heron!$A81)+SUMIFS(Xero!$F:$F,Xero!$B:$B,Heron!BC$9,Xero!$A:$A,Heron!$A$5,Xero!$E:$E,Heron!$A81)</f>
        <v>0</v>
      </c>
      <c r="BD81" s="99">
        <f>SUMIFS(Xero!$F:$F,Xero!$B:$B,Heron!BD$9,Xero!$A:$A,Heron!$A$4,Xero!$E:$E,Heron!$A81)+SUMIFS(Xero!$F:$F,Xero!$B:$B,Heron!BD$9,Xero!$A:$A,Heron!$A$5,Xero!$E:$E,Heron!$A81)</f>
        <v>0</v>
      </c>
      <c r="BE81" s="99">
        <f>SUMIFS(Xero!$F:$F,Xero!$B:$B,Heron!BE$9,Xero!$A:$A,Heron!$A$4,Xero!$E:$E,Heron!$A81)+SUMIFS(Xero!$F:$F,Xero!$B:$B,Heron!BE$9,Xero!$A:$A,Heron!$A$5,Xero!$E:$E,Heron!$A81)</f>
        <v>0</v>
      </c>
      <c r="BF81" s="99">
        <f>SUMIFS(Xero!$F:$F,Xero!$B:$B,Heron!BF$9,Xero!$A:$A,Heron!$A$4,Xero!$E:$E,Heron!$A81)+SUMIFS(Xero!$F:$F,Xero!$B:$B,Heron!BF$9,Xero!$A:$A,Heron!$A$5,Xero!$E:$E,Heron!$A81)</f>
        <v>0</v>
      </c>
      <c r="BG81" s="99">
        <f>SUMIFS(Xero!$F:$F,Xero!$B:$B,Heron!BG$9,Xero!$A:$A,Heron!$A$4,Xero!$E:$E,Heron!$A81)+SUMIFS(Xero!$F:$F,Xero!$B:$B,Heron!BG$9,Xero!$A:$A,Heron!$A$5,Xero!$E:$E,Heron!$A81)</f>
        <v>0</v>
      </c>
      <c r="BH81" s="99">
        <f>SUMIFS(Xero!$F:$F,Xero!$B:$B,Heron!BH$9,Xero!$A:$A,Heron!$A$4,Xero!$E:$E,Heron!$A81)+SUMIFS(Xero!$F:$F,Xero!$B:$B,Heron!BH$9,Xero!$A:$A,Heron!$A$5,Xero!$E:$E,Heron!$A81)</f>
        <v>0</v>
      </c>
      <c r="BI81" s="99">
        <f>SUMIFS(Xero!$F:$F,Xero!$B:$B,Heron!BI$9,Xero!$A:$A,Heron!$A$4,Xero!$E:$E,Heron!$A81)+SUMIFS(Xero!$F:$F,Xero!$B:$B,Heron!BI$9,Xero!$A:$A,Heron!$A$5,Xero!$E:$E,Heron!$A81)</f>
        <v>0</v>
      </c>
      <c r="BJ81" s="99">
        <f>SUMIFS(Xero!$F:$F,Xero!$B:$B,Heron!BJ$9,Xero!$A:$A,Heron!$A$4,Xero!$E:$E,Heron!$A81)+SUMIFS(Xero!$F:$F,Xero!$B:$B,Heron!BJ$9,Xero!$A:$A,Heron!$A$5,Xero!$E:$E,Heron!$A81)</f>
        <v>0</v>
      </c>
      <c r="BK81" s="99">
        <f t="shared" si="5"/>
        <v>123784.95000000003</v>
      </c>
    </row>
    <row r="82" spans="1:63" ht="16" x14ac:dyDescent="0.2">
      <c r="A82" s="98" t="s">
        <v>1570</v>
      </c>
      <c r="D82" s="99">
        <f>SUMIFS(Xero!$F:$F,Xero!$B:$B,Heron!D$9,Xero!$A:$A,Heron!$A$4,Xero!$E:$E,Heron!$A82)+SUMIFS(Xero!$F:$F,Xero!$B:$B,Heron!D$9,Xero!$A:$A,Heron!$A$5,Xero!$E:$E,Heron!$A82)</f>
        <v>0</v>
      </c>
      <c r="E82" s="99">
        <f>SUMIFS(Xero!$F:$F,Xero!$B:$B,Heron!E$9,Xero!$A:$A,Heron!$A$4,Xero!$E:$E,Heron!$A82)+SUMIFS(Xero!$F:$F,Xero!$B:$B,Heron!E$9,Xero!$A:$A,Heron!$A$5,Xero!$E:$E,Heron!$A82)</f>
        <v>0</v>
      </c>
      <c r="F82" s="99">
        <f>SUMIFS(Xero!$F:$F,Xero!$B:$B,Heron!F$9,Xero!$A:$A,Heron!$A$4,Xero!$E:$E,Heron!$A82)+SUMIFS(Xero!$F:$F,Xero!$B:$B,Heron!F$9,Xero!$A:$A,Heron!$A$5,Xero!$E:$E,Heron!$A82)</f>
        <v>0</v>
      </c>
      <c r="G82" s="99">
        <f>SUMIFS(Xero!$F:$F,Xero!$B:$B,Heron!G$9,Xero!$A:$A,Heron!$A$4,Xero!$E:$E,Heron!$A82)+SUMIFS(Xero!$F:$F,Xero!$B:$B,Heron!G$9,Xero!$A:$A,Heron!$A$5,Xero!$E:$E,Heron!$A82)</f>
        <v>0</v>
      </c>
      <c r="H82" s="99">
        <f>SUMIFS(Xero!$F:$F,Xero!$B:$B,Heron!H$9,Xero!$A:$A,Heron!$A$4,Xero!$E:$E,Heron!$A82)+SUMIFS(Xero!$F:$F,Xero!$B:$B,Heron!H$9,Xero!$A:$A,Heron!$A$5,Xero!$E:$E,Heron!$A82)</f>
        <v>0</v>
      </c>
      <c r="I82" s="99">
        <f>SUMIFS(Xero!$F:$F,Xero!$B:$B,Heron!I$9,Xero!$A:$A,Heron!$A$4,Xero!$E:$E,Heron!$A82)+SUMIFS(Xero!$F:$F,Xero!$B:$B,Heron!I$9,Xero!$A:$A,Heron!$A$5,Xero!$E:$E,Heron!$A82)</f>
        <v>0</v>
      </c>
      <c r="J82" s="99">
        <f>SUMIFS(Xero!$F:$F,Xero!$B:$B,Heron!J$9,Xero!$A:$A,Heron!$A$4,Xero!$E:$E,Heron!$A82)+SUMIFS(Xero!$F:$F,Xero!$B:$B,Heron!J$9,Xero!$A:$A,Heron!$A$5,Xero!$E:$E,Heron!$A82)</f>
        <v>0</v>
      </c>
      <c r="K82" s="99">
        <f>SUMIFS(Xero!$F:$F,Xero!$B:$B,Heron!K$9,Xero!$A:$A,Heron!$A$4,Xero!$E:$E,Heron!$A82)+SUMIFS(Xero!$F:$F,Xero!$B:$B,Heron!K$9,Xero!$A:$A,Heron!$A$5,Xero!$E:$E,Heron!$A82)</f>
        <v>0</v>
      </c>
      <c r="L82" s="99">
        <f>SUMIFS(Xero!$F:$F,Xero!$B:$B,Heron!L$9,Xero!$A:$A,Heron!$A$4,Xero!$E:$E,Heron!$A82)+SUMIFS(Xero!$F:$F,Xero!$B:$B,Heron!L$9,Xero!$A:$A,Heron!$A$5,Xero!$E:$E,Heron!$A82)</f>
        <v>0</v>
      </c>
      <c r="M82" s="99">
        <f>SUMIFS(Xero!$F:$F,Xero!$B:$B,Heron!M$9,Xero!$A:$A,Heron!$A$4,Xero!$E:$E,Heron!$A82)+SUMIFS(Xero!$F:$F,Xero!$B:$B,Heron!M$9,Xero!$A:$A,Heron!$A$5,Xero!$E:$E,Heron!$A82)</f>
        <v>0</v>
      </c>
      <c r="N82" s="99">
        <f>SUMIFS(Xero!$F:$F,Xero!$B:$B,Heron!N$9,Xero!$A:$A,Heron!$A$4,Xero!$E:$E,Heron!$A82)+SUMIFS(Xero!$F:$F,Xero!$B:$B,Heron!N$9,Xero!$A:$A,Heron!$A$5,Xero!$E:$E,Heron!$A82)</f>
        <v>0</v>
      </c>
      <c r="O82" s="99">
        <f>SUMIFS(Xero!$F:$F,Xero!$B:$B,Heron!O$9,Xero!$A:$A,Heron!$A$4,Xero!$E:$E,Heron!$A82)+SUMIFS(Xero!$F:$F,Xero!$B:$B,Heron!O$9,Xero!$A:$A,Heron!$A$5,Xero!$E:$E,Heron!$A82)</f>
        <v>0</v>
      </c>
      <c r="P82" s="99">
        <f>SUMIFS(Xero!$F:$F,Xero!$B:$B,Heron!P$9,Xero!$A:$A,Heron!$A$4,Xero!$E:$E,Heron!$A82)+SUMIFS(Xero!$F:$F,Xero!$B:$B,Heron!P$9,Xero!$A:$A,Heron!$A$5,Xero!$E:$E,Heron!$A82)</f>
        <v>0</v>
      </c>
      <c r="Q82" s="99">
        <f>SUMIFS(Xero!$F:$F,Xero!$B:$B,Heron!Q$9,Xero!$A:$A,Heron!$A$4,Xero!$E:$E,Heron!$A82)+SUMIFS(Xero!$F:$F,Xero!$B:$B,Heron!Q$9,Xero!$A:$A,Heron!$A$5,Xero!$E:$E,Heron!$A82)</f>
        <v>0</v>
      </c>
      <c r="R82" s="99">
        <f>SUMIFS(Xero!$F:$F,Xero!$B:$B,Heron!R$9,Xero!$A:$A,Heron!$A$4,Xero!$E:$E,Heron!$A82)+SUMIFS(Xero!$F:$F,Xero!$B:$B,Heron!R$9,Xero!$A:$A,Heron!$A$5,Xero!$E:$E,Heron!$A82)</f>
        <v>0</v>
      </c>
      <c r="S82" s="99">
        <f>SUMIFS(Xero!$F:$F,Xero!$B:$B,Heron!S$9,Xero!$A:$A,Heron!$A$4,Xero!$E:$E,Heron!$A82)+SUMIFS(Xero!$F:$F,Xero!$B:$B,Heron!S$9,Xero!$A:$A,Heron!$A$5,Xero!$E:$E,Heron!$A82)</f>
        <v>0</v>
      </c>
      <c r="T82" s="99">
        <f>SUMIFS(Xero!$F:$F,Xero!$B:$B,Heron!T$9,Xero!$A:$A,Heron!$A$4,Xero!$E:$E,Heron!$A82)+SUMIFS(Xero!$F:$F,Xero!$B:$B,Heron!T$9,Xero!$A:$A,Heron!$A$5,Xero!$E:$E,Heron!$A82)</f>
        <v>0</v>
      </c>
      <c r="U82" s="99">
        <f>SUMIFS(Xero!$F:$F,Xero!$B:$B,Heron!U$9,Xero!$A:$A,Heron!$A$4,Xero!$E:$E,Heron!$A82)+SUMIFS(Xero!$F:$F,Xero!$B:$B,Heron!U$9,Xero!$A:$A,Heron!$A$5,Xero!$E:$E,Heron!$A82)</f>
        <v>0</v>
      </c>
      <c r="V82" s="99">
        <f>SUMIFS(Xero!$F:$F,Xero!$B:$B,Heron!V$9,Xero!$A:$A,Heron!$A$4,Xero!$E:$E,Heron!$A82)+SUMIFS(Xero!$F:$F,Xero!$B:$B,Heron!V$9,Xero!$A:$A,Heron!$A$5,Xero!$E:$E,Heron!$A82)</f>
        <v>0</v>
      </c>
      <c r="W82" s="99">
        <f>SUMIFS(Xero!$F:$F,Xero!$B:$B,Heron!W$9,Xero!$A:$A,Heron!$A$4,Xero!$E:$E,Heron!$A82)+SUMIFS(Xero!$F:$F,Xero!$B:$B,Heron!W$9,Xero!$A:$A,Heron!$A$5,Xero!$E:$E,Heron!$A82)</f>
        <v>0</v>
      </c>
      <c r="X82" s="99">
        <f>SUMIFS(Xero!$F:$F,Xero!$B:$B,Heron!X$9,Xero!$A:$A,Heron!$A$4,Xero!$E:$E,Heron!$A82)+SUMIFS(Xero!$F:$F,Xero!$B:$B,Heron!X$9,Xero!$A:$A,Heron!$A$5,Xero!$E:$E,Heron!$A82)</f>
        <v>560.97</v>
      </c>
      <c r="Y82" s="99">
        <f>SUMIFS(Xero!$F:$F,Xero!$B:$B,Heron!Y$9,Xero!$A:$A,Heron!$A$4,Xero!$E:$E,Heron!$A82)+SUMIFS(Xero!$F:$F,Xero!$B:$B,Heron!Y$9,Xero!$A:$A,Heron!$A$5,Xero!$E:$E,Heron!$A82)</f>
        <v>1091.0999999999999</v>
      </c>
      <c r="Z82" s="99">
        <f>SUMIFS(Xero!$F:$F,Xero!$B:$B,Heron!Z$9,Xero!$A:$A,Heron!$A$4,Xero!$E:$E,Heron!$A82)+SUMIFS(Xero!$F:$F,Xero!$B:$B,Heron!Z$9,Xero!$A:$A,Heron!$A$5,Xero!$E:$E,Heron!$A82)</f>
        <v>13213.35</v>
      </c>
      <c r="AA82" s="99">
        <f>SUMIFS(Xero!$F:$F,Xero!$B:$B,Heron!AA$9,Xero!$A:$A,Heron!$A$4,Xero!$E:$E,Heron!$A82)+SUMIFS(Xero!$F:$F,Xero!$B:$B,Heron!AA$9,Xero!$A:$A,Heron!$A$5,Xero!$E:$E,Heron!$A82)</f>
        <v>0</v>
      </c>
      <c r="AB82" s="99">
        <f>SUMIFS(Xero!$F:$F,Xero!$B:$B,Heron!AB$9,Xero!$A:$A,Heron!$A$4,Xero!$E:$E,Heron!$A82)+SUMIFS(Xero!$F:$F,Xero!$B:$B,Heron!AB$9,Xero!$A:$A,Heron!$A$5,Xero!$E:$E,Heron!$A82)</f>
        <v>0</v>
      </c>
      <c r="AC82" s="99">
        <f>SUMIFS(Xero!$F:$F,Xero!$B:$B,Heron!AC$9,Xero!$A:$A,Heron!$A$4,Xero!$E:$E,Heron!$A82)+SUMIFS(Xero!$F:$F,Xero!$B:$B,Heron!AC$9,Xero!$A:$A,Heron!$A$5,Xero!$E:$E,Heron!$A82)</f>
        <v>22913.02</v>
      </c>
      <c r="AD82" s="99">
        <f>SUMIFS(Xero!$F:$F,Xero!$B:$B,Heron!AD$9,Xero!$A:$A,Heron!$A$4,Xero!$E:$E,Heron!$A82)+SUMIFS(Xero!$F:$F,Xero!$B:$B,Heron!AD$9,Xero!$A:$A,Heron!$A$5,Xero!$E:$E,Heron!$A82)</f>
        <v>13389.04</v>
      </c>
      <c r="AE82" s="99">
        <f>SUMIFS(Xero!$F:$F,Xero!$B:$B,Heron!AE$9,Xero!$A:$A,Heron!$A$4,Xero!$E:$E,Heron!$A82)+SUMIFS(Xero!$F:$F,Xero!$B:$B,Heron!AE$9,Xero!$A:$A,Heron!$A$5,Xero!$E:$E,Heron!$A82)</f>
        <v>3014.39</v>
      </c>
      <c r="AF82" s="99">
        <f>SUMIFS(Xero!$F:$F,Xero!$B:$B,Heron!AF$9,Xero!$A:$A,Heron!$A$4,Xero!$E:$E,Heron!$A82)+SUMIFS(Xero!$F:$F,Xero!$B:$B,Heron!AF$9,Xero!$A:$A,Heron!$A$5,Xero!$E:$E,Heron!$A82)</f>
        <v>4808.22</v>
      </c>
      <c r="AG82" s="99">
        <f>SUMIFS(Xero!$F:$F,Xero!$B:$B,Heron!AG$9,Xero!$A:$A,Heron!$A$4,Xero!$E:$E,Heron!$A82)+SUMIFS(Xero!$F:$F,Xero!$B:$B,Heron!AG$9,Xero!$A:$A,Heron!$A$5,Xero!$E:$E,Heron!$A82)</f>
        <v>0</v>
      </c>
      <c r="AH82" s="99">
        <f>SUMIFS(Xero!$F:$F,Xero!$B:$B,Heron!AH$9,Xero!$A:$A,Heron!$A$4,Xero!$E:$E,Heron!$A82)+SUMIFS(Xero!$F:$F,Xero!$B:$B,Heron!AH$9,Xero!$A:$A,Heron!$A$5,Xero!$E:$E,Heron!$A82)</f>
        <v>0</v>
      </c>
      <c r="AI82" s="99">
        <f>SUMIFS(Xero!$F:$F,Xero!$B:$B,Heron!AI$9,Xero!$A:$A,Heron!$A$4,Xero!$E:$E,Heron!$A82)+SUMIFS(Xero!$F:$F,Xero!$B:$B,Heron!AI$9,Xero!$A:$A,Heron!$A$5,Xero!$E:$E,Heron!$A82)</f>
        <v>0</v>
      </c>
      <c r="AJ82" s="99">
        <f>SUMIFS(Xero!$F:$F,Xero!$B:$B,Heron!AJ$9,Xero!$A:$A,Heron!$A$4,Xero!$E:$E,Heron!$A82)+SUMIFS(Xero!$F:$F,Xero!$B:$B,Heron!AJ$9,Xero!$A:$A,Heron!$A$5,Xero!$E:$E,Heron!$A82)</f>
        <v>0</v>
      </c>
      <c r="AK82" s="99">
        <f>SUMIFS(Xero!$F:$F,Xero!$B:$B,Heron!AK$9,Xero!$A:$A,Heron!$A$4,Xero!$E:$E,Heron!$A82)+SUMIFS(Xero!$F:$F,Xero!$B:$B,Heron!AK$9,Xero!$A:$A,Heron!$A$5,Xero!$E:$E,Heron!$A82)</f>
        <v>0</v>
      </c>
      <c r="AL82" s="99">
        <f>SUMIFS(Xero!$F:$F,Xero!$B:$B,Heron!AL$9,Xero!$A:$A,Heron!$A$4,Xero!$E:$E,Heron!$A82)+SUMIFS(Xero!$F:$F,Xero!$B:$B,Heron!AL$9,Xero!$A:$A,Heron!$A$5,Xero!$E:$E,Heron!$A82)</f>
        <v>0</v>
      </c>
      <c r="AM82" s="99">
        <f>SUMIFS(Xero!$F:$F,Xero!$B:$B,Heron!AM$9,Xero!$A:$A,Heron!$A$4,Xero!$E:$E,Heron!$A82)+SUMIFS(Xero!$F:$F,Xero!$B:$B,Heron!AM$9,Xero!$A:$A,Heron!$A$5,Xero!$E:$E,Heron!$A82)</f>
        <v>0</v>
      </c>
      <c r="AN82" s="99">
        <f>SUMIFS(Xero!$F:$F,Xero!$B:$B,Heron!AN$9,Xero!$A:$A,Heron!$A$4,Xero!$E:$E,Heron!$A82)+SUMIFS(Xero!$F:$F,Xero!$B:$B,Heron!AN$9,Xero!$A:$A,Heron!$A$5,Xero!$E:$E,Heron!$A82)</f>
        <v>0</v>
      </c>
      <c r="AO82" s="99">
        <f>SUMIFS(Xero!$F:$F,Xero!$B:$B,Heron!AO$9,Xero!$A:$A,Heron!$A$4,Xero!$E:$E,Heron!$A82)+SUMIFS(Xero!$F:$F,Xero!$B:$B,Heron!AO$9,Xero!$A:$A,Heron!$A$5,Xero!$E:$E,Heron!$A82)</f>
        <v>0</v>
      </c>
      <c r="AP82" s="99">
        <f>SUMIFS(Xero!$F:$F,Xero!$B:$B,Heron!AP$9,Xero!$A:$A,Heron!$A$4,Xero!$E:$E,Heron!$A82)+SUMIFS(Xero!$F:$F,Xero!$B:$B,Heron!AP$9,Xero!$A:$A,Heron!$A$5,Xero!$E:$E,Heron!$A82)</f>
        <v>0</v>
      </c>
      <c r="AQ82" s="99">
        <f>SUMIFS(Xero!$F:$F,Xero!$B:$B,Heron!AQ$9,Xero!$A:$A,Heron!$A$4,Xero!$E:$E,Heron!$A82)+SUMIFS(Xero!$F:$F,Xero!$B:$B,Heron!AQ$9,Xero!$A:$A,Heron!$A$5,Xero!$E:$E,Heron!$A82)</f>
        <v>0</v>
      </c>
      <c r="AR82" s="99">
        <f>SUMIFS(Xero!$F:$F,Xero!$B:$B,Heron!AR$9,Xero!$A:$A,Heron!$A$4,Xero!$E:$E,Heron!$A82)+SUMIFS(Xero!$F:$F,Xero!$B:$B,Heron!AR$9,Xero!$A:$A,Heron!$A$5,Xero!$E:$E,Heron!$A82)</f>
        <v>0</v>
      </c>
      <c r="AS82" s="99">
        <f>SUMIFS(Xero!$F:$F,Xero!$B:$B,Heron!AS$9,Xero!$A:$A,Heron!$A$4,Xero!$E:$E,Heron!$A82)+SUMIFS(Xero!$F:$F,Xero!$B:$B,Heron!AS$9,Xero!$A:$A,Heron!$A$5,Xero!$E:$E,Heron!$A82)</f>
        <v>0</v>
      </c>
      <c r="AT82" s="99">
        <f>SUMIFS(Xero!$F:$F,Xero!$B:$B,Heron!AT$9,Xero!$A:$A,Heron!$A$4,Xero!$E:$E,Heron!$A82)+SUMIFS(Xero!$F:$F,Xero!$B:$B,Heron!AT$9,Xero!$A:$A,Heron!$A$5,Xero!$E:$E,Heron!$A82)</f>
        <v>0</v>
      </c>
      <c r="AU82" s="99">
        <f>SUMIFS(Xero!$F:$F,Xero!$B:$B,Heron!AU$9,Xero!$A:$A,Heron!$A$4,Xero!$E:$E,Heron!$A82)+SUMIFS(Xero!$F:$F,Xero!$B:$B,Heron!AU$9,Xero!$A:$A,Heron!$A$5,Xero!$E:$E,Heron!$A82)</f>
        <v>0</v>
      </c>
      <c r="AV82" s="99">
        <f>SUMIFS(Xero!$F:$F,Xero!$B:$B,Heron!AV$9,Xero!$A:$A,Heron!$A$4,Xero!$E:$E,Heron!$A82)+SUMIFS(Xero!$F:$F,Xero!$B:$B,Heron!AV$9,Xero!$A:$A,Heron!$A$5,Xero!$E:$E,Heron!$A82)</f>
        <v>0</v>
      </c>
      <c r="AW82" s="99">
        <f>SUMIFS(Xero!$F:$F,Xero!$B:$B,Heron!AW$9,Xero!$A:$A,Heron!$A$4,Xero!$E:$E,Heron!$A82)+SUMIFS(Xero!$F:$F,Xero!$B:$B,Heron!AW$9,Xero!$A:$A,Heron!$A$5,Xero!$E:$E,Heron!$A82)</f>
        <v>0</v>
      </c>
      <c r="AX82" s="99">
        <f>SUMIFS(Xero!$F:$F,Xero!$B:$B,Heron!AX$9,Xero!$A:$A,Heron!$A$4,Xero!$E:$E,Heron!$A82)+SUMIFS(Xero!$F:$F,Xero!$B:$B,Heron!AX$9,Xero!$A:$A,Heron!$A$5,Xero!$E:$E,Heron!$A82)</f>
        <v>0</v>
      </c>
      <c r="AY82" s="99">
        <f>SUMIFS(Xero!$F:$F,Xero!$B:$B,Heron!AY$9,Xero!$A:$A,Heron!$A$4,Xero!$E:$E,Heron!$A82)+SUMIFS(Xero!$F:$F,Xero!$B:$B,Heron!AY$9,Xero!$A:$A,Heron!$A$5,Xero!$E:$E,Heron!$A82)</f>
        <v>0</v>
      </c>
      <c r="AZ82" s="99">
        <f>SUMIFS(Xero!$F:$F,Xero!$B:$B,Heron!AZ$9,Xero!$A:$A,Heron!$A$4,Xero!$E:$E,Heron!$A82)+SUMIFS(Xero!$F:$F,Xero!$B:$B,Heron!AZ$9,Xero!$A:$A,Heron!$A$5,Xero!$E:$E,Heron!$A82)</f>
        <v>0</v>
      </c>
      <c r="BA82" s="99">
        <f>SUMIFS(Xero!$F:$F,Xero!$B:$B,Heron!BA$9,Xero!$A:$A,Heron!$A$4,Xero!$E:$E,Heron!$A82)+SUMIFS(Xero!$F:$F,Xero!$B:$B,Heron!BA$9,Xero!$A:$A,Heron!$A$5,Xero!$E:$E,Heron!$A82)</f>
        <v>0</v>
      </c>
      <c r="BB82" s="99">
        <f>SUMIFS(Xero!$F:$F,Xero!$B:$B,Heron!BB$9,Xero!$A:$A,Heron!$A$4,Xero!$E:$E,Heron!$A82)+SUMIFS(Xero!$F:$F,Xero!$B:$B,Heron!BB$9,Xero!$A:$A,Heron!$A$5,Xero!$E:$E,Heron!$A82)</f>
        <v>0</v>
      </c>
      <c r="BC82" s="99">
        <f>SUMIFS(Xero!$F:$F,Xero!$B:$B,Heron!BC$9,Xero!$A:$A,Heron!$A$4,Xero!$E:$E,Heron!$A82)+SUMIFS(Xero!$F:$F,Xero!$B:$B,Heron!BC$9,Xero!$A:$A,Heron!$A$5,Xero!$E:$E,Heron!$A82)</f>
        <v>0</v>
      </c>
      <c r="BD82" s="99">
        <f>SUMIFS(Xero!$F:$F,Xero!$B:$B,Heron!BD$9,Xero!$A:$A,Heron!$A$4,Xero!$E:$E,Heron!$A82)+SUMIFS(Xero!$F:$F,Xero!$B:$B,Heron!BD$9,Xero!$A:$A,Heron!$A$5,Xero!$E:$E,Heron!$A82)</f>
        <v>0</v>
      </c>
      <c r="BE82" s="99">
        <f>SUMIFS(Xero!$F:$F,Xero!$B:$B,Heron!BE$9,Xero!$A:$A,Heron!$A$4,Xero!$E:$E,Heron!$A82)+SUMIFS(Xero!$F:$F,Xero!$B:$B,Heron!BE$9,Xero!$A:$A,Heron!$A$5,Xero!$E:$E,Heron!$A82)</f>
        <v>0</v>
      </c>
      <c r="BF82" s="99">
        <f>SUMIFS(Xero!$F:$F,Xero!$B:$B,Heron!BF$9,Xero!$A:$A,Heron!$A$4,Xero!$E:$E,Heron!$A82)+SUMIFS(Xero!$F:$F,Xero!$B:$B,Heron!BF$9,Xero!$A:$A,Heron!$A$5,Xero!$E:$E,Heron!$A82)</f>
        <v>0</v>
      </c>
      <c r="BG82" s="99">
        <f>SUMIFS(Xero!$F:$F,Xero!$B:$B,Heron!BG$9,Xero!$A:$A,Heron!$A$4,Xero!$E:$E,Heron!$A82)+SUMIFS(Xero!$F:$F,Xero!$B:$B,Heron!BG$9,Xero!$A:$A,Heron!$A$5,Xero!$E:$E,Heron!$A82)</f>
        <v>0</v>
      </c>
      <c r="BH82" s="99">
        <f>SUMIFS(Xero!$F:$F,Xero!$B:$B,Heron!BH$9,Xero!$A:$A,Heron!$A$4,Xero!$E:$E,Heron!$A82)+SUMIFS(Xero!$F:$F,Xero!$B:$B,Heron!BH$9,Xero!$A:$A,Heron!$A$5,Xero!$E:$E,Heron!$A82)</f>
        <v>0</v>
      </c>
      <c r="BI82" s="99">
        <f>SUMIFS(Xero!$F:$F,Xero!$B:$B,Heron!BI$9,Xero!$A:$A,Heron!$A$4,Xero!$E:$E,Heron!$A82)+SUMIFS(Xero!$F:$F,Xero!$B:$B,Heron!BI$9,Xero!$A:$A,Heron!$A$5,Xero!$E:$E,Heron!$A82)</f>
        <v>0</v>
      </c>
      <c r="BJ82" s="99">
        <f>SUMIFS(Xero!$F:$F,Xero!$B:$B,Heron!BJ$9,Xero!$A:$A,Heron!$A$4,Xero!$E:$E,Heron!$A82)+SUMIFS(Xero!$F:$F,Xero!$B:$B,Heron!BJ$9,Xero!$A:$A,Heron!$A$5,Xero!$E:$E,Heron!$A82)</f>
        <v>0</v>
      </c>
      <c r="BK82" s="99">
        <f t="shared" si="5"/>
        <v>58990.090000000004</v>
      </c>
    </row>
    <row r="83" spans="1:63" ht="16" x14ac:dyDescent="0.2">
      <c r="A83" s="98" t="s">
        <v>1609</v>
      </c>
      <c r="D83" s="99">
        <f>SUMIFS(Xero!$F:$F,Xero!$B:$B,Heron!D$9,Xero!$A:$A,Heron!$A$4,Xero!$E:$E,Heron!$A83)+SUMIFS(Xero!$F:$F,Xero!$B:$B,Heron!D$9,Xero!$A:$A,Heron!$A$5,Xero!$E:$E,Heron!$A83)</f>
        <v>0</v>
      </c>
      <c r="E83" s="99">
        <f>SUMIFS(Xero!$F:$F,Xero!$B:$B,Heron!E$9,Xero!$A:$A,Heron!$A$4,Xero!$E:$E,Heron!$A83)+SUMIFS(Xero!$F:$F,Xero!$B:$B,Heron!E$9,Xero!$A:$A,Heron!$A$5,Xero!$E:$E,Heron!$A83)</f>
        <v>0</v>
      </c>
      <c r="F83" s="99">
        <f>SUMIFS(Xero!$F:$F,Xero!$B:$B,Heron!F$9,Xero!$A:$A,Heron!$A$4,Xero!$E:$E,Heron!$A83)+SUMIFS(Xero!$F:$F,Xero!$B:$B,Heron!F$9,Xero!$A:$A,Heron!$A$5,Xero!$E:$E,Heron!$A83)</f>
        <v>0</v>
      </c>
      <c r="G83" s="99">
        <f>SUMIFS(Xero!$F:$F,Xero!$B:$B,Heron!G$9,Xero!$A:$A,Heron!$A$4,Xero!$E:$E,Heron!$A83)+SUMIFS(Xero!$F:$F,Xero!$B:$B,Heron!G$9,Xero!$A:$A,Heron!$A$5,Xero!$E:$E,Heron!$A83)</f>
        <v>0</v>
      </c>
      <c r="H83" s="99">
        <f>SUMIFS(Xero!$F:$F,Xero!$B:$B,Heron!H$9,Xero!$A:$A,Heron!$A$4,Xero!$E:$E,Heron!$A83)+SUMIFS(Xero!$F:$F,Xero!$B:$B,Heron!H$9,Xero!$A:$A,Heron!$A$5,Xero!$E:$E,Heron!$A83)</f>
        <v>0</v>
      </c>
      <c r="I83" s="99">
        <f>SUMIFS(Xero!$F:$F,Xero!$B:$B,Heron!I$9,Xero!$A:$A,Heron!$A$4,Xero!$E:$E,Heron!$A83)+SUMIFS(Xero!$F:$F,Xero!$B:$B,Heron!I$9,Xero!$A:$A,Heron!$A$5,Xero!$E:$E,Heron!$A83)</f>
        <v>0</v>
      </c>
      <c r="J83" s="99">
        <f>SUMIFS(Xero!$F:$F,Xero!$B:$B,Heron!J$9,Xero!$A:$A,Heron!$A$4,Xero!$E:$E,Heron!$A83)+SUMIFS(Xero!$F:$F,Xero!$B:$B,Heron!J$9,Xero!$A:$A,Heron!$A$5,Xero!$E:$E,Heron!$A83)</f>
        <v>0</v>
      </c>
      <c r="K83" s="99">
        <f>SUMIFS(Xero!$F:$F,Xero!$B:$B,Heron!K$9,Xero!$A:$A,Heron!$A$4,Xero!$E:$E,Heron!$A83)+SUMIFS(Xero!$F:$F,Xero!$B:$B,Heron!K$9,Xero!$A:$A,Heron!$A$5,Xero!$E:$E,Heron!$A83)</f>
        <v>0</v>
      </c>
      <c r="L83" s="99">
        <f>SUMIFS(Xero!$F:$F,Xero!$B:$B,Heron!L$9,Xero!$A:$A,Heron!$A$4,Xero!$E:$E,Heron!$A83)+SUMIFS(Xero!$F:$F,Xero!$B:$B,Heron!L$9,Xero!$A:$A,Heron!$A$5,Xero!$E:$E,Heron!$A83)</f>
        <v>0</v>
      </c>
      <c r="M83" s="99">
        <f>SUMIFS(Xero!$F:$F,Xero!$B:$B,Heron!M$9,Xero!$A:$A,Heron!$A$4,Xero!$E:$E,Heron!$A83)+SUMIFS(Xero!$F:$F,Xero!$B:$B,Heron!M$9,Xero!$A:$A,Heron!$A$5,Xero!$E:$E,Heron!$A83)</f>
        <v>0</v>
      </c>
      <c r="N83" s="99">
        <f>SUMIFS(Xero!$F:$F,Xero!$B:$B,Heron!N$9,Xero!$A:$A,Heron!$A$4,Xero!$E:$E,Heron!$A83)+SUMIFS(Xero!$F:$F,Xero!$B:$B,Heron!N$9,Xero!$A:$A,Heron!$A$5,Xero!$E:$E,Heron!$A83)</f>
        <v>0</v>
      </c>
      <c r="O83" s="99">
        <f>SUMIFS(Xero!$F:$F,Xero!$B:$B,Heron!O$9,Xero!$A:$A,Heron!$A$4,Xero!$E:$E,Heron!$A83)+SUMIFS(Xero!$F:$F,Xero!$B:$B,Heron!O$9,Xero!$A:$A,Heron!$A$5,Xero!$E:$E,Heron!$A83)</f>
        <v>0</v>
      </c>
      <c r="P83" s="99">
        <f>SUMIFS(Xero!$F:$F,Xero!$B:$B,Heron!P$9,Xero!$A:$A,Heron!$A$4,Xero!$E:$E,Heron!$A83)+SUMIFS(Xero!$F:$F,Xero!$B:$B,Heron!P$9,Xero!$A:$A,Heron!$A$5,Xero!$E:$E,Heron!$A83)</f>
        <v>0</v>
      </c>
      <c r="Q83" s="99">
        <f>SUMIFS(Xero!$F:$F,Xero!$B:$B,Heron!Q$9,Xero!$A:$A,Heron!$A$4,Xero!$E:$E,Heron!$A83)+SUMIFS(Xero!$F:$F,Xero!$B:$B,Heron!Q$9,Xero!$A:$A,Heron!$A$5,Xero!$E:$E,Heron!$A83)</f>
        <v>0</v>
      </c>
      <c r="R83" s="99">
        <f>SUMIFS(Xero!$F:$F,Xero!$B:$B,Heron!R$9,Xero!$A:$A,Heron!$A$4,Xero!$E:$E,Heron!$A83)+SUMIFS(Xero!$F:$F,Xero!$B:$B,Heron!R$9,Xero!$A:$A,Heron!$A$5,Xero!$E:$E,Heron!$A83)</f>
        <v>0</v>
      </c>
      <c r="S83" s="99">
        <f>SUMIFS(Xero!$F:$F,Xero!$B:$B,Heron!S$9,Xero!$A:$A,Heron!$A$4,Xero!$E:$E,Heron!$A83)+SUMIFS(Xero!$F:$F,Xero!$B:$B,Heron!S$9,Xero!$A:$A,Heron!$A$5,Xero!$E:$E,Heron!$A83)</f>
        <v>0</v>
      </c>
      <c r="T83" s="99">
        <f>SUMIFS(Xero!$F:$F,Xero!$B:$B,Heron!T$9,Xero!$A:$A,Heron!$A$4,Xero!$E:$E,Heron!$A83)+SUMIFS(Xero!$F:$F,Xero!$B:$B,Heron!T$9,Xero!$A:$A,Heron!$A$5,Xero!$E:$E,Heron!$A83)</f>
        <v>0</v>
      </c>
      <c r="U83" s="99">
        <f>SUMIFS(Xero!$F:$F,Xero!$B:$B,Heron!U$9,Xero!$A:$A,Heron!$A$4,Xero!$E:$E,Heron!$A83)+SUMIFS(Xero!$F:$F,Xero!$B:$B,Heron!U$9,Xero!$A:$A,Heron!$A$5,Xero!$E:$E,Heron!$A83)</f>
        <v>0</v>
      </c>
      <c r="V83" s="99">
        <f>SUMIFS(Xero!$F:$F,Xero!$B:$B,Heron!V$9,Xero!$A:$A,Heron!$A$4,Xero!$E:$E,Heron!$A83)+SUMIFS(Xero!$F:$F,Xero!$B:$B,Heron!V$9,Xero!$A:$A,Heron!$A$5,Xero!$E:$E,Heron!$A83)</f>
        <v>0</v>
      </c>
      <c r="W83" s="99">
        <f>SUMIFS(Xero!$F:$F,Xero!$B:$B,Heron!W$9,Xero!$A:$A,Heron!$A$4,Xero!$E:$E,Heron!$A83)+SUMIFS(Xero!$F:$F,Xero!$B:$B,Heron!W$9,Xero!$A:$A,Heron!$A$5,Xero!$E:$E,Heron!$A83)</f>
        <v>0</v>
      </c>
      <c r="X83" s="99">
        <f>SUMIFS(Xero!$F:$F,Xero!$B:$B,Heron!X$9,Xero!$A:$A,Heron!$A$4,Xero!$E:$E,Heron!$A83)+SUMIFS(Xero!$F:$F,Xero!$B:$B,Heron!X$9,Xero!$A:$A,Heron!$A$5,Xero!$E:$E,Heron!$A83)</f>
        <v>0</v>
      </c>
      <c r="Y83" s="99">
        <f>SUMIFS(Xero!$F:$F,Xero!$B:$B,Heron!Y$9,Xero!$A:$A,Heron!$A$4,Xero!$E:$E,Heron!$A83)+SUMIFS(Xero!$F:$F,Xero!$B:$B,Heron!Y$9,Xero!$A:$A,Heron!$A$5,Xero!$E:$E,Heron!$A83)</f>
        <v>249.32</v>
      </c>
      <c r="Z83" s="99">
        <f>SUMIFS(Xero!$F:$F,Xero!$B:$B,Heron!Z$9,Xero!$A:$A,Heron!$A$4,Xero!$E:$E,Heron!$A83)+SUMIFS(Xero!$F:$F,Xero!$B:$B,Heron!Z$9,Xero!$A:$A,Heron!$A$5,Xero!$E:$E,Heron!$A83)</f>
        <v>2493.14</v>
      </c>
      <c r="AA83" s="99">
        <f>SUMIFS(Xero!$F:$F,Xero!$B:$B,Heron!AA$9,Xero!$A:$A,Heron!$A$4,Xero!$E:$E,Heron!$A83)+SUMIFS(Xero!$F:$F,Xero!$B:$B,Heron!AA$9,Xero!$A:$A,Heron!$A$5,Xero!$E:$E,Heron!$A83)</f>
        <v>0</v>
      </c>
      <c r="AB83" s="99">
        <f>SUMIFS(Xero!$F:$F,Xero!$B:$B,Heron!AB$9,Xero!$A:$A,Heron!$A$4,Xero!$E:$E,Heron!$A83)+SUMIFS(Xero!$F:$F,Xero!$B:$B,Heron!AB$9,Xero!$A:$A,Heron!$A$5,Xero!$E:$E,Heron!$A83)</f>
        <v>0</v>
      </c>
      <c r="AC83" s="99">
        <f>SUMIFS(Xero!$F:$F,Xero!$B:$B,Heron!AC$9,Xero!$A:$A,Heron!$A$4,Xero!$E:$E,Heron!$A83)+SUMIFS(Xero!$F:$F,Xero!$B:$B,Heron!AC$9,Xero!$A:$A,Heron!$A$5,Xero!$E:$E,Heron!$A83)</f>
        <v>11027.39</v>
      </c>
      <c r="AD83" s="99">
        <f>SUMIFS(Xero!$F:$F,Xero!$B:$B,Heron!AD$9,Xero!$A:$A,Heron!$A$4,Xero!$E:$E,Heron!$A83)+SUMIFS(Xero!$F:$F,Xero!$B:$B,Heron!AD$9,Xero!$A:$A,Heron!$A$5,Xero!$E:$E,Heron!$A83)</f>
        <v>0</v>
      </c>
      <c r="AE83" s="99">
        <f>SUMIFS(Xero!$F:$F,Xero!$B:$B,Heron!AE$9,Xero!$A:$A,Heron!$A$4,Xero!$E:$E,Heron!$A83)+SUMIFS(Xero!$F:$F,Xero!$B:$B,Heron!AE$9,Xero!$A:$A,Heron!$A$5,Xero!$E:$E,Heron!$A83)</f>
        <v>650.94000000000005</v>
      </c>
      <c r="AF83" s="99">
        <f>SUMIFS(Xero!$F:$F,Xero!$B:$B,Heron!AF$9,Xero!$A:$A,Heron!$A$4,Xero!$E:$E,Heron!$A83)+SUMIFS(Xero!$F:$F,Xero!$B:$B,Heron!AF$9,Xero!$A:$A,Heron!$A$5,Xero!$E:$E,Heron!$A83)</f>
        <v>0</v>
      </c>
      <c r="AG83" s="99">
        <f>SUMIFS(Xero!$F:$F,Xero!$B:$B,Heron!AG$9,Xero!$A:$A,Heron!$A$4,Xero!$E:$E,Heron!$A83)+SUMIFS(Xero!$F:$F,Xero!$B:$B,Heron!AG$9,Xero!$A:$A,Heron!$A$5,Xero!$E:$E,Heron!$A83)</f>
        <v>675.38</v>
      </c>
      <c r="AH83" s="99">
        <f>SUMIFS(Xero!$F:$F,Xero!$B:$B,Heron!AH$9,Xero!$A:$A,Heron!$A$4,Xero!$E:$E,Heron!$A83)+SUMIFS(Xero!$F:$F,Xero!$B:$B,Heron!AH$9,Xero!$A:$A,Heron!$A$5,Xero!$E:$E,Heron!$A83)</f>
        <v>932.4</v>
      </c>
      <c r="AI83" s="99">
        <f>SUMIFS(Xero!$F:$F,Xero!$B:$B,Heron!AI$9,Xero!$A:$A,Heron!$A$4,Xero!$E:$E,Heron!$A83)+SUMIFS(Xero!$F:$F,Xero!$B:$B,Heron!AI$9,Xero!$A:$A,Heron!$A$5,Xero!$E:$E,Heron!$A83)</f>
        <v>0</v>
      </c>
      <c r="AJ83" s="99">
        <f>SUMIFS(Xero!$F:$F,Xero!$B:$B,Heron!AJ$9,Xero!$A:$A,Heron!$A$4,Xero!$E:$E,Heron!$A83)+SUMIFS(Xero!$F:$F,Xero!$B:$B,Heron!AJ$9,Xero!$A:$A,Heron!$A$5,Xero!$E:$E,Heron!$A83)</f>
        <v>0</v>
      </c>
      <c r="AK83" s="99">
        <f>SUMIFS(Xero!$F:$F,Xero!$B:$B,Heron!AK$9,Xero!$A:$A,Heron!$A$4,Xero!$E:$E,Heron!$A83)+SUMIFS(Xero!$F:$F,Xero!$B:$B,Heron!AK$9,Xero!$A:$A,Heron!$A$5,Xero!$E:$E,Heron!$A83)</f>
        <v>0</v>
      </c>
      <c r="AL83" s="99">
        <f>SUMIFS(Xero!$F:$F,Xero!$B:$B,Heron!AL$9,Xero!$A:$A,Heron!$A$4,Xero!$E:$E,Heron!$A83)+SUMIFS(Xero!$F:$F,Xero!$B:$B,Heron!AL$9,Xero!$A:$A,Heron!$A$5,Xero!$E:$E,Heron!$A83)</f>
        <v>10319.93</v>
      </c>
      <c r="AM83" s="99">
        <f>SUMIFS(Xero!$F:$F,Xero!$B:$B,Heron!AM$9,Xero!$A:$A,Heron!$A$4,Xero!$E:$E,Heron!$A83)+SUMIFS(Xero!$F:$F,Xero!$B:$B,Heron!AM$9,Xero!$A:$A,Heron!$A$5,Xero!$E:$E,Heron!$A83)</f>
        <v>4217.51</v>
      </c>
      <c r="AN83" s="99">
        <f>SUMIFS(Xero!$F:$F,Xero!$B:$B,Heron!AN$9,Xero!$A:$A,Heron!$A$4,Xero!$E:$E,Heron!$A83)+SUMIFS(Xero!$F:$F,Xero!$B:$B,Heron!AN$9,Xero!$A:$A,Heron!$A$5,Xero!$E:$E,Heron!$A83)</f>
        <v>15655.2</v>
      </c>
      <c r="AO83" s="99">
        <f>SUMIFS(Xero!$F:$F,Xero!$B:$B,Heron!AO$9,Xero!$A:$A,Heron!$A$4,Xero!$E:$E,Heron!$A83)+SUMIFS(Xero!$F:$F,Xero!$B:$B,Heron!AO$9,Xero!$A:$A,Heron!$A$5,Xero!$E:$E,Heron!$A83)</f>
        <v>0</v>
      </c>
      <c r="AP83" s="99">
        <f>SUMIFS(Xero!$F:$F,Xero!$B:$B,Heron!AP$9,Xero!$A:$A,Heron!$A$4,Xero!$E:$E,Heron!$A83)+SUMIFS(Xero!$F:$F,Xero!$B:$B,Heron!AP$9,Xero!$A:$A,Heron!$A$5,Xero!$E:$E,Heron!$A83)</f>
        <v>0</v>
      </c>
      <c r="AQ83" s="99">
        <f>SUMIFS(Xero!$F:$F,Xero!$B:$B,Heron!AQ$9,Xero!$A:$A,Heron!$A$4,Xero!$E:$E,Heron!$A83)+SUMIFS(Xero!$F:$F,Xero!$B:$B,Heron!AQ$9,Xero!$A:$A,Heron!$A$5,Xero!$E:$E,Heron!$A83)</f>
        <v>0</v>
      </c>
      <c r="AR83" s="99">
        <f>SUMIFS(Xero!$F:$F,Xero!$B:$B,Heron!AR$9,Xero!$A:$A,Heron!$A$4,Xero!$E:$E,Heron!$A83)+SUMIFS(Xero!$F:$F,Xero!$B:$B,Heron!AR$9,Xero!$A:$A,Heron!$A$5,Xero!$E:$E,Heron!$A83)</f>
        <v>0</v>
      </c>
      <c r="AS83" s="99">
        <f>SUMIFS(Xero!$F:$F,Xero!$B:$B,Heron!AS$9,Xero!$A:$A,Heron!$A$4,Xero!$E:$E,Heron!$A83)+SUMIFS(Xero!$F:$F,Xero!$B:$B,Heron!AS$9,Xero!$A:$A,Heron!$A$5,Xero!$E:$E,Heron!$A83)</f>
        <v>0</v>
      </c>
      <c r="AT83" s="99">
        <f>SUMIFS(Xero!$F:$F,Xero!$B:$B,Heron!AT$9,Xero!$A:$A,Heron!$A$4,Xero!$E:$E,Heron!$A83)+SUMIFS(Xero!$F:$F,Xero!$B:$B,Heron!AT$9,Xero!$A:$A,Heron!$A$5,Xero!$E:$E,Heron!$A83)</f>
        <v>0</v>
      </c>
      <c r="AU83" s="99">
        <f>SUMIFS(Xero!$F:$F,Xero!$B:$B,Heron!AU$9,Xero!$A:$A,Heron!$A$4,Xero!$E:$E,Heron!$A83)+SUMIFS(Xero!$F:$F,Xero!$B:$B,Heron!AU$9,Xero!$A:$A,Heron!$A$5,Xero!$E:$E,Heron!$A83)</f>
        <v>0</v>
      </c>
      <c r="AV83" s="99">
        <f>SUMIFS(Xero!$F:$F,Xero!$B:$B,Heron!AV$9,Xero!$A:$A,Heron!$A$4,Xero!$E:$E,Heron!$A83)+SUMIFS(Xero!$F:$F,Xero!$B:$B,Heron!AV$9,Xero!$A:$A,Heron!$A$5,Xero!$E:$E,Heron!$A83)</f>
        <v>0</v>
      </c>
      <c r="AW83" s="99">
        <f>SUMIFS(Xero!$F:$F,Xero!$B:$B,Heron!AW$9,Xero!$A:$A,Heron!$A$4,Xero!$E:$E,Heron!$A83)+SUMIFS(Xero!$F:$F,Xero!$B:$B,Heron!AW$9,Xero!$A:$A,Heron!$A$5,Xero!$E:$E,Heron!$A83)</f>
        <v>0</v>
      </c>
      <c r="AX83" s="99">
        <f>SUMIFS(Xero!$F:$F,Xero!$B:$B,Heron!AX$9,Xero!$A:$A,Heron!$A$4,Xero!$E:$E,Heron!$A83)+SUMIFS(Xero!$F:$F,Xero!$B:$B,Heron!AX$9,Xero!$A:$A,Heron!$A$5,Xero!$E:$E,Heron!$A83)</f>
        <v>0</v>
      </c>
      <c r="AY83" s="99">
        <f>SUMIFS(Xero!$F:$F,Xero!$B:$B,Heron!AY$9,Xero!$A:$A,Heron!$A$4,Xero!$E:$E,Heron!$A83)+SUMIFS(Xero!$F:$F,Xero!$B:$B,Heron!AY$9,Xero!$A:$A,Heron!$A$5,Xero!$E:$E,Heron!$A83)</f>
        <v>0</v>
      </c>
      <c r="AZ83" s="99">
        <f>SUMIFS(Xero!$F:$F,Xero!$B:$B,Heron!AZ$9,Xero!$A:$A,Heron!$A$4,Xero!$E:$E,Heron!$A83)+SUMIFS(Xero!$F:$F,Xero!$B:$B,Heron!AZ$9,Xero!$A:$A,Heron!$A$5,Xero!$E:$E,Heron!$A83)</f>
        <v>0</v>
      </c>
      <c r="BA83" s="99">
        <f>SUMIFS(Xero!$F:$F,Xero!$B:$B,Heron!BA$9,Xero!$A:$A,Heron!$A$4,Xero!$E:$E,Heron!$A83)+SUMIFS(Xero!$F:$F,Xero!$B:$B,Heron!BA$9,Xero!$A:$A,Heron!$A$5,Xero!$E:$E,Heron!$A83)</f>
        <v>0</v>
      </c>
      <c r="BB83" s="99">
        <f>SUMIFS(Xero!$F:$F,Xero!$B:$B,Heron!BB$9,Xero!$A:$A,Heron!$A$4,Xero!$E:$E,Heron!$A83)+SUMIFS(Xero!$F:$F,Xero!$B:$B,Heron!BB$9,Xero!$A:$A,Heron!$A$5,Xero!$E:$E,Heron!$A83)</f>
        <v>0</v>
      </c>
      <c r="BC83" s="99">
        <f>SUMIFS(Xero!$F:$F,Xero!$B:$B,Heron!BC$9,Xero!$A:$A,Heron!$A$4,Xero!$E:$E,Heron!$A83)+SUMIFS(Xero!$F:$F,Xero!$B:$B,Heron!BC$9,Xero!$A:$A,Heron!$A$5,Xero!$E:$E,Heron!$A83)</f>
        <v>0</v>
      </c>
      <c r="BD83" s="99">
        <f>SUMIFS(Xero!$F:$F,Xero!$B:$B,Heron!BD$9,Xero!$A:$A,Heron!$A$4,Xero!$E:$E,Heron!$A83)+SUMIFS(Xero!$F:$F,Xero!$B:$B,Heron!BD$9,Xero!$A:$A,Heron!$A$5,Xero!$E:$E,Heron!$A83)</f>
        <v>0</v>
      </c>
      <c r="BE83" s="99">
        <f>SUMIFS(Xero!$F:$F,Xero!$B:$B,Heron!BE$9,Xero!$A:$A,Heron!$A$4,Xero!$E:$E,Heron!$A83)+SUMIFS(Xero!$F:$F,Xero!$B:$B,Heron!BE$9,Xero!$A:$A,Heron!$A$5,Xero!$E:$E,Heron!$A83)</f>
        <v>0</v>
      </c>
      <c r="BF83" s="99">
        <f>SUMIFS(Xero!$F:$F,Xero!$B:$B,Heron!BF$9,Xero!$A:$A,Heron!$A$4,Xero!$E:$E,Heron!$A83)+SUMIFS(Xero!$F:$F,Xero!$B:$B,Heron!BF$9,Xero!$A:$A,Heron!$A$5,Xero!$E:$E,Heron!$A83)</f>
        <v>0</v>
      </c>
      <c r="BG83" s="99">
        <f>SUMIFS(Xero!$F:$F,Xero!$B:$B,Heron!BG$9,Xero!$A:$A,Heron!$A$4,Xero!$E:$E,Heron!$A83)+SUMIFS(Xero!$F:$F,Xero!$B:$B,Heron!BG$9,Xero!$A:$A,Heron!$A$5,Xero!$E:$E,Heron!$A83)</f>
        <v>0</v>
      </c>
      <c r="BH83" s="99">
        <f>SUMIFS(Xero!$F:$F,Xero!$B:$B,Heron!BH$9,Xero!$A:$A,Heron!$A$4,Xero!$E:$E,Heron!$A83)+SUMIFS(Xero!$F:$F,Xero!$B:$B,Heron!BH$9,Xero!$A:$A,Heron!$A$5,Xero!$E:$E,Heron!$A83)</f>
        <v>0</v>
      </c>
      <c r="BI83" s="99">
        <f>SUMIFS(Xero!$F:$F,Xero!$B:$B,Heron!BI$9,Xero!$A:$A,Heron!$A$4,Xero!$E:$E,Heron!$A83)+SUMIFS(Xero!$F:$F,Xero!$B:$B,Heron!BI$9,Xero!$A:$A,Heron!$A$5,Xero!$E:$E,Heron!$A83)</f>
        <v>0</v>
      </c>
      <c r="BJ83" s="99">
        <f>SUMIFS(Xero!$F:$F,Xero!$B:$B,Heron!BJ$9,Xero!$A:$A,Heron!$A$4,Xero!$E:$E,Heron!$A83)+SUMIFS(Xero!$F:$F,Xero!$B:$B,Heron!BJ$9,Xero!$A:$A,Heron!$A$5,Xero!$E:$E,Heron!$A83)</f>
        <v>0</v>
      </c>
      <c r="BK83" s="99">
        <f t="shared" si="5"/>
        <v>46221.210000000006</v>
      </c>
    </row>
    <row r="84" spans="1:63" ht="16" x14ac:dyDescent="0.2">
      <c r="A84" s="98" t="s">
        <v>1628</v>
      </c>
      <c r="D84" s="99">
        <f>SUMIFS(Xero!$F:$F,Xero!$B:$B,Heron!D$9,Xero!$A:$A,Heron!$A$4,Xero!$E:$E,Heron!$A84)+SUMIFS(Xero!$F:$F,Xero!$B:$B,Heron!D$9,Xero!$A:$A,Heron!$A$5,Xero!$E:$E,Heron!$A84)</f>
        <v>0</v>
      </c>
      <c r="E84" s="99">
        <f>SUMIFS(Xero!$F:$F,Xero!$B:$B,Heron!E$9,Xero!$A:$A,Heron!$A$4,Xero!$E:$E,Heron!$A84)+SUMIFS(Xero!$F:$F,Xero!$B:$B,Heron!E$9,Xero!$A:$A,Heron!$A$5,Xero!$E:$E,Heron!$A84)</f>
        <v>0</v>
      </c>
      <c r="F84" s="99">
        <f>SUMIFS(Xero!$F:$F,Xero!$B:$B,Heron!F$9,Xero!$A:$A,Heron!$A$4,Xero!$E:$E,Heron!$A84)+SUMIFS(Xero!$F:$F,Xero!$B:$B,Heron!F$9,Xero!$A:$A,Heron!$A$5,Xero!$E:$E,Heron!$A84)</f>
        <v>0</v>
      </c>
      <c r="G84" s="99">
        <f>SUMIFS(Xero!$F:$F,Xero!$B:$B,Heron!G$9,Xero!$A:$A,Heron!$A$4,Xero!$E:$E,Heron!$A84)+SUMIFS(Xero!$F:$F,Xero!$B:$B,Heron!G$9,Xero!$A:$A,Heron!$A$5,Xero!$E:$E,Heron!$A84)</f>
        <v>0</v>
      </c>
      <c r="H84" s="99">
        <f>SUMIFS(Xero!$F:$F,Xero!$B:$B,Heron!H$9,Xero!$A:$A,Heron!$A$4,Xero!$E:$E,Heron!$A84)+SUMIFS(Xero!$F:$F,Xero!$B:$B,Heron!H$9,Xero!$A:$A,Heron!$A$5,Xero!$E:$E,Heron!$A84)</f>
        <v>0</v>
      </c>
      <c r="I84" s="99">
        <f>SUMIFS(Xero!$F:$F,Xero!$B:$B,Heron!I$9,Xero!$A:$A,Heron!$A$4,Xero!$E:$E,Heron!$A84)+SUMIFS(Xero!$F:$F,Xero!$B:$B,Heron!I$9,Xero!$A:$A,Heron!$A$5,Xero!$E:$E,Heron!$A84)</f>
        <v>0</v>
      </c>
      <c r="J84" s="99">
        <f>SUMIFS(Xero!$F:$F,Xero!$B:$B,Heron!J$9,Xero!$A:$A,Heron!$A$4,Xero!$E:$E,Heron!$A84)+SUMIFS(Xero!$F:$F,Xero!$B:$B,Heron!J$9,Xero!$A:$A,Heron!$A$5,Xero!$E:$E,Heron!$A84)</f>
        <v>0</v>
      </c>
      <c r="K84" s="99">
        <f>SUMIFS(Xero!$F:$F,Xero!$B:$B,Heron!K$9,Xero!$A:$A,Heron!$A$4,Xero!$E:$E,Heron!$A84)+SUMIFS(Xero!$F:$F,Xero!$B:$B,Heron!K$9,Xero!$A:$A,Heron!$A$5,Xero!$E:$E,Heron!$A84)</f>
        <v>0</v>
      </c>
      <c r="L84" s="99">
        <f>SUMIFS(Xero!$F:$F,Xero!$B:$B,Heron!L$9,Xero!$A:$A,Heron!$A$4,Xero!$E:$E,Heron!$A84)+SUMIFS(Xero!$F:$F,Xero!$B:$B,Heron!L$9,Xero!$A:$A,Heron!$A$5,Xero!$E:$E,Heron!$A84)</f>
        <v>0</v>
      </c>
      <c r="M84" s="99">
        <f>SUMIFS(Xero!$F:$F,Xero!$B:$B,Heron!M$9,Xero!$A:$A,Heron!$A$4,Xero!$E:$E,Heron!$A84)+SUMIFS(Xero!$F:$F,Xero!$B:$B,Heron!M$9,Xero!$A:$A,Heron!$A$5,Xero!$E:$E,Heron!$A84)</f>
        <v>0</v>
      </c>
      <c r="N84" s="99">
        <f>SUMIFS(Xero!$F:$F,Xero!$B:$B,Heron!N$9,Xero!$A:$A,Heron!$A$4,Xero!$E:$E,Heron!$A84)+SUMIFS(Xero!$F:$F,Xero!$B:$B,Heron!N$9,Xero!$A:$A,Heron!$A$5,Xero!$E:$E,Heron!$A84)</f>
        <v>0</v>
      </c>
      <c r="O84" s="99">
        <f>SUMIFS(Xero!$F:$F,Xero!$B:$B,Heron!O$9,Xero!$A:$A,Heron!$A$4,Xero!$E:$E,Heron!$A84)+SUMIFS(Xero!$F:$F,Xero!$B:$B,Heron!O$9,Xero!$A:$A,Heron!$A$5,Xero!$E:$E,Heron!$A84)</f>
        <v>0</v>
      </c>
      <c r="P84" s="99">
        <f>SUMIFS(Xero!$F:$F,Xero!$B:$B,Heron!P$9,Xero!$A:$A,Heron!$A$4,Xero!$E:$E,Heron!$A84)+SUMIFS(Xero!$F:$F,Xero!$B:$B,Heron!P$9,Xero!$A:$A,Heron!$A$5,Xero!$E:$E,Heron!$A84)</f>
        <v>0</v>
      </c>
      <c r="Q84" s="99">
        <f>SUMIFS(Xero!$F:$F,Xero!$B:$B,Heron!Q$9,Xero!$A:$A,Heron!$A$4,Xero!$E:$E,Heron!$A84)+SUMIFS(Xero!$F:$F,Xero!$B:$B,Heron!Q$9,Xero!$A:$A,Heron!$A$5,Xero!$E:$E,Heron!$A84)</f>
        <v>0</v>
      </c>
      <c r="R84" s="99">
        <f>SUMIFS(Xero!$F:$F,Xero!$B:$B,Heron!R$9,Xero!$A:$A,Heron!$A$4,Xero!$E:$E,Heron!$A84)+SUMIFS(Xero!$F:$F,Xero!$B:$B,Heron!R$9,Xero!$A:$A,Heron!$A$5,Xero!$E:$E,Heron!$A84)</f>
        <v>0</v>
      </c>
      <c r="S84" s="99">
        <f>SUMIFS(Xero!$F:$F,Xero!$B:$B,Heron!S$9,Xero!$A:$A,Heron!$A$4,Xero!$E:$E,Heron!$A84)+SUMIFS(Xero!$F:$F,Xero!$B:$B,Heron!S$9,Xero!$A:$A,Heron!$A$5,Xero!$E:$E,Heron!$A84)</f>
        <v>0</v>
      </c>
      <c r="T84" s="99">
        <f>SUMIFS(Xero!$F:$F,Xero!$B:$B,Heron!T$9,Xero!$A:$A,Heron!$A$4,Xero!$E:$E,Heron!$A84)+SUMIFS(Xero!$F:$F,Xero!$B:$B,Heron!T$9,Xero!$A:$A,Heron!$A$5,Xero!$E:$E,Heron!$A84)</f>
        <v>0</v>
      </c>
      <c r="U84" s="99">
        <f>SUMIFS(Xero!$F:$F,Xero!$B:$B,Heron!U$9,Xero!$A:$A,Heron!$A$4,Xero!$E:$E,Heron!$A84)+SUMIFS(Xero!$F:$F,Xero!$B:$B,Heron!U$9,Xero!$A:$A,Heron!$A$5,Xero!$E:$E,Heron!$A84)</f>
        <v>0</v>
      </c>
      <c r="V84" s="99">
        <f>SUMIFS(Xero!$F:$F,Xero!$B:$B,Heron!V$9,Xero!$A:$A,Heron!$A$4,Xero!$E:$E,Heron!$A84)+SUMIFS(Xero!$F:$F,Xero!$B:$B,Heron!V$9,Xero!$A:$A,Heron!$A$5,Xero!$E:$E,Heron!$A84)</f>
        <v>0</v>
      </c>
      <c r="W84" s="99">
        <f>SUMIFS(Xero!$F:$F,Xero!$B:$B,Heron!W$9,Xero!$A:$A,Heron!$A$4,Xero!$E:$E,Heron!$A84)+SUMIFS(Xero!$F:$F,Xero!$B:$B,Heron!W$9,Xero!$A:$A,Heron!$A$5,Xero!$E:$E,Heron!$A84)</f>
        <v>0</v>
      </c>
      <c r="X84" s="99">
        <f>SUMIFS(Xero!$F:$F,Xero!$B:$B,Heron!X$9,Xero!$A:$A,Heron!$A$4,Xero!$E:$E,Heron!$A84)+SUMIFS(Xero!$F:$F,Xero!$B:$B,Heron!X$9,Xero!$A:$A,Heron!$A$5,Xero!$E:$E,Heron!$A84)</f>
        <v>0</v>
      </c>
      <c r="Y84" s="99">
        <f>SUMIFS(Xero!$F:$F,Xero!$B:$B,Heron!Y$9,Xero!$A:$A,Heron!$A$4,Xero!$E:$E,Heron!$A84)+SUMIFS(Xero!$F:$F,Xero!$B:$B,Heron!Y$9,Xero!$A:$A,Heron!$A$5,Xero!$E:$E,Heron!$A84)</f>
        <v>0</v>
      </c>
      <c r="Z84" s="99">
        <f>SUMIFS(Xero!$F:$F,Xero!$B:$B,Heron!Z$9,Xero!$A:$A,Heron!$A$4,Xero!$E:$E,Heron!$A84)+SUMIFS(Xero!$F:$F,Xero!$B:$B,Heron!Z$9,Xero!$A:$A,Heron!$A$5,Xero!$E:$E,Heron!$A84)</f>
        <v>48.99</v>
      </c>
      <c r="AA84" s="99">
        <f>SUMIFS(Xero!$F:$F,Xero!$B:$B,Heron!AA$9,Xero!$A:$A,Heron!$A$4,Xero!$E:$E,Heron!$A84)+SUMIFS(Xero!$F:$F,Xero!$B:$B,Heron!AA$9,Xero!$A:$A,Heron!$A$5,Xero!$E:$E,Heron!$A84)</f>
        <v>0</v>
      </c>
      <c r="AB84" s="99">
        <f>SUMIFS(Xero!$F:$F,Xero!$B:$B,Heron!AB$9,Xero!$A:$A,Heron!$A$4,Xero!$E:$E,Heron!$A84)+SUMIFS(Xero!$F:$F,Xero!$B:$B,Heron!AB$9,Xero!$A:$A,Heron!$A$5,Xero!$E:$E,Heron!$A84)</f>
        <v>0</v>
      </c>
      <c r="AC84" s="99">
        <f>SUMIFS(Xero!$F:$F,Xero!$B:$B,Heron!AC$9,Xero!$A:$A,Heron!$A$4,Xero!$E:$E,Heron!$A84)+SUMIFS(Xero!$F:$F,Xero!$B:$B,Heron!AC$9,Xero!$A:$A,Heron!$A$5,Xero!$E:$E,Heron!$A84)</f>
        <v>0</v>
      </c>
      <c r="AD84" s="99">
        <f>SUMIFS(Xero!$F:$F,Xero!$B:$B,Heron!AD$9,Xero!$A:$A,Heron!$A$4,Xero!$E:$E,Heron!$A84)+SUMIFS(Xero!$F:$F,Xero!$B:$B,Heron!AD$9,Xero!$A:$A,Heron!$A$5,Xero!$E:$E,Heron!$A84)</f>
        <v>0</v>
      </c>
      <c r="AE84" s="99">
        <f>SUMIFS(Xero!$F:$F,Xero!$B:$B,Heron!AE$9,Xero!$A:$A,Heron!$A$4,Xero!$E:$E,Heron!$A84)+SUMIFS(Xero!$F:$F,Xero!$B:$B,Heron!AE$9,Xero!$A:$A,Heron!$A$5,Xero!$E:$E,Heron!$A84)</f>
        <v>430.32</v>
      </c>
      <c r="AF84" s="99">
        <f>SUMIFS(Xero!$F:$F,Xero!$B:$B,Heron!AF$9,Xero!$A:$A,Heron!$A$4,Xero!$E:$E,Heron!$A84)+SUMIFS(Xero!$F:$F,Xero!$B:$B,Heron!AF$9,Xero!$A:$A,Heron!$A$5,Xero!$E:$E,Heron!$A84)</f>
        <v>821.92</v>
      </c>
      <c r="AG84" s="99">
        <f>SUMIFS(Xero!$F:$F,Xero!$B:$B,Heron!AG$9,Xero!$A:$A,Heron!$A$4,Xero!$E:$E,Heron!$A84)+SUMIFS(Xero!$F:$F,Xero!$B:$B,Heron!AG$9,Xero!$A:$A,Heron!$A$5,Xero!$E:$E,Heron!$A84)</f>
        <v>1424.97</v>
      </c>
      <c r="AH84" s="99">
        <f>SUMIFS(Xero!$F:$F,Xero!$B:$B,Heron!AH$9,Xero!$A:$A,Heron!$A$4,Xero!$E:$E,Heron!$A84)+SUMIFS(Xero!$F:$F,Xero!$B:$B,Heron!AH$9,Xero!$A:$A,Heron!$A$5,Xero!$E:$E,Heron!$A84)</f>
        <v>82.19</v>
      </c>
      <c r="AI84" s="99">
        <f>SUMIFS(Xero!$F:$F,Xero!$B:$B,Heron!AI$9,Xero!$A:$A,Heron!$A$4,Xero!$E:$E,Heron!$A84)+SUMIFS(Xero!$F:$F,Xero!$B:$B,Heron!AI$9,Xero!$A:$A,Heron!$A$5,Xero!$E:$E,Heron!$A84)</f>
        <v>0</v>
      </c>
      <c r="AJ84" s="99">
        <f>SUMIFS(Xero!$F:$F,Xero!$B:$B,Heron!AJ$9,Xero!$A:$A,Heron!$A$4,Xero!$E:$E,Heron!$A84)+SUMIFS(Xero!$F:$F,Xero!$B:$B,Heron!AJ$9,Xero!$A:$A,Heron!$A$5,Xero!$E:$E,Heron!$A84)</f>
        <v>0</v>
      </c>
      <c r="AK84" s="99">
        <f>SUMIFS(Xero!$F:$F,Xero!$B:$B,Heron!AK$9,Xero!$A:$A,Heron!$A$4,Xero!$E:$E,Heron!$A84)+SUMIFS(Xero!$F:$F,Xero!$B:$B,Heron!AK$9,Xero!$A:$A,Heron!$A$5,Xero!$E:$E,Heron!$A84)</f>
        <v>0</v>
      </c>
      <c r="AL84" s="99">
        <f>SUMIFS(Xero!$F:$F,Xero!$B:$B,Heron!AL$9,Xero!$A:$A,Heron!$A$4,Xero!$E:$E,Heron!$A84)+SUMIFS(Xero!$F:$F,Xero!$B:$B,Heron!AL$9,Xero!$A:$A,Heron!$A$5,Xero!$E:$E,Heron!$A84)</f>
        <v>29501.74</v>
      </c>
      <c r="AM84" s="99">
        <f>SUMIFS(Xero!$F:$F,Xero!$B:$B,Heron!AM$9,Xero!$A:$A,Heron!$A$4,Xero!$E:$E,Heron!$A84)+SUMIFS(Xero!$F:$F,Xero!$B:$B,Heron!AM$9,Xero!$A:$A,Heron!$A$5,Xero!$E:$E,Heron!$A84)</f>
        <v>143.84</v>
      </c>
      <c r="AN84" s="99">
        <f>SUMIFS(Xero!$F:$F,Xero!$B:$B,Heron!AN$9,Xero!$A:$A,Heron!$A$4,Xero!$E:$E,Heron!$A84)+SUMIFS(Xero!$F:$F,Xero!$B:$B,Heron!AN$9,Xero!$A:$A,Heron!$A$5,Xero!$E:$E,Heron!$A84)</f>
        <v>25147.09</v>
      </c>
      <c r="AO84" s="99">
        <f>SUMIFS(Xero!$F:$F,Xero!$B:$B,Heron!AO$9,Xero!$A:$A,Heron!$A$4,Xero!$E:$E,Heron!$A84)+SUMIFS(Xero!$F:$F,Xero!$B:$B,Heron!AO$9,Xero!$A:$A,Heron!$A$5,Xero!$E:$E,Heron!$A84)</f>
        <v>0</v>
      </c>
      <c r="AP84" s="99">
        <f>SUMIFS(Xero!$F:$F,Xero!$B:$B,Heron!AP$9,Xero!$A:$A,Heron!$A$4,Xero!$E:$E,Heron!$A84)+SUMIFS(Xero!$F:$F,Xero!$B:$B,Heron!AP$9,Xero!$A:$A,Heron!$A$5,Xero!$E:$E,Heron!$A84)</f>
        <v>0</v>
      </c>
      <c r="AQ84" s="99">
        <f>SUMIFS(Xero!$F:$F,Xero!$B:$B,Heron!AQ$9,Xero!$A:$A,Heron!$A$4,Xero!$E:$E,Heron!$A84)+SUMIFS(Xero!$F:$F,Xero!$B:$B,Heron!AQ$9,Xero!$A:$A,Heron!$A$5,Xero!$E:$E,Heron!$A84)</f>
        <v>0</v>
      </c>
      <c r="AR84" s="99">
        <f>SUMIFS(Xero!$F:$F,Xero!$B:$B,Heron!AR$9,Xero!$A:$A,Heron!$A$4,Xero!$E:$E,Heron!$A84)+SUMIFS(Xero!$F:$F,Xero!$B:$B,Heron!AR$9,Xero!$A:$A,Heron!$A$5,Xero!$E:$E,Heron!$A84)</f>
        <v>0</v>
      </c>
      <c r="AS84" s="99">
        <f>SUMIFS(Xero!$F:$F,Xero!$B:$B,Heron!AS$9,Xero!$A:$A,Heron!$A$4,Xero!$E:$E,Heron!$A84)+SUMIFS(Xero!$F:$F,Xero!$B:$B,Heron!AS$9,Xero!$A:$A,Heron!$A$5,Xero!$E:$E,Heron!$A84)</f>
        <v>0</v>
      </c>
      <c r="AT84" s="99">
        <f>SUMIFS(Xero!$F:$F,Xero!$B:$B,Heron!AT$9,Xero!$A:$A,Heron!$A$4,Xero!$E:$E,Heron!$A84)+SUMIFS(Xero!$F:$F,Xero!$B:$B,Heron!AT$9,Xero!$A:$A,Heron!$A$5,Xero!$E:$E,Heron!$A84)</f>
        <v>0</v>
      </c>
      <c r="AU84" s="99">
        <f>SUMIFS(Xero!$F:$F,Xero!$B:$B,Heron!AU$9,Xero!$A:$A,Heron!$A$4,Xero!$E:$E,Heron!$A84)+SUMIFS(Xero!$F:$F,Xero!$B:$B,Heron!AU$9,Xero!$A:$A,Heron!$A$5,Xero!$E:$E,Heron!$A84)</f>
        <v>0</v>
      </c>
      <c r="AV84" s="99">
        <f>SUMIFS(Xero!$F:$F,Xero!$B:$B,Heron!AV$9,Xero!$A:$A,Heron!$A$4,Xero!$E:$E,Heron!$A84)+SUMIFS(Xero!$F:$F,Xero!$B:$B,Heron!AV$9,Xero!$A:$A,Heron!$A$5,Xero!$E:$E,Heron!$A84)</f>
        <v>0</v>
      </c>
      <c r="AW84" s="99">
        <f>SUMIFS(Xero!$F:$F,Xero!$B:$B,Heron!AW$9,Xero!$A:$A,Heron!$A$4,Xero!$E:$E,Heron!$A84)+SUMIFS(Xero!$F:$F,Xero!$B:$B,Heron!AW$9,Xero!$A:$A,Heron!$A$5,Xero!$E:$E,Heron!$A84)</f>
        <v>0</v>
      </c>
      <c r="AX84" s="99">
        <f>SUMIFS(Xero!$F:$F,Xero!$B:$B,Heron!AX$9,Xero!$A:$A,Heron!$A$4,Xero!$E:$E,Heron!$A84)+SUMIFS(Xero!$F:$F,Xero!$B:$B,Heron!AX$9,Xero!$A:$A,Heron!$A$5,Xero!$E:$E,Heron!$A84)</f>
        <v>0</v>
      </c>
      <c r="AY84" s="99">
        <f>SUMIFS(Xero!$F:$F,Xero!$B:$B,Heron!AY$9,Xero!$A:$A,Heron!$A$4,Xero!$E:$E,Heron!$A84)+SUMIFS(Xero!$F:$F,Xero!$B:$B,Heron!AY$9,Xero!$A:$A,Heron!$A$5,Xero!$E:$E,Heron!$A84)</f>
        <v>0</v>
      </c>
      <c r="AZ84" s="99">
        <f>SUMIFS(Xero!$F:$F,Xero!$B:$B,Heron!AZ$9,Xero!$A:$A,Heron!$A$4,Xero!$E:$E,Heron!$A84)+SUMIFS(Xero!$F:$F,Xero!$B:$B,Heron!AZ$9,Xero!$A:$A,Heron!$A$5,Xero!$E:$E,Heron!$A84)</f>
        <v>0</v>
      </c>
      <c r="BA84" s="99">
        <f>SUMIFS(Xero!$F:$F,Xero!$B:$B,Heron!BA$9,Xero!$A:$A,Heron!$A$4,Xero!$E:$E,Heron!$A84)+SUMIFS(Xero!$F:$F,Xero!$B:$B,Heron!BA$9,Xero!$A:$A,Heron!$A$5,Xero!$E:$E,Heron!$A84)</f>
        <v>0</v>
      </c>
      <c r="BB84" s="99">
        <f>SUMIFS(Xero!$F:$F,Xero!$B:$B,Heron!BB$9,Xero!$A:$A,Heron!$A$4,Xero!$E:$E,Heron!$A84)+SUMIFS(Xero!$F:$F,Xero!$B:$B,Heron!BB$9,Xero!$A:$A,Heron!$A$5,Xero!$E:$E,Heron!$A84)</f>
        <v>0</v>
      </c>
      <c r="BC84" s="99">
        <f>SUMIFS(Xero!$F:$F,Xero!$B:$B,Heron!BC$9,Xero!$A:$A,Heron!$A$4,Xero!$E:$E,Heron!$A84)+SUMIFS(Xero!$F:$F,Xero!$B:$B,Heron!BC$9,Xero!$A:$A,Heron!$A$5,Xero!$E:$E,Heron!$A84)</f>
        <v>0</v>
      </c>
      <c r="BD84" s="99">
        <f>SUMIFS(Xero!$F:$F,Xero!$B:$B,Heron!BD$9,Xero!$A:$A,Heron!$A$4,Xero!$E:$E,Heron!$A84)+SUMIFS(Xero!$F:$F,Xero!$B:$B,Heron!BD$9,Xero!$A:$A,Heron!$A$5,Xero!$E:$E,Heron!$A84)</f>
        <v>0</v>
      </c>
      <c r="BE84" s="99">
        <f>SUMIFS(Xero!$F:$F,Xero!$B:$B,Heron!BE$9,Xero!$A:$A,Heron!$A$4,Xero!$E:$E,Heron!$A84)+SUMIFS(Xero!$F:$F,Xero!$B:$B,Heron!BE$9,Xero!$A:$A,Heron!$A$5,Xero!$E:$E,Heron!$A84)</f>
        <v>0</v>
      </c>
      <c r="BF84" s="99">
        <f>SUMIFS(Xero!$F:$F,Xero!$B:$B,Heron!BF$9,Xero!$A:$A,Heron!$A$4,Xero!$E:$E,Heron!$A84)+SUMIFS(Xero!$F:$F,Xero!$B:$B,Heron!BF$9,Xero!$A:$A,Heron!$A$5,Xero!$E:$E,Heron!$A84)</f>
        <v>0</v>
      </c>
      <c r="BG84" s="99">
        <f>SUMIFS(Xero!$F:$F,Xero!$B:$B,Heron!BG$9,Xero!$A:$A,Heron!$A$4,Xero!$E:$E,Heron!$A84)+SUMIFS(Xero!$F:$F,Xero!$B:$B,Heron!BG$9,Xero!$A:$A,Heron!$A$5,Xero!$E:$E,Heron!$A84)</f>
        <v>0</v>
      </c>
      <c r="BH84" s="99">
        <f>SUMIFS(Xero!$F:$F,Xero!$B:$B,Heron!BH$9,Xero!$A:$A,Heron!$A$4,Xero!$E:$E,Heron!$A84)+SUMIFS(Xero!$F:$F,Xero!$B:$B,Heron!BH$9,Xero!$A:$A,Heron!$A$5,Xero!$E:$E,Heron!$A84)</f>
        <v>0</v>
      </c>
      <c r="BI84" s="99">
        <f>SUMIFS(Xero!$F:$F,Xero!$B:$B,Heron!BI$9,Xero!$A:$A,Heron!$A$4,Xero!$E:$E,Heron!$A84)+SUMIFS(Xero!$F:$F,Xero!$B:$B,Heron!BI$9,Xero!$A:$A,Heron!$A$5,Xero!$E:$E,Heron!$A84)</f>
        <v>0</v>
      </c>
      <c r="BJ84" s="99">
        <f>SUMIFS(Xero!$F:$F,Xero!$B:$B,Heron!BJ$9,Xero!$A:$A,Heron!$A$4,Xero!$E:$E,Heron!$A84)+SUMIFS(Xero!$F:$F,Xero!$B:$B,Heron!BJ$9,Xero!$A:$A,Heron!$A$5,Xero!$E:$E,Heron!$A84)</f>
        <v>0</v>
      </c>
      <c r="BK84" s="99">
        <f t="shared" si="5"/>
        <v>57601.06</v>
      </c>
    </row>
    <row r="85" spans="1:63" ht="16" x14ac:dyDescent="0.2">
      <c r="A85" s="98" t="s">
        <v>1694</v>
      </c>
      <c r="D85" s="99">
        <f>SUMIFS(Xero!$F:$F,Xero!$B:$B,Heron!D$9,Xero!$A:$A,Heron!$A$4,Xero!$E:$E,Heron!$A85)+SUMIFS(Xero!$F:$F,Xero!$B:$B,Heron!D$9,Xero!$A:$A,Heron!$A$5,Xero!$E:$E,Heron!$A85)</f>
        <v>0</v>
      </c>
      <c r="E85" s="99">
        <f>SUMIFS(Xero!$F:$F,Xero!$B:$B,Heron!E$9,Xero!$A:$A,Heron!$A$4,Xero!$E:$E,Heron!$A85)+SUMIFS(Xero!$F:$F,Xero!$B:$B,Heron!E$9,Xero!$A:$A,Heron!$A$5,Xero!$E:$E,Heron!$A85)</f>
        <v>0</v>
      </c>
      <c r="F85" s="99">
        <f>SUMIFS(Xero!$F:$F,Xero!$B:$B,Heron!F$9,Xero!$A:$A,Heron!$A$4,Xero!$E:$E,Heron!$A85)+SUMIFS(Xero!$F:$F,Xero!$B:$B,Heron!F$9,Xero!$A:$A,Heron!$A$5,Xero!$E:$E,Heron!$A85)</f>
        <v>0</v>
      </c>
      <c r="G85" s="99">
        <f>SUMIFS(Xero!$F:$F,Xero!$B:$B,Heron!G$9,Xero!$A:$A,Heron!$A$4,Xero!$E:$E,Heron!$A85)+SUMIFS(Xero!$F:$F,Xero!$B:$B,Heron!G$9,Xero!$A:$A,Heron!$A$5,Xero!$E:$E,Heron!$A85)</f>
        <v>0</v>
      </c>
      <c r="H85" s="99">
        <f>SUMIFS(Xero!$F:$F,Xero!$B:$B,Heron!H$9,Xero!$A:$A,Heron!$A$4,Xero!$E:$E,Heron!$A85)+SUMIFS(Xero!$F:$F,Xero!$B:$B,Heron!H$9,Xero!$A:$A,Heron!$A$5,Xero!$E:$E,Heron!$A85)</f>
        <v>0</v>
      </c>
      <c r="I85" s="99">
        <f>SUMIFS(Xero!$F:$F,Xero!$B:$B,Heron!I$9,Xero!$A:$A,Heron!$A$4,Xero!$E:$E,Heron!$A85)+SUMIFS(Xero!$F:$F,Xero!$B:$B,Heron!I$9,Xero!$A:$A,Heron!$A$5,Xero!$E:$E,Heron!$A85)</f>
        <v>0</v>
      </c>
      <c r="J85" s="99">
        <f>SUMIFS(Xero!$F:$F,Xero!$B:$B,Heron!J$9,Xero!$A:$A,Heron!$A$4,Xero!$E:$E,Heron!$A85)+SUMIFS(Xero!$F:$F,Xero!$B:$B,Heron!J$9,Xero!$A:$A,Heron!$A$5,Xero!$E:$E,Heron!$A85)</f>
        <v>0</v>
      </c>
      <c r="K85" s="99">
        <f>SUMIFS(Xero!$F:$F,Xero!$B:$B,Heron!K$9,Xero!$A:$A,Heron!$A$4,Xero!$E:$E,Heron!$A85)+SUMIFS(Xero!$F:$F,Xero!$B:$B,Heron!K$9,Xero!$A:$A,Heron!$A$5,Xero!$E:$E,Heron!$A85)</f>
        <v>0</v>
      </c>
      <c r="L85" s="99">
        <f>SUMIFS(Xero!$F:$F,Xero!$B:$B,Heron!L$9,Xero!$A:$A,Heron!$A$4,Xero!$E:$E,Heron!$A85)+SUMIFS(Xero!$F:$F,Xero!$B:$B,Heron!L$9,Xero!$A:$A,Heron!$A$5,Xero!$E:$E,Heron!$A85)</f>
        <v>0</v>
      </c>
      <c r="M85" s="99">
        <f>SUMIFS(Xero!$F:$F,Xero!$B:$B,Heron!M$9,Xero!$A:$A,Heron!$A$4,Xero!$E:$E,Heron!$A85)+SUMIFS(Xero!$F:$F,Xero!$B:$B,Heron!M$9,Xero!$A:$A,Heron!$A$5,Xero!$E:$E,Heron!$A85)</f>
        <v>0</v>
      </c>
      <c r="N85" s="99">
        <f>SUMIFS(Xero!$F:$F,Xero!$B:$B,Heron!N$9,Xero!$A:$A,Heron!$A$4,Xero!$E:$E,Heron!$A85)+SUMIFS(Xero!$F:$F,Xero!$B:$B,Heron!N$9,Xero!$A:$A,Heron!$A$5,Xero!$E:$E,Heron!$A85)</f>
        <v>0</v>
      </c>
      <c r="O85" s="99">
        <f>SUMIFS(Xero!$F:$F,Xero!$B:$B,Heron!O$9,Xero!$A:$A,Heron!$A$4,Xero!$E:$E,Heron!$A85)+SUMIFS(Xero!$F:$F,Xero!$B:$B,Heron!O$9,Xero!$A:$A,Heron!$A$5,Xero!$E:$E,Heron!$A85)</f>
        <v>0</v>
      </c>
      <c r="P85" s="99">
        <f>SUMIFS(Xero!$F:$F,Xero!$B:$B,Heron!P$9,Xero!$A:$A,Heron!$A$4,Xero!$E:$E,Heron!$A85)+SUMIFS(Xero!$F:$F,Xero!$B:$B,Heron!P$9,Xero!$A:$A,Heron!$A$5,Xero!$E:$E,Heron!$A85)</f>
        <v>0</v>
      </c>
      <c r="Q85" s="99">
        <f>SUMIFS(Xero!$F:$F,Xero!$B:$B,Heron!Q$9,Xero!$A:$A,Heron!$A$4,Xero!$E:$E,Heron!$A85)+SUMIFS(Xero!$F:$F,Xero!$B:$B,Heron!Q$9,Xero!$A:$A,Heron!$A$5,Xero!$E:$E,Heron!$A85)</f>
        <v>0</v>
      </c>
      <c r="R85" s="99">
        <f>SUMIFS(Xero!$F:$F,Xero!$B:$B,Heron!R$9,Xero!$A:$A,Heron!$A$4,Xero!$E:$E,Heron!$A85)+SUMIFS(Xero!$F:$F,Xero!$B:$B,Heron!R$9,Xero!$A:$A,Heron!$A$5,Xero!$E:$E,Heron!$A85)</f>
        <v>0</v>
      </c>
      <c r="S85" s="99">
        <f>SUMIFS(Xero!$F:$F,Xero!$B:$B,Heron!S$9,Xero!$A:$A,Heron!$A$4,Xero!$E:$E,Heron!$A85)+SUMIFS(Xero!$F:$F,Xero!$B:$B,Heron!S$9,Xero!$A:$A,Heron!$A$5,Xero!$E:$E,Heron!$A85)</f>
        <v>0</v>
      </c>
      <c r="T85" s="99">
        <f>SUMIFS(Xero!$F:$F,Xero!$B:$B,Heron!T$9,Xero!$A:$A,Heron!$A$4,Xero!$E:$E,Heron!$A85)+SUMIFS(Xero!$F:$F,Xero!$B:$B,Heron!T$9,Xero!$A:$A,Heron!$A$5,Xero!$E:$E,Heron!$A85)</f>
        <v>0</v>
      </c>
      <c r="U85" s="99">
        <f>SUMIFS(Xero!$F:$F,Xero!$B:$B,Heron!U$9,Xero!$A:$A,Heron!$A$4,Xero!$E:$E,Heron!$A85)+SUMIFS(Xero!$F:$F,Xero!$B:$B,Heron!U$9,Xero!$A:$A,Heron!$A$5,Xero!$E:$E,Heron!$A85)</f>
        <v>0</v>
      </c>
      <c r="V85" s="99">
        <f>SUMIFS(Xero!$F:$F,Xero!$B:$B,Heron!V$9,Xero!$A:$A,Heron!$A$4,Xero!$E:$E,Heron!$A85)+SUMIFS(Xero!$F:$F,Xero!$B:$B,Heron!V$9,Xero!$A:$A,Heron!$A$5,Xero!$E:$E,Heron!$A85)</f>
        <v>0</v>
      </c>
      <c r="W85" s="99">
        <f>SUMIFS(Xero!$F:$F,Xero!$B:$B,Heron!W$9,Xero!$A:$A,Heron!$A$4,Xero!$E:$E,Heron!$A85)+SUMIFS(Xero!$F:$F,Xero!$B:$B,Heron!W$9,Xero!$A:$A,Heron!$A$5,Xero!$E:$E,Heron!$A85)</f>
        <v>0</v>
      </c>
      <c r="X85" s="99">
        <f>SUMIFS(Xero!$F:$F,Xero!$B:$B,Heron!X$9,Xero!$A:$A,Heron!$A$4,Xero!$E:$E,Heron!$A85)+SUMIFS(Xero!$F:$F,Xero!$B:$B,Heron!X$9,Xero!$A:$A,Heron!$A$5,Xero!$E:$E,Heron!$A85)</f>
        <v>0</v>
      </c>
      <c r="Y85" s="99">
        <f>SUMIFS(Xero!$F:$F,Xero!$B:$B,Heron!Y$9,Xero!$A:$A,Heron!$A$4,Xero!$E:$E,Heron!$A85)+SUMIFS(Xero!$F:$F,Xero!$B:$B,Heron!Y$9,Xero!$A:$A,Heron!$A$5,Xero!$E:$E,Heron!$A85)</f>
        <v>0</v>
      </c>
      <c r="Z85" s="99">
        <f>SUMIFS(Xero!$F:$F,Xero!$B:$B,Heron!Z$9,Xero!$A:$A,Heron!$A$4,Xero!$E:$E,Heron!$A85)+SUMIFS(Xero!$F:$F,Xero!$B:$B,Heron!Z$9,Xero!$A:$A,Heron!$A$5,Xero!$E:$E,Heron!$A85)</f>
        <v>0</v>
      </c>
      <c r="AA85" s="99">
        <f>SUMIFS(Xero!$F:$F,Xero!$B:$B,Heron!AA$9,Xero!$A:$A,Heron!$A$4,Xero!$E:$E,Heron!$A85)+SUMIFS(Xero!$F:$F,Xero!$B:$B,Heron!AA$9,Xero!$A:$A,Heron!$A$5,Xero!$E:$E,Heron!$A85)</f>
        <v>0</v>
      </c>
      <c r="AB85" s="99">
        <f>SUMIFS(Xero!$F:$F,Xero!$B:$B,Heron!AB$9,Xero!$A:$A,Heron!$A$4,Xero!$E:$E,Heron!$A85)+SUMIFS(Xero!$F:$F,Xero!$B:$B,Heron!AB$9,Xero!$A:$A,Heron!$A$5,Xero!$E:$E,Heron!$A85)</f>
        <v>0</v>
      </c>
      <c r="AC85" s="99">
        <f>SUMIFS(Xero!$F:$F,Xero!$B:$B,Heron!AC$9,Xero!$A:$A,Heron!$A$4,Xero!$E:$E,Heron!$A85)+SUMIFS(Xero!$F:$F,Xero!$B:$B,Heron!AC$9,Xero!$A:$A,Heron!$A$5,Xero!$E:$E,Heron!$A85)</f>
        <v>0</v>
      </c>
      <c r="AD85" s="99">
        <f>SUMIFS(Xero!$F:$F,Xero!$B:$B,Heron!AD$9,Xero!$A:$A,Heron!$A$4,Xero!$E:$E,Heron!$A85)+SUMIFS(Xero!$F:$F,Xero!$B:$B,Heron!AD$9,Xero!$A:$A,Heron!$A$5,Xero!$E:$E,Heron!$A85)</f>
        <v>0</v>
      </c>
      <c r="AE85" s="99">
        <f>SUMIFS(Xero!$F:$F,Xero!$B:$B,Heron!AE$9,Xero!$A:$A,Heron!$A$4,Xero!$E:$E,Heron!$A85)+SUMIFS(Xero!$F:$F,Xero!$B:$B,Heron!AE$9,Xero!$A:$A,Heron!$A$5,Xero!$E:$E,Heron!$A85)</f>
        <v>0</v>
      </c>
      <c r="AF85" s="99">
        <f>SUMIFS(Xero!$F:$F,Xero!$B:$B,Heron!AF$9,Xero!$A:$A,Heron!$A$4,Xero!$E:$E,Heron!$A85)+SUMIFS(Xero!$F:$F,Xero!$B:$B,Heron!AF$9,Xero!$A:$A,Heron!$A$5,Xero!$E:$E,Heron!$A85)</f>
        <v>5515.07</v>
      </c>
      <c r="AG85" s="99">
        <f>SUMIFS(Xero!$F:$F,Xero!$B:$B,Heron!AG$9,Xero!$A:$A,Heron!$A$4,Xero!$E:$E,Heron!$A85)+SUMIFS(Xero!$F:$F,Xero!$B:$B,Heron!AG$9,Xero!$A:$A,Heron!$A$5,Xero!$E:$E,Heron!$A85)</f>
        <v>0</v>
      </c>
      <c r="AH85" s="99">
        <f>SUMIFS(Xero!$F:$F,Xero!$B:$B,Heron!AH$9,Xero!$A:$A,Heron!$A$4,Xero!$E:$E,Heron!$A85)+SUMIFS(Xero!$F:$F,Xero!$B:$B,Heron!AH$9,Xero!$A:$A,Heron!$A$5,Xero!$E:$E,Heron!$A85)</f>
        <v>26106.19</v>
      </c>
      <c r="AI85" s="99">
        <f>SUMIFS(Xero!$F:$F,Xero!$B:$B,Heron!AI$9,Xero!$A:$A,Heron!$A$4,Xero!$E:$E,Heron!$A85)+SUMIFS(Xero!$F:$F,Xero!$B:$B,Heron!AI$9,Xero!$A:$A,Heron!$A$5,Xero!$E:$E,Heron!$A85)</f>
        <v>0</v>
      </c>
      <c r="AJ85" s="99">
        <f>SUMIFS(Xero!$F:$F,Xero!$B:$B,Heron!AJ$9,Xero!$A:$A,Heron!$A$4,Xero!$E:$E,Heron!$A85)+SUMIFS(Xero!$F:$F,Xero!$B:$B,Heron!AJ$9,Xero!$A:$A,Heron!$A$5,Xero!$E:$E,Heron!$A85)</f>
        <v>4972.6000000000004</v>
      </c>
      <c r="AK85" s="99">
        <f>SUMIFS(Xero!$F:$F,Xero!$B:$B,Heron!AK$9,Xero!$A:$A,Heron!$A$4,Xero!$E:$E,Heron!$A85)+SUMIFS(Xero!$F:$F,Xero!$B:$B,Heron!AK$9,Xero!$A:$A,Heron!$A$5,Xero!$E:$E,Heron!$A85)</f>
        <v>2034.25</v>
      </c>
      <c r="AL85" s="99">
        <f>SUMIFS(Xero!$F:$F,Xero!$B:$B,Heron!AL$9,Xero!$A:$A,Heron!$A$4,Xero!$E:$E,Heron!$A85)+SUMIFS(Xero!$F:$F,Xero!$B:$B,Heron!AL$9,Xero!$A:$A,Heron!$A$5,Xero!$E:$E,Heron!$A85)</f>
        <v>621.26</v>
      </c>
      <c r="AM85" s="99">
        <f>SUMIFS(Xero!$F:$F,Xero!$B:$B,Heron!AM$9,Xero!$A:$A,Heron!$A$4,Xero!$E:$E,Heron!$A85)+SUMIFS(Xero!$F:$F,Xero!$B:$B,Heron!AM$9,Xero!$A:$A,Heron!$A$5,Xero!$E:$E,Heron!$A85)</f>
        <v>0</v>
      </c>
      <c r="AN85" s="99">
        <f>SUMIFS(Xero!$F:$F,Xero!$B:$B,Heron!AN$9,Xero!$A:$A,Heron!$A$4,Xero!$E:$E,Heron!$A85)+SUMIFS(Xero!$F:$F,Xero!$B:$B,Heron!AN$9,Xero!$A:$A,Heron!$A$5,Xero!$E:$E,Heron!$A85)</f>
        <v>4972.6000000000004</v>
      </c>
      <c r="AO85" s="99">
        <f>SUMIFS(Xero!$F:$F,Xero!$B:$B,Heron!AO$9,Xero!$A:$A,Heron!$A$4,Xero!$E:$E,Heron!$A85)+SUMIFS(Xero!$F:$F,Xero!$B:$B,Heron!AO$9,Xero!$A:$A,Heron!$A$5,Xero!$E:$E,Heron!$A85)</f>
        <v>0</v>
      </c>
      <c r="AP85" s="99">
        <f>SUMIFS(Xero!$F:$F,Xero!$B:$B,Heron!AP$9,Xero!$A:$A,Heron!$A$4,Xero!$E:$E,Heron!$A85)+SUMIFS(Xero!$F:$F,Xero!$B:$B,Heron!AP$9,Xero!$A:$A,Heron!$A$5,Xero!$E:$E,Heron!$A85)</f>
        <v>0</v>
      </c>
      <c r="AQ85" s="99">
        <f>SUMIFS(Xero!$F:$F,Xero!$B:$B,Heron!AQ$9,Xero!$A:$A,Heron!$A$4,Xero!$E:$E,Heron!$A85)+SUMIFS(Xero!$F:$F,Xero!$B:$B,Heron!AQ$9,Xero!$A:$A,Heron!$A$5,Xero!$E:$E,Heron!$A85)</f>
        <v>0</v>
      </c>
      <c r="AR85" s="99">
        <f>SUMIFS(Xero!$F:$F,Xero!$B:$B,Heron!AR$9,Xero!$A:$A,Heron!$A$4,Xero!$E:$E,Heron!$A85)+SUMIFS(Xero!$F:$F,Xero!$B:$B,Heron!AR$9,Xero!$A:$A,Heron!$A$5,Xero!$E:$E,Heron!$A85)</f>
        <v>0</v>
      </c>
      <c r="AS85" s="99">
        <f>SUMIFS(Xero!$F:$F,Xero!$B:$B,Heron!AS$9,Xero!$A:$A,Heron!$A$4,Xero!$E:$E,Heron!$A85)+SUMIFS(Xero!$F:$F,Xero!$B:$B,Heron!AS$9,Xero!$A:$A,Heron!$A$5,Xero!$E:$E,Heron!$A85)</f>
        <v>0</v>
      </c>
      <c r="AT85" s="99">
        <f>SUMIFS(Xero!$F:$F,Xero!$B:$B,Heron!AT$9,Xero!$A:$A,Heron!$A$4,Xero!$E:$E,Heron!$A85)+SUMIFS(Xero!$F:$F,Xero!$B:$B,Heron!AT$9,Xero!$A:$A,Heron!$A$5,Xero!$E:$E,Heron!$A85)</f>
        <v>0</v>
      </c>
      <c r="AU85" s="99">
        <f>SUMIFS(Xero!$F:$F,Xero!$B:$B,Heron!AU$9,Xero!$A:$A,Heron!$A$4,Xero!$E:$E,Heron!$A85)+SUMIFS(Xero!$F:$F,Xero!$B:$B,Heron!AU$9,Xero!$A:$A,Heron!$A$5,Xero!$E:$E,Heron!$A85)</f>
        <v>0</v>
      </c>
      <c r="AV85" s="99">
        <f>SUMIFS(Xero!$F:$F,Xero!$B:$B,Heron!AV$9,Xero!$A:$A,Heron!$A$4,Xero!$E:$E,Heron!$A85)+SUMIFS(Xero!$F:$F,Xero!$B:$B,Heron!AV$9,Xero!$A:$A,Heron!$A$5,Xero!$E:$E,Heron!$A85)</f>
        <v>0</v>
      </c>
      <c r="AW85" s="99">
        <f>SUMIFS(Xero!$F:$F,Xero!$B:$B,Heron!AW$9,Xero!$A:$A,Heron!$A$4,Xero!$E:$E,Heron!$A85)+SUMIFS(Xero!$F:$F,Xero!$B:$B,Heron!AW$9,Xero!$A:$A,Heron!$A$5,Xero!$E:$E,Heron!$A85)</f>
        <v>0</v>
      </c>
      <c r="AX85" s="99">
        <f>SUMIFS(Xero!$F:$F,Xero!$B:$B,Heron!AX$9,Xero!$A:$A,Heron!$A$4,Xero!$E:$E,Heron!$A85)+SUMIFS(Xero!$F:$F,Xero!$B:$B,Heron!AX$9,Xero!$A:$A,Heron!$A$5,Xero!$E:$E,Heron!$A85)</f>
        <v>0</v>
      </c>
      <c r="AY85" s="99">
        <f>SUMIFS(Xero!$F:$F,Xero!$B:$B,Heron!AY$9,Xero!$A:$A,Heron!$A$4,Xero!$E:$E,Heron!$A85)+SUMIFS(Xero!$F:$F,Xero!$B:$B,Heron!AY$9,Xero!$A:$A,Heron!$A$5,Xero!$E:$E,Heron!$A85)</f>
        <v>0</v>
      </c>
      <c r="AZ85" s="99">
        <f>SUMIFS(Xero!$F:$F,Xero!$B:$B,Heron!AZ$9,Xero!$A:$A,Heron!$A$4,Xero!$E:$E,Heron!$A85)+SUMIFS(Xero!$F:$F,Xero!$B:$B,Heron!AZ$9,Xero!$A:$A,Heron!$A$5,Xero!$E:$E,Heron!$A85)</f>
        <v>0</v>
      </c>
      <c r="BA85" s="99">
        <f>SUMIFS(Xero!$F:$F,Xero!$B:$B,Heron!BA$9,Xero!$A:$A,Heron!$A$4,Xero!$E:$E,Heron!$A85)+SUMIFS(Xero!$F:$F,Xero!$B:$B,Heron!BA$9,Xero!$A:$A,Heron!$A$5,Xero!$E:$E,Heron!$A85)</f>
        <v>0</v>
      </c>
      <c r="BB85" s="99">
        <f>SUMIFS(Xero!$F:$F,Xero!$B:$B,Heron!BB$9,Xero!$A:$A,Heron!$A$4,Xero!$E:$E,Heron!$A85)+SUMIFS(Xero!$F:$F,Xero!$B:$B,Heron!BB$9,Xero!$A:$A,Heron!$A$5,Xero!$E:$E,Heron!$A85)</f>
        <v>0</v>
      </c>
      <c r="BC85" s="99">
        <f>SUMIFS(Xero!$F:$F,Xero!$B:$B,Heron!BC$9,Xero!$A:$A,Heron!$A$4,Xero!$E:$E,Heron!$A85)+SUMIFS(Xero!$F:$F,Xero!$B:$B,Heron!BC$9,Xero!$A:$A,Heron!$A$5,Xero!$E:$E,Heron!$A85)</f>
        <v>0</v>
      </c>
      <c r="BD85" s="99">
        <f>SUMIFS(Xero!$F:$F,Xero!$B:$B,Heron!BD$9,Xero!$A:$A,Heron!$A$4,Xero!$E:$E,Heron!$A85)+SUMIFS(Xero!$F:$F,Xero!$B:$B,Heron!BD$9,Xero!$A:$A,Heron!$A$5,Xero!$E:$E,Heron!$A85)</f>
        <v>0</v>
      </c>
      <c r="BE85" s="99">
        <f>SUMIFS(Xero!$F:$F,Xero!$B:$B,Heron!BE$9,Xero!$A:$A,Heron!$A$4,Xero!$E:$E,Heron!$A85)+SUMIFS(Xero!$F:$F,Xero!$B:$B,Heron!BE$9,Xero!$A:$A,Heron!$A$5,Xero!$E:$E,Heron!$A85)</f>
        <v>0</v>
      </c>
      <c r="BF85" s="99">
        <f>SUMIFS(Xero!$F:$F,Xero!$B:$B,Heron!BF$9,Xero!$A:$A,Heron!$A$4,Xero!$E:$E,Heron!$A85)+SUMIFS(Xero!$F:$F,Xero!$B:$B,Heron!BF$9,Xero!$A:$A,Heron!$A$5,Xero!$E:$E,Heron!$A85)</f>
        <v>0</v>
      </c>
      <c r="BG85" s="99">
        <f>SUMIFS(Xero!$F:$F,Xero!$B:$B,Heron!BG$9,Xero!$A:$A,Heron!$A$4,Xero!$E:$E,Heron!$A85)+SUMIFS(Xero!$F:$F,Xero!$B:$B,Heron!BG$9,Xero!$A:$A,Heron!$A$5,Xero!$E:$E,Heron!$A85)</f>
        <v>0</v>
      </c>
      <c r="BH85" s="99">
        <f>SUMIFS(Xero!$F:$F,Xero!$B:$B,Heron!BH$9,Xero!$A:$A,Heron!$A$4,Xero!$E:$E,Heron!$A85)+SUMIFS(Xero!$F:$F,Xero!$B:$B,Heron!BH$9,Xero!$A:$A,Heron!$A$5,Xero!$E:$E,Heron!$A85)</f>
        <v>0</v>
      </c>
      <c r="BI85" s="99">
        <f>SUMIFS(Xero!$F:$F,Xero!$B:$B,Heron!BI$9,Xero!$A:$A,Heron!$A$4,Xero!$E:$E,Heron!$A85)+SUMIFS(Xero!$F:$F,Xero!$B:$B,Heron!BI$9,Xero!$A:$A,Heron!$A$5,Xero!$E:$E,Heron!$A85)</f>
        <v>0</v>
      </c>
      <c r="BJ85" s="99">
        <f>SUMIFS(Xero!$F:$F,Xero!$B:$B,Heron!BJ$9,Xero!$A:$A,Heron!$A$4,Xero!$E:$E,Heron!$A85)+SUMIFS(Xero!$F:$F,Xero!$B:$B,Heron!BJ$9,Xero!$A:$A,Heron!$A$5,Xero!$E:$E,Heron!$A85)</f>
        <v>0</v>
      </c>
      <c r="BK85" s="99">
        <f t="shared" si="5"/>
        <v>44221.97</v>
      </c>
    </row>
    <row r="86" spans="1:63" ht="16" x14ac:dyDescent="0.2">
      <c r="A86" s="98" t="s">
        <v>1696</v>
      </c>
      <c r="D86" s="99">
        <f>SUMIFS(Xero!$F:$F,Xero!$B:$B,Heron!D$9,Xero!$A:$A,Heron!$A$4,Xero!$E:$E,Heron!$A86)+SUMIFS(Xero!$F:$F,Xero!$B:$B,Heron!D$9,Xero!$A:$A,Heron!$A$5,Xero!$E:$E,Heron!$A86)</f>
        <v>0</v>
      </c>
      <c r="E86" s="99">
        <f>SUMIFS(Xero!$F:$F,Xero!$B:$B,Heron!E$9,Xero!$A:$A,Heron!$A$4,Xero!$E:$E,Heron!$A86)+SUMIFS(Xero!$F:$F,Xero!$B:$B,Heron!E$9,Xero!$A:$A,Heron!$A$5,Xero!$E:$E,Heron!$A86)</f>
        <v>0</v>
      </c>
      <c r="F86" s="99">
        <f>SUMIFS(Xero!$F:$F,Xero!$B:$B,Heron!F$9,Xero!$A:$A,Heron!$A$4,Xero!$E:$E,Heron!$A86)+SUMIFS(Xero!$F:$F,Xero!$B:$B,Heron!F$9,Xero!$A:$A,Heron!$A$5,Xero!$E:$E,Heron!$A86)</f>
        <v>0</v>
      </c>
      <c r="G86" s="99">
        <f>SUMIFS(Xero!$F:$F,Xero!$B:$B,Heron!G$9,Xero!$A:$A,Heron!$A$4,Xero!$E:$E,Heron!$A86)+SUMIFS(Xero!$F:$F,Xero!$B:$B,Heron!G$9,Xero!$A:$A,Heron!$A$5,Xero!$E:$E,Heron!$A86)</f>
        <v>0</v>
      </c>
      <c r="H86" s="99">
        <f>SUMIFS(Xero!$F:$F,Xero!$B:$B,Heron!H$9,Xero!$A:$A,Heron!$A$4,Xero!$E:$E,Heron!$A86)+SUMIFS(Xero!$F:$F,Xero!$B:$B,Heron!H$9,Xero!$A:$A,Heron!$A$5,Xero!$E:$E,Heron!$A86)</f>
        <v>0</v>
      </c>
      <c r="I86" s="99">
        <f>SUMIFS(Xero!$F:$F,Xero!$B:$B,Heron!I$9,Xero!$A:$A,Heron!$A$4,Xero!$E:$E,Heron!$A86)+SUMIFS(Xero!$F:$F,Xero!$B:$B,Heron!I$9,Xero!$A:$A,Heron!$A$5,Xero!$E:$E,Heron!$A86)</f>
        <v>0</v>
      </c>
      <c r="J86" s="99">
        <f>SUMIFS(Xero!$F:$F,Xero!$B:$B,Heron!J$9,Xero!$A:$A,Heron!$A$4,Xero!$E:$E,Heron!$A86)+SUMIFS(Xero!$F:$F,Xero!$B:$B,Heron!J$9,Xero!$A:$A,Heron!$A$5,Xero!$E:$E,Heron!$A86)</f>
        <v>0</v>
      </c>
      <c r="K86" s="99">
        <f>SUMIFS(Xero!$F:$F,Xero!$B:$B,Heron!K$9,Xero!$A:$A,Heron!$A$4,Xero!$E:$E,Heron!$A86)+SUMIFS(Xero!$F:$F,Xero!$B:$B,Heron!K$9,Xero!$A:$A,Heron!$A$5,Xero!$E:$E,Heron!$A86)</f>
        <v>0</v>
      </c>
      <c r="L86" s="99">
        <f>SUMIFS(Xero!$F:$F,Xero!$B:$B,Heron!L$9,Xero!$A:$A,Heron!$A$4,Xero!$E:$E,Heron!$A86)+SUMIFS(Xero!$F:$F,Xero!$B:$B,Heron!L$9,Xero!$A:$A,Heron!$A$5,Xero!$E:$E,Heron!$A86)</f>
        <v>0</v>
      </c>
      <c r="M86" s="99">
        <f>SUMIFS(Xero!$F:$F,Xero!$B:$B,Heron!M$9,Xero!$A:$A,Heron!$A$4,Xero!$E:$E,Heron!$A86)+SUMIFS(Xero!$F:$F,Xero!$B:$B,Heron!M$9,Xero!$A:$A,Heron!$A$5,Xero!$E:$E,Heron!$A86)</f>
        <v>0</v>
      </c>
      <c r="N86" s="99">
        <f>SUMIFS(Xero!$F:$F,Xero!$B:$B,Heron!N$9,Xero!$A:$A,Heron!$A$4,Xero!$E:$E,Heron!$A86)+SUMIFS(Xero!$F:$F,Xero!$B:$B,Heron!N$9,Xero!$A:$A,Heron!$A$5,Xero!$E:$E,Heron!$A86)</f>
        <v>0</v>
      </c>
      <c r="O86" s="99">
        <f>SUMIFS(Xero!$F:$F,Xero!$B:$B,Heron!O$9,Xero!$A:$A,Heron!$A$4,Xero!$E:$E,Heron!$A86)+SUMIFS(Xero!$F:$F,Xero!$B:$B,Heron!O$9,Xero!$A:$A,Heron!$A$5,Xero!$E:$E,Heron!$A86)</f>
        <v>0</v>
      </c>
      <c r="P86" s="99">
        <f>SUMIFS(Xero!$F:$F,Xero!$B:$B,Heron!P$9,Xero!$A:$A,Heron!$A$4,Xero!$E:$E,Heron!$A86)+SUMIFS(Xero!$F:$F,Xero!$B:$B,Heron!P$9,Xero!$A:$A,Heron!$A$5,Xero!$E:$E,Heron!$A86)</f>
        <v>0</v>
      </c>
      <c r="Q86" s="99">
        <f>SUMIFS(Xero!$F:$F,Xero!$B:$B,Heron!Q$9,Xero!$A:$A,Heron!$A$4,Xero!$E:$E,Heron!$A86)+SUMIFS(Xero!$F:$F,Xero!$B:$B,Heron!Q$9,Xero!$A:$A,Heron!$A$5,Xero!$E:$E,Heron!$A86)</f>
        <v>0</v>
      </c>
      <c r="R86" s="99">
        <f>SUMIFS(Xero!$F:$F,Xero!$B:$B,Heron!R$9,Xero!$A:$A,Heron!$A$4,Xero!$E:$E,Heron!$A86)+SUMIFS(Xero!$F:$F,Xero!$B:$B,Heron!R$9,Xero!$A:$A,Heron!$A$5,Xero!$E:$E,Heron!$A86)</f>
        <v>0</v>
      </c>
      <c r="S86" s="99">
        <f>SUMIFS(Xero!$F:$F,Xero!$B:$B,Heron!S$9,Xero!$A:$A,Heron!$A$4,Xero!$E:$E,Heron!$A86)+SUMIFS(Xero!$F:$F,Xero!$B:$B,Heron!S$9,Xero!$A:$A,Heron!$A$5,Xero!$E:$E,Heron!$A86)</f>
        <v>0</v>
      </c>
      <c r="T86" s="99">
        <f>SUMIFS(Xero!$F:$F,Xero!$B:$B,Heron!T$9,Xero!$A:$A,Heron!$A$4,Xero!$E:$E,Heron!$A86)+SUMIFS(Xero!$F:$F,Xero!$B:$B,Heron!T$9,Xero!$A:$A,Heron!$A$5,Xero!$E:$E,Heron!$A86)</f>
        <v>0</v>
      </c>
      <c r="U86" s="99">
        <f>SUMIFS(Xero!$F:$F,Xero!$B:$B,Heron!U$9,Xero!$A:$A,Heron!$A$4,Xero!$E:$E,Heron!$A86)+SUMIFS(Xero!$F:$F,Xero!$B:$B,Heron!U$9,Xero!$A:$A,Heron!$A$5,Xero!$E:$E,Heron!$A86)</f>
        <v>0</v>
      </c>
      <c r="V86" s="99">
        <f>SUMIFS(Xero!$F:$F,Xero!$B:$B,Heron!V$9,Xero!$A:$A,Heron!$A$4,Xero!$E:$E,Heron!$A86)+SUMIFS(Xero!$F:$F,Xero!$B:$B,Heron!V$9,Xero!$A:$A,Heron!$A$5,Xero!$E:$E,Heron!$A86)</f>
        <v>0</v>
      </c>
      <c r="W86" s="99">
        <f>SUMIFS(Xero!$F:$F,Xero!$B:$B,Heron!W$9,Xero!$A:$A,Heron!$A$4,Xero!$E:$E,Heron!$A86)+SUMIFS(Xero!$F:$F,Xero!$B:$B,Heron!W$9,Xero!$A:$A,Heron!$A$5,Xero!$E:$E,Heron!$A86)</f>
        <v>0</v>
      </c>
      <c r="X86" s="99">
        <f>SUMIFS(Xero!$F:$F,Xero!$B:$B,Heron!X$9,Xero!$A:$A,Heron!$A$4,Xero!$E:$E,Heron!$A86)+SUMIFS(Xero!$F:$F,Xero!$B:$B,Heron!X$9,Xero!$A:$A,Heron!$A$5,Xero!$E:$E,Heron!$A86)</f>
        <v>0</v>
      </c>
      <c r="Y86" s="99">
        <f>SUMIFS(Xero!$F:$F,Xero!$B:$B,Heron!Y$9,Xero!$A:$A,Heron!$A$4,Xero!$E:$E,Heron!$A86)+SUMIFS(Xero!$F:$F,Xero!$B:$B,Heron!Y$9,Xero!$A:$A,Heron!$A$5,Xero!$E:$E,Heron!$A86)</f>
        <v>0</v>
      </c>
      <c r="Z86" s="99">
        <f>SUMIFS(Xero!$F:$F,Xero!$B:$B,Heron!Z$9,Xero!$A:$A,Heron!$A$4,Xero!$E:$E,Heron!$A86)+SUMIFS(Xero!$F:$F,Xero!$B:$B,Heron!Z$9,Xero!$A:$A,Heron!$A$5,Xero!$E:$E,Heron!$A86)</f>
        <v>0</v>
      </c>
      <c r="AA86" s="99">
        <f>SUMIFS(Xero!$F:$F,Xero!$B:$B,Heron!AA$9,Xero!$A:$A,Heron!$A$4,Xero!$E:$E,Heron!$A86)+SUMIFS(Xero!$F:$F,Xero!$B:$B,Heron!AA$9,Xero!$A:$A,Heron!$A$5,Xero!$E:$E,Heron!$A86)</f>
        <v>0</v>
      </c>
      <c r="AB86" s="99">
        <f>SUMIFS(Xero!$F:$F,Xero!$B:$B,Heron!AB$9,Xero!$A:$A,Heron!$A$4,Xero!$E:$E,Heron!$A86)+SUMIFS(Xero!$F:$F,Xero!$B:$B,Heron!AB$9,Xero!$A:$A,Heron!$A$5,Xero!$E:$E,Heron!$A86)</f>
        <v>0</v>
      </c>
      <c r="AC86" s="99">
        <f>SUMIFS(Xero!$F:$F,Xero!$B:$B,Heron!AC$9,Xero!$A:$A,Heron!$A$4,Xero!$E:$E,Heron!$A86)+SUMIFS(Xero!$F:$F,Xero!$B:$B,Heron!AC$9,Xero!$A:$A,Heron!$A$5,Xero!$E:$E,Heron!$A86)</f>
        <v>0</v>
      </c>
      <c r="AD86" s="99">
        <f>SUMIFS(Xero!$F:$F,Xero!$B:$B,Heron!AD$9,Xero!$A:$A,Heron!$A$4,Xero!$E:$E,Heron!$A86)+SUMIFS(Xero!$F:$F,Xero!$B:$B,Heron!AD$9,Xero!$A:$A,Heron!$A$5,Xero!$E:$E,Heron!$A86)</f>
        <v>0</v>
      </c>
      <c r="AE86" s="99">
        <f>SUMIFS(Xero!$F:$F,Xero!$B:$B,Heron!AE$9,Xero!$A:$A,Heron!$A$4,Xero!$E:$E,Heron!$A86)+SUMIFS(Xero!$F:$F,Xero!$B:$B,Heron!AE$9,Xero!$A:$A,Heron!$A$5,Xero!$E:$E,Heron!$A86)</f>
        <v>0</v>
      </c>
      <c r="AF86" s="99">
        <f>SUMIFS(Xero!$F:$F,Xero!$B:$B,Heron!AF$9,Xero!$A:$A,Heron!$A$4,Xero!$E:$E,Heron!$A86)+SUMIFS(Xero!$F:$F,Xero!$B:$B,Heron!AF$9,Xero!$A:$A,Heron!$A$5,Xero!$E:$E,Heron!$A86)</f>
        <v>591.78</v>
      </c>
      <c r="AG86" s="99">
        <f>SUMIFS(Xero!$F:$F,Xero!$B:$B,Heron!AG$9,Xero!$A:$A,Heron!$A$4,Xero!$E:$E,Heron!$A86)+SUMIFS(Xero!$F:$F,Xero!$B:$B,Heron!AG$9,Xero!$A:$A,Heron!$A$5,Xero!$E:$E,Heron!$A86)</f>
        <v>28180.7</v>
      </c>
      <c r="AH86" s="99">
        <f>SUMIFS(Xero!$F:$F,Xero!$B:$B,Heron!AH$9,Xero!$A:$A,Heron!$A$4,Xero!$E:$E,Heron!$A86)+SUMIFS(Xero!$F:$F,Xero!$B:$B,Heron!AH$9,Xero!$A:$A,Heron!$A$5,Xero!$E:$E,Heron!$A86)</f>
        <v>34057.67</v>
      </c>
      <c r="AI86" s="99">
        <f>SUMIFS(Xero!$F:$F,Xero!$B:$B,Heron!AI$9,Xero!$A:$A,Heron!$A$4,Xero!$E:$E,Heron!$A86)+SUMIFS(Xero!$F:$F,Xero!$B:$B,Heron!AI$9,Xero!$A:$A,Heron!$A$5,Xero!$E:$E,Heron!$A86)</f>
        <v>0</v>
      </c>
      <c r="AJ86" s="99">
        <f>SUMIFS(Xero!$F:$F,Xero!$B:$B,Heron!AJ$9,Xero!$A:$A,Heron!$A$4,Xero!$E:$E,Heron!$A86)+SUMIFS(Xero!$F:$F,Xero!$B:$B,Heron!AJ$9,Xero!$A:$A,Heron!$A$5,Xero!$E:$E,Heron!$A86)</f>
        <v>577.21</v>
      </c>
      <c r="AK86" s="99">
        <f>SUMIFS(Xero!$F:$F,Xero!$B:$B,Heron!AK$9,Xero!$A:$A,Heron!$A$4,Xero!$E:$E,Heron!$A86)+SUMIFS(Xero!$F:$F,Xero!$B:$B,Heron!AK$9,Xero!$A:$A,Heron!$A$5,Xero!$E:$E,Heron!$A86)</f>
        <v>6322.22</v>
      </c>
      <c r="AL86" s="99">
        <f>SUMIFS(Xero!$F:$F,Xero!$B:$B,Heron!AL$9,Xero!$A:$A,Heron!$A$4,Xero!$E:$E,Heron!$A86)+SUMIFS(Xero!$F:$F,Xero!$B:$B,Heron!AL$9,Xero!$A:$A,Heron!$A$5,Xero!$E:$E,Heron!$A86)</f>
        <v>0</v>
      </c>
      <c r="AM86" s="99">
        <f>SUMIFS(Xero!$F:$F,Xero!$B:$B,Heron!AM$9,Xero!$A:$A,Heron!$A$4,Xero!$E:$E,Heron!$A86)+SUMIFS(Xero!$F:$F,Xero!$B:$B,Heron!AM$9,Xero!$A:$A,Heron!$A$5,Xero!$E:$E,Heron!$A86)</f>
        <v>0</v>
      </c>
      <c r="AN86" s="99">
        <f>SUMIFS(Xero!$F:$F,Xero!$B:$B,Heron!AN$9,Xero!$A:$A,Heron!$A$4,Xero!$E:$E,Heron!$A86)+SUMIFS(Xero!$F:$F,Xero!$B:$B,Heron!AN$9,Xero!$A:$A,Heron!$A$5,Xero!$E:$E,Heron!$A86)</f>
        <v>0</v>
      </c>
      <c r="AO86" s="99">
        <f>SUMIFS(Xero!$F:$F,Xero!$B:$B,Heron!AO$9,Xero!$A:$A,Heron!$A$4,Xero!$E:$E,Heron!$A86)+SUMIFS(Xero!$F:$F,Xero!$B:$B,Heron!AO$9,Xero!$A:$A,Heron!$A$5,Xero!$E:$E,Heron!$A86)</f>
        <v>0</v>
      </c>
      <c r="AP86" s="99">
        <f>SUMIFS(Xero!$F:$F,Xero!$B:$B,Heron!AP$9,Xero!$A:$A,Heron!$A$4,Xero!$E:$E,Heron!$A86)+SUMIFS(Xero!$F:$F,Xero!$B:$B,Heron!AP$9,Xero!$A:$A,Heron!$A$5,Xero!$E:$E,Heron!$A86)</f>
        <v>0</v>
      </c>
      <c r="AQ86" s="99">
        <f>SUMIFS(Xero!$F:$F,Xero!$B:$B,Heron!AQ$9,Xero!$A:$A,Heron!$A$4,Xero!$E:$E,Heron!$A86)+SUMIFS(Xero!$F:$F,Xero!$B:$B,Heron!AQ$9,Xero!$A:$A,Heron!$A$5,Xero!$E:$E,Heron!$A86)</f>
        <v>0</v>
      </c>
      <c r="AR86" s="99">
        <f>SUMIFS(Xero!$F:$F,Xero!$B:$B,Heron!AR$9,Xero!$A:$A,Heron!$A$4,Xero!$E:$E,Heron!$A86)+SUMIFS(Xero!$F:$F,Xero!$B:$B,Heron!AR$9,Xero!$A:$A,Heron!$A$5,Xero!$E:$E,Heron!$A86)</f>
        <v>0</v>
      </c>
      <c r="AS86" s="99">
        <f>SUMIFS(Xero!$F:$F,Xero!$B:$B,Heron!AS$9,Xero!$A:$A,Heron!$A$4,Xero!$E:$E,Heron!$A86)+SUMIFS(Xero!$F:$F,Xero!$B:$B,Heron!AS$9,Xero!$A:$A,Heron!$A$5,Xero!$E:$E,Heron!$A86)</f>
        <v>0</v>
      </c>
      <c r="AT86" s="99">
        <f>SUMIFS(Xero!$F:$F,Xero!$B:$B,Heron!AT$9,Xero!$A:$A,Heron!$A$4,Xero!$E:$E,Heron!$A86)+SUMIFS(Xero!$F:$F,Xero!$B:$B,Heron!AT$9,Xero!$A:$A,Heron!$A$5,Xero!$E:$E,Heron!$A86)</f>
        <v>0</v>
      </c>
      <c r="AU86" s="99">
        <f>SUMIFS(Xero!$F:$F,Xero!$B:$B,Heron!AU$9,Xero!$A:$A,Heron!$A$4,Xero!$E:$E,Heron!$A86)+SUMIFS(Xero!$F:$F,Xero!$B:$B,Heron!AU$9,Xero!$A:$A,Heron!$A$5,Xero!$E:$E,Heron!$A86)</f>
        <v>0</v>
      </c>
      <c r="AV86" s="99">
        <f>SUMIFS(Xero!$F:$F,Xero!$B:$B,Heron!AV$9,Xero!$A:$A,Heron!$A$4,Xero!$E:$E,Heron!$A86)+SUMIFS(Xero!$F:$F,Xero!$B:$B,Heron!AV$9,Xero!$A:$A,Heron!$A$5,Xero!$E:$E,Heron!$A86)</f>
        <v>0</v>
      </c>
      <c r="AW86" s="99">
        <f>SUMIFS(Xero!$F:$F,Xero!$B:$B,Heron!AW$9,Xero!$A:$A,Heron!$A$4,Xero!$E:$E,Heron!$A86)+SUMIFS(Xero!$F:$F,Xero!$B:$B,Heron!AW$9,Xero!$A:$A,Heron!$A$5,Xero!$E:$E,Heron!$A86)</f>
        <v>0</v>
      </c>
      <c r="AX86" s="99">
        <f>SUMIFS(Xero!$F:$F,Xero!$B:$B,Heron!AX$9,Xero!$A:$A,Heron!$A$4,Xero!$E:$E,Heron!$A86)+SUMIFS(Xero!$F:$F,Xero!$B:$B,Heron!AX$9,Xero!$A:$A,Heron!$A$5,Xero!$E:$E,Heron!$A86)</f>
        <v>0</v>
      </c>
      <c r="AY86" s="99">
        <f>SUMIFS(Xero!$F:$F,Xero!$B:$B,Heron!AY$9,Xero!$A:$A,Heron!$A$4,Xero!$E:$E,Heron!$A86)+SUMIFS(Xero!$F:$F,Xero!$B:$B,Heron!AY$9,Xero!$A:$A,Heron!$A$5,Xero!$E:$E,Heron!$A86)</f>
        <v>0</v>
      </c>
      <c r="AZ86" s="99">
        <f>SUMIFS(Xero!$F:$F,Xero!$B:$B,Heron!AZ$9,Xero!$A:$A,Heron!$A$4,Xero!$E:$E,Heron!$A86)+SUMIFS(Xero!$F:$F,Xero!$B:$B,Heron!AZ$9,Xero!$A:$A,Heron!$A$5,Xero!$E:$E,Heron!$A86)</f>
        <v>0</v>
      </c>
      <c r="BA86" s="99">
        <f>SUMIFS(Xero!$F:$F,Xero!$B:$B,Heron!BA$9,Xero!$A:$A,Heron!$A$4,Xero!$E:$E,Heron!$A86)+SUMIFS(Xero!$F:$F,Xero!$B:$B,Heron!BA$9,Xero!$A:$A,Heron!$A$5,Xero!$E:$E,Heron!$A86)</f>
        <v>0</v>
      </c>
      <c r="BB86" s="99">
        <f>SUMIFS(Xero!$F:$F,Xero!$B:$B,Heron!BB$9,Xero!$A:$A,Heron!$A$4,Xero!$E:$E,Heron!$A86)+SUMIFS(Xero!$F:$F,Xero!$B:$B,Heron!BB$9,Xero!$A:$A,Heron!$A$5,Xero!$E:$E,Heron!$A86)</f>
        <v>0</v>
      </c>
      <c r="BC86" s="99">
        <f>SUMIFS(Xero!$F:$F,Xero!$B:$B,Heron!BC$9,Xero!$A:$A,Heron!$A$4,Xero!$E:$E,Heron!$A86)+SUMIFS(Xero!$F:$F,Xero!$B:$B,Heron!BC$9,Xero!$A:$A,Heron!$A$5,Xero!$E:$E,Heron!$A86)</f>
        <v>0</v>
      </c>
      <c r="BD86" s="99">
        <f>SUMIFS(Xero!$F:$F,Xero!$B:$B,Heron!BD$9,Xero!$A:$A,Heron!$A$4,Xero!$E:$E,Heron!$A86)+SUMIFS(Xero!$F:$F,Xero!$B:$B,Heron!BD$9,Xero!$A:$A,Heron!$A$5,Xero!$E:$E,Heron!$A86)</f>
        <v>0</v>
      </c>
      <c r="BE86" s="99">
        <f>SUMIFS(Xero!$F:$F,Xero!$B:$B,Heron!BE$9,Xero!$A:$A,Heron!$A$4,Xero!$E:$E,Heron!$A86)+SUMIFS(Xero!$F:$F,Xero!$B:$B,Heron!BE$9,Xero!$A:$A,Heron!$A$5,Xero!$E:$E,Heron!$A86)</f>
        <v>0</v>
      </c>
      <c r="BF86" s="99">
        <f>SUMIFS(Xero!$F:$F,Xero!$B:$B,Heron!BF$9,Xero!$A:$A,Heron!$A$4,Xero!$E:$E,Heron!$A86)+SUMIFS(Xero!$F:$F,Xero!$B:$B,Heron!BF$9,Xero!$A:$A,Heron!$A$5,Xero!$E:$E,Heron!$A86)</f>
        <v>0</v>
      </c>
      <c r="BG86" s="99">
        <f>SUMIFS(Xero!$F:$F,Xero!$B:$B,Heron!BG$9,Xero!$A:$A,Heron!$A$4,Xero!$E:$E,Heron!$A86)+SUMIFS(Xero!$F:$F,Xero!$B:$B,Heron!BG$9,Xero!$A:$A,Heron!$A$5,Xero!$E:$E,Heron!$A86)</f>
        <v>0</v>
      </c>
      <c r="BH86" s="99">
        <f>SUMIFS(Xero!$F:$F,Xero!$B:$B,Heron!BH$9,Xero!$A:$A,Heron!$A$4,Xero!$E:$E,Heron!$A86)+SUMIFS(Xero!$F:$F,Xero!$B:$B,Heron!BH$9,Xero!$A:$A,Heron!$A$5,Xero!$E:$E,Heron!$A86)</f>
        <v>0</v>
      </c>
      <c r="BI86" s="99">
        <f>SUMIFS(Xero!$F:$F,Xero!$B:$B,Heron!BI$9,Xero!$A:$A,Heron!$A$4,Xero!$E:$E,Heron!$A86)+SUMIFS(Xero!$F:$F,Xero!$B:$B,Heron!BI$9,Xero!$A:$A,Heron!$A$5,Xero!$E:$E,Heron!$A86)</f>
        <v>0</v>
      </c>
      <c r="BJ86" s="99">
        <f>SUMIFS(Xero!$F:$F,Xero!$B:$B,Heron!BJ$9,Xero!$A:$A,Heron!$A$4,Xero!$E:$E,Heron!$A86)+SUMIFS(Xero!$F:$F,Xero!$B:$B,Heron!BJ$9,Xero!$A:$A,Heron!$A$5,Xero!$E:$E,Heron!$A86)</f>
        <v>0</v>
      </c>
      <c r="BK86" s="99">
        <f t="shared" si="5"/>
        <v>69729.579999999987</v>
      </c>
    </row>
    <row r="87" spans="1:63" ht="16" x14ac:dyDescent="0.2">
      <c r="A87" s="98" t="s">
        <v>1651</v>
      </c>
      <c r="D87" s="99">
        <f>SUMIFS(Xero!$F:$F,Xero!$B:$B,Heron!D$9,Xero!$A:$A,Heron!$A$4,Xero!$E:$E,Heron!$A87)+SUMIFS(Xero!$F:$F,Xero!$B:$B,Heron!D$9,Xero!$A:$A,Heron!$A$5,Xero!$E:$E,Heron!$A87)</f>
        <v>0</v>
      </c>
      <c r="E87" s="99">
        <f>SUMIFS(Xero!$F:$F,Xero!$B:$B,Heron!E$9,Xero!$A:$A,Heron!$A$4,Xero!$E:$E,Heron!$A87)+SUMIFS(Xero!$F:$F,Xero!$B:$B,Heron!E$9,Xero!$A:$A,Heron!$A$5,Xero!$E:$E,Heron!$A87)</f>
        <v>0</v>
      </c>
      <c r="F87" s="99">
        <f>SUMIFS(Xero!$F:$F,Xero!$B:$B,Heron!F$9,Xero!$A:$A,Heron!$A$4,Xero!$E:$E,Heron!$A87)+SUMIFS(Xero!$F:$F,Xero!$B:$B,Heron!F$9,Xero!$A:$A,Heron!$A$5,Xero!$E:$E,Heron!$A87)</f>
        <v>0</v>
      </c>
      <c r="G87" s="99">
        <f>SUMIFS(Xero!$F:$F,Xero!$B:$B,Heron!G$9,Xero!$A:$A,Heron!$A$4,Xero!$E:$E,Heron!$A87)+SUMIFS(Xero!$F:$F,Xero!$B:$B,Heron!G$9,Xero!$A:$A,Heron!$A$5,Xero!$E:$E,Heron!$A87)</f>
        <v>0</v>
      </c>
      <c r="H87" s="99">
        <f>SUMIFS(Xero!$F:$F,Xero!$B:$B,Heron!H$9,Xero!$A:$A,Heron!$A$4,Xero!$E:$E,Heron!$A87)+SUMIFS(Xero!$F:$F,Xero!$B:$B,Heron!H$9,Xero!$A:$A,Heron!$A$5,Xero!$E:$E,Heron!$A87)</f>
        <v>0</v>
      </c>
      <c r="I87" s="99">
        <f>SUMIFS(Xero!$F:$F,Xero!$B:$B,Heron!I$9,Xero!$A:$A,Heron!$A$4,Xero!$E:$E,Heron!$A87)+SUMIFS(Xero!$F:$F,Xero!$B:$B,Heron!I$9,Xero!$A:$A,Heron!$A$5,Xero!$E:$E,Heron!$A87)</f>
        <v>0</v>
      </c>
      <c r="J87" s="99">
        <f>SUMIFS(Xero!$F:$F,Xero!$B:$B,Heron!J$9,Xero!$A:$A,Heron!$A$4,Xero!$E:$E,Heron!$A87)+SUMIFS(Xero!$F:$F,Xero!$B:$B,Heron!J$9,Xero!$A:$A,Heron!$A$5,Xero!$E:$E,Heron!$A87)</f>
        <v>0</v>
      </c>
      <c r="K87" s="99">
        <f>SUMIFS(Xero!$F:$F,Xero!$B:$B,Heron!K$9,Xero!$A:$A,Heron!$A$4,Xero!$E:$E,Heron!$A87)+SUMIFS(Xero!$F:$F,Xero!$B:$B,Heron!K$9,Xero!$A:$A,Heron!$A$5,Xero!$E:$E,Heron!$A87)</f>
        <v>0</v>
      </c>
      <c r="L87" s="99">
        <f>SUMIFS(Xero!$F:$F,Xero!$B:$B,Heron!L$9,Xero!$A:$A,Heron!$A$4,Xero!$E:$E,Heron!$A87)+SUMIFS(Xero!$F:$F,Xero!$B:$B,Heron!L$9,Xero!$A:$A,Heron!$A$5,Xero!$E:$E,Heron!$A87)</f>
        <v>0</v>
      </c>
      <c r="M87" s="99">
        <f>SUMIFS(Xero!$F:$F,Xero!$B:$B,Heron!M$9,Xero!$A:$A,Heron!$A$4,Xero!$E:$E,Heron!$A87)+SUMIFS(Xero!$F:$F,Xero!$B:$B,Heron!M$9,Xero!$A:$A,Heron!$A$5,Xero!$E:$E,Heron!$A87)</f>
        <v>0</v>
      </c>
      <c r="N87" s="99">
        <f>SUMIFS(Xero!$F:$F,Xero!$B:$B,Heron!N$9,Xero!$A:$A,Heron!$A$4,Xero!$E:$E,Heron!$A87)+SUMIFS(Xero!$F:$F,Xero!$B:$B,Heron!N$9,Xero!$A:$A,Heron!$A$5,Xero!$E:$E,Heron!$A87)</f>
        <v>0</v>
      </c>
      <c r="O87" s="99">
        <f>SUMIFS(Xero!$F:$F,Xero!$B:$B,Heron!O$9,Xero!$A:$A,Heron!$A$4,Xero!$E:$E,Heron!$A87)+SUMIFS(Xero!$F:$F,Xero!$B:$B,Heron!O$9,Xero!$A:$A,Heron!$A$5,Xero!$E:$E,Heron!$A87)</f>
        <v>0</v>
      </c>
      <c r="P87" s="99">
        <f>SUMIFS(Xero!$F:$F,Xero!$B:$B,Heron!P$9,Xero!$A:$A,Heron!$A$4,Xero!$E:$E,Heron!$A87)+SUMIFS(Xero!$F:$F,Xero!$B:$B,Heron!P$9,Xero!$A:$A,Heron!$A$5,Xero!$E:$E,Heron!$A87)</f>
        <v>0</v>
      </c>
      <c r="Q87" s="99">
        <f>SUMIFS(Xero!$F:$F,Xero!$B:$B,Heron!Q$9,Xero!$A:$A,Heron!$A$4,Xero!$E:$E,Heron!$A87)+SUMIFS(Xero!$F:$F,Xero!$B:$B,Heron!Q$9,Xero!$A:$A,Heron!$A$5,Xero!$E:$E,Heron!$A87)</f>
        <v>0</v>
      </c>
      <c r="R87" s="99">
        <f>SUMIFS(Xero!$F:$F,Xero!$B:$B,Heron!R$9,Xero!$A:$A,Heron!$A$4,Xero!$E:$E,Heron!$A87)+SUMIFS(Xero!$F:$F,Xero!$B:$B,Heron!R$9,Xero!$A:$A,Heron!$A$5,Xero!$E:$E,Heron!$A87)</f>
        <v>0</v>
      </c>
      <c r="S87" s="99">
        <f>SUMIFS(Xero!$F:$F,Xero!$B:$B,Heron!S$9,Xero!$A:$A,Heron!$A$4,Xero!$E:$E,Heron!$A87)+SUMIFS(Xero!$F:$F,Xero!$B:$B,Heron!S$9,Xero!$A:$A,Heron!$A$5,Xero!$E:$E,Heron!$A87)</f>
        <v>0</v>
      </c>
      <c r="T87" s="99">
        <f>SUMIFS(Xero!$F:$F,Xero!$B:$B,Heron!T$9,Xero!$A:$A,Heron!$A$4,Xero!$E:$E,Heron!$A87)+SUMIFS(Xero!$F:$F,Xero!$B:$B,Heron!T$9,Xero!$A:$A,Heron!$A$5,Xero!$E:$E,Heron!$A87)</f>
        <v>0</v>
      </c>
      <c r="U87" s="99">
        <f>SUMIFS(Xero!$F:$F,Xero!$B:$B,Heron!U$9,Xero!$A:$A,Heron!$A$4,Xero!$E:$E,Heron!$A87)+SUMIFS(Xero!$F:$F,Xero!$B:$B,Heron!U$9,Xero!$A:$A,Heron!$A$5,Xero!$E:$E,Heron!$A87)</f>
        <v>0</v>
      </c>
      <c r="V87" s="99">
        <f>SUMIFS(Xero!$F:$F,Xero!$B:$B,Heron!V$9,Xero!$A:$A,Heron!$A$4,Xero!$E:$E,Heron!$A87)+SUMIFS(Xero!$F:$F,Xero!$B:$B,Heron!V$9,Xero!$A:$A,Heron!$A$5,Xero!$E:$E,Heron!$A87)</f>
        <v>0</v>
      </c>
      <c r="W87" s="99">
        <f>SUMIFS(Xero!$F:$F,Xero!$B:$B,Heron!W$9,Xero!$A:$A,Heron!$A$4,Xero!$E:$E,Heron!$A87)+SUMIFS(Xero!$F:$F,Xero!$B:$B,Heron!W$9,Xero!$A:$A,Heron!$A$5,Xero!$E:$E,Heron!$A87)</f>
        <v>0</v>
      </c>
      <c r="X87" s="99">
        <f>SUMIFS(Xero!$F:$F,Xero!$B:$B,Heron!X$9,Xero!$A:$A,Heron!$A$4,Xero!$E:$E,Heron!$A87)+SUMIFS(Xero!$F:$F,Xero!$B:$B,Heron!X$9,Xero!$A:$A,Heron!$A$5,Xero!$E:$E,Heron!$A87)</f>
        <v>0</v>
      </c>
      <c r="Y87" s="99">
        <f>SUMIFS(Xero!$F:$F,Xero!$B:$B,Heron!Y$9,Xero!$A:$A,Heron!$A$4,Xero!$E:$E,Heron!$A87)+SUMIFS(Xero!$F:$F,Xero!$B:$B,Heron!Y$9,Xero!$A:$A,Heron!$A$5,Xero!$E:$E,Heron!$A87)</f>
        <v>0</v>
      </c>
      <c r="Z87" s="99">
        <f>SUMIFS(Xero!$F:$F,Xero!$B:$B,Heron!Z$9,Xero!$A:$A,Heron!$A$4,Xero!$E:$E,Heron!$A87)+SUMIFS(Xero!$F:$F,Xero!$B:$B,Heron!Z$9,Xero!$A:$A,Heron!$A$5,Xero!$E:$E,Heron!$A87)</f>
        <v>0</v>
      </c>
      <c r="AA87" s="99">
        <f>SUMIFS(Xero!$F:$F,Xero!$B:$B,Heron!AA$9,Xero!$A:$A,Heron!$A$4,Xero!$E:$E,Heron!$A87)+SUMIFS(Xero!$F:$F,Xero!$B:$B,Heron!AA$9,Xero!$A:$A,Heron!$A$5,Xero!$E:$E,Heron!$A87)</f>
        <v>512.87</v>
      </c>
      <c r="AB87" s="99">
        <f>SUMIFS(Xero!$F:$F,Xero!$B:$B,Heron!AB$9,Xero!$A:$A,Heron!$A$4,Xero!$E:$E,Heron!$A87)+SUMIFS(Xero!$F:$F,Xero!$B:$B,Heron!AB$9,Xero!$A:$A,Heron!$A$5,Xero!$E:$E,Heron!$A87)</f>
        <v>0</v>
      </c>
      <c r="AC87" s="99">
        <f>SUMIFS(Xero!$F:$F,Xero!$B:$B,Heron!AC$9,Xero!$A:$A,Heron!$A$4,Xero!$E:$E,Heron!$A87)+SUMIFS(Xero!$F:$F,Xero!$B:$B,Heron!AC$9,Xero!$A:$A,Heron!$A$5,Xero!$E:$E,Heron!$A87)</f>
        <v>0</v>
      </c>
      <c r="AD87" s="99">
        <f>SUMIFS(Xero!$F:$F,Xero!$B:$B,Heron!AD$9,Xero!$A:$A,Heron!$A$4,Xero!$E:$E,Heron!$A87)+SUMIFS(Xero!$F:$F,Xero!$B:$B,Heron!AD$9,Xero!$A:$A,Heron!$A$5,Xero!$E:$E,Heron!$A87)</f>
        <v>0</v>
      </c>
      <c r="AE87" s="99">
        <f>SUMIFS(Xero!$F:$F,Xero!$B:$B,Heron!AE$9,Xero!$A:$A,Heron!$A$4,Xero!$E:$E,Heron!$A87)+SUMIFS(Xero!$F:$F,Xero!$B:$B,Heron!AE$9,Xero!$A:$A,Heron!$A$5,Xero!$E:$E,Heron!$A87)</f>
        <v>0</v>
      </c>
      <c r="AF87" s="99">
        <f>SUMIFS(Xero!$F:$F,Xero!$B:$B,Heron!AF$9,Xero!$A:$A,Heron!$A$4,Xero!$E:$E,Heron!$A87)+SUMIFS(Xero!$F:$F,Xero!$B:$B,Heron!AF$9,Xero!$A:$A,Heron!$A$5,Xero!$E:$E,Heron!$A87)</f>
        <v>0</v>
      </c>
      <c r="AG87" s="99">
        <f>SUMIFS(Xero!$F:$F,Xero!$B:$B,Heron!AG$9,Xero!$A:$A,Heron!$A$4,Xero!$E:$E,Heron!$A87)+SUMIFS(Xero!$F:$F,Xero!$B:$B,Heron!AG$9,Xero!$A:$A,Heron!$A$5,Xero!$E:$E,Heron!$A87)</f>
        <v>0</v>
      </c>
      <c r="AH87" s="99">
        <f>SUMIFS(Xero!$F:$F,Xero!$B:$B,Heron!AH$9,Xero!$A:$A,Heron!$A$4,Xero!$E:$E,Heron!$A87)+SUMIFS(Xero!$F:$F,Xero!$B:$B,Heron!AH$9,Xero!$A:$A,Heron!$A$5,Xero!$E:$E,Heron!$A87)</f>
        <v>2537.9</v>
      </c>
      <c r="AI87" s="99">
        <f>SUMIFS(Xero!$F:$F,Xero!$B:$B,Heron!AI$9,Xero!$A:$A,Heron!$A$4,Xero!$E:$E,Heron!$A87)+SUMIFS(Xero!$F:$F,Xero!$B:$B,Heron!AI$9,Xero!$A:$A,Heron!$A$5,Xero!$E:$E,Heron!$A87)</f>
        <v>0</v>
      </c>
      <c r="AJ87" s="99">
        <f>SUMIFS(Xero!$F:$F,Xero!$B:$B,Heron!AJ$9,Xero!$A:$A,Heron!$A$4,Xero!$E:$E,Heron!$A87)+SUMIFS(Xero!$F:$F,Xero!$B:$B,Heron!AJ$9,Xero!$A:$A,Heron!$A$5,Xero!$E:$E,Heron!$A87)</f>
        <v>0</v>
      </c>
      <c r="AK87" s="99">
        <f>SUMIFS(Xero!$F:$F,Xero!$B:$B,Heron!AK$9,Xero!$A:$A,Heron!$A$4,Xero!$E:$E,Heron!$A87)+SUMIFS(Xero!$F:$F,Xero!$B:$B,Heron!AK$9,Xero!$A:$A,Heron!$A$5,Xero!$E:$E,Heron!$A87)</f>
        <v>0</v>
      </c>
      <c r="AL87" s="99">
        <f>SUMIFS(Xero!$F:$F,Xero!$B:$B,Heron!AL$9,Xero!$A:$A,Heron!$A$4,Xero!$E:$E,Heron!$A87)+SUMIFS(Xero!$F:$F,Xero!$B:$B,Heron!AL$9,Xero!$A:$A,Heron!$A$5,Xero!$E:$E,Heron!$A87)</f>
        <v>0</v>
      </c>
      <c r="AM87" s="99">
        <f>SUMIFS(Xero!$F:$F,Xero!$B:$B,Heron!AM$9,Xero!$A:$A,Heron!$A$4,Xero!$E:$E,Heron!$A87)+SUMIFS(Xero!$F:$F,Xero!$B:$B,Heron!AM$9,Xero!$A:$A,Heron!$A$5,Xero!$E:$E,Heron!$A87)</f>
        <v>1909.93</v>
      </c>
      <c r="AN87" s="99">
        <f>SUMIFS(Xero!$F:$F,Xero!$B:$B,Heron!AN$9,Xero!$A:$A,Heron!$A$4,Xero!$E:$E,Heron!$A87)+SUMIFS(Xero!$F:$F,Xero!$B:$B,Heron!AN$9,Xero!$A:$A,Heron!$A$5,Xero!$E:$E,Heron!$A87)</f>
        <v>1909.93</v>
      </c>
      <c r="AO87" s="99">
        <f>SUMIFS(Xero!$F:$F,Xero!$B:$B,Heron!AO$9,Xero!$A:$A,Heron!$A$4,Xero!$E:$E,Heron!$A87)+SUMIFS(Xero!$F:$F,Xero!$B:$B,Heron!AO$9,Xero!$A:$A,Heron!$A$5,Xero!$E:$E,Heron!$A87)</f>
        <v>0</v>
      </c>
      <c r="AP87" s="99">
        <f>SUMIFS(Xero!$F:$F,Xero!$B:$B,Heron!AP$9,Xero!$A:$A,Heron!$A$4,Xero!$E:$E,Heron!$A87)+SUMIFS(Xero!$F:$F,Xero!$B:$B,Heron!AP$9,Xero!$A:$A,Heron!$A$5,Xero!$E:$E,Heron!$A87)</f>
        <v>0</v>
      </c>
      <c r="AQ87" s="99">
        <f>SUMIFS(Xero!$F:$F,Xero!$B:$B,Heron!AQ$9,Xero!$A:$A,Heron!$A$4,Xero!$E:$E,Heron!$A87)+SUMIFS(Xero!$F:$F,Xero!$B:$B,Heron!AQ$9,Xero!$A:$A,Heron!$A$5,Xero!$E:$E,Heron!$A87)</f>
        <v>0</v>
      </c>
      <c r="AR87" s="99">
        <f>SUMIFS(Xero!$F:$F,Xero!$B:$B,Heron!AR$9,Xero!$A:$A,Heron!$A$4,Xero!$E:$E,Heron!$A87)+SUMIFS(Xero!$F:$F,Xero!$B:$B,Heron!AR$9,Xero!$A:$A,Heron!$A$5,Xero!$E:$E,Heron!$A87)</f>
        <v>0</v>
      </c>
      <c r="AS87" s="99">
        <f>SUMIFS(Xero!$F:$F,Xero!$B:$B,Heron!AS$9,Xero!$A:$A,Heron!$A$4,Xero!$E:$E,Heron!$A87)+SUMIFS(Xero!$F:$F,Xero!$B:$B,Heron!AS$9,Xero!$A:$A,Heron!$A$5,Xero!$E:$E,Heron!$A87)</f>
        <v>0</v>
      </c>
      <c r="AT87" s="99">
        <f>SUMIFS(Xero!$F:$F,Xero!$B:$B,Heron!AT$9,Xero!$A:$A,Heron!$A$4,Xero!$E:$E,Heron!$A87)+SUMIFS(Xero!$F:$F,Xero!$B:$B,Heron!AT$9,Xero!$A:$A,Heron!$A$5,Xero!$E:$E,Heron!$A87)</f>
        <v>0</v>
      </c>
      <c r="AU87" s="99">
        <f>SUMIFS(Xero!$F:$F,Xero!$B:$B,Heron!AU$9,Xero!$A:$A,Heron!$A$4,Xero!$E:$E,Heron!$A87)+SUMIFS(Xero!$F:$F,Xero!$B:$B,Heron!AU$9,Xero!$A:$A,Heron!$A$5,Xero!$E:$E,Heron!$A87)</f>
        <v>0</v>
      </c>
      <c r="AV87" s="99">
        <f>SUMIFS(Xero!$F:$F,Xero!$B:$B,Heron!AV$9,Xero!$A:$A,Heron!$A$4,Xero!$E:$E,Heron!$A87)+SUMIFS(Xero!$F:$F,Xero!$B:$B,Heron!AV$9,Xero!$A:$A,Heron!$A$5,Xero!$E:$E,Heron!$A87)</f>
        <v>0</v>
      </c>
      <c r="AW87" s="99">
        <f>SUMIFS(Xero!$F:$F,Xero!$B:$B,Heron!AW$9,Xero!$A:$A,Heron!$A$4,Xero!$E:$E,Heron!$A87)+SUMIFS(Xero!$F:$F,Xero!$B:$B,Heron!AW$9,Xero!$A:$A,Heron!$A$5,Xero!$E:$E,Heron!$A87)</f>
        <v>0</v>
      </c>
      <c r="AX87" s="99">
        <f>SUMIFS(Xero!$F:$F,Xero!$B:$B,Heron!AX$9,Xero!$A:$A,Heron!$A$4,Xero!$E:$E,Heron!$A87)+SUMIFS(Xero!$F:$F,Xero!$B:$B,Heron!AX$9,Xero!$A:$A,Heron!$A$5,Xero!$E:$E,Heron!$A87)</f>
        <v>0</v>
      </c>
      <c r="AY87" s="99">
        <f>SUMIFS(Xero!$F:$F,Xero!$B:$B,Heron!AY$9,Xero!$A:$A,Heron!$A$4,Xero!$E:$E,Heron!$A87)+SUMIFS(Xero!$F:$F,Xero!$B:$B,Heron!AY$9,Xero!$A:$A,Heron!$A$5,Xero!$E:$E,Heron!$A87)</f>
        <v>0</v>
      </c>
      <c r="AZ87" s="99">
        <f>SUMIFS(Xero!$F:$F,Xero!$B:$B,Heron!AZ$9,Xero!$A:$A,Heron!$A$4,Xero!$E:$E,Heron!$A87)+SUMIFS(Xero!$F:$F,Xero!$B:$B,Heron!AZ$9,Xero!$A:$A,Heron!$A$5,Xero!$E:$E,Heron!$A87)</f>
        <v>0</v>
      </c>
      <c r="BA87" s="99">
        <f>SUMIFS(Xero!$F:$F,Xero!$B:$B,Heron!BA$9,Xero!$A:$A,Heron!$A$4,Xero!$E:$E,Heron!$A87)+SUMIFS(Xero!$F:$F,Xero!$B:$B,Heron!BA$9,Xero!$A:$A,Heron!$A$5,Xero!$E:$E,Heron!$A87)</f>
        <v>0</v>
      </c>
      <c r="BB87" s="99">
        <f>SUMIFS(Xero!$F:$F,Xero!$B:$B,Heron!BB$9,Xero!$A:$A,Heron!$A$4,Xero!$E:$E,Heron!$A87)+SUMIFS(Xero!$F:$F,Xero!$B:$B,Heron!BB$9,Xero!$A:$A,Heron!$A$5,Xero!$E:$E,Heron!$A87)</f>
        <v>0</v>
      </c>
      <c r="BC87" s="99">
        <f>SUMIFS(Xero!$F:$F,Xero!$B:$B,Heron!BC$9,Xero!$A:$A,Heron!$A$4,Xero!$E:$E,Heron!$A87)+SUMIFS(Xero!$F:$F,Xero!$B:$B,Heron!BC$9,Xero!$A:$A,Heron!$A$5,Xero!$E:$E,Heron!$A87)</f>
        <v>0</v>
      </c>
      <c r="BD87" s="99">
        <f>SUMIFS(Xero!$F:$F,Xero!$B:$B,Heron!BD$9,Xero!$A:$A,Heron!$A$4,Xero!$E:$E,Heron!$A87)+SUMIFS(Xero!$F:$F,Xero!$B:$B,Heron!BD$9,Xero!$A:$A,Heron!$A$5,Xero!$E:$E,Heron!$A87)</f>
        <v>0</v>
      </c>
      <c r="BE87" s="99">
        <f>SUMIFS(Xero!$F:$F,Xero!$B:$B,Heron!BE$9,Xero!$A:$A,Heron!$A$4,Xero!$E:$E,Heron!$A87)+SUMIFS(Xero!$F:$F,Xero!$B:$B,Heron!BE$9,Xero!$A:$A,Heron!$A$5,Xero!$E:$E,Heron!$A87)</f>
        <v>0</v>
      </c>
      <c r="BF87" s="99">
        <f>SUMIFS(Xero!$F:$F,Xero!$B:$B,Heron!BF$9,Xero!$A:$A,Heron!$A$4,Xero!$E:$E,Heron!$A87)+SUMIFS(Xero!$F:$F,Xero!$B:$B,Heron!BF$9,Xero!$A:$A,Heron!$A$5,Xero!$E:$E,Heron!$A87)</f>
        <v>0</v>
      </c>
      <c r="BG87" s="99">
        <f>SUMIFS(Xero!$F:$F,Xero!$B:$B,Heron!BG$9,Xero!$A:$A,Heron!$A$4,Xero!$E:$E,Heron!$A87)+SUMIFS(Xero!$F:$F,Xero!$B:$B,Heron!BG$9,Xero!$A:$A,Heron!$A$5,Xero!$E:$E,Heron!$A87)</f>
        <v>0</v>
      </c>
      <c r="BH87" s="99">
        <f>SUMIFS(Xero!$F:$F,Xero!$B:$B,Heron!BH$9,Xero!$A:$A,Heron!$A$4,Xero!$E:$E,Heron!$A87)+SUMIFS(Xero!$F:$F,Xero!$B:$B,Heron!BH$9,Xero!$A:$A,Heron!$A$5,Xero!$E:$E,Heron!$A87)</f>
        <v>0</v>
      </c>
      <c r="BI87" s="99">
        <f>SUMIFS(Xero!$F:$F,Xero!$B:$B,Heron!BI$9,Xero!$A:$A,Heron!$A$4,Xero!$E:$E,Heron!$A87)+SUMIFS(Xero!$F:$F,Xero!$B:$B,Heron!BI$9,Xero!$A:$A,Heron!$A$5,Xero!$E:$E,Heron!$A87)</f>
        <v>0</v>
      </c>
      <c r="BJ87" s="99">
        <f>SUMIFS(Xero!$F:$F,Xero!$B:$B,Heron!BJ$9,Xero!$A:$A,Heron!$A$4,Xero!$E:$E,Heron!$A87)+SUMIFS(Xero!$F:$F,Xero!$B:$B,Heron!BJ$9,Xero!$A:$A,Heron!$A$5,Xero!$E:$E,Heron!$A87)</f>
        <v>0</v>
      </c>
      <c r="BK87" s="99">
        <f t="shared" si="5"/>
        <v>6870.63</v>
      </c>
    </row>
    <row r="88" spans="1:63" ht="16" x14ac:dyDescent="0.2">
      <c r="A88" s="98" t="s">
        <v>1152</v>
      </c>
      <c r="D88" s="99">
        <f>SUMIFS(Xero!$F:$F,Xero!$B:$B,Heron!D$9,Xero!$A:$A,Heron!$A$4,Xero!$E:$E,Heron!$A88)+SUMIFS(Xero!$F:$F,Xero!$B:$B,Heron!D$9,Xero!$A:$A,Heron!$A$5,Xero!$E:$E,Heron!$A88)</f>
        <v>0</v>
      </c>
      <c r="E88" s="99">
        <f>SUMIFS(Xero!$F:$F,Xero!$B:$B,Heron!E$9,Xero!$A:$A,Heron!$A$4,Xero!$E:$E,Heron!$A88)+SUMIFS(Xero!$F:$F,Xero!$B:$B,Heron!E$9,Xero!$A:$A,Heron!$A$5,Xero!$E:$E,Heron!$A88)</f>
        <v>0</v>
      </c>
      <c r="F88" s="99">
        <f>SUMIFS(Xero!$F:$F,Xero!$B:$B,Heron!F$9,Xero!$A:$A,Heron!$A$4,Xero!$E:$E,Heron!$A88)+SUMIFS(Xero!$F:$F,Xero!$B:$B,Heron!F$9,Xero!$A:$A,Heron!$A$5,Xero!$E:$E,Heron!$A88)</f>
        <v>0</v>
      </c>
      <c r="G88" s="99">
        <f>SUMIFS(Xero!$F:$F,Xero!$B:$B,Heron!G$9,Xero!$A:$A,Heron!$A$4,Xero!$E:$E,Heron!$A88)+SUMIFS(Xero!$F:$F,Xero!$B:$B,Heron!G$9,Xero!$A:$A,Heron!$A$5,Xero!$E:$E,Heron!$A88)</f>
        <v>0</v>
      </c>
      <c r="H88" s="99">
        <f>SUMIFS(Xero!$F:$F,Xero!$B:$B,Heron!H$9,Xero!$A:$A,Heron!$A$4,Xero!$E:$E,Heron!$A88)+SUMIFS(Xero!$F:$F,Xero!$B:$B,Heron!H$9,Xero!$A:$A,Heron!$A$5,Xero!$E:$E,Heron!$A88)</f>
        <v>0</v>
      </c>
      <c r="I88" s="99">
        <f>SUMIFS(Xero!$F:$F,Xero!$B:$B,Heron!I$9,Xero!$A:$A,Heron!$A$4,Xero!$E:$E,Heron!$A88)+SUMIFS(Xero!$F:$F,Xero!$B:$B,Heron!I$9,Xero!$A:$A,Heron!$A$5,Xero!$E:$E,Heron!$A88)</f>
        <v>0</v>
      </c>
      <c r="J88" s="99">
        <f>SUMIFS(Xero!$F:$F,Xero!$B:$B,Heron!J$9,Xero!$A:$A,Heron!$A$4,Xero!$E:$E,Heron!$A88)+SUMIFS(Xero!$F:$F,Xero!$B:$B,Heron!J$9,Xero!$A:$A,Heron!$A$5,Xero!$E:$E,Heron!$A88)</f>
        <v>0</v>
      </c>
      <c r="K88" s="99">
        <f>SUMIFS(Xero!$F:$F,Xero!$B:$B,Heron!K$9,Xero!$A:$A,Heron!$A$4,Xero!$E:$E,Heron!$A88)+SUMIFS(Xero!$F:$F,Xero!$B:$B,Heron!K$9,Xero!$A:$A,Heron!$A$5,Xero!$E:$E,Heron!$A88)</f>
        <v>0</v>
      </c>
      <c r="L88" s="99">
        <f>SUMIFS(Xero!$F:$F,Xero!$B:$B,Heron!L$9,Xero!$A:$A,Heron!$A$4,Xero!$E:$E,Heron!$A88)+SUMIFS(Xero!$F:$F,Xero!$B:$B,Heron!L$9,Xero!$A:$A,Heron!$A$5,Xero!$E:$E,Heron!$A88)</f>
        <v>0</v>
      </c>
      <c r="M88" s="99">
        <f>SUMIFS(Xero!$F:$F,Xero!$B:$B,Heron!M$9,Xero!$A:$A,Heron!$A$4,Xero!$E:$E,Heron!$A88)+SUMIFS(Xero!$F:$F,Xero!$B:$B,Heron!M$9,Xero!$A:$A,Heron!$A$5,Xero!$E:$E,Heron!$A88)</f>
        <v>0</v>
      </c>
      <c r="N88" s="99">
        <f>SUMIFS(Xero!$F:$F,Xero!$B:$B,Heron!N$9,Xero!$A:$A,Heron!$A$4,Xero!$E:$E,Heron!$A88)+SUMIFS(Xero!$F:$F,Xero!$B:$B,Heron!N$9,Xero!$A:$A,Heron!$A$5,Xero!$E:$E,Heron!$A88)</f>
        <v>0</v>
      </c>
      <c r="O88" s="99">
        <f>SUMIFS(Xero!$F:$F,Xero!$B:$B,Heron!O$9,Xero!$A:$A,Heron!$A$4,Xero!$E:$E,Heron!$A88)+SUMIFS(Xero!$F:$F,Xero!$B:$B,Heron!O$9,Xero!$A:$A,Heron!$A$5,Xero!$E:$E,Heron!$A88)</f>
        <v>0</v>
      </c>
      <c r="P88" s="99">
        <f>SUMIFS(Xero!$F:$F,Xero!$B:$B,Heron!P$9,Xero!$A:$A,Heron!$A$4,Xero!$E:$E,Heron!$A88)+SUMIFS(Xero!$F:$F,Xero!$B:$B,Heron!P$9,Xero!$A:$A,Heron!$A$5,Xero!$E:$E,Heron!$A88)</f>
        <v>0</v>
      </c>
      <c r="Q88" s="99">
        <f>SUMIFS(Xero!$F:$F,Xero!$B:$B,Heron!Q$9,Xero!$A:$A,Heron!$A$4,Xero!$E:$E,Heron!$A88)+SUMIFS(Xero!$F:$F,Xero!$B:$B,Heron!Q$9,Xero!$A:$A,Heron!$A$5,Xero!$E:$E,Heron!$A88)</f>
        <v>0</v>
      </c>
      <c r="R88" s="99">
        <f>SUMIFS(Xero!$F:$F,Xero!$B:$B,Heron!R$9,Xero!$A:$A,Heron!$A$4,Xero!$E:$E,Heron!$A88)+SUMIFS(Xero!$F:$F,Xero!$B:$B,Heron!R$9,Xero!$A:$A,Heron!$A$5,Xero!$E:$E,Heron!$A88)</f>
        <v>0</v>
      </c>
      <c r="S88" s="99">
        <f>SUMIFS(Xero!$F:$F,Xero!$B:$B,Heron!S$9,Xero!$A:$A,Heron!$A$4,Xero!$E:$E,Heron!$A88)+SUMIFS(Xero!$F:$F,Xero!$B:$B,Heron!S$9,Xero!$A:$A,Heron!$A$5,Xero!$E:$E,Heron!$A88)</f>
        <v>0</v>
      </c>
      <c r="T88" s="99">
        <f>SUMIFS(Xero!$F:$F,Xero!$B:$B,Heron!T$9,Xero!$A:$A,Heron!$A$4,Xero!$E:$E,Heron!$A88)+SUMIFS(Xero!$F:$F,Xero!$B:$B,Heron!T$9,Xero!$A:$A,Heron!$A$5,Xero!$E:$E,Heron!$A88)</f>
        <v>0</v>
      </c>
      <c r="U88" s="99">
        <f>SUMIFS(Xero!$F:$F,Xero!$B:$B,Heron!U$9,Xero!$A:$A,Heron!$A$4,Xero!$E:$E,Heron!$A88)+SUMIFS(Xero!$F:$F,Xero!$B:$B,Heron!U$9,Xero!$A:$A,Heron!$A$5,Xero!$E:$E,Heron!$A88)</f>
        <v>0</v>
      </c>
      <c r="V88" s="99">
        <f>SUMIFS(Xero!$F:$F,Xero!$B:$B,Heron!V$9,Xero!$A:$A,Heron!$A$4,Xero!$E:$E,Heron!$A88)+SUMIFS(Xero!$F:$F,Xero!$B:$B,Heron!V$9,Xero!$A:$A,Heron!$A$5,Xero!$E:$E,Heron!$A88)</f>
        <v>0</v>
      </c>
      <c r="W88" s="99">
        <f>SUMIFS(Xero!$F:$F,Xero!$B:$B,Heron!W$9,Xero!$A:$A,Heron!$A$4,Xero!$E:$E,Heron!$A88)+SUMIFS(Xero!$F:$F,Xero!$B:$B,Heron!W$9,Xero!$A:$A,Heron!$A$5,Xero!$E:$E,Heron!$A88)</f>
        <v>0</v>
      </c>
      <c r="X88" s="99">
        <f>SUMIFS(Xero!$F:$F,Xero!$B:$B,Heron!X$9,Xero!$A:$A,Heron!$A$4,Xero!$E:$E,Heron!$A88)+SUMIFS(Xero!$F:$F,Xero!$B:$B,Heron!X$9,Xero!$A:$A,Heron!$A$5,Xero!$E:$E,Heron!$A88)</f>
        <v>0</v>
      </c>
      <c r="Y88" s="99">
        <f>SUMIFS(Xero!$F:$F,Xero!$B:$B,Heron!Y$9,Xero!$A:$A,Heron!$A$4,Xero!$E:$E,Heron!$A88)+SUMIFS(Xero!$F:$F,Xero!$B:$B,Heron!Y$9,Xero!$A:$A,Heron!$A$5,Xero!$E:$E,Heron!$A88)</f>
        <v>0</v>
      </c>
      <c r="Z88" s="99">
        <f>SUMIFS(Xero!$F:$F,Xero!$B:$B,Heron!Z$9,Xero!$A:$A,Heron!$A$4,Xero!$E:$E,Heron!$A88)+SUMIFS(Xero!$F:$F,Xero!$B:$B,Heron!Z$9,Xero!$A:$A,Heron!$A$5,Xero!$E:$E,Heron!$A88)</f>
        <v>0</v>
      </c>
      <c r="AA88" s="99">
        <f>SUMIFS(Xero!$F:$F,Xero!$B:$B,Heron!AA$9,Xero!$A:$A,Heron!$A$4,Xero!$E:$E,Heron!$A88)+SUMIFS(Xero!$F:$F,Xero!$B:$B,Heron!AA$9,Xero!$A:$A,Heron!$A$5,Xero!$E:$E,Heron!$A88)</f>
        <v>0</v>
      </c>
      <c r="AB88" s="99">
        <f>SUMIFS(Xero!$F:$F,Xero!$B:$B,Heron!AB$9,Xero!$A:$A,Heron!$A$4,Xero!$E:$E,Heron!$A88)+SUMIFS(Xero!$F:$F,Xero!$B:$B,Heron!AB$9,Xero!$A:$A,Heron!$A$5,Xero!$E:$E,Heron!$A88)</f>
        <v>0</v>
      </c>
      <c r="AC88" s="99">
        <f>SUMIFS(Xero!$F:$F,Xero!$B:$B,Heron!AC$9,Xero!$A:$A,Heron!$A$4,Xero!$E:$E,Heron!$A88)+SUMIFS(Xero!$F:$F,Xero!$B:$B,Heron!AC$9,Xero!$A:$A,Heron!$A$5,Xero!$E:$E,Heron!$A88)</f>
        <v>0</v>
      </c>
      <c r="AD88" s="99">
        <f>SUMIFS(Xero!$F:$F,Xero!$B:$B,Heron!AD$9,Xero!$A:$A,Heron!$A$4,Xero!$E:$E,Heron!$A88)+SUMIFS(Xero!$F:$F,Xero!$B:$B,Heron!AD$9,Xero!$A:$A,Heron!$A$5,Xero!$E:$E,Heron!$A88)</f>
        <v>0</v>
      </c>
      <c r="AE88" s="99">
        <f>SUMIFS(Xero!$F:$F,Xero!$B:$B,Heron!AE$9,Xero!$A:$A,Heron!$A$4,Xero!$E:$E,Heron!$A88)+SUMIFS(Xero!$F:$F,Xero!$B:$B,Heron!AE$9,Xero!$A:$A,Heron!$A$5,Xero!$E:$E,Heron!$A88)</f>
        <v>0</v>
      </c>
      <c r="AF88" s="99">
        <f>SUMIFS(Xero!$F:$F,Xero!$B:$B,Heron!AF$9,Xero!$A:$A,Heron!$A$4,Xero!$E:$E,Heron!$A88)+SUMIFS(Xero!$F:$F,Xero!$B:$B,Heron!AF$9,Xero!$A:$A,Heron!$A$5,Xero!$E:$E,Heron!$A88)</f>
        <v>0</v>
      </c>
      <c r="AG88" s="99">
        <f>SUMIFS(Xero!$F:$F,Xero!$B:$B,Heron!AG$9,Xero!$A:$A,Heron!$A$4,Xero!$E:$E,Heron!$A88)+SUMIFS(Xero!$F:$F,Xero!$B:$B,Heron!AG$9,Xero!$A:$A,Heron!$A$5,Xero!$E:$E,Heron!$A88)</f>
        <v>0</v>
      </c>
      <c r="AH88" s="99">
        <f>SUMIFS(Xero!$F:$F,Xero!$B:$B,Heron!AH$9,Xero!$A:$A,Heron!$A$4,Xero!$E:$E,Heron!$A88)+SUMIFS(Xero!$F:$F,Xero!$B:$B,Heron!AH$9,Xero!$A:$A,Heron!$A$5,Xero!$E:$E,Heron!$A88)</f>
        <v>95314.44</v>
      </c>
      <c r="AI88" s="99">
        <f>SUMIFS(Xero!$F:$F,Xero!$B:$B,Heron!AI$9,Xero!$A:$A,Heron!$A$4,Xero!$E:$E,Heron!$A88)+SUMIFS(Xero!$F:$F,Xero!$B:$B,Heron!AI$9,Xero!$A:$A,Heron!$A$5,Xero!$E:$E,Heron!$A88)</f>
        <v>0</v>
      </c>
      <c r="AJ88" s="99">
        <f>SUMIFS(Xero!$F:$F,Xero!$B:$B,Heron!AJ$9,Xero!$A:$A,Heron!$A$4,Xero!$E:$E,Heron!$A88)+SUMIFS(Xero!$F:$F,Xero!$B:$B,Heron!AJ$9,Xero!$A:$A,Heron!$A$5,Xero!$E:$E,Heron!$A88)</f>
        <v>0</v>
      </c>
      <c r="AK88" s="99">
        <f>SUMIFS(Xero!$F:$F,Xero!$B:$B,Heron!AK$9,Xero!$A:$A,Heron!$A$4,Xero!$E:$E,Heron!$A88)+SUMIFS(Xero!$F:$F,Xero!$B:$B,Heron!AK$9,Xero!$A:$A,Heron!$A$5,Xero!$E:$E,Heron!$A88)</f>
        <v>-92227.34</v>
      </c>
      <c r="AL88" s="99">
        <f>SUMIFS(Xero!$F:$F,Xero!$B:$B,Heron!AL$9,Xero!$A:$A,Heron!$A$4,Xero!$E:$E,Heron!$A88)+SUMIFS(Xero!$F:$F,Xero!$B:$B,Heron!AL$9,Xero!$A:$A,Heron!$A$5,Xero!$E:$E,Heron!$A88)</f>
        <v>1773.44</v>
      </c>
      <c r="AM88" s="99">
        <f>SUMIFS(Xero!$F:$F,Xero!$B:$B,Heron!AM$9,Xero!$A:$A,Heron!$A$4,Xero!$E:$E,Heron!$A88)+SUMIFS(Xero!$F:$F,Xero!$B:$B,Heron!AM$9,Xero!$A:$A,Heron!$A$5,Xero!$E:$E,Heron!$A88)</f>
        <v>5189</v>
      </c>
      <c r="AN88" s="99">
        <f>SUMIFS(Xero!$F:$F,Xero!$B:$B,Heron!AN$9,Xero!$A:$A,Heron!$A$4,Xero!$E:$E,Heron!$A88)+SUMIFS(Xero!$F:$F,Xero!$B:$B,Heron!AN$9,Xero!$A:$A,Heron!$A$5,Xero!$E:$E,Heron!$A88)</f>
        <v>5189</v>
      </c>
      <c r="AO88" s="99">
        <f>SUMIFS(Xero!$F:$F,Xero!$B:$B,Heron!AO$9,Xero!$A:$A,Heron!$A$4,Xero!$E:$E,Heron!$A88)+SUMIFS(Xero!$F:$F,Xero!$B:$B,Heron!AO$9,Xero!$A:$A,Heron!$A$5,Xero!$E:$E,Heron!$A88)</f>
        <v>6638.93</v>
      </c>
      <c r="AP88" s="99">
        <f>SUMIFS(Xero!$F:$F,Xero!$B:$B,Heron!AP$9,Xero!$A:$A,Heron!$A$4,Xero!$E:$E,Heron!$A88)+SUMIFS(Xero!$F:$F,Xero!$B:$B,Heron!AP$9,Xero!$A:$A,Heron!$A$5,Xero!$E:$E,Heron!$A88)</f>
        <v>6638.93</v>
      </c>
      <c r="AQ88" s="99">
        <f>SUMIFS(Xero!$F:$F,Xero!$B:$B,Heron!AQ$9,Xero!$A:$A,Heron!$A$4,Xero!$E:$E,Heron!$A88)+SUMIFS(Xero!$F:$F,Xero!$B:$B,Heron!AQ$9,Xero!$A:$A,Heron!$A$5,Xero!$E:$E,Heron!$A88)</f>
        <v>4158.3900000000003</v>
      </c>
      <c r="AR88" s="99">
        <f>SUMIFS(Xero!$F:$F,Xero!$B:$B,Heron!AR$9,Xero!$A:$A,Heron!$A$4,Xero!$E:$E,Heron!$A88)+SUMIFS(Xero!$F:$F,Xero!$B:$B,Heron!AR$9,Xero!$A:$A,Heron!$A$5,Xero!$E:$E,Heron!$A88)</f>
        <v>5429</v>
      </c>
      <c r="AS88" s="99">
        <f>SUMIFS(Xero!$F:$F,Xero!$B:$B,Heron!AS$9,Xero!$A:$A,Heron!$A$4,Xero!$E:$E,Heron!$A88)+SUMIFS(Xero!$F:$F,Xero!$B:$B,Heron!AS$9,Xero!$A:$A,Heron!$A$5,Xero!$E:$E,Heron!$A88)</f>
        <v>0</v>
      </c>
      <c r="AT88" s="99">
        <f>SUMIFS(Xero!$F:$F,Xero!$B:$B,Heron!AT$9,Xero!$A:$A,Heron!$A$4,Xero!$E:$E,Heron!$A88)+SUMIFS(Xero!$F:$F,Xero!$B:$B,Heron!AT$9,Xero!$A:$A,Heron!$A$5,Xero!$E:$E,Heron!$A88)</f>
        <v>0</v>
      </c>
      <c r="AU88" s="99">
        <f>SUMIFS(Xero!$F:$F,Xero!$B:$B,Heron!AU$9,Xero!$A:$A,Heron!$A$4,Xero!$E:$E,Heron!$A88)+SUMIFS(Xero!$F:$F,Xero!$B:$B,Heron!AU$9,Xero!$A:$A,Heron!$A$5,Xero!$E:$E,Heron!$A88)</f>
        <v>0</v>
      </c>
      <c r="AV88" s="99">
        <f>SUMIFS(Xero!$F:$F,Xero!$B:$B,Heron!AV$9,Xero!$A:$A,Heron!$A$4,Xero!$E:$E,Heron!$A88)+SUMIFS(Xero!$F:$F,Xero!$B:$B,Heron!AV$9,Xero!$A:$A,Heron!$A$5,Xero!$E:$E,Heron!$A88)</f>
        <v>0</v>
      </c>
      <c r="AW88" s="99">
        <f>SUMIFS(Xero!$F:$F,Xero!$B:$B,Heron!AW$9,Xero!$A:$A,Heron!$A$4,Xero!$E:$E,Heron!$A88)+SUMIFS(Xero!$F:$F,Xero!$B:$B,Heron!AW$9,Xero!$A:$A,Heron!$A$5,Xero!$E:$E,Heron!$A88)</f>
        <v>0</v>
      </c>
      <c r="AX88" s="99">
        <f>SUMIFS(Xero!$F:$F,Xero!$B:$B,Heron!AX$9,Xero!$A:$A,Heron!$A$4,Xero!$E:$E,Heron!$A88)+SUMIFS(Xero!$F:$F,Xero!$B:$B,Heron!AX$9,Xero!$A:$A,Heron!$A$5,Xero!$E:$E,Heron!$A88)</f>
        <v>0</v>
      </c>
      <c r="AY88" s="99">
        <f>SUMIFS(Xero!$F:$F,Xero!$B:$B,Heron!AY$9,Xero!$A:$A,Heron!$A$4,Xero!$E:$E,Heron!$A88)+SUMIFS(Xero!$F:$F,Xero!$B:$B,Heron!AY$9,Xero!$A:$A,Heron!$A$5,Xero!$E:$E,Heron!$A88)</f>
        <v>0</v>
      </c>
      <c r="AZ88" s="99">
        <f>SUMIFS(Xero!$F:$F,Xero!$B:$B,Heron!AZ$9,Xero!$A:$A,Heron!$A$4,Xero!$E:$E,Heron!$A88)+SUMIFS(Xero!$F:$F,Xero!$B:$B,Heron!AZ$9,Xero!$A:$A,Heron!$A$5,Xero!$E:$E,Heron!$A88)</f>
        <v>0</v>
      </c>
      <c r="BA88" s="99">
        <f>SUMIFS(Xero!$F:$F,Xero!$B:$B,Heron!BA$9,Xero!$A:$A,Heron!$A$4,Xero!$E:$E,Heron!$A88)+SUMIFS(Xero!$F:$F,Xero!$B:$B,Heron!BA$9,Xero!$A:$A,Heron!$A$5,Xero!$E:$E,Heron!$A88)</f>
        <v>0</v>
      </c>
      <c r="BB88" s="99">
        <f>SUMIFS(Xero!$F:$F,Xero!$B:$B,Heron!BB$9,Xero!$A:$A,Heron!$A$4,Xero!$E:$E,Heron!$A88)+SUMIFS(Xero!$F:$F,Xero!$B:$B,Heron!BB$9,Xero!$A:$A,Heron!$A$5,Xero!$E:$E,Heron!$A88)</f>
        <v>0</v>
      </c>
      <c r="BC88" s="99">
        <f>SUMIFS(Xero!$F:$F,Xero!$B:$B,Heron!BC$9,Xero!$A:$A,Heron!$A$4,Xero!$E:$E,Heron!$A88)+SUMIFS(Xero!$F:$F,Xero!$B:$B,Heron!BC$9,Xero!$A:$A,Heron!$A$5,Xero!$E:$E,Heron!$A88)</f>
        <v>0</v>
      </c>
      <c r="BD88" s="99">
        <f>SUMIFS(Xero!$F:$F,Xero!$B:$B,Heron!BD$9,Xero!$A:$A,Heron!$A$4,Xero!$E:$E,Heron!$A88)+SUMIFS(Xero!$F:$F,Xero!$B:$B,Heron!BD$9,Xero!$A:$A,Heron!$A$5,Xero!$E:$E,Heron!$A88)</f>
        <v>0</v>
      </c>
      <c r="BE88" s="99">
        <f>SUMIFS(Xero!$F:$F,Xero!$B:$B,Heron!BE$9,Xero!$A:$A,Heron!$A$4,Xero!$E:$E,Heron!$A88)+SUMIFS(Xero!$F:$F,Xero!$B:$B,Heron!BE$9,Xero!$A:$A,Heron!$A$5,Xero!$E:$E,Heron!$A88)</f>
        <v>0</v>
      </c>
      <c r="BF88" s="99">
        <f>SUMIFS(Xero!$F:$F,Xero!$B:$B,Heron!BF$9,Xero!$A:$A,Heron!$A$4,Xero!$E:$E,Heron!$A88)+SUMIFS(Xero!$F:$F,Xero!$B:$B,Heron!BF$9,Xero!$A:$A,Heron!$A$5,Xero!$E:$E,Heron!$A88)</f>
        <v>0</v>
      </c>
      <c r="BG88" s="99">
        <f>SUMIFS(Xero!$F:$F,Xero!$B:$B,Heron!BG$9,Xero!$A:$A,Heron!$A$4,Xero!$E:$E,Heron!$A88)+SUMIFS(Xero!$F:$F,Xero!$B:$B,Heron!BG$9,Xero!$A:$A,Heron!$A$5,Xero!$E:$E,Heron!$A88)</f>
        <v>0</v>
      </c>
      <c r="BH88" s="99">
        <f>SUMIFS(Xero!$F:$F,Xero!$B:$B,Heron!BH$9,Xero!$A:$A,Heron!$A$4,Xero!$E:$E,Heron!$A88)+SUMIFS(Xero!$F:$F,Xero!$B:$B,Heron!BH$9,Xero!$A:$A,Heron!$A$5,Xero!$E:$E,Heron!$A88)</f>
        <v>0</v>
      </c>
      <c r="BI88" s="99">
        <f>SUMIFS(Xero!$F:$F,Xero!$B:$B,Heron!BI$9,Xero!$A:$A,Heron!$A$4,Xero!$E:$E,Heron!$A88)+SUMIFS(Xero!$F:$F,Xero!$B:$B,Heron!BI$9,Xero!$A:$A,Heron!$A$5,Xero!$E:$E,Heron!$A88)</f>
        <v>0</v>
      </c>
      <c r="BJ88" s="99">
        <f>SUMIFS(Xero!$F:$F,Xero!$B:$B,Heron!BJ$9,Xero!$A:$A,Heron!$A$4,Xero!$E:$E,Heron!$A88)+SUMIFS(Xero!$F:$F,Xero!$B:$B,Heron!BJ$9,Xero!$A:$A,Heron!$A$5,Xero!$E:$E,Heron!$A88)</f>
        <v>0</v>
      </c>
      <c r="BK88" s="99">
        <f t="shared" si="5"/>
        <v>38103.790000000008</v>
      </c>
    </row>
    <row r="89" spans="1:63" ht="16" x14ac:dyDescent="0.2">
      <c r="A89" s="98" t="s">
        <v>1116</v>
      </c>
      <c r="D89" s="99">
        <f>SUMIFS(Xero!$F:$F,Xero!$B:$B,Heron!D$9,Xero!$A:$A,Heron!$A$4,Xero!$E:$E,Heron!$A89)+SUMIFS(Xero!$F:$F,Xero!$B:$B,Heron!D$9,Xero!$A:$A,Heron!$A$5,Xero!$E:$E,Heron!$A89)</f>
        <v>0</v>
      </c>
      <c r="E89" s="99">
        <f>SUMIFS(Xero!$F:$F,Xero!$B:$B,Heron!E$9,Xero!$A:$A,Heron!$A$4,Xero!$E:$E,Heron!$A89)+SUMIFS(Xero!$F:$F,Xero!$B:$B,Heron!E$9,Xero!$A:$A,Heron!$A$5,Xero!$E:$E,Heron!$A89)</f>
        <v>0</v>
      </c>
      <c r="F89" s="99">
        <f>SUMIFS(Xero!$F:$F,Xero!$B:$B,Heron!F$9,Xero!$A:$A,Heron!$A$4,Xero!$E:$E,Heron!$A89)+SUMIFS(Xero!$F:$F,Xero!$B:$B,Heron!F$9,Xero!$A:$A,Heron!$A$5,Xero!$E:$E,Heron!$A89)</f>
        <v>0</v>
      </c>
      <c r="G89" s="99">
        <f>SUMIFS(Xero!$F:$F,Xero!$B:$B,Heron!G$9,Xero!$A:$A,Heron!$A$4,Xero!$E:$E,Heron!$A89)+SUMIFS(Xero!$F:$F,Xero!$B:$B,Heron!G$9,Xero!$A:$A,Heron!$A$5,Xero!$E:$E,Heron!$A89)</f>
        <v>0</v>
      </c>
      <c r="H89" s="99">
        <f>SUMIFS(Xero!$F:$F,Xero!$B:$B,Heron!H$9,Xero!$A:$A,Heron!$A$4,Xero!$E:$E,Heron!$A89)+SUMIFS(Xero!$F:$F,Xero!$B:$B,Heron!H$9,Xero!$A:$A,Heron!$A$5,Xero!$E:$E,Heron!$A89)</f>
        <v>0</v>
      </c>
      <c r="I89" s="99">
        <f>SUMIFS(Xero!$F:$F,Xero!$B:$B,Heron!I$9,Xero!$A:$A,Heron!$A$4,Xero!$E:$E,Heron!$A89)+SUMIFS(Xero!$F:$F,Xero!$B:$B,Heron!I$9,Xero!$A:$A,Heron!$A$5,Xero!$E:$E,Heron!$A89)</f>
        <v>0</v>
      </c>
      <c r="J89" s="99">
        <f>SUMIFS(Xero!$F:$F,Xero!$B:$B,Heron!J$9,Xero!$A:$A,Heron!$A$4,Xero!$E:$E,Heron!$A89)+SUMIFS(Xero!$F:$F,Xero!$B:$B,Heron!J$9,Xero!$A:$A,Heron!$A$5,Xero!$E:$E,Heron!$A89)</f>
        <v>0</v>
      </c>
      <c r="K89" s="99">
        <f>SUMIFS(Xero!$F:$F,Xero!$B:$B,Heron!K$9,Xero!$A:$A,Heron!$A$4,Xero!$E:$E,Heron!$A89)+SUMIFS(Xero!$F:$F,Xero!$B:$B,Heron!K$9,Xero!$A:$A,Heron!$A$5,Xero!$E:$E,Heron!$A89)</f>
        <v>0</v>
      </c>
      <c r="L89" s="99">
        <f>SUMIFS(Xero!$F:$F,Xero!$B:$B,Heron!L$9,Xero!$A:$A,Heron!$A$4,Xero!$E:$E,Heron!$A89)+SUMIFS(Xero!$F:$F,Xero!$B:$B,Heron!L$9,Xero!$A:$A,Heron!$A$5,Xero!$E:$E,Heron!$A89)</f>
        <v>0</v>
      </c>
      <c r="M89" s="99">
        <f>SUMIFS(Xero!$F:$F,Xero!$B:$B,Heron!M$9,Xero!$A:$A,Heron!$A$4,Xero!$E:$E,Heron!$A89)+SUMIFS(Xero!$F:$F,Xero!$B:$B,Heron!M$9,Xero!$A:$A,Heron!$A$5,Xero!$E:$E,Heron!$A89)</f>
        <v>0</v>
      </c>
      <c r="N89" s="99">
        <f>SUMIFS(Xero!$F:$F,Xero!$B:$B,Heron!N$9,Xero!$A:$A,Heron!$A$4,Xero!$E:$E,Heron!$A89)+SUMIFS(Xero!$F:$F,Xero!$B:$B,Heron!N$9,Xero!$A:$A,Heron!$A$5,Xero!$E:$E,Heron!$A89)</f>
        <v>0</v>
      </c>
      <c r="O89" s="99">
        <f>SUMIFS(Xero!$F:$F,Xero!$B:$B,Heron!O$9,Xero!$A:$A,Heron!$A$4,Xero!$E:$E,Heron!$A89)+SUMIFS(Xero!$F:$F,Xero!$B:$B,Heron!O$9,Xero!$A:$A,Heron!$A$5,Xero!$E:$E,Heron!$A89)</f>
        <v>0</v>
      </c>
      <c r="P89" s="99">
        <f>SUMIFS(Xero!$F:$F,Xero!$B:$B,Heron!P$9,Xero!$A:$A,Heron!$A$4,Xero!$E:$E,Heron!$A89)+SUMIFS(Xero!$F:$F,Xero!$B:$B,Heron!P$9,Xero!$A:$A,Heron!$A$5,Xero!$E:$E,Heron!$A89)</f>
        <v>0</v>
      </c>
      <c r="Q89" s="99">
        <f>SUMIFS(Xero!$F:$F,Xero!$B:$B,Heron!Q$9,Xero!$A:$A,Heron!$A$4,Xero!$E:$E,Heron!$A89)+SUMIFS(Xero!$F:$F,Xero!$B:$B,Heron!Q$9,Xero!$A:$A,Heron!$A$5,Xero!$E:$E,Heron!$A89)</f>
        <v>0</v>
      </c>
      <c r="R89" s="99">
        <f>SUMIFS(Xero!$F:$F,Xero!$B:$B,Heron!R$9,Xero!$A:$A,Heron!$A$4,Xero!$E:$E,Heron!$A89)+SUMIFS(Xero!$F:$F,Xero!$B:$B,Heron!R$9,Xero!$A:$A,Heron!$A$5,Xero!$E:$E,Heron!$A89)</f>
        <v>0</v>
      </c>
      <c r="S89" s="99">
        <f>SUMIFS(Xero!$F:$F,Xero!$B:$B,Heron!S$9,Xero!$A:$A,Heron!$A$4,Xero!$E:$E,Heron!$A89)+SUMIFS(Xero!$F:$F,Xero!$B:$B,Heron!S$9,Xero!$A:$A,Heron!$A$5,Xero!$E:$E,Heron!$A89)</f>
        <v>0</v>
      </c>
      <c r="T89" s="99">
        <f>SUMIFS(Xero!$F:$F,Xero!$B:$B,Heron!T$9,Xero!$A:$A,Heron!$A$4,Xero!$E:$E,Heron!$A89)+SUMIFS(Xero!$F:$F,Xero!$B:$B,Heron!T$9,Xero!$A:$A,Heron!$A$5,Xero!$E:$E,Heron!$A89)</f>
        <v>0</v>
      </c>
      <c r="U89" s="99">
        <f>SUMIFS(Xero!$F:$F,Xero!$B:$B,Heron!U$9,Xero!$A:$A,Heron!$A$4,Xero!$E:$E,Heron!$A89)+SUMIFS(Xero!$F:$F,Xero!$B:$B,Heron!U$9,Xero!$A:$A,Heron!$A$5,Xero!$E:$E,Heron!$A89)</f>
        <v>0</v>
      </c>
      <c r="V89" s="99">
        <f>SUMIFS(Xero!$F:$F,Xero!$B:$B,Heron!V$9,Xero!$A:$A,Heron!$A$4,Xero!$E:$E,Heron!$A89)+SUMIFS(Xero!$F:$F,Xero!$B:$B,Heron!V$9,Xero!$A:$A,Heron!$A$5,Xero!$E:$E,Heron!$A89)</f>
        <v>0</v>
      </c>
      <c r="W89" s="99">
        <f>SUMIFS(Xero!$F:$F,Xero!$B:$B,Heron!W$9,Xero!$A:$A,Heron!$A$4,Xero!$E:$E,Heron!$A89)+SUMIFS(Xero!$F:$F,Xero!$B:$B,Heron!W$9,Xero!$A:$A,Heron!$A$5,Xero!$E:$E,Heron!$A89)</f>
        <v>0</v>
      </c>
      <c r="X89" s="99">
        <f>SUMIFS(Xero!$F:$F,Xero!$B:$B,Heron!X$9,Xero!$A:$A,Heron!$A$4,Xero!$E:$E,Heron!$A89)+SUMIFS(Xero!$F:$F,Xero!$B:$B,Heron!X$9,Xero!$A:$A,Heron!$A$5,Xero!$E:$E,Heron!$A89)</f>
        <v>0</v>
      </c>
      <c r="Y89" s="99">
        <f>SUMIFS(Xero!$F:$F,Xero!$B:$B,Heron!Y$9,Xero!$A:$A,Heron!$A$4,Xero!$E:$E,Heron!$A89)+SUMIFS(Xero!$F:$F,Xero!$B:$B,Heron!Y$9,Xero!$A:$A,Heron!$A$5,Xero!$E:$E,Heron!$A89)</f>
        <v>0</v>
      </c>
      <c r="Z89" s="99">
        <f>SUMIFS(Xero!$F:$F,Xero!$B:$B,Heron!Z$9,Xero!$A:$A,Heron!$A$4,Xero!$E:$E,Heron!$A89)+SUMIFS(Xero!$F:$F,Xero!$B:$B,Heron!Z$9,Xero!$A:$A,Heron!$A$5,Xero!$E:$E,Heron!$A89)</f>
        <v>0</v>
      </c>
      <c r="AA89" s="99">
        <f>SUMIFS(Xero!$F:$F,Xero!$B:$B,Heron!AA$9,Xero!$A:$A,Heron!$A$4,Xero!$E:$E,Heron!$A89)+SUMIFS(Xero!$F:$F,Xero!$B:$B,Heron!AA$9,Xero!$A:$A,Heron!$A$5,Xero!$E:$E,Heron!$A89)</f>
        <v>0</v>
      </c>
      <c r="AB89" s="99">
        <f>SUMIFS(Xero!$F:$F,Xero!$B:$B,Heron!AB$9,Xero!$A:$A,Heron!$A$4,Xero!$E:$E,Heron!$A89)+SUMIFS(Xero!$F:$F,Xero!$B:$B,Heron!AB$9,Xero!$A:$A,Heron!$A$5,Xero!$E:$E,Heron!$A89)</f>
        <v>0</v>
      </c>
      <c r="AC89" s="99">
        <f>SUMIFS(Xero!$F:$F,Xero!$B:$B,Heron!AC$9,Xero!$A:$A,Heron!$A$4,Xero!$E:$E,Heron!$A89)+SUMIFS(Xero!$F:$F,Xero!$B:$B,Heron!AC$9,Xero!$A:$A,Heron!$A$5,Xero!$E:$E,Heron!$A89)</f>
        <v>0</v>
      </c>
      <c r="AD89" s="99">
        <f>SUMIFS(Xero!$F:$F,Xero!$B:$B,Heron!AD$9,Xero!$A:$A,Heron!$A$4,Xero!$E:$E,Heron!$A89)+SUMIFS(Xero!$F:$F,Xero!$B:$B,Heron!AD$9,Xero!$A:$A,Heron!$A$5,Xero!$E:$E,Heron!$A89)</f>
        <v>0</v>
      </c>
      <c r="AE89" s="99">
        <f>SUMIFS(Xero!$F:$F,Xero!$B:$B,Heron!AE$9,Xero!$A:$A,Heron!$A$4,Xero!$E:$E,Heron!$A89)+SUMIFS(Xero!$F:$F,Xero!$B:$B,Heron!AE$9,Xero!$A:$A,Heron!$A$5,Xero!$E:$E,Heron!$A89)</f>
        <v>0</v>
      </c>
      <c r="AF89" s="99">
        <f>SUMIFS(Xero!$F:$F,Xero!$B:$B,Heron!AF$9,Xero!$A:$A,Heron!$A$4,Xero!$E:$E,Heron!$A89)+SUMIFS(Xero!$F:$F,Xero!$B:$B,Heron!AF$9,Xero!$A:$A,Heron!$A$5,Xero!$E:$E,Heron!$A89)</f>
        <v>0</v>
      </c>
      <c r="AG89" s="99">
        <f>SUMIFS(Xero!$F:$F,Xero!$B:$B,Heron!AG$9,Xero!$A:$A,Heron!$A$4,Xero!$E:$E,Heron!$A89)+SUMIFS(Xero!$F:$F,Xero!$B:$B,Heron!AG$9,Xero!$A:$A,Heron!$A$5,Xero!$E:$E,Heron!$A89)</f>
        <v>0</v>
      </c>
      <c r="AH89" s="99">
        <f>SUMIFS(Xero!$F:$F,Xero!$B:$B,Heron!AH$9,Xero!$A:$A,Heron!$A$4,Xero!$E:$E,Heron!$A89)+SUMIFS(Xero!$F:$F,Xero!$B:$B,Heron!AH$9,Xero!$A:$A,Heron!$A$5,Xero!$E:$E,Heron!$A89)</f>
        <v>4142.54</v>
      </c>
      <c r="AI89" s="99">
        <f>SUMIFS(Xero!$F:$F,Xero!$B:$B,Heron!AI$9,Xero!$A:$A,Heron!$A$4,Xero!$E:$E,Heron!$A89)+SUMIFS(Xero!$F:$F,Xero!$B:$B,Heron!AI$9,Xero!$A:$A,Heron!$A$5,Xero!$E:$E,Heron!$A89)</f>
        <v>9670.93</v>
      </c>
      <c r="AJ89" s="99">
        <f>SUMIFS(Xero!$F:$F,Xero!$B:$B,Heron!AJ$9,Xero!$A:$A,Heron!$A$4,Xero!$E:$E,Heron!$A89)+SUMIFS(Xero!$F:$F,Xero!$B:$B,Heron!AJ$9,Xero!$A:$A,Heron!$A$5,Xero!$E:$E,Heron!$A89)</f>
        <v>5862.1</v>
      </c>
      <c r="AK89" s="99">
        <f>SUMIFS(Xero!$F:$F,Xero!$B:$B,Heron!AK$9,Xero!$A:$A,Heron!$A$4,Xero!$E:$E,Heron!$A89)+SUMIFS(Xero!$F:$F,Xero!$B:$B,Heron!AK$9,Xero!$A:$A,Heron!$A$5,Xero!$E:$E,Heron!$A89)</f>
        <v>5105.18</v>
      </c>
      <c r="AL89" s="99">
        <f>SUMIFS(Xero!$F:$F,Xero!$B:$B,Heron!AL$9,Xero!$A:$A,Heron!$A$4,Xero!$E:$E,Heron!$A89)+SUMIFS(Xero!$F:$F,Xero!$B:$B,Heron!AL$9,Xero!$A:$A,Heron!$A$5,Xero!$E:$E,Heron!$A89)</f>
        <v>3292.17</v>
      </c>
      <c r="AM89" s="99">
        <f>SUMIFS(Xero!$F:$F,Xero!$B:$B,Heron!AM$9,Xero!$A:$A,Heron!$A$4,Xero!$E:$E,Heron!$A89)+SUMIFS(Xero!$F:$F,Xero!$B:$B,Heron!AM$9,Xero!$A:$A,Heron!$A$5,Xero!$E:$E,Heron!$A89)</f>
        <v>96.6</v>
      </c>
      <c r="AN89" s="99">
        <f>SUMIFS(Xero!$F:$F,Xero!$B:$B,Heron!AN$9,Xero!$A:$A,Heron!$A$4,Xero!$E:$E,Heron!$A89)+SUMIFS(Xero!$F:$F,Xero!$B:$B,Heron!AN$9,Xero!$A:$A,Heron!$A$5,Xero!$E:$E,Heron!$A89)</f>
        <v>96.6</v>
      </c>
      <c r="AO89" s="99">
        <f>SUMIFS(Xero!$F:$F,Xero!$B:$B,Heron!AO$9,Xero!$A:$A,Heron!$A$4,Xero!$E:$E,Heron!$A89)+SUMIFS(Xero!$F:$F,Xero!$B:$B,Heron!AO$9,Xero!$A:$A,Heron!$A$5,Xero!$E:$E,Heron!$A89)</f>
        <v>15641.09</v>
      </c>
      <c r="AP89" s="99">
        <f>SUMIFS(Xero!$F:$F,Xero!$B:$B,Heron!AP$9,Xero!$A:$A,Heron!$A$4,Xero!$E:$E,Heron!$A89)+SUMIFS(Xero!$F:$F,Xero!$B:$B,Heron!AP$9,Xero!$A:$A,Heron!$A$5,Xero!$E:$E,Heron!$A89)</f>
        <v>15641.09</v>
      </c>
      <c r="AQ89" s="99">
        <f>SUMIFS(Xero!$F:$F,Xero!$B:$B,Heron!AQ$9,Xero!$A:$A,Heron!$A$4,Xero!$E:$E,Heron!$A89)+SUMIFS(Xero!$F:$F,Xero!$B:$B,Heron!AQ$9,Xero!$A:$A,Heron!$A$5,Xero!$E:$E,Heron!$A89)</f>
        <v>6060.21</v>
      </c>
      <c r="AR89" s="99">
        <f>SUMIFS(Xero!$F:$F,Xero!$B:$B,Heron!AR$9,Xero!$A:$A,Heron!$A$4,Xero!$E:$E,Heron!$A89)+SUMIFS(Xero!$F:$F,Xero!$B:$B,Heron!AR$9,Xero!$A:$A,Heron!$A$5,Xero!$E:$E,Heron!$A89)</f>
        <v>6060.18</v>
      </c>
      <c r="AS89" s="99">
        <f>SUMIFS(Xero!$F:$F,Xero!$B:$B,Heron!AS$9,Xero!$A:$A,Heron!$A$4,Xero!$E:$E,Heron!$A89)+SUMIFS(Xero!$F:$F,Xero!$B:$B,Heron!AS$9,Xero!$A:$A,Heron!$A$5,Xero!$E:$E,Heron!$A89)</f>
        <v>0</v>
      </c>
      <c r="AT89" s="99">
        <f>SUMIFS(Xero!$F:$F,Xero!$B:$B,Heron!AT$9,Xero!$A:$A,Heron!$A$4,Xero!$E:$E,Heron!$A89)+SUMIFS(Xero!$F:$F,Xero!$B:$B,Heron!AT$9,Xero!$A:$A,Heron!$A$5,Xero!$E:$E,Heron!$A89)</f>
        <v>0</v>
      </c>
      <c r="AU89" s="99">
        <f>SUMIFS(Xero!$F:$F,Xero!$B:$B,Heron!AU$9,Xero!$A:$A,Heron!$A$4,Xero!$E:$E,Heron!$A89)+SUMIFS(Xero!$F:$F,Xero!$B:$B,Heron!AU$9,Xero!$A:$A,Heron!$A$5,Xero!$E:$E,Heron!$A89)</f>
        <v>0</v>
      </c>
      <c r="AV89" s="99">
        <f>SUMIFS(Xero!$F:$F,Xero!$B:$B,Heron!AV$9,Xero!$A:$A,Heron!$A$4,Xero!$E:$E,Heron!$A89)+SUMIFS(Xero!$F:$F,Xero!$B:$B,Heron!AV$9,Xero!$A:$A,Heron!$A$5,Xero!$E:$E,Heron!$A89)</f>
        <v>0</v>
      </c>
      <c r="AW89" s="99">
        <f>SUMIFS(Xero!$F:$F,Xero!$B:$B,Heron!AW$9,Xero!$A:$A,Heron!$A$4,Xero!$E:$E,Heron!$A89)+SUMIFS(Xero!$F:$F,Xero!$B:$B,Heron!AW$9,Xero!$A:$A,Heron!$A$5,Xero!$E:$E,Heron!$A89)</f>
        <v>0</v>
      </c>
      <c r="AX89" s="99">
        <f>SUMIFS(Xero!$F:$F,Xero!$B:$B,Heron!AX$9,Xero!$A:$A,Heron!$A$4,Xero!$E:$E,Heron!$A89)+SUMIFS(Xero!$F:$F,Xero!$B:$B,Heron!AX$9,Xero!$A:$A,Heron!$A$5,Xero!$E:$E,Heron!$A89)</f>
        <v>0</v>
      </c>
      <c r="AY89" s="99">
        <f>SUMIFS(Xero!$F:$F,Xero!$B:$B,Heron!AY$9,Xero!$A:$A,Heron!$A$4,Xero!$E:$E,Heron!$A89)+SUMIFS(Xero!$F:$F,Xero!$B:$B,Heron!AY$9,Xero!$A:$A,Heron!$A$5,Xero!$E:$E,Heron!$A89)</f>
        <v>0</v>
      </c>
      <c r="AZ89" s="99">
        <f>SUMIFS(Xero!$F:$F,Xero!$B:$B,Heron!AZ$9,Xero!$A:$A,Heron!$A$4,Xero!$E:$E,Heron!$A89)+SUMIFS(Xero!$F:$F,Xero!$B:$B,Heron!AZ$9,Xero!$A:$A,Heron!$A$5,Xero!$E:$E,Heron!$A89)</f>
        <v>0</v>
      </c>
      <c r="BA89" s="99">
        <f>SUMIFS(Xero!$F:$F,Xero!$B:$B,Heron!BA$9,Xero!$A:$A,Heron!$A$4,Xero!$E:$E,Heron!$A89)+SUMIFS(Xero!$F:$F,Xero!$B:$B,Heron!BA$9,Xero!$A:$A,Heron!$A$5,Xero!$E:$E,Heron!$A89)</f>
        <v>0</v>
      </c>
      <c r="BB89" s="99">
        <f>SUMIFS(Xero!$F:$F,Xero!$B:$B,Heron!BB$9,Xero!$A:$A,Heron!$A$4,Xero!$E:$E,Heron!$A89)+SUMIFS(Xero!$F:$F,Xero!$B:$B,Heron!BB$9,Xero!$A:$A,Heron!$A$5,Xero!$E:$E,Heron!$A89)</f>
        <v>0</v>
      </c>
      <c r="BC89" s="99">
        <f>SUMIFS(Xero!$F:$F,Xero!$B:$B,Heron!BC$9,Xero!$A:$A,Heron!$A$4,Xero!$E:$E,Heron!$A89)+SUMIFS(Xero!$F:$F,Xero!$B:$B,Heron!BC$9,Xero!$A:$A,Heron!$A$5,Xero!$E:$E,Heron!$A89)</f>
        <v>0</v>
      </c>
      <c r="BD89" s="99">
        <f>SUMIFS(Xero!$F:$F,Xero!$B:$B,Heron!BD$9,Xero!$A:$A,Heron!$A$4,Xero!$E:$E,Heron!$A89)+SUMIFS(Xero!$F:$F,Xero!$B:$B,Heron!BD$9,Xero!$A:$A,Heron!$A$5,Xero!$E:$E,Heron!$A89)</f>
        <v>0</v>
      </c>
      <c r="BE89" s="99">
        <f>SUMIFS(Xero!$F:$F,Xero!$B:$B,Heron!BE$9,Xero!$A:$A,Heron!$A$4,Xero!$E:$E,Heron!$A89)+SUMIFS(Xero!$F:$F,Xero!$B:$B,Heron!BE$9,Xero!$A:$A,Heron!$A$5,Xero!$E:$E,Heron!$A89)</f>
        <v>0</v>
      </c>
      <c r="BF89" s="99">
        <f>SUMIFS(Xero!$F:$F,Xero!$B:$B,Heron!BF$9,Xero!$A:$A,Heron!$A$4,Xero!$E:$E,Heron!$A89)+SUMIFS(Xero!$F:$F,Xero!$B:$B,Heron!BF$9,Xero!$A:$A,Heron!$A$5,Xero!$E:$E,Heron!$A89)</f>
        <v>0</v>
      </c>
      <c r="BG89" s="99">
        <f>SUMIFS(Xero!$F:$F,Xero!$B:$B,Heron!BG$9,Xero!$A:$A,Heron!$A$4,Xero!$E:$E,Heron!$A89)+SUMIFS(Xero!$F:$F,Xero!$B:$B,Heron!BG$9,Xero!$A:$A,Heron!$A$5,Xero!$E:$E,Heron!$A89)</f>
        <v>0</v>
      </c>
      <c r="BH89" s="99">
        <f>SUMIFS(Xero!$F:$F,Xero!$B:$B,Heron!BH$9,Xero!$A:$A,Heron!$A$4,Xero!$E:$E,Heron!$A89)+SUMIFS(Xero!$F:$F,Xero!$B:$B,Heron!BH$9,Xero!$A:$A,Heron!$A$5,Xero!$E:$E,Heron!$A89)</f>
        <v>0</v>
      </c>
      <c r="BI89" s="99">
        <f>SUMIFS(Xero!$F:$F,Xero!$B:$B,Heron!BI$9,Xero!$A:$A,Heron!$A$4,Xero!$E:$E,Heron!$A89)+SUMIFS(Xero!$F:$F,Xero!$B:$B,Heron!BI$9,Xero!$A:$A,Heron!$A$5,Xero!$E:$E,Heron!$A89)</f>
        <v>0</v>
      </c>
      <c r="BJ89" s="99">
        <f>SUMIFS(Xero!$F:$F,Xero!$B:$B,Heron!BJ$9,Xero!$A:$A,Heron!$A$4,Xero!$E:$E,Heron!$A89)+SUMIFS(Xero!$F:$F,Xero!$B:$B,Heron!BJ$9,Xero!$A:$A,Heron!$A$5,Xero!$E:$E,Heron!$A89)</f>
        <v>0</v>
      </c>
      <c r="BK89" s="99">
        <f t="shared" si="5"/>
        <v>71668.69</v>
      </c>
    </row>
    <row r="90" spans="1:63" ht="16" x14ac:dyDescent="0.2">
      <c r="A90" s="98" t="s">
        <v>1133</v>
      </c>
      <c r="D90" s="99">
        <f>SUMIFS(Xero!$F:$F,Xero!$B:$B,Heron!D$9,Xero!$A:$A,Heron!$A$4,Xero!$E:$E,Heron!$A90)+SUMIFS(Xero!$F:$F,Xero!$B:$B,Heron!D$9,Xero!$A:$A,Heron!$A$5,Xero!$E:$E,Heron!$A90)</f>
        <v>0</v>
      </c>
      <c r="E90" s="99">
        <f>SUMIFS(Xero!$F:$F,Xero!$B:$B,Heron!E$9,Xero!$A:$A,Heron!$A$4,Xero!$E:$E,Heron!$A90)+SUMIFS(Xero!$F:$F,Xero!$B:$B,Heron!E$9,Xero!$A:$A,Heron!$A$5,Xero!$E:$E,Heron!$A90)</f>
        <v>0</v>
      </c>
      <c r="F90" s="99">
        <f>SUMIFS(Xero!$F:$F,Xero!$B:$B,Heron!F$9,Xero!$A:$A,Heron!$A$4,Xero!$E:$E,Heron!$A90)+SUMIFS(Xero!$F:$F,Xero!$B:$B,Heron!F$9,Xero!$A:$A,Heron!$A$5,Xero!$E:$E,Heron!$A90)</f>
        <v>0</v>
      </c>
      <c r="G90" s="99">
        <f>SUMIFS(Xero!$F:$F,Xero!$B:$B,Heron!G$9,Xero!$A:$A,Heron!$A$4,Xero!$E:$E,Heron!$A90)+SUMIFS(Xero!$F:$F,Xero!$B:$B,Heron!G$9,Xero!$A:$A,Heron!$A$5,Xero!$E:$E,Heron!$A90)</f>
        <v>0</v>
      </c>
      <c r="H90" s="99">
        <f>SUMIFS(Xero!$F:$F,Xero!$B:$B,Heron!H$9,Xero!$A:$A,Heron!$A$4,Xero!$E:$E,Heron!$A90)+SUMIFS(Xero!$F:$F,Xero!$B:$B,Heron!H$9,Xero!$A:$A,Heron!$A$5,Xero!$E:$E,Heron!$A90)</f>
        <v>0</v>
      </c>
      <c r="I90" s="99">
        <f>SUMIFS(Xero!$F:$F,Xero!$B:$B,Heron!I$9,Xero!$A:$A,Heron!$A$4,Xero!$E:$E,Heron!$A90)+SUMIFS(Xero!$F:$F,Xero!$B:$B,Heron!I$9,Xero!$A:$A,Heron!$A$5,Xero!$E:$E,Heron!$A90)</f>
        <v>0</v>
      </c>
      <c r="J90" s="99">
        <f>SUMIFS(Xero!$F:$F,Xero!$B:$B,Heron!J$9,Xero!$A:$A,Heron!$A$4,Xero!$E:$E,Heron!$A90)+SUMIFS(Xero!$F:$F,Xero!$B:$B,Heron!J$9,Xero!$A:$A,Heron!$A$5,Xero!$E:$E,Heron!$A90)</f>
        <v>0</v>
      </c>
      <c r="K90" s="99">
        <f>SUMIFS(Xero!$F:$F,Xero!$B:$B,Heron!K$9,Xero!$A:$A,Heron!$A$4,Xero!$E:$E,Heron!$A90)+SUMIFS(Xero!$F:$F,Xero!$B:$B,Heron!K$9,Xero!$A:$A,Heron!$A$5,Xero!$E:$E,Heron!$A90)</f>
        <v>0</v>
      </c>
      <c r="L90" s="99">
        <f>SUMIFS(Xero!$F:$F,Xero!$B:$B,Heron!L$9,Xero!$A:$A,Heron!$A$4,Xero!$E:$E,Heron!$A90)+SUMIFS(Xero!$F:$F,Xero!$B:$B,Heron!L$9,Xero!$A:$A,Heron!$A$5,Xero!$E:$E,Heron!$A90)</f>
        <v>0</v>
      </c>
      <c r="M90" s="99">
        <f>SUMIFS(Xero!$F:$F,Xero!$B:$B,Heron!M$9,Xero!$A:$A,Heron!$A$4,Xero!$E:$E,Heron!$A90)+SUMIFS(Xero!$F:$F,Xero!$B:$B,Heron!M$9,Xero!$A:$A,Heron!$A$5,Xero!$E:$E,Heron!$A90)</f>
        <v>0</v>
      </c>
      <c r="N90" s="99">
        <f>SUMIFS(Xero!$F:$F,Xero!$B:$B,Heron!N$9,Xero!$A:$A,Heron!$A$4,Xero!$E:$E,Heron!$A90)+SUMIFS(Xero!$F:$F,Xero!$B:$B,Heron!N$9,Xero!$A:$A,Heron!$A$5,Xero!$E:$E,Heron!$A90)</f>
        <v>0</v>
      </c>
      <c r="O90" s="99">
        <f>SUMIFS(Xero!$F:$F,Xero!$B:$B,Heron!O$9,Xero!$A:$A,Heron!$A$4,Xero!$E:$E,Heron!$A90)+SUMIFS(Xero!$F:$F,Xero!$B:$B,Heron!O$9,Xero!$A:$A,Heron!$A$5,Xero!$E:$E,Heron!$A90)</f>
        <v>0</v>
      </c>
      <c r="P90" s="99">
        <f>SUMIFS(Xero!$F:$F,Xero!$B:$B,Heron!P$9,Xero!$A:$A,Heron!$A$4,Xero!$E:$E,Heron!$A90)+SUMIFS(Xero!$F:$F,Xero!$B:$B,Heron!P$9,Xero!$A:$A,Heron!$A$5,Xero!$E:$E,Heron!$A90)</f>
        <v>0</v>
      </c>
      <c r="Q90" s="99">
        <f>SUMIFS(Xero!$F:$F,Xero!$B:$B,Heron!Q$9,Xero!$A:$A,Heron!$A$4,Xero!$E:$E,Heron!$A90)+SUMIFS(Xero!$F:$F,Xero!$B:$B,Heron!Q$9,Xero!$A:$A,Heron!$A$5,Xero!$E:$E,Heron!$A90)</f>
        <v>0</v>
      </c>
      <c r="R90" s="99">
        <f>SUMIFS(Xero!$F:$F,Xero!$B:$B,Heron!R$9,Xero!$A:$A,Heron!$A$4,Xero!$E:$E,Heron!$A90)+SUMIFS(Xero!$F:$F,Xero!$B:$B,Heron!R$9,Xero!$A:$A,Heron!$A$5,Xero!$E:$E,Heron!$A90)</f>
        <v>0</v>
      </c>
      <c r="S90" s="99">
        <f>SUMIFS(Xero!$F:$F,Xero!$B:$B,Heron!S$9,Xero!$A:$A,Heron!$A$4,Xero!$E:$E,Heron!$A90)+SUMIFS(Xero!$F:$F,Xero!$B:$B,Heron!S$9,Xero!$A:$A,Heron!$A$5,Xero!$E:$E,Heron!$A90)</f>
        <v>0</v>
      </c>
      <c r="T90" s="99">
        <f>SUMIFS(Xero!$F:$F,Xero!$B:$B,Heron!T$9,Xero!$A:$A,Heron!$A$4,Xero!$E:$E,Heron!$A90)+SUMIFS(Xero!$F:$F,Xero!$B:$B,Heron!T$9,Xero!$A:$A,Heron!$A$5,Xero!$E:$E,Heron!$A90)</f>
        <v>0</v>
      </c>
      <c r="U90" s="99">
        <f>SUMIFS(Xero!$F:$F,Xero!$B:$B,Heron!U$9,Xero!$A:$A,Heron!$A$4,Xero!$E:$E,Heron!$A90)+SUMIFS(Xero!$F:$F,Xero!$B:$B,Heron!U$9,Xero!$A:$A,Heron!$A$5,Xero!$E:$E,Heron!$A90)</f>
        <v>0</v>
      </c>
      <c r="V90" s="99">
        <f>SUMIFS(Xero!$F:$F,Xero!$B:$B,Heron!V$9,Xero!$A:$A,Heron!$A$4,Xero!$E:$E,Heron!$A90)+SUMIFS(Xero!$F:$F,Xero!$B:$B,Heron!V$9,Xero!$A:$A,Heron!$A$5,Xero!$E:$E,Heron!$A90)</f>
        <v>0</v>
      </c>
      <c r="W90" s="99">
        <f>SUMIFS(Xero!$F:$F,Xero!$B:$B,Heron!W$9,Xero!$A:$A,Heron!$A$4,Xero!$E:$E,Heron!$A90)+SUMIFS(Xero!$F:$F,Xero!$B:$B,Heron!W$9,Xero!$A:$A,Heron!$A$5,Xero!$E:$E,Heron!$A90)</f>
        <v>0</v>
      </c>
      <c r="X90" s="99">
        <f>SUMIFS(Xero!$F:$F,Xero!$B:$B,Heron!X$9,Xero!$A:$A,Heron!$A$4,Xero!$E:$E,Heron!$A90)+SUMIFS(Xero!$F:$F,Xero!$B:$B,Heron!X$9,Xero!$A:$A,Heron!$A$5,Xero!$E:$E,Heron!$A90)</f>
        <v>0</v>
      </c>
      <c r="Y90" s="99">
        <f>SUMIFS(Xero!$F:$F,Xero!$B:$B,Heron!Y$9,Xero!$A:$A,Heron!$A$4,Xero!$E:$E,Heron!$A90)+SUMIFS(Xero!$F:$F,Xero!$B:$B,Heron!Y$9,Xero!$A:$A,Heron!$A$5,Xero!$E:$E,Heron!$A90)</f>
        <v>0</v>
      </c>
      <c r="Z90" s="99">
        <f>SUMIFS(Xero!$F:$F,Xero!$B:$B,Heron!Z$9,Xero!$A:$A,Heron!$A$4,Xero!$E:$E,Heron!$A90)+SUMIFS(Xero!$F:$F,Xero!$B:$B,Heron!Z$9,Xero!$A:$A,Heron!$A$5,Xero!$E:$E,Heron!$A90)</f>
        <v>0</v>
      </c>
      <c r="AA90" s="99">
        <f>SUMIFS(Xero!$F:$F,Xero!$B:$B,Heron!AA$9,Xero!$A:$A,Heron!$A$4,Xero!$E:$E,Heron!$A90)+SUMIFS(Xero!$F:$F,Xero!$B:$B,Heron!AA$9,Xero!$A:$A,Heron!$A$5,Xero!$E:$E,Heron!$A90)</f>
        <v>0</v>
      </c>
      <c r="AB90" s="99">
        <f>SUMIFS(Xero!$F:$F,Xero!$B:$B,Heron!AB$9,Xero!$A:$A,Heron!$A$4,Xero!$E:$E,Heron!$A90)+SUMIFS(Xero!$F:$F,Xero!$B:$B,Heron!AB$9,Xero!$A:$A,Heron!$A$5,Xero!$E:$E,Heron!$A90)</f>
        <v>0</v>
      </c>
      <c r="AC90" s="99">
        <f>SUMIFS(Xero!$F:$F,Xero!$B:$B,Heron!AC$9,Xero!$A:$A,Heron!$A$4,Xero!$E:$E,Heron!$A90)+SUMIFS(Xero!$F:$F,Xero!$B:$B,Heron!AC$9,Xero!$A:$A,Heron!$A$5,Xero!$E:$E,Heron!$A90)</f>
        <v>0</v>
      </c>
      <c r="AD90" s="99">
        <f>SUMIFS(Xero!$F:$F,Xero!$B:$B,Heron!AD$9,Xero!$A:$A,Heron!$A$4,Xero!$E:$E,Heron!$A90)+SUMIFS(Xero!$F:$F,Xero!$B:$B,Heron!AD$9,Xero!$A:$A,Heron!$A$5,Xero!$E:$E,Heron!$A90)</f>
        <v>0</v>
      </c>
      <c r="AE90" s="99">
        <f>SUMIFS(Xero!$F:$F,Xero!$B:$B,Heron!AE$9,Xero!$A:$A,Heron!$A$4,Xero!$E:$E,Heron!$A90)+SUMIFS(Xero!$F:$F,Xero!$B:$B,Heron!AE$9,Xero!$A:$A,Heron!$A$5,Xero!$E:$E,Heron!$A90)</f>
        <v>0</v>
      </c>
      <c r="AF90" s="99">
        <f>SUMIFS(Xero!$F:$F,Xero!$B:$B,Heron!AF$9,Xero!$A:$A,Heron!$A$4,Xero!$E:$E,Heron!$A90)+SUMIFS(Xero!$F:$F,Xero!$B:$B,Heron!AF$9,Xero!$A:$A,Heron!$A$5,Xero!$E:$E,Heron!$A90)</f>
        <v>0</v>
      </c>
      <c r="AG90" s="99">
        <f>SUMIFS(Xero!$F:$F,Xero!$B:$B,Heron!AG$9,Xero!$A:$A,Heron!$A$4,Xero!$E:$E,Heron!$A90)+SUMIFS(Xero!$F:$F,Xero!$B:$B,Heron!AG$9,Xero!$A:$A,Heron!$A$5,Xero!$E:$E,Heron!$A90)</f>
        <v>0</v>
      </c>
      <c r="AH90" s="99">
        <f>SUMIFS(Xero!$F:$F,Xero!$B:$B,Heron!AH$9,Xero!$A:$A,Heron!$A$4,Xero!$E:$E,Heron!$A90)+SUMIFS(Xero!$F:$F,Xero!$B:$B,Heron!AH$9,Xero!$A:$A,Heron!$A$5,Xero!$E:$E,Heron!$A90)</f>
        <v>0</v>
      </c>
      <c r="AI90" s="99">
        <f>SUMIFS(Xero!$F:$F,Xero!$B:$B,Heron!AI$9,Xero!$A:$A,Heron!$A$4,Xero!$E:$E,Heron!$A90)+SUMIFS(Xero!$F:$F,Xero!$B:$B,Heron!AI$9,Xero!$A:$A,Heron!$A$5,Xero!$E:$E,Heron!$A90)</f>
        <v>0</v>
      </c>
      <c r="AJ90" s="99">
        <f>SUMIFS(Xero!$F:$F,Xero!$B:$B,Heron!AJ$9,Xero!$A:$A,Heron!$A$4,Xero!$E:$E,Heron!$A90)+SUMIFS(Xero!$F:$F,Xero!$B:$B,Heron!AJ$9,Xero!$A:$A,Heron!$A$5,Xero!$E:$E,Heron!$A90)</f>
        <v>0</v>
      </c>
      <c r="AK90" s="99">
        <f>SUMIFS(Xero!$F:$F,Xero!$B:$B,Heron!AK$9,Xero!$A:$A,Heron!$A$4,Xero!$E:$E,Heron!$A90)+SUMIFS(Xero!$F:$F,Xero!$B:$B,Heron!AK$9,Xero!$A:$A,Heron!$A$5,Xero!$E:$E,Heron!$A90)</f>
        <v>11879.1</v>
      </c>
      <c r="AL90" s="99">
        <f>SUMIFS(Xero!$F:$F,Xero!$B:$B,Heron!AL$9,Xero!$A:$A,Heron!$A$4,Xero!$E:$E,Heron!$A90)+SUMIFS(Xero!$F:$F,Xero!$B:$B,Heron!AL$9,Xero!$A:$A,Heron!$A$5,Xero!$E:$E,Heron!$A90)</f>
        <v>0</v>
      </c>
      <c r="AM90" s="99">
        <f>SUMIFS(Xero!$F:$F,Xero!$B:$B,Heron!AM$9,Xero!$A:$A,Heron!$A$4,Xero!$E:$E,Heron!$A90)+SUMIFS(Xero!$F:$F,Xero!$B:$B,Heron!AM$9,Xero!$A:$A,Heron!$A$5,Xero!$E:$E,Heron!$A90)</f>
        <v>0</v>
      </c>
      <c r="AN90" s="99">
        <f>SUMIFS(Xero!$F:$F,Xero!$B:$B,Heron!AN$9,Xero!$A:$A,Heron!$A$4,Xero!$E:$E,Heron!$A90)+SUMIFS(Xero!$F:$F,Xero!$B:$B,Heron!AN$9,Xero!$A:$A,Heron!$A$5,Xero!$E:$E,Heron!$A90)</f>
        <v>0</v>
      </c>
      <c r="AO90" s="99">
        <f>SUMIFS(Xero!$F:$F,Xero!$B:$B,Heron!AO$9,Xero!$A:$A,Heron!$A$4,Xero!$E:$E,Heron!$A90)+SUMIFS(Xero!$F:$F,Xero!$B:$B,Heron!AO$9,Xero!$A:$A,Heron!$A$5,Xero!$E:$E,Heron!$A90)</f>
        <v>0</v>
      </c>
      <c r="AP90" s="99">
        <f>SUMIFS(Xero!$F:$F,Xero!$B:$B,Heron!AP$9,Xero!$A:$A,Heron!$A$4,Xero!$E:$E,Heron!$A90)+SUMIFS(Xero!$F:$F,Xero!$B:$B,Heron!AP$9,Xero!$A:$A,Heron!$A$5,Xero!$E:$E,Heron!$A90)</f>
        <v>0</v>
      </c>
      <c r="AQ90" s="99">
        <f>SUMIFS(Xero!$F:$F,Xero!$B:$B,Heron!AQ$9,Xero!$A:$A,Heron!$A$4,Xero!$E:$E,Heron!$A90)+SUMIFS(Xero!$F:$F,Xero!$B:$B,Heron!AQ$9,Xero!$A:$A,Heron!$A$5,Xero!$E:$E,Heron!$A90)</f>
        <v>0</v>
      </c>
      <c r="AR90" s="99">
        <f>SUMIFS(Xero!$F:$F,Xero!$B:$B,Heron!AR$9,Xero!$A:$A,Heron!$A$4,Xero!$E:$E,Heron!$A90)+SUMIFS(Xero!$F:$F,Xero!$B:$B,Heron!AR$9,Xero!$A:$A,Heron!$A$5,Xero!$E:$E,Heron!$A90)</f>
        <v>0</v>
      </c>
      <c r="AS90" s="99">
        <f>SUMIFS(Xero!$F:$F,Xero!$B:$B,Heron!AS$9,Xero!$A:$A,Heron!$A$4,Xero!$E:$E,Heron!$A90)+SUMIFS(Xero!$F:$F,Xero!$B:$B,Heron!AS$9,Xero!$A:$A,Heron!$A$5,Xero!$E:$E,Heron!$A90)</f>
        <v>0</v>
      </c>
      <c r="AT90" s="99">
        <f>SUMIFS(Xero!$F:$F,Xero!$B:$B,Heron!AT$9,Xero!$A:$A,Heron!$A$4,Xero!$E:$E,Heron!$A90)+SUMIFS(Xero!$F:$F,Xero!$B:$B,Heron!AT$9,Xero!$A:$A,Heron!$A$5,Xero!$E:$E,Heron!$A90)</f>
        <v>0</v>
      </c>
      <c r="AU90" s="99">
        <f>SUMIFS(Xero!$F:$F,Xero!$B:$B,Heron!AU$9,Xero!$A:$A,Heron!$A$4,Xero!$E:$E,Heron!$A90)+SUMIFS(Xero!$F:$F,Xero!$B:$B,Heron!AU$9,Xero!$A:$A,Heron!$A$5,Xero!$E:$E,Heron!$A90)</f>
        <v>0</v>
      </c>
      <c r="AV90" s="99">
        <f>SUMIFS(Xero!$F:$F,Xero!$B:$B,Heron!AV$9,Xero!$A:$A,Heron!$A$4,Xero!$E:$E,Heron!$A90)+SUMIFS(Xero!$F:$F,Xero!$B:$B,Heron!AV$9,Xero!$A:$A,Heron!$A$5,Xero!$E:$E,Heron!$A90)</f>
        <v>0</v>
      </c>
      <c r="AW90" s="99">
        <f>SUMIFS(Xero!$F:$F,Xero!$B:$B,Heron!AW$9,Xero!$A:$A,Heron!$A$4,Xero!$E:$E,Heron!$A90)+SUMIFS(Xero!$F:$F,Xero!$B:$B,Heron!AW$9,Xero!$A:$A,Heron!$A$5,Xero!$E:$E,Heron!$A90)</f>
        <v>0</v>
      </c>
      <c r="AX90" s="99">
        <f>SUMIFS(Xero!$F:$F,Xero!$B:$B,Heron!AX$9,Xero!$A:$A,Heron!$A$4,Xero!$E:$E,Heron!$A90)+SUMIFS(Xero!$F:$F,Xero!$B:$B,Heron!AX$9,Xero!$A:$A,Heron!$A$5,Xero!$E:$E,Heron!$A90)</f>
        <v>0</v>
      </c>
      <c r="AY90" s="99">
        <f>SUMIFS(Xero!$F:$F,Xero!$B:$B,Heron!AY$9,Xero!$A:$A,Heron!$A$4,Xero!$E:$E,Heron!$A90)+SUMIFS(Xero!$F:$F,Xero!$B:$B,Heron!AY$9,Xero!$A:$A,Heron!$A$5,Xero!$E:$E,Heron!$A90)</f>
        <v>0</v>
      </c>
      <c r="AZ90" s="99">
        <f>SUMIFS(Xero!$F:$F,Xero!$B:$B,Heron!AZ$9,Xero!$A:$A,Heron!$A$4,Xero!$E:$E,Heron!$A90)+SUMIFS(Xero!$F:$F,Xero!$B:$B,Heron!AZ$9,Xero!$A:$A,Heron!$A$5,Xero!$E:$E,Heron!$A90)</f>
        <v>0</v>
      </c>
      <c r="BA90" s="99">
        <f>SUMIFS(Xero!$F:$F,Xero!$B:$B,Heron!BA$9,Xero!$A:$A,Heron!$A$4,Xero!$E:$E,Heron!$A90)+SUMIFS(Xero!$F:$F,Xero!$B:$B,Heron!BA$9,Xero!$A:$A,Heron!$A$5,Xero!$E:$E,Heron!$A90)</f>
        <v>0</v>
      </c>
      <c r="BB90" s="99">
        <f>SUMIFS(Xero!$F:$F,Xero!$B:$B,Heron!BB$9,Xero!$A:$A,Heron!$A$4,Xero!$E:$E,Heron!$A90)+SUMIFS(Xero!$F:$F,Xero!$B:$B,Heron!BB$9,Xero!$A:$A,Heron!$A$5,Xero!$E:$E,Heron!$A90)</f>
        <v>0</v>
      </c>
      <c r="BC90" s="99">
        <f>SUMIFS(Xero!$F:$F,Xero!$B:$B,Heron!BC$9,Xero!$A:$A,Heron!$A$4,Xero!$E:$E,Heron!$A90)+SUMIFS(Xero!$F:$F,Xero!$B:$B,Heron!BC$9,Xero!$A:$A,Heron!$A$5,Xero!$E:$E,Heron!$A90)</f>
        <v>0</v>
      </c>
      <c r="BD90" s="99">
        <f>SUMIFS(Xero!$F:$F,Xero!$B:$B,Heron!BD$9,Xero!$A:$A,Heron!$A$4,Xero!$E:$E,Heron!$A90)+SUMIFS(Xero!$F:$F,Xero!$B:$B,Heron!BD$9,Xero!$A:$A,Heron!$A$5,Xero!$E:$E,Heron!$A90)</f>
        <v>0</v>
      </c>
      <c r="BE90" s="99">
        <f>SUMIFS(Xero!$F:$F,Xero!$B:$B,Heron!BE$9,Xero!$A:$A,Heron!$A$4,Xero!$E:$E,Heron!$A90)+SUMIFS(Xero!$F:$F,Xero!$B:$B,Heron!BE$9,Xero!$A:$A,Heron!$A$5,Xero!$E:$E,Heron!$A90)</f>
        <v>0</v>
      </c>
      <c r="BF90" s="99">
        <f>SUMIFS(Xero!$F:$F,Xero!$B:$B,Heron!BF$9,Xero!$A:$A,Heron!$A$4,Xero!$E:$E,Heron!$A90)+SUMIFS(Xero!$F:$F,Xero!$B:$B,Heron!BF$9,Xero!$A:$A,Heron!$A$5,Xero!$E:$E,Heron!$A90)</f>
        <v>0</v>
      </c>
      <c r="BG90" s="99">
        <f>SUMIFS(Xero!$F:$F,Xero!$B:$B,Heron!BG$9,Xero!$A:$A,Heron!$A$4,Xero!$E:$E,Heron!$A90)+SUMIFS(Xero!$F:$F,Xero!$B:$B,Heron!BG$9,Xero!$A:$A,Heron!$A$5,Xero!$E:$E,Heron!$A90)</f>
        <v>0</v>
      </c>
      <c r="BH90" s="99">
        <f>SUMIFS(Xero!$F:$F,Xero!$B:$B,Heron!BH$9,Xero!$A:$A,Heron!$A$4,Xero!$E:$E,Heron!$A90)+SUMIFS(Xero!$F:$F,Xero!$B:$B,Heron!BH$9,Xero!$A:$A,Heron!$A$5,Xero!$E:$E,Heron!$A90)</f>
        <v>0</v>
      </c>
      <c r="BI90" s="99">
        <f>SUMIFS(Xero!$F:$F,Xero!$B:$B,Heron!BI$9,Xero!$A:$A,Heron!$A$4,Xero!$E:$E,Heron!$A90)+SUMIFS(Xero!$F:$F,Xero!$B:$B,Heron!BI$9,Xero!$A:$A,Heron!$A$5,Xero!$E:$E,Heron!$A90)</f>
        <v>0</v>
      </c>
      <c r="BJ90" s="99">
        <f>SUMIFS(Xero!$F:$F,Xero!$B:$B,Heron!BJ$9,Xero!$A:$A,Heron!$A$4,Xero!$E:$E,Heron!$A90)+SUMIFS(Xero!$F:$F,Xero!$B:$B,Heron!BJ$9,Xero!$A:$A,Heron!$A$5,Xero!$E:$E,Heron!$A90)</f>
        <v>0</v>
      </c>
      <c r="BK90" s="99">
        <f t="shared" si="5"/>
        <v>11879.1</v>
      </c>
    </row>
    <row r="91" spans="1:63" ht="16" x14ac:dyDescent="0.2">
      <c r="A91" s="98" t="s">
        <v>1134</v>
      </c>
      <c r="D91" s="99">
        <f>SUMIFS(Xero!$F:$F,Xero!$B:$B,Heron!D$9,Xero!$A:$A,Heron!$A$4,Xero!$E:$E,Heron!$A91)+SUMIFS(Xero!$F:$F,Xero!$B:$B,Heron!D$9,Xero!$A:$A,Heron!$A$5,Xero!$E:$E,Heron!$A91)</f>
        <v>0</v>
      </c>
      <c r="E91" s="99">
        <f>SUMIFS(Xero!$F:$F,Xero!$B:$B,Heron!E$9,Xero!$A:$A,Heron!$A$4,Xero!$E:$E,Heron!$A91)+SUMIFS(Xero!$F:$F,Xero!$B:$B,Heron!E$9,Xero!$A:$A,Heron!$A$5,Xero!$E:$E,Heron!$A91)</f>
        <v>0</v>
      </c>
      <c r="F91" s="99">
        <f>SUMIFS(Xero!$F:$F,Xero!$B:$B,Heron!F$9,Xero!$A:$A,Heron!$A$4,Xero!$E:$E,Heron!$A91)+SUMIFS(Xero!$F:$F,Xero!$B:$B,Heron!F$9,Xero!$A:$A,Heron!$A$5,Xero!$E:$E,Heron!$A91)</f>
        <v>0</v>
      </c>
      <c r="G91" s="99">
        <f>SUMIFS(Xero!$F:$F,Xero!$B:$B,Heron!G$9,Xero!$A:$A,Heron!$A$4,Xero!$E:$E,Heron!$A91)+SUMIFS(Xero!$F:$F,Xero!$B:$B,Heron!G$9,Xero!$A:$A,Heron!$A$5,Xero!$E:$E,Heron!$A91)</f>
        <v>0</v>
      </c>
      <c r="H91" s="99">
        <f>SUMIFS(Xero!$F:$F,Xero!$B:$B,Heron!H$9,Xero!$A:$A,Heron!$A$4,Xero!$E:$E,Heron!$A91)+SUMIFS(Xero!$F:$F,Xero!$B:$B,Heron!H$9,Xero!$A:$A,Heron!$A$5,Xero!$E:$E,Heron!$A91)</f>
        <v>0</v>
      </c>
      <c r="I91" s="99">
        <f>SUMIFS(Xero!$F:$F,Xero!$B:$B,Heron!I$9,Xero!$A:$A,Heron!$A$4,Xero!$E:$E,Heron!$A91)+SUMIFS(Xero!$F:$F,Xero!$B:$B,Heron!I$9,Xero!$A:$A,Heron!$A$5,Xero!$E:$E,Heron!$A91)</f>
        <v>0</v>
      </c>
      <c r="J91" s="99">
        <f>SUMIFS(Xero!$F:$F,Xero!$B:$B,Heron!J$9,Xero!$A:$A,Heron!$A$4,Xero!$E:$E,Heron!$A91)+SUMIFS(Xero!$F:$F,Xero!$B:$B,Heron!J$9,Xero!$A:$A,Heron!$A$5,Xero!$E:$E,Heron!$A91)</f>
        <v>0</v>
      </c>
      <c r="K91" s="99">
        <f>SUMIFS(Xero!$F:$F,Xero!$B:$B,Heron!K$9,Xero!$A:$A,Heron!$A$4,Xero!$E:$E,Heron!$A91)+SUMIFS(Xero!$F:$F,Xero!$B:$B,Heron!K$9,Xero!$A:$A,Heron!$A$5,Xero!$E:$E,Heron!$A91)</f>
        <v>0</v>
      </c>
      <c r="L91" s="99">
        <f>SUMIFS(Xero!$F:$F,Xero!$B:$B,Heron!L$9,Xero!$A:$A,Heron!$A$4,Xero!$E:$E,Heron!$A91)+SUMIFS(Xero!$F:$F,Xero!$B:$B,Heron!L$9,Xero!$A:$A,Heron!$A$5,Xero!$E:$E,Heron!$A91)</f>
        <v>0</v>
      </c>
      <c r="M91" s="99">
        <f>SUMIFS(Xero!$F:$F,Xero!$B:$B,Heron!M$9,Xero!$A:$A,Heron!$A$4,Xero!$E:$E,Heron!$A91)+SUMIFS(Xero!$F:$F,Xero!$B:$B,Heron!M$9,Xero!$A:$A,Heron!$A$5,Xero!$E:$E,Heron!$A91)</f>
        <v>0</v>
      </c>
      <c r="N91" s="99">
        <f>SUMIFS(Xero!$F:$F,Xero!$B:$B,Heron!N$9,Xero!$A:$A,Heron!$A$4,Xero!$E:$E,Heron!$A91)+SUMIFS(Xero!$F:$F,Xero!$B:$B,Heron!N$9,Xero!$A:$A,Heron!$A$5,Xero!$E:$E,Heron!$A91)</f>
        <v>0</v>
      </c>
      <c r="O91" s="99">
        <f>SUMIFS(Xero!$F:$F,Xero!$B:$B,Heron!O$9,Xero!$A:$A,Heron!$A$4,Xero!$E:$E,Heron!$A91)+SUMIFS(Xero!$F:$F,Xero!$B:$B,Heron!O$9,Xero!$A:$A,Heron!$A$5,Xero!$E:$E,Heron!$A91)</f>
        <v>0</v>
      </c>
      <c r="P91" s="99">
        <f>SUMIFS(Xero!$F:$F,Xero!$B:$B,Heron!P$9,Xero!$A:$A,Heron!$A$4,Xero!$E:$E,Heron!$A91)+SUMIFS(Xero!$F:$F,Xero!$B:$B,Heron!P$9,Xero!$A:$A,Heron!$A$5,Xero!$E:$E,Heron!$A91)</f>
        <v>0</v>
      </c>
      <c r="Q91" s="99">
        <f>SUMIFS(Xero!$F:$F,Xero!$B:$B,Heron!Q$9,Xero!$A:$A,Heron!$A$4,Xero!$E:$E,Heron!$A91)+SUMIFS(Xero!$F:$F,Xero!$B:$B,Heron!Q$9,Xero!$A:$A,Heron!$A$5,Xero!$E:$E,Heron!$A91)</f>
        <v>0</v>
      </c>
      <c r="R91" s="99">
        <f>SUMIFS(Xero!$F:$F,Xero!$B:$B,Heron!R$9,Xero!$A:$A,Heron!$A$4,Xero!$E:$E,Heron!$A91)+SUMIFS(Xero!$F:$F,Xero!$B:$B,Heron!R$9,Xero!$A:$A,Heron!$A$5,Xero!$E:$E,Heron!$A91)</f>
        <v>0</v>
      </c>
      <c r="S91" s="99">
        <f>SUMIFS(Xero!$F:$F,Xero!$B:$B,Heron!S$9,Xero!$A:$A,Heron!$A$4,Xero!$E:$E,Heron!$A91)+SUMIFS(Xero!$F:$F,Xero!$B:$B,Heron!S$9,Xero!$A:$A,Heron!$A$5,Xero!$E:$E,Heron!$A91)</f>
        <v>0</v>
      </c>
      <c r="T91" s="99">
        <f>SUMIFS(Xero!$F:$F,Xero!$B:$B,Heron!T$9,Xero!$A:$A,Heron!$A$4,Xero!$E:$E,Heron!$A91)+SUMIFS(Xero!$F:$F,Xero!$B:$B,Heron!T$9,Xero!$A:$A,Heron!$A$5,Xero!$E:$E,Heron!$A91)</f>
        <v>0</v>
      </c>
      <c r="U91" s="99">
        <f>SUMIFS(Xero!$F:$F,Xero!$B:$B,Heron!U$9,Xero!$A:$A,Heron!$A$4,Xero!$E:$E,Heron!$A91)+SUMIFS(Xero!$F:$F,Xero!$B:$B,Heron!U$9,Xero!$A:$A,Heron!$A$5,Xero!$E:$E,Heron!$A91)</f>
        <v>0</v>
      </c>
      <c r="V91" s="99">
        <f>SUMIFS(Xero!$F:$F,Xero!$B:$B,Heron!V$9,Xero!$A:$A,Heron!$A$4,Xero!$E:$E,Heron!$A91)+SUMIFS(Xero!$F:$F,Xero!$B:$B,Heron!V$9,Xero!$A:$A,Heron!$A$5,Xero!$E:$E,Heron!$A91)</f>
        <v>0</v>
      </c>
      <c r="W91" s="99">
        <f>SUMIFS(Xero!$F:$F,Xero!$B:$B,Heron!W$9,Xero!$A:$A,Heron!$A$4,Xero!$E:$E,Heron!$A91)+SUMIFS(Xero!$F:$F,Xero!$B:$B,Heron!W$9,Xero!$A:$A,Heron!$A$5,Xero!$E:$E,Heron!$A91)</f>
        <v>0</v>
      </c>
      <c r="X91" s="99">
        <f>SUMIFS(Xero!$F:$F,Xero!$B:$B,Heron!X$9,Xero!$A:$A,Heron!$A$4,Xero!$E:$E,Heron!$A91)+SUMIFS(Xero!$F:$F,Xero!$B:$B,Heron!X$9,Xero!$A:$A,Heron!$A$5,Xero!$E:$E,Heron!$A91)</f>
        <v>0</v>
      </c>
      <c r="Y91" s="99">
        <f>SUMIFS(Xero!$F:$F,Xero!$B:$B,Heron!Y$9,Xero!$A:$A,Heron!$A$4,Xero!$E:$E,Heron!$A91)+SUMIFS(Xero!$F:$F,Xero!$B:$B,Heron!Y$9,Xero!$A:$A,Heron!$A$5,Xero!$E:$E,Heron!$A91)</f>
        <v>0</v>
      </c>
      <c r="Z91" s="99">
        <f>SUMIFS(Xero!$F:$F,Xero!$B:$B,Heron!Z$9,Xero!$A:$A,Heron!$A$4,Xero!$E:$E,Heron!$A91)+SUMIFS(Xero!$F:$F,Xero!$B:$B,Heron!Z$9,Xero!$A:$A,Heron!$A$5,Xero!$E:$E,Heron!$A91)</f>
        <v>0</v>
      </c>
      <c r="AA91" s="99">
        <f>SUMIFS(Xero!$F:$F,Xero!$B:$B,Heron!AA$9,Xero!$A:$A,Heron!$A$4,Xero!$E:$E,Heron!$A91)+SUMIFS(Xero!$F:$F,Xero!$B:$B,Heron!AA$9,Xero!$A:$A,Heron!$A$5,Xero!$E:$E,Heron!$A91)</f>
        <v>0</v>
      </c>
      <c r="AB91" s="99">
        <f>SUMIFS(Xero!$F:$F,Xero!$B:$B,Heron!AB$9,Xero!$A:$A,Heron!$A$4,Xero!$E:$E,Heron!$A91)+SUMIFS(Xero!$F:$F,Xero!$B:$B,Heron!AB$9,Xero!$A:$A,Heron!$A$5,Xero!$E:$E,Heron!$A91)</f>
        <v>0</v>
      </c>
      <c r="AC91" s="99">
        <f>SUMIFS(Xero!$F:$F,Xero!$B:$B,Heron!AC$9,Xero!$A:$A,Heron!$A$4,Xero!$E:$E,Heron!$A91)+SUMIFS(Xero!$F:$F,Xero!$B:$B,Heron!AC$9,Xero!$A:$A,Heron!$A$5,Xero!$E:$E,Heron!$A91)</f>
        <v>0</v>
      </c>
      <c r="AD91" s="99">
        <f>SUMIFS(Xero!$F:$F,Xero!$B:$B,Heron!AD$9,Xero!$A:$A,Heron!$A$4,Xero!$E:$E,Heron!$A91)+SUMIFS(Xero!$F:$F,Xero!$B:$B,Heron!AD$9,Xero!$A:$A,Heron!$A$5,Xero!$E:$E,Heron!$A91)</f>
        <v>0</v>
      </c>
      <c r="AE91" s="99">
        <f>SUMIFS(Xero!$F:$F,Xero!$B:$B,Heron!AE$9,Xero!$A:$A,Heron!$A$4,Xero!$E:$E,Heron!$A91)+SUMIFS(Xero!$F:$F,Xero!$B:$B,Heron!AE$9,Xero!$A:$A,Heron!$A$5,Xero!$E:$E,Heron!$A91)</f>
        <v>0</v>
      </c>
      <c r="AF91" s="99">
        <f>SUMIFS(Xero!$F:$F,Xero!$B:$B,Heron!AF$9,Xero!$A:$A,Heron!$A$4,Xero!$E:$E,Heron!$A91)+SUMIFS(Xero!$F:$F,Xero!$B:$B,Heron!AF$9,Xero!$A:$A,Heron!$A$5,Xero!$E:$E,Heron!$A91)</f>
        <v>0</v>
      </c>
      <c r="AG91" s="99">
        <f>SUMIFS(Xero!$F:$F,Xero!$B:$B,Heron!AG$9,Xero!$A:$A,Heron!$A$4,Xero!$E:$E,Heron!$A91)+SUMIFS(Xero!$F:$F,Xero!$B:$B,Heron!AG$9,Xero!$A:$A,Heron!$A$5,Xero!$E:$E,Heron!$A91)</f>
        <v>0</v>
      </c>
      <c r="AH91" s="99">
        <f>SUMIFS(Xero!$F:$F,Xero!$B:$B,Heron!AH$9,Xero!$A:$A,Heron!$A$4,Xero!$E:$E,Heron!$A91)+SUMIFS(Xero!$F:$F,Xero!$B:$B,Heron!AH$9,Xero!$A:$A,Heron!$A$5,Xero!$E:$E,Heron!$A91)</f>
        <v>0</v>
      </c>
      <c r="AI91" s="99">
        <f>SUMIFS(Xero!$F:$F,Xero!$B:$B,Heron!AI$9,Xero!$A:$A,Heron!$A$4,Xero!$E:$E,Heron!$A91)+SUMIFS(Xero!$F:$F,Xero!$B:$B,Heron!AI$9,Xero!$A:$A,Heron!$A$5,Xero!$E:$E,Heron!$A91)</f>
        <v>0</v>
      </c>
      <c r="AJ91" s="99">
        <f>SUMIFS(Xero!$F:$F,Xero!$B:$B,Heron!AJ$9,Xero!$A:$A,Heron!$A$4,Xero!$E:$E,Heron!$A91)+SUMIFS(Xero!$F:$F,Xero!$B:$B,Heron!AJ$9,Xero!$A:$A,Heron!$A$5,Xero!$E:$E,Heron!$A91)</f>
        <v>0</v>
      </c>
      <c r="AK91" s="99">
        <f>SUMIFS(Xero!$F:$F,Xero!$B:$B,Heron!AK$9,Xero!$A:$A,Heron!$A$4,Xero!$E:$E,Heron!$A91)+SUMIFS(Xero!$F:$F,Xero!$B:$B,Heron!AK$9,Xero!$A:$A,Heron!$A$5,Xero!$E:$E,Heron!$A91)</f>
        <v>66011.509999999995</v>
      </c>
      <c r="AL91" s="99">
        <f>SUMIFS(Xero!$F:$F,Xero!$B:$B,Heron!AL$9,Xero!$A:$A,Heron!$A$4,Xero!$E:$E,Heron!$A91)+SUMIFS(Xero!$F:$F,Xero!$B:$B,Heron!AL$9,Xero!$A:$A,Heron!$A$5,Xero!$E:$E,Heron!$A91)</f>
        <v>0</v>
      </c>
      <c r="AM91" s="99">
        <f>SUMIFS(Xero!$F:$F,Xero!$B:$B,Heron!AM$9,Xero!$A:$A,Heron!$A$4,Xero!$E:$E,Heron!$A91)+SUMIFS(Xero!$F:$F,Xero!$B:$B,Heron!AM$9,Xero!$A:$A,Heron!$A$5,Xero!$E:$E,Heron!$A91)</f>
        <v>0</v>
      </c>
      <c r="AN91" s="99">
        <f>SUMIFS(Xero!$F:$F,Xero!$B:$B,Heron!AN$9,Xero!$A:$A,Heron!$A$4,Xero!$E:$E,Heron!$A91)+SUMIFS(Xero!$F:$F,Xero!$B:$B,Heron!AN$9,Xero!$A:$A,Heron!$A$5,Xero!$E:$E,Heron!$A91)</f>
        <v>0</v>
      </c>
      <c r="AO91" s="99">
        <f>SUMIFS(Xero!$F:$F,Xero!$B:$B,Heron!AO$9,Xero!$A:$A,Heron!$A$4,Xero!$E:$E,Heron!$A91)+SUMIFS(Xero!$F:$F,Xero!$B:$B,Heron!AO$9,Xero!$A:$A,Heron!$A$5,Xero!$E:$E,Heron!$A91)</f>
        <v>0</v>
      </c>
      <c r="AP91" s="99">
        <f>SUMIFS(Xero!$F:$F,Xero!$B:$B,Heron!AP$9,Xero!$A:$A,Heron!$A$4,Xero!$E:$E,Heron!$A91)+SUMIFS(Xero!$F:$F,Xero!$B:$B,Heron!AP$9,Xero!$A:$A,Heron!$A$5,Xero!$E:$E,Heron!$A91)</f>
        <v>0</v>
      </c>
      <c r="AQ91" s="99">
        <f>SUMIFS(Xero!$F:$F,Xero!$B:$B,Heron!AQ$9,Xero!$A:$A,Heron!$A$4,Xero!$E:$E,Heron!$A91)+SUMIFS(Xero!$F:$F,Xero!$B:$B,Heron!AQ$9,Xero!$A:$A,Heron!$A$5,Xero!$E:$E,Heron!$A91)</f>
        <v>0</v>
      </c>
      <c r="AR91" s="99">
        <f>SUMIFS(Xero!$F:$F,Xero!$B:$B,Heron!AR$9,Xero!$A:$A,Heron!$A$4,Xero!$E:$E,Heron!$A91)+SUMIFS(Xero!$F:$F,Xero!$B:$B,Heron!AR$9,Xero!$A:$A,Heron!$A$5,Xero!$E:$E,Heron!$A91)</f>
        <v>0</v>
      </c>
      <c r="AS91" s="99">
        <f>SUMIFS(Xero!$F:$F,Xero!$B:$B,Heron!AS$9,Xero!$A:$A,Heron!$A$4,Xero!$E:$E,Heron!$A91)+SUMIFS(Xero!$F:$F,Xero!$B:$B,Heron!AS$9,Xero!$A:$A,Heron!$A$5,Xero!$E:$E,Heron!$A91)</f>
        <v>0</v>
      </c>
      <c r="AT91" s="99">
        <f>SUMIFS(Xero!$F:$F,Xero!$B:$B,Heron!AT$9,Xero!$A:$A,Heron!$A$4,Xero!$E:$E,Heron!$A91)+SUMIFS(Xero!$F:$F,Xero!$B:$B,Heron!AT$9,Xero!$A:$A,Heron!$A$5,Xero!$E:$E,Heron!$A91)</f>
        <v>0</v>
      </c>
      <c r="AU91" s="99">
        <f>SUMIFS(Xero!$F:$F,Xero!$B:$B,Heron!AU$9,Xero!$A:$A,Heron!$A$4,Xero!$E:$E,Heron!$A91)+SUMIFS(Xero!$F:$F,Xero!$B:$B,Heron!AU$9,Xero!$A:$A,Heron!$A$5,Xero!$E:$E,Heron!$A91)</f>
        <v>0</v>
      </c>
      <c r="AV91" s="99">
        <f>SUMIFS(Xero!$F:$F,Xero!$B:$B,Heron!AV$9,Xero!$A:$A,Heron!$A$4,Xero!$E:$E,Heron!$A91)+SUMIFS(Xero!$F:$F,Xero!$B:$B,Heron!AV$9,Xero!$A:$A,Heron!$A$5,Xero!$E:$E,Heron!$A91)</f>
        <v>0</v>
      </c>
      <c r="AW91" s="99">
        <f>SUMIFS(Xero!$F:$F,Xero!$B:$B,Heron!AW$9,Xero!$A:$A,Heron!$A$4,Xero!$E:$E,Heron!$A91)+SUMIFS(Xero!$F:$F,Xero!$B:$B,Heron!AW$9,Xero!$A:$A,Heron!$A$5,Xero!$E:$E,Heron!$A91)</f>
        <v>0</v>
      </c>
      <c r="AX91" s="99">
        <f>SUMIFS(Xero!$F:$F,Xero!$B:$B,Heron!AX$9,Xero!$A:$A,Heron!$A$4,Xero!$E:$E,Heron!$A91)+SUMIFS(Xero!$F:$F,Xero!$B:$B,Heron!AX$9,Xero!$A:$A,Heron!$A$5,Xero!$E:$E,Heron!$A91)</f>
        <v>0</v>
      </c>
      <c r="AY91" s="99">
        <f>SUMIFS(Xero!$F:$F,Xero!$B:$B,Heron!AY$9,Xero!$A:$A,Heron!$A$4,Xero!$E:$E,Heron!$A91)+SUMIFS(Xero!$F:$F,Xero!$B:$B,Heron!AY$9,Xero!$A:$A,Heron!$A$5,Xero!$E:$E,Heron!$A91)</f>
        <v>0</v>
      </c>
      <c r="AZ91" s="99">
        <f>SUMIFS(Xero!$F:$F,Xero!$B:$B,Heron!AZ$9,Xero!$A:$A,Heron!$A$4,Xero!$E:$E,Heron!$A91)+SUMIFS(Xero!$F:$F,Xero!$B:$B,Heron!AZ$9,Xero!$A:$A,Heron!$A$5,Xero!$E:$E,Heron!$A91)</f>
        <v>0</v>
      </c>
      <c r="BA91" s="99">
        <f>SUMIFS(Xero!$F:$F,Xero!$B:$B,Heron!BA$9,Xero!$A:$A,Heron!$A$4,Xero!$E:$E,Heron!$A91)+SUMIFS(Xero!$F:$F,Xero!$B:$B,Heron!BA$9,Xero!$A:$A,Heron!$A$5,Xero!$E:$E,Heron!$A91)</f>
        <v>0</v>
      </c>
      <c r="BB91" s="99">
        <f>SUMIFS(Xero!$F:$F,Xero!$B:$B,Heron!BB$9,Xero!$A:$A,Heron!$A$4,Xero!$E:$E,Heron!$A91)+SUMIFS(Xero!$F:$F,Xero!$B:$B,Heron!BB$9,Xero!$A:$A,Heron!$A$5,Xero!$E:$E,Heron!$A91)</f>
        <v>0</v>
      </c>
      <c r="BC91" s="99">
        <f>SUMIFS(Xero!$F:$F,Xero!$B:$B,Heron!BC$9,Xero!$A:$A,Heron!$A$4,Xero!$E:$E,Heron!$A91)+SUMIFS(Xero!$F:$F,Xero!$B:$B,Heron!BC$9,Xero!$A:$A,Heron!$A$5,Xero!$E:$E,Heron!$A91)</f>
        <v>0</v>
      </c>
      <c r="BD91" s="99">
        <f>SUMIFS(Xero!$F:$F,Xero!$B:$B,Heron!BD$9,Xero!$A:$A,Heron!$A$4,Xero!$E:$E,Heron!$A91)+SUMIFS(Xero!$F:$F,Xero!$B:$B,Heron!BD$9,Xero!$A:$A,Heron!$A$5,Xero!$E:$E,Heron!$A91)</f>
        <v>0</v>
      </c>
      <c r="BE91" s="99">
        <f>SUMIFS(Xero!$F:$F,Xero!$B:$B,Heron!BE$9,Xero!$A:$A,Heron!$A$4,Xero!$E:$E,Heron!$A91)+SUMIFS(Xero!$F:$F,Xero!$B:$B,Heron!BE$9,Xero!$A:$A,Heron!$A$5,Xero!$E:$E,Heron!$A91)</f>
        <v>0</v>
      </c>
      <c r="BF91" s="99">
        <f>SUMIFS(Xero!$F:$F,Xero!$B:$B,Heron!BF$9,Xero!$A:$A,Heron!$A$4,Xero!$E:$E,Heron!$A91)+SUMIFS(Xero!$F:$F,Xero!$B:$B,Heron!BF$9,Xero!$A:$A,Heron!$A$5,Xero!$E:$E,Heron!$A91)</f>
        <v>0</v>
      </c>
      <c r="BG91" s="99">
        <f>SUMIFS(Xero!$F:$F,Xero!$B:$B,Heron!BG$9,Xero!$A:$A,Heron!$A$4,Xero!$E:$E,Heron!$A91)+SUMIFS(Xero!$F:$F,Xero!$B:$B,Heron!BG$9,Xero!$A:$A,Heron!$A$5,Xero!$E:$E,Heron!$A91)</f>
        <v>0</v>
      </c>
      <c r="BH91" s="99">
        <f>SUMIFS(Xero!$F:$F,Xero!$B:$B,Heron!BH$9,Xero!$A:$A,Heron!$A$4,Xero!$E:$E,Heron!$A91)+SUMIFS(Xero!$F:$F,Xero!$B:$B,Heron!BH$9,Xero!$A:$A,Heron!$A$5,Xero!$E:$E,Heron!$A91)</f>
        <v>0</v>
      </c>
      <c r="BI91" s="99">
        <f>SUMIFS(Xero!$F:$F,Xero!$B:$B,Heron!BI$9,Xero!$A:$A,Heron!$A$4,Xero!$E:$E,Heron!$A91)+SUMIFS(Xero!$F:$F,Xero!$B:$B,Heron!BI$9,Xero!$A:$A,Heron!$A$5,Xero!$E:$E,Heron!$A91)</f>
        <v>0</v>
      </c>
      <c r="BJ91" s="99">
        <f>SUMIFS(Xero!$F:$F,Xero!$B:$B,Heron!BJ$9,Xero!$A:$A,Heron!$A$4,Xero!$E:$E,Heron!$A91)+SUMIFS(Xero!$F:$F,Xero!$B:$B,Heron!BJ$9,Xero!$A:$A,Heron!$A$5,Xero!$E:$E,Heron!$A91)</f>
        <v>0</v>
      </c>
      <c r="BK91" s="99">
        <f t="shared" si="5"/>
        <v>66011.509999999995</v>
      </c>
    </row>
    <row r="92" spans="1:63" ht="16" x14ac:dyDescent="0.2">
      <c r="A92" s="98" t="s">
        <v>1154</v>
      </c>
      <c r="D92" s="99">
        <f>SUMIFS(Xero!$F:$F,Xero!$B:$B,Heron!D$9,Xero!$A:$A,Heron!$A$4,Xero!$E:$E,Heron!$A92)+SUMIFS(Xero!$F:$F,Xero!$B:$B,Heron!D$9,Xero!$A:$A,Heron!$A$5,Xero!$E:$E,Heron!$A92)</f>
        <v>0</v>
      </c>
      <c r="E92" s="99">
        <f>SUMIFS(Xero!$F:$F,Xero!$B:$B,Heron!E$9,Xero!$A:$A,Heron!$A$4,Xero!$E:$E,Heron!$A92)+SUMIFS(Xero!$F:$F,Xero!$B:$B,Heron!E$9,Xero!$A:$A,Heron!$A$5,Xero!$E:$E,Heron!$A92)</f>
        <v>0</v>
      </c>
      <c r="F92" s="99">
        <f>SUMIFS(Xero!$F:$F,Xero!$B:$B,Heron!F$9,Xero!$A:$A,Heron!$A$4,Xero!$E:$E,Heron!$A92)+SUMIFS(Xero!$F:$F,Xero!$B:$B,Heron!F$9,Xero!$A:$A,Heron!$A$5,Xero!$E:$E,Heron!$A92)</f>
        <v>0</v>
      </c>
      <c r="G92" s="99">
        <f>SUMIFS(Xero!$F:$F,Xero!$B:$B,Heron!G$9,Xero!$A:$A,Heron!$A$4,Xero!$E:$E,Heron!$A92)+SUMIFS(Xero!$F:$F,Xero!$B:$B,Heron!G$9,Xero!$A:$A,Heron!$A$5,Xero!$E:$E,Heron!$A92)</f>
        <v>0</v>
      </c>
      <c r="H92" s="99">
        <f>SUMIFS(Xero!$F:$F,Xero!$B:$B,Heron!H$9,Xero!$A:$A,Heron!$A$4,Xero!$E:$E,Heron!$A92)+SUMIFS(Xero!$F:$F,Xero!$B:$B,Heron!H$9,Xero!$A:$A,Heron!$A$5,Xero!$E:$E,Heron!$A92)</f>
        <v>0</v>
      </c>
      <c r="I92" s="99">
        <f>SUMIFS(Xero!$F:$F,Xero!$B:$B,Heron!I$9,Xero!$A:$A,Heron!$A$4,Xero!$E:$E,Heron!$A92)+SUMIFS(Xero!$F:$F,Xero!$B:$B,Heron!I$9,Xero!$A:$A,Heron!$A$5,Xero!$E:$E,Heron!$A92)</f>
        <v>0</v>
      </c>
      <c r="J92" s="99">
        <f>SUMIFS(Xero!$F:$F,Xero!$B:$B,Heron!J$9,Xero!$A:$A,Heron!$A$4,Xero!$E:$E,Heron!$A92)+SUMIFS(Xero!$F:$F,Xero!$B:$B,Heron!J$9,Xero!$A:$A,Heron!$A$5,Xero!$E:$E,Heron!$A92)</f>
        <v>0</v>
      </c>
      <c r="K92" s="99">
        <f>SUMIFS(Xero!$F:$F,Xero!$B:$B,Heron!K$9,Xero!$A:$A,Heron!$A$4,Xero!$E:$E,Heron!$A92)+SUMIFS(Xero!$F:$F,Xero!$B:$B,Heron!K$9,Xero!$A:$A,Heron!$A$5,Xero!$E:$E,Heron!$A92)</f>
        <v>0</v>
      </c>
      <c r="L92" s="99">
        <f>SUMIFS(Xero!$F:$F,Xero!$B:$B,Heron!L$9,Xero!$A:$A,Heron!$A$4,Xero!$E:$E,Heron!$A92)+SUMIFS(Xero!$F:$F,Xero!$B:$B,Heron!L$9,Xero!$A:$A,Heron!$A$5,Xero!$E:$E,Heron!$A92)</f>
        <v>0</v>
      </c>
      <c r="M92" s="99">
        <f>SUMIFS(Xero!$F:$F,Xero!$B:$B,Heron!M$9,Xero!$A:$A,Heron!$A$4,Xero!$E:$E,Heron!$A92)+SUMIFS(Xero!$F:$F,Xero!$B:$B,Heron!M$9,Xero!$A:$A,Heron!$A$5,Xero!$E:$E,Heron!$A92)</f>
        <v>0</v>
      </c>
      <c r="N92" s="99">
        <f>SUMIFS(Xero!$F:$F,Xero!$B:$B,Heron!N$9,Xero!$A:$A,Heron!$A$4,Xero!$E:$E,Heron!$A92)+SUMIFS(Xero!$F:$F,Xero!$B:$B,Heron!N$9,Xero!$A:$A,Heron!$A$5,Xero!$E:$E,Heron!$A92)</f>
        <v>0</v>
      </c>
      <c r="O92" s="99">
        <f>SUMIFS(Xero!$F:$F,Xero!$B:$B,Heron!O$9,Xero!$A:$A,Heron!$A$4,Xero!$E:$E,Heron!$A92)+SUMIFS(Xero!$F:$F,Xero!$B:$B,Heron!O$9,Xero!$A:$A,Heron!$A$5,Xero!$E:$E,Heron!$A92)</f>
        <v>0</v>
      </c>
      <c r="P92" s="99">
        <f>SUMIFS(Xero!$F:$F,Xero!$B:$B,Heron!P$9,Xero!$A:$A,Heron!$A$4,Xero!$E:$E,Heron!$A92)+SUMIFS(Xero!$F:$F,Xero!$B:$B,Heron!P$9,Xero!$A:$A,Heron!$A$5,Xero!$E:$E,Heron!$A92)</f>
        <v>0</v>
      </c>
      <c r="Q92" s="99">
        <f>SUMIFS(Xero!$F:$F,Xero!$B:$B,Heron!Q$9,Xero!$A:$A,Heron!$A$4,Xero!$E:$E,Heron!$A92)+SUMIFS(Xero!$F:$F,Xero!$B:$B,Heron!Q$9,Xero!$A:$A,Heron!$A$5,Xero!$E:$E,Heron!$A92)</f>
        <v>0</v>
      </c>
      <c r="R92" s="99">
        <f>SUMIFS(Xero!$F:$F,Xero!$B:$B,Heron!R$9,Xero!$A:$A,Heron!$A$4,Xero!$E:$E,Heron!$A92)+SUMIFS(Xero!$F:$F,Xero!$B:$B,Heron!R$9,Xero!$A:$A,Heron!$A$5,Xero!$E:$E,Heron!$A92)</f>
        <v>0</v>
      </c>
      <c r="S92" s="99">
        <f>SUMIFS(Xero!$F:$F,Xero!$B:$B,Heron!S$9,Xero!$A:$A,Heron!$A$4,Xero!$E:$E,Heron!$A92)+SUMIFS(Xero!$F:$F,Xero!$B:$B,Heron!S$9,Xero!$A:$A,Heron!$A$5,Xero!$E:$E,Heron!$A92)</f>
        <v>0</v>
      </c>
      <c r="T92" s="99">
        <f>SUMIFS(Xero!$F:$F,Xero!$B:$B,Heron!T$9,Xero!$A:$A,Heron!$A$4,Xero!$E:$E,Heron!$A92)+SUMIFS(Xero!$F:$F,Xero!$B:$B,Heron!T$9,Xero!$A:$A,Heron!$A$5,Xero!$E:$E,Heron!$A92)</f>
        <v>0</v>
      </c>
      <c r="U92" s="99">
        <f>SUMIFS(Xero!$F:$F,Xero!$B:$B,Heron!U$9,Xero!$A:$A,Heron!$A$4,Xero!$E:$E,Heron!$A92)+SUMIFS(Xero!$F:$F,Xero!$B:$B,Heron!U$9,Xero!$A:$A,Heron!$A$5,Xero!$E:$E,Heron!$A92)</f>
        <v>0</v>
      </c>
      <c r="V92" s="99">
        <f>SUMIFS(Xero!$F:$F,Xero!$B:$B,Heron!V$9,Xero!$A:$A,Heron!$A$4,Xero!$E:$E,Heron!$A92)+SUMIFS(Xero!$F:$F,Xero!$B:$B,Heron!V$9,Xero!$A:$A,Heron!$A$5,Xero!$E:$E,Heron!$A92)</f>
        <v>0</v>
      </c>
      <c r="W92" s="99">
        <f>SUMIFS(Xero!$F:$F,Xero!$B:$B,Heron!W$9,Xero!$A:$A,Heron!$A$4,Xero!$E:$E,Heron!$A92)+SUMIFS(Xero!$F:$F,Xero!$B:$B,Heron!W$9,Xero!$A:$A,Heron!$A$5,Xero!$E:$E,Heron!$A92)</f>
        <v>400000</v>
      </c>
      <c r="X92" s="99">
        <f>SUMIFS(Xero!$F:$F,Xero!$B:$B,Heron!X$9,Xero!$A:$A,Heron!$A$4,Xero!$E:$E,Heron!$A92)+SUMIFS(Xero!$F:$F,Xero!$B:$B,Heron!X$9,Xero!$A:$A,Heron!$A$5,Xero!$E:$E,Heron!$A92)</f>
        <v>0</v>
      </c>
      <c r="Y92" s="99">
        <f>SUMIFS(Xero!$F:$F,Xero!$B:$B,Heron!Y$9,Xero!$A:$A,Heron!$A$4,Xero!$E:$E,Heron!$A92)+SUMIFS(Xero!$F:$F,Xero!$B:$B,Heron!Y$9,Xero!$A:$A,Heron!$A$5,Xero!$E:$E,Heron!$A92)</f>
        <v>0</v>
      </c>
      <c r="Z92" s="99">
        <f>SUMIFS(Xero!$F:$F,Xero!$B:$B,Heron!Z$9,Xero!$A:$A,Heron!$A$4,Xero!$E:$E,Heron!$A92)+SUMIFS(Xero!$F:$F,Xero!$B:$B,Heron!Z$9,Xero!$A:$A,Heron!$A$5,Xero!$E:$E,Heron!$A92)</f>
        <v>0</v>
      </c>
      <c r="AA92" s="99">
        <f>SUMIFS(Xero!$F:$F,Xero!$B:$B,Heron!AA$9,Xero!$A:$A,Heron!$A$4,Xero!$E:$E,Heron!$A92)+SUMIFS(Xero!$F:$F,Xero!$B:$B,Heron!AA$9,Xero!$A:$A,Heron!$A$5,Xero!$E:$E,Heron!$A92)</f>
        <v>0</v>
      </c>
      <c r="AB92" s="99">
        <f>SUMIFS(Xero!$F:$F,Xero!$B:$B,Heron!AB$9,Xero!$A:$A,Heron!$A$4,Xero!$E:$E,Heron!$A92)+SUMIFS(Xero!$F:$F,Xero!$B:$B,Heron!AB$9,Xero!$A:$A,Heron!$A$5,Xero!$E:$E,Heron!$A92)</f>
        <v>0</v>
      </c>
      <c r="AC92" s="99">
        <f>SUMIFS(Xero!$F:$F,Xero!$B:$B,Heron!AC$9,Xero!$A:$A,Heron!$A$4,Xero!$E:$E,Heron!$A92)+SUMIFS(Xero!$F:$F,Xero!$B:$B,Heron!AC$9,Xero!$A:$A,Heron!$A$5,Xero!$E:$E,Heron!$A92)</f>
        <v>0</v>
      </c>
      <c r="AD92" s="99">
        <f>SUMIFS(Xero!$F:$F,Xero!$B:$B,Heron!AD$9,Xero!$A:$A,Heron!$A$4,Xero!$E:$E,Heron!$A92)+SUMIFS(Xero!$F:$F,Xero!$B:$B,Heron!AD$9,Xero!$A:$A,Heron!$A$5,Xero!$E:$E,Heron!$A92)</f>
        <v>0</v>
      </c>
      <c r="AE92" s="99">
        <f>SUMIFS(Xero!$F:$F,Xero!$B:$B,Heron!AE$9,Xero!$A:$A,Heron!$A$4,Xero!$E:$E,Heron!$A92)+SUMIFS(Xero!$F:$F,Xero!$B:$B,Heron!AE$9,Xero!$A:$A,Heron!$A$5,Xero!$E:$E,Heron!$A92)</f>
        <v>350000</v>
      </c>
      <c r="AF92" s="99">
        <f>SUMIFS(Xero!$F:$F,Xero!$B:$B,Heron!AF$9,Xero!$A:$A,Heron!$A$4,Xero!$E:$E,Heron!$A92)+SUMIFS(Xero!$F:$F,Xero!$B:$B,Heron!AF$9,Xero!$A:$A,Heron!$A$5,Xero!$E:$E,Heron!$A92)</f>
        <v>0</v>
      </c>
      <c r="AG92" s="99">
        <f>SUMIFS(Xero!$F:$F,Xero!$B:$B,Heron!AG$9,Xero!$A:$A,Heron!$A$4,Xero!$E:$E,Heron!$A92)+SUMIFS(Xero!$F:$F,Xero!$B:$B,Heron!AG$9,Xero!$A:$A,Heron!$A$5,Xero!$E:$E,Heron!$A92)</f>
        <v>50000</v>
      </c>
      <c r="AH92" s="99">
        <f>SUMIFS(Xero!$F:$F,Xero!$B:$B,Heron!AH$9,Xero!$A:$A,Heron!$A$4,Xero!$E:$E,Heron!$A92)+SUMIFS(Xero!$F:$F,Xero!$B:$B,Heron!AH$9,Xero!$A:$A,Heron!$A$5,Xero!$E:$E,Heron!$A92)</f>
        <v>0</v>
      </c>
      <c r="AI92" s="99">
        <f>SUMIFS(Xero!$F:$F,Xero!$B:$B,Heron!AI$9,Xero!$A:$A,Heron!$A$4,Xero!$E:$E,Heron!$A92)+SUMIFS(Xero!$F:$F,Xero!$B:$B,Heron!AI$9,Xero!$A:$A,Heron!$A$5,Xero!$E:$E,Heron!$A92)</f>
        <v>0</v>
      </c>
      <c r="AJ92" s="99">
        <f>SUMIFS(Xero!$F:$F,Xero!$B:$B,Heron!AJ$9,Xero!$A:$A,Heron!$A$4,Xero!$E:$E,Heron!$A92)+SUMIFS(Xero!$F:$F,Xero!$B:$B,Heron!AJ$9,Xero!$A:$A,Heron!$A$5,Xero!$E:$E,Heron!$A92)</f>
        <v>0</v>
      </c>
      <c r="AK92" s="99">
        <f>SUMIFS(Xero!$F:$F,Xero!$B:$B,Heron!AK$9,Xero!$A:$A,Heron!$A$4,Xero!$E:$E,Heron!$A92)+SUMIFS(Xero!$F:$F,Xero!$B:$B,Heron!AK$9,Xero!$A:$A,Heron!$A$5,Xero!$E:$E,Heron!$A92)</f>
        <v>0</v>
      </c>
      <c r="AL92" s="99">
        <f>SUMIFS(Xero!$F:$F,Xero!$B:$B,Heron!AL$9,Xero!$A:$A,Heron!$A$4,Xero!$E:$E,Heron!$A92)+SUMIFS(Xero!$F:$F,Xero!$B:$B,Heron!AL$9,Xero!$A:$A,Heron!$A$5,Xero!$E:$E,Heron!$A92)</f>
        <v>0</v>
      </c>
      <c r="AM92" s="99">
        <f>SUMIFS(Xero!$F:$F,Xero!$B:$B,Heron!AM$9,Xero!$A:$A,Heron!$A$4,Xero!$E:$E,Heron!$A92)+SUMIFS(Xero!$F:$F,Xero!$B:$B,Heron!AM$9,Xero!$A:$A,Heron!$A$5,Xero!$E:$E,Heron!$A92)</f>
        <v>0</v>
      </c>
      <c r="AN92" s="99">
        <f>SUMIFS(Xero!$F:$F,Xero!$B:$B,Heron!AN$9,Xero!$A:$A,Heron!$A$4,Xero!$E:$E,Heron!$A92)+SUMIFS(Xero!$F:$F,Xero!$B:$B,Heron!AN$9,Xero!$A:$A,Heron!$A$5,Xero!$E:$E,Heron!$A92)</f>
        <v>0</v>
      </c>
      <c r="AO92" s="99">
        <f>SUMIFS(Xero!$F:$F,Xero!$B:$B,Heron!AO$9,Xero!$A:$A,Heron!$A$4,Xero!$E:$E,Heron!$A92)+SUMIFS(Xero!$F:$F,Xero!$B:$B,Heron!AO$9,Xero!$A:$A,Heron!$A$5,Xero!$E:$E,Heron!$A92)</f>
        <v>0</v>
      </c>
      <c r="AP92" s="99">
        <f>SUMIFS(Xero!$F:$F,Xero!$B:$B,Heron!AP$9,Xero!$A:$A,Heron!$A$4,Xero!$E:$E,Heron!$A92)+SUMIFS(Xero!$F:$F,Xero!$B:$B,Heron!AP$9,Xero!$A:$A,Heron!$A$5,Xero!$E:$E,Heron!$A92)</f>
        <v>0</v>
      </c>
      <c r="AQ92" s="99">
        <f>SUMIFS(Xero!$F:$F,Xero!$B:$B,Heron!AQ$9,Xero!$A:$A,Heron!$A$4,Xero!$E:$E,Heron!$A92)+SUMIFS(Xero!$F:$F,Xero!$B:$B,Heron!AQ$9,Xero!$A:$A,Heron!$A$5,Xero!$E:$E,Heron!$A92)</f>
        <v>0</v>
      </c>
      <c r="AR92" s="99">
        <f>SUMIFS(Xero!$F:$F,Xero!$B:$B,Heron!AR$9,Xero!$A:$A,Heron!$A$4,Xero!$E:$E,Heron!$A92)+SUMIFS(Xero!$F:$F,Xero!$B:$B,Heron!AR$9,Xero!$A:$A,Heron!$A$5,Xero!$E:$E,Heron!$A92)</f>
        <v>0</v>
      </c>
      <c r="AS92" s="99">
        <f>SUMIFS(Xero!$F:$F,Xero!$B:$B,Heron!AS$9,Xero!$A:$A,Heron!$A$4,Xero!$E:$E,Heron!$A92)+SUMIFS(Xero!$F:$F,Xero!$B:$B,Heron!AS$9,Xero!$A:$A,Heron!$A$5,Xero!$E:$E,Heron!$A92)</f>
        <v>0</v>
      </c>
      <c r="AT92" s="99">
        <f>SUMIFS(Xero!$F:$F,Xero!$B:$B,Heron!AT$9,Xero!$A:$A,Heron!$A$4,Xero!$E:$E,Heron!$A92)+SUMIFS(Xero!$F:$F,Xero!$B:$B,Heron!AT$9,Xero!$A:$A,Heron!$A$5,Xero!$E:$E,Heron!$A92)</f>
        <v>0</v>
      </c>
      <c r="AU92" s="99">
        <f>SUMIFS(Xero!$F:$F,Xero!$B:$B,Heron!AU$9,Xero!$A:$A,Heron!$A$4,Xero!$E:$E,Heron!$A92)+SUMIFS(Xero!$F:$F,Xero!$B:$B,Heron!AU$9,Xero!$A:$A,Heron!$A$5,Xero!$E:$E,Heron!$A92)</f>
        <v>0</v>
      </c>
      <c r="AV92" s="99">
        <f>SUMIFS(Xero!$F:$F,Xero!$B:$B,Heron!AV$9,Xero!$A:$A,Heron!$A$4,Xero!$E:$E,Heron!$A92)+SUMIFS(Xero!$F:$F,Xero!$B:$B,Heron!AV$9,Xero!$A:$A,Heron!$A$5,Xero!$E:$E,Heron!$A92)</f>
        <v>0</v>
      </c>
      <c r="AW92" s="99">
        <f>SUMIFS(Xero!$F:$F,Xero!$B:$B,Heron!AW$9,Xero!$A:$A,Heron!$A$4,Xero!$E:$E,Heron!$A92)+SUMIFS(Xero!$F:$F,Xero!$B:$B,Heron!AW$9,Xero!$A:$A,Heron!$A$5,Xero!$E:$E,Heron!$A92)</f>
        <v>0</v>
      </c>
      <c r="AX92" s="99">
        <f>SUMIFS(Xero!$F:$F,Xero!$B:$B,Heron!AX$9,Xero!$A:$A,Heron!$A$4,Xero!$E:$E,Heron!$A92)+SUMIFS(Xero!$F:$F,Xero!$B:$B,Heron!AX$9,Xero!$A:$A,Heron!$A$5,Xero!$E:$E,Heron!$A92)</f>
        <v>0</v>
      </c>
      <c r="AY92" s="99">
        <f>SUMIFS(Xero!$F:$F,Xero!$B:$B,Heron!AY$9,Xero!$A:$A,Heron!$A$4,Xero!$E:$E,Heron!$A92)+SUMIFS(Xero!$F:$F,Xero!$B:$B,Heron!AY$9,Xero!$A:$A,Heron!$A$5,Xero!$E:$E,Heron!$A92)</f>
        <v>0</v>
      </c>
      <c r="AZ92" s="99">
        <f>SUMIFS(Xero!$F:$F,Xero!$B:$B,Heron!AZ$9,Xero!$A:$A,Heron!$A$4,Xero!$E:$E,Heron!$A92)+SUMIFS(Xero!$F:$F,Xero!$B:$B,Heron!AZ$9,Xero!$A:$A,Heron!$A$5,Xero!$E:$E,Heron!$A92)</f>
        <v>0</v>
      </c>
      <c r="BA92" s="99">
        <f>SUMIFS(Xero!$F:$F,Xero!$B:$B,Heron!BA$9,Xero!$A:$A,Heron!$A$4,Xero!$E:$E,Heron!$A92)+SUMIFS(Xero!$F:$F,Xero!$B:$B,Heron!BA$9,Xero!$A:$A,Heron!$A$5,Xero!$E:$E,Heron!$A92)</f>
        <v>0</v>
      </c>
      <c r="BB92" s="99">
        <f>SUMIFS(Xero!$F:$F,Xero!$B:$B,Heron!BB$9,Xero!$A:$A,Heron!$A$4,Xero!$E:$E,Heron!$A92)+SUMIFS(Xero!$F:$F,Xero!$B:$B,Heron!BB$9,Xero!$A:$A,Heron!$A$5,Xero!$E:$E,Heron!$A92)</f>
        <v>0</v>
      </c>
      <c r="BC92" s="99">
        <f>SUMIFS(Xero!$F:$F,Xero!$B:$B,Heron!BC$9,Xero!$A:$A,Heron!$A$4,Xero!$E:$E,Heron!$A92)+SUMIFS(Xero!$F:$F,Xero!$B:$B,Heron!BC$9,Xero!$A:$A,Heron!$A$5,Xero!$E:$E,Heron!$A92)</f>
        <v>0</v>
      </c>
      <c r="BD92" s="99">
        <f>SUMIFS(Xero!$F:$F,Xero!$B:$B,Heron!BD$9,Xero!$A:$A,Heron!$A$4,Xero!$E:$E,Heron!$A92)+SUMIFS(Xero!$F:$F,Xero!$B:$B,Heron!BD$9,Xero!$A:$A,Heron!$A$5,Xero!$E:$E,Heron!$A92)</f>
        <v>0</v>
      </c>
      <c r="BE92" s="99">
        <f>SUMIFS(Xero!$F:$F,Xero!$B:$B,Heron!BE$9,Xero!$A:$A,Heron!$A$4,Xero!$E:$E,Heron!$A92)+SUMIFS(Xero!$F:$F,Xero!$B:$B,Heron!BE$9,Xero!$A:$A,Heron!$A$5,Xero!$E:$E,Heron!$A92)</f>
        <v>0</v>
      </c>
      <c r="BF92" s="99">
        <f>SUMIFS(Xero!$F:$F,Xero!$B:$B,Heron!BF$9,Xero!$A:$A,Heron!$A$4,Xero!$E:$E,Heron!$A92)+SUMIFS(Xero!$F:$F,Xero!$B:$B,Heron!BF$9,Xero!$A:$A,Heron!$A$5,Xero!$E:$E,Heron!$A92)</f>
        <v>0</v>
      </c>
      <c r="BG92" s="99">
        <f>SUMIFS(Xero!$F:$F,Xero!$B:$B,Heron!BG$9,Xero!$A:$A,Heron!$A$4,Xero!$E:$E,Heron!$A92)+SUMIFS(Xero!$F:$F,Xero!$B:$B,Heron!BG$9,Xero!$A:$A,Heron!$A$5,Xero!$E:$E,Heron!$A92)</f>
        <v>0</v>
      </c>
      <c r="BH92" s="99">
        <f>SUMIFS(Xero!$F:$F,Xero!$B:$B,Heron!BH$9,Xero!$A:$A,Heron!$A$4,Xero!$E:$E,Heron!$A92)+SUMIFS(Xero!$F:$F,Xero!$B:$B,Heron!BH$9,Xero!$A:$A,Heron!$A$5,Xero!$E:$E,Heron!$A92)</f>
        <v>0</v>
      </c>
      <c r="BI92" s="99">
        <f>SUMIFS(Xero!$F:$F,Xero!$B:$B,Heron!BI$9,Xero!$A:$A,Heron!$A$4,Xero!$E:$E,Heron!$A92)+SUMIFS(Xero!$F:$F,Xero!$B:$B,Heron!BI$9,Xero!$A:$A,Heron!$A$5,Xero!$E:$E,Heron!$A92)</f>
        <v>0</v>
      </c>
      <c r="BJ92" s="99">
        <f>SUMIFS(Xero!$F:$F,Xero!$B:$B,Heron!BJ$9,Xero!$A:$A,Heron!$A$4,Xero!$E:$E,Heron!$A92)+SUMIFS(Xero!$F:$F,Xero!$B:$B,Heron!BJ$9,Xero!$A:$A,Heron!$A$5,Xero!$E:$E,Heron!$A92)</f>
        <v>0</v>
      </c>
      <c r="BK92" s="99">
        <f t="shared" si="5"/>
        <v>800000</v>
      </c>
    </row>
    <row r="93" spans="1:63" ht="16" x14ac:dyDescent="0.2">
      <c r="A93" s="98" t="s">
        <v>1103</v>
      </c>
      <c r="D93" s="99">
        <f>SUMIFS(Xero!$F:$F,Xero!$B:$B,Heron!D$9,Xero!$A:$A,Heron!$A$4,Xero!$E:$E,Heron!$A93)+SUMIFS(Xero!$F:$F,Xero!$B:$B,Heron!D$9,Xero!$A:$A,Heron!$A$5,Xero!$E:$E,Heron!$A93)</f>
        <v>0</v>
      </c>
      <c r="E93" s="99">
        <f>SUMIFS(Xero!$F:$F,Xero!$B:$B,Heron!E$9,Xero!$A:$A,Heron!$A$4,Xero!$E:$E,Heron!$A93)+SUMIFS(Xero!$F:$F,Xero!$B:$B,Heron!E$9,Xero!$A:$A,Heron!$A$5,Xero!$E:$E,Heron!$A93)</f>
        <v>0</v>
      </c>
      <c r="F93" s="99">
        <f>SUMIFS(Xero!$F:$F,Xero!$B:$B,Heron!F$9,Xero!$A:$A,Heron!$A$4,Xero!$E:$E,Heron!$A93)+SUMIFS(Xero!$F:$F,Xero!$B:$B,Heron!F$9,Xero!$A:$A,Heron!$A$5,Xero!$E:$E,Heron!$A93)</f>
        <v>0</v>
      </c>
      <c r="G93" s="99">
        <f>SUMIFS(Xero!$F:$F,Xero!$B:$B,Heron!G$9,Xero!$A:$A,Heron!$A$4,Xero!$E:$E,Heron!$A93)+SUMIFS(Xero!$F:$F,Xero!$B:$B,Heron!G$9,Xero!$A:$A,Heron!$A$5,Xero!$E:$E,Heron!$A93)</f>
        <v>0</v>
      </c>
      <c r="H93" s="99">
        <f>SUMIFS(Xero!$F:$F,Xero!$B:$B,Heron!H$9,Xero!$A:$A,Heron!$A$4,Xero!$E:$E,Heron!$A93)+SUMIFS(Xero!$F:$F,Xero!$B:$B,Heron!H$9,Xero!$A:$A,Heron!$A$5,Xero!$E:$E,Heron!$A93)</f>
        <v>0</v>
      </c>
      <c r="I93" s="99">
        <f>SUMIFS(Xero!$F:$F,Xero!$B:$B,Heron!I$9,Xero!$A:$A,Heron!$A$4,Xero!$E:$E,Heron!$A93)+SUMIFS(Xero!$F:$F,Xero!$B:$B,Heron!I$9,Xero!$A:$A,Heron!$A$5,Xero!$E:$E,Heron!$A93)</f>
        <v>0</v>
      </c>
      <c r="J93" s="99">
        <f>SUMIFS(Xero!$F:$F,Xero!$B:$B,Heron!J$9,Xero!$A:$A,Heron!$A$4,Xero!$E:$E,Heron!$A93)+SUMIFS(Xero!$F:$F,Xero!$B:$B,Heron!J$9,Xero!$A:$A,Heron!$A$5,Xero!$E:$E,Heron!$A93)</f>
        <v>18131.87</v>
      </c>
      <c r="K93" s="99">
        <f>SUMIFS(Xero!$F:$F,Xero!$B:$B,Heron!K$9,Xero!$A:$A,Heron!$A$4,Xero!$E:$E,Heron!$A93)+SUMIFS(Xero!$F:$F,Xero!$B:$B,Heron!K$9,Xero!$A:$A,Heron!$A$5,Xero!$E:$E,Heron!$A93)</f>
        <v>51075.43</v>
      </c>
      <c r="L93" s="99">
        <f>SUMIFS(Xero!$F:$F,Xero!$B:$B,Heron!L$9,Xero!$A:$A,Heron!$A$4,Xero!$E:$E,Heron!$A93)+SUMIFS(Xero!$F:$F,Xero!$B:$B,Heron!L$9,Xero!$A:$A,Heron!$A$5,Xero!$E:$E,Heron!$A93)</f>
        <v>9753.08</v>
      </c>
      <c r="M93" s="99">
        <f>SUMIFS(Xero!$F:$F,Xero!$B:$B,Heron!M$9,Xero!$A:$A,Heron!$A$4,Xero!$E:$E,Heron!$A93)+SUMIFS(Xero!$F:$F,Xero!$B:$B,Heron!M$9,Xero!$A:$A,Heron!$A$5,Xero!$E:$E,Heron!$A93)</f>
        <v>4700.8599999999997</v>
      </c>
      <c r="N93" s="99">
        <f>SUMIFS(Xero!$F:$F,Xero!$B:$B,Heron!N$9,Xero!$A:$A,Heron!$A$4,Xero!$E:$E,Heron!$A93)+SUMIFS(Xero!$F:$F,Xero!$B:$B,Heron!N$9,Xero!$A:$A,Heron!$A$5,Xero!$E:$E,Heron!$A93)</f>
        <v>2971.42</v>
      </c>
      <c r="O93" s="99">
        <f>SUMIFS(Xero!$F:$F,Xero!$B:$B,Heron!O$9,Xero!$A:$A,Heron!$A$4,Xero!$E:$E,Heron!$A93)+SUMIFS(Xero!$F:$F,Xero!$B:$B,Heron!O$9,Xero!$A:$A,Heron!$A$5,Xero!$E:$E,Heron!$A93)</f>
        <v>3965.7</v>
      </c>
      <c r="P93" s="99">
        <f>SUMIFS(Xero!$F:$F,Xero!$B:$B,Heron!P$9,Xero!$A:$A,Heron!$A$4,Xero!$E:$E,Heron!$A93)+SUMIFS(Xero!$F:$F,Xero!$B:$B,Heron!P$9,Xero!$A:$A,Heron!$A$5,Xero!$E:$E,Heron!$A93)</f>
        <v>1156.4100000000001</v>
      </c>
      <c r="Q93" s="99">
        <f>SUMIFS(Xero!$F:$F,Xero!$B:$B,Heron!Q$9,Xero!$A:$A,Heron!$A$4,Xero!$E:$E,Heron!$A93)+SUMIFS(Xero!$F:$F,Xero!$B:$B,Heron!Q$9,Xero!$A:$A,Heron!$A$5,Xero!$E:$E,Heron!$A93)</f>
        <v>19858.78</v>
      </c>
      <c r="R93" s="99">
        <f>SUMIFS(Xero!$F:$F,Xero!$B:$B,Heron!R$9,Xero!$A:$A,Heron!$A$4,Xero!$E:$E,Heron!$A93)+SUMIFS(Xero!$F:$F,Xero!$B:$B,Heron!R$9,Xero!$A:$A,Heron!$A$5,Xero!$E:$E,Heron!$A93)</f>
        <v>49434.6</v>
      </c>
      <c r="S93" s="99">
        <f>SUMIFS(Xero!$F:$F,Xero!$B:$B,Heron!S$9,Xero!$A:$A,Heron!$A$4,Xero!$E:$E,Heron!$A93)+SUMIFS(Xero!$F:$F,Xero!$B:$B,Heron!S$9,Xero!$A:$A,Heron!$A$5,Xero!$E:$E,Heron!$A93)</f>
        <v>73214.48</v>
      </c>
      <c r="T93" s="99">
        <f>SUMIFS(Xero!$F:$F,Xero!$B:$B,Heron!T$9,Xero!$A:$A,Heron!$A$4,Xero!$E:$E,Heron!$A93)+SUMIFS(Xero!$F:$F,Xero!$B:$B,Heron!T$9,Xero!$A:$A,Heron!$A$5,Xero!$E:$E,Heron!$A93)</f>
        <v>52251.97</v>
      </c>
      <c r="U93" s="99">
        <f>SUMIFS(Xero!$F:$F,Xero!$B:$B,Heron!U$9,Xero!$A:$A,Heron!$A$4,Xero!$E:$E,Heron!$A93)+SUMIFS(Xero!$F:$F,Xero!$B:$B,Heron!U$9,Xero!$A:$A,Heron!$A$5,Xero!$E:$E,Heron!$A93)</f>
        <v>30848.71</v>
      </c>
      <c r="V93" s="99">
        <f>SUMIFS(Xero!$F:$F,Xero!$B:$B,Heron!V$9,Xero!$A:$A,Heron!$A$4,Xero!$E:$E,Heron!$A93)+SUMIFS(Xero!$F:$F,Xero!$B:$B,Heron!V$9,Xero!$A:$A,Heron!$A$5,Xero!$E:$E,Heron!$A93)</f>
        <v>11978.61</v>
      </c>
      <c r="W93" s="99">
        <f>SUMIFS(Xero!$F:$F,Xero!$B:$B,Heron!W$9,Xero!$A:$A,Heron!$A$4,Xero!$E:$E,Heron!$A93)+SUMIFS(Xero!$F:$F,Xero!$B:$B,Heron!W$9,Xero!$A:$A,Heron!$A$5,Xero!$E:$E,Heron!$A93)</f>
        <v>1185.3399999999999</v>
      </c>
      <c r="X93" s="99">
        <f>SUMIFS(Xero!$F:$F,Xero!$B:$B,Heron!X$9,Xero!$A:$A,Heron!$A$4,Xero!$E:$E,Heron!$A93)+SUMIFS(Xero!$F:$F,Xero!$B:$B,Heron!X$9,Xero!$A:$A,Heron!$A$5,Xero!$E:$E,Heron!$A93)</f>
        <v>3173.36</v>
      </c>
      <c r="Y93" s="99">
        <f>SUMIFS(Xero!$F:$F,Xero!$B:$B,Heron!Y$9,Xero!$A:$A,Heron!$A$4,Xero!$E:$E,Heron!$A93)+SUMIFS(Xero!$F:$F,Xero!$B:$B,Heron!Y$9,Xero!$A:$A,Heron!$A$5,Xero!$E:$E,Heron!$A93)</f>
        <v>2354.4499999999998</v>
      </c>
      <c r="Z93" s="99">
        <f>SUMIFS(Xero!$F:$F,Xero!$B:$B,Heron!Z$9,Xero!$A:$A,Heron!$A$4,Xero!$E:$E,Heron!$A93)+SUMIFS(Xero!$F:$F,Xero!$B:$B,Heron!Z$9,Xero!$A:$A,Heron!$A$5,Xero!$E:$E,Heron!$A93)</f>
        <v>1536.81</v>
      </c>
      <c r="AA93" s="99">
        <f>SUMIFS(Xero!$F:$F,Xero!$B:$B,Heron!AA$9,Xero!$A:$A,Heron!$A$4,Xero!$E:$E,Heron!$A93)+SUMIFS(Xero!$F:$F,Xero!$B:$B,Heron!AA$9,Xero!$A:$A,Heron!$A$5,Xero!$E:$E,Heron!$A93)</f>
        <v>-291144.11</v>
      </c>
      <c r="AB93" s="99">
        <f>SUMIFS(Xero!$F:$F,Xero!$B:$B,Heron!AB$9,Xero!$A:$A,Heron!$A$4,Xero!$E:$E,Heron!$A93)+SUMIFS(Xero!$F:$F,Xero!$B:$B,Heron!AB$9,Xero!$A:$A,Heron!$A$5,Xero!$E:$E,Heron!$A93)</f>
        <v>5169.95</v>
      </c>
      <c r="AC93" s="99">
        <f>SUMIFS(Xero!$F:$F,Xero!$B:$B,Heron!AC$9,Xero!$A:$A,Heron!$A$4,Xero!$E:$E,Heron!$A93)+SUMIFS(Xero!$F:$F,Xero!$B:$B,Heron!AC$9,Xero!$A:$A,Heron!$A$5,Xero!$E:$E,Heron!$A93)</f>
        <v>8404.2000000000007</v>
      </c>
      <c r="AD93" s="99">
        <f>SUMIFS(Xero!$F:$F,Xero!$B:$B,Heron!AD$9,Xero!$A:$A,Heron!$A$4,Xero!$E:$E,Heron!$A93)+SUMIFS(Xero!$F:$F,Xero!$B:$B,Heron!AD$9,Xero!$A:$A,Heron!$A$5,Xero!$E:$E,Heron!$A93)</f>
        <v>5264.82</v>
      </c>
      <c r="AE93" s="99">
        <f>SUMIFS(Xero!$F:$F,Xero!$B:$B,Heron!AE$9,Xero!$A:$A,Heron!$A$4,Xero!$E:$E,Heron!$A93)+SUMIFS(Xero!$F:$F,Xero!$B:$B,Heron!AE$9,Xero!$A:$A,Heron!$A$5,Xero!$E:$E,Heron!$A93)</f>
        <v>10523.82</v>
      </c>
      <c r="AF93" s="99">
        <f>SUMIFS(Xero!$F:$F,Xero!$B:$B,Heron!AF$9,Xero!$A:$A,Heron!$A$4,Xero!$E:$E,Heron!$A93)+SUMIFS(Xero!$F:$F,Xero!$B:$B,Heron!AF$9,Xero!$A:$A,Heron!$A$5,Xero!$E:$E,Heron!$A93)</f>
        <v>15190</v>
      </c>
      <c r="AG93" s="99">
        <f>SUMIFS(Xero!$F:$F,Xero!$B:$B,Heron!AG$9,Xero!$A:$A,Heron!$A$4,Xero!$E:$E,Heron!$A93)+SUMIFS(Xero!$F:$F,Xero!$B:$B,Heron!AG$9,Xero!$A:$A,Heron!$A$5,Xero!$E:$E,Heron!$A93)</f>
        <v>12954.16</v>
      </c>
      <c r="AH93" s="99">
        <f>SUMIFS(Xero!$F:$F,Xero!$B:$B,Heron!AH$9,Xero!$A:$A,Heron!$A$4,Xero!$E:$E,Heron!$A93)+SUMIFS(Xero!$F:$F,Xero!$B:$B,Heron!AH$9,Xero!$A:$A,Heron!$A$5,Xero!$E:$E,Heron!$A93)</f>
        <v>15149.62</v>
      </c>
      <c r="AI93" s="99">
        <f>SUMIFS(Xero!$F:$F,Xero!$B:$B,Heron!AI$9,Xero!$A:$A,Heron!$A$4,Xero!$E:$E,Heron!$A93)+SUMIFS(Xero!$F:$F,Xero!$B:$B,Heron!AI$9,Xero!$A:$A,Heron!$A$5,Xero!$E:$E,Heron!$A93)</f>
        <v>19033.8</v>
      </c>
      <c r="AJ93" s="99">
        <f>SUMIFS(Xero!$F:$F,Xero!$B:$B,Heron!AJ$9,Xero!$A:$A,Heron!$A$4,Xero!$E:$E,Heron!$A93)+SUMIFS(Xero!$F:$F,Xero!$B:$B,Heron!AJ$9,Xero!$A:$A,Heron!$A$5,Xero!$E:$E,Heron!$A93)</f>
        <v>17979.75</v>
      </c>
      <c r="AK93" s="99">
        <f>SUMIFS(Xero!$F:$F,Xero!$B:$B,Heron!AK$9,Xero!$A:$A,Heron!$A$4,Xero!$E:$E,Heron!$A93)+SUMIFS(Xero!$F:$F,Xero!$B:$B,Heron!AK$9,Xero!$A:$A,Heron!$A$5,Xero!$E:$E,Heron!$A93)</f>
        <v>11793.8</v>
      </c>
      <c r="AL93" s="99">
        <f>SUMIFS(Xero!$F:$F,Xero!$B:$B,Heron!AL$9,Xero!$A:$A,Heron!$A$4,Xero!$E:$E,Heron!$A93)+SUMIFS(Xero!$F:$F,Xero!$B:$B,Heron!AL$9,Xero!$A:$A,Heron!$A$5,Xero!$E:$E,Heron!$A93)</f>
        <v>7192.15</v>
      </c>
      <c r="AM93" s="99">
        <f>SUMIFS(Xero!$F:$F,Xero!$B:$B,Heron!AM$9,Xero!$A:$A,Heron!$A$4,Xero!$E:$E,Heron!$A93)+SUMIFS(Xero!$F:$F,Xero!$B:$B,Heron!AM$9,Xero!$A:$A,Heron!$A$5,Xero!$E:$E,Heron!$A93)</f>
        <v>0</v>
      </c>
      <c r="AN93" s="99">
        <f>SUMIFS(Xero!$F:$F,Xero!$B:$B,Heron!AN$9,Xero!$A:$A,Heron!$A$4,Xero!$E:$E,Heron!$A93)+SUMIFS(Xero!$F:$F,Xero!$B:$B,Heron!AN$9,Xero!$A:$A,Heron!$A$5,Xero!$E:$E,Heron!$A93)</f>
        <v>6479.02</v>
      </c>
      <c r="AO93" s="99">
        <f>SUMIFS(Xero!$F:$F,Xero!$B:$B,Heron!AO$9,Xero!$A:$A,Heron!$A$4,Xero!$E:$E,Heron!$A93)+SUMIFS(Xero!$F:$F,Xero!$B:$B,Heron!AO$9,Xero!$A:$A,Heron!$A$5,Xero!$E:$E,Heron!$A93)</f>
        <v>0</v>
      </c>
      <c r="AP93" s="99">
        <f>SUMIFS(Xero!$F:$F,Xero!$B:$B,Heron!AP$9,Xero!$A:$A,Heron!$A$4,Xero!$E:$E,Heron!$A93)+SUMIFS(Xero!$F:$F,Xero!$B:$B,Heron!AP$9,Xero!$A:$A,Heron!$A$5,Xero!$E:$E,Heron!$A93)</f>
        <v>5141.0200000000004</v>
      </c>
      <c r="AQ93" s="99">
        <f>SUMIFS(Xero!$F:$F,Xero!$B:$B,Heron!AQ$9,Xero!$A:$A,Heron!$A$4,Xero!$E:$E,Heron!$A93)+SUMIFS(Xero!$F:$F,Xero!$B:$B,Heron!AQ$9,Xero!$A:$A,Heron!$A$5,Xero!$E:$E,Heron!$A93)</f>
        <v>2086.06</v>
      </c>
      <c r="AR93" s="99">
        <f>SUMIFS(Xero!$F:$F,Xero!$B:$B,Heron!AR$9,Xero!$A:$A,Heron!$A$4,Xero!$E:$E,Heron!$A93)+SUMIFS(Xero!$F:$F,Xero!$B:$B,Heron!AR$9,Xero!$A:$A,Heron!$A$5,Xero!$E:$E,Heron!$A93)</f>
        <v>1173.03</v>
      </c>
      <c r="AS93" s="99">
        <f>SUMIFS(Xero!$F:$F,Xero!$B:$B,Heron!AS$9,Xero!$A:$A,Heron!$A$4,Xero!$E:$E,Heron!$A93)+SUMIFS(Xero!$F:$F,Xero!$B:$B,Heron!AS$9,Xero!$A:$A,Heron!$A$5,Xero!$E:$E,Heron!$A93)</f>
        <v>0</v>
      </c>
      <c r="AT93" s="99">
        <f>SUMIFS(Xero!$F:$F,Xero!$B:$B,Heron!AT$9,Xero!$A:$A,Heron!$A$4,Xero!$E:$E,Heron!$A93)+SUMIFS(Xero!$F:$F,Xero!$B:$B,Heron!AT$9,Xero!$A:$A,Heron!$A$5,Xero!$E:$E,Heron!$A93)</f>
        <v>0</v>
      </c>
      <c r="AU93" s="99">
        <f>SUMIFS(Xero!$F:$F,Xero!$B:$B,Heron!AU$9,Xero!$A:$A,Heron!$A$4,Xero!$E:$E,Heron!$A93)+SUMIFS(Xero!$F:$F,Xero!$B:$B,Heron!AU$9,Xero!$A:$A,Heron!$A$5,Xero!$E:$E,Heron!$A93)</f>
        <v>0</v>
      </c>
      <c r="AV93" s="99">
        <f>SUMIFS(Xero!$F:$F,Xero!$B:$B,Heron!AV$9,Xero!$A:$A,Heron!$A$4,Xero!$E:$E,Heron!$A93)+SUMIFS(Xero!$F:$F,Xero!$B:$B,Heron!AV$9,Xero!$A:$A,Heron!$A$5,Xero!$E:$E,Heron!$A93)</f>
        <v>0</v>
      </c>
      <c r="AW93" s="99">
        <f>SUMIFS(Xero!$F:$F,Xero!$B:$B,Heron!AW$9,Xero!$A:$A,Heron!$A$4,Xero!$E:$E,Heron!$A93)+SUMIFS(Xero!$F:$F,Xero!$B:$B,Heron!AW$9,Xero!$A:$A,Heron!$A$5,Xero!$E:$E,Heron!$A93)</f>
        <v>0</v>
      </c>
      <c r="AX93" s="99">
        <f>SUMIFS(Xero!$F:$F,Xero!$B:$B,Heron!AX$9,Xero!$A:$A,Heron!$A$4,Xero!$E:$E,Heron!$A93)+SUMIFS(Xero!$F:$F,Xero!$B:$B,Heron!AX$9,Xero!$A:$A,Heron!$A$5,Xero!$E:$E,Heron!$A93)</f>
        <v>0</v>
      </c>
      <c r="AY93" s="99">
        <f>SUMIFS(Xero!$F:$F,Xero!$B:$B,Heron!AY$9,Xero!$A:$A,Heron!$A$4,Xero!$E:$E,Heron!$A93)+SUMIFS(Xero!$F:$F,Xero!$B:$B,Heron!AY$9,Xero!$A:$A,Heron!$A$5,Xero!$E:$E,Heron!$A93)</f>
        <v>0</v>
      </c>
      <c r="AZ93" s="99">
        <f>SUMIFS(Xero!$F:$F,Xero!$B:$B,Heron!AZ$9,Xero!$A:$A,Heron!$A$4,Xero!$E:$E,Heron!$A93)+SUMIFS(Xero!$F:$F,Xero!$B:$B,Heron!AZ$9,Xero!$A:$A,Heron!$A$5,Xero!$E:$E,Heron!$A93)</f>
        <v>0</v>
      </c>
      <c r="BA93" s="99">
        <f>SUMIFS(Xero!$F:$F,Xero!$B:$B,Heron!BA$9,Xero!$A:$A,Heron!$A$4,Xero!$E:$E,Heron!$A93)+SUMIFS(Xero!$F:$F,Xero!$B:$B,Heron!BA$9,Xero!$A:$A,Heron!$A$5,Xero!$E:$E,Heron!$A93)</f>
        <v>0</v>
      </c>
      <c r="BB93" s="99">
        <f>SUMIFS(Xero!$F:$F,Xero!$B:$B,Heron!BB$9,Xero!$A:$A,Heron!$A$4,Xero!$E:$E,Heron!$A93)+SUMIFS(Xero!$F:$F,Xero!$B:$B,Heron!BB$9,Xero!$A:$A,Heron!$A$5,Xero!$E:$E,Heron!$A93)</f>
        <v>0</v>
      </c>
      <c r="BC93" s="99">
        <f>SUMIFS(Xero!$F:$F,Xero!$B:$B,Heron!BC$9,Xero!$A:$A,Heron!$A$4,Xero!$E:$E,Heron!$A93)+SUMIFS(Xero!$F:$F,Xero!$B:$B,Heron!BC$9,Xero!$A:$A,Heron!$A$5,Xero!$E:$E,Heron!$A93)</f>
        <v>0</v>
      </c>
      <c r="BD93" s="99">
        <f>SUMIFS(Xero!$F:$F,Xero!$B:$B,Heron!BD$9,Xero!$A:$A,Heron!$A$4,Xero!$E:$E,Heron!$A93)+SUMIFS(Xero!$F:$F,Xero!$B:$B,Heron!BD$9,Xero!$A:$A,Heron!$A$5,Xero!$E:$E,Heron!$A93)</f>
        <v>0</v>
      </c>
      <c r="BE93" s="99">
        <f>SUMIFS(Xero!$F:$F,Xero!$B:$B,Heron!BE$9,Xero!$A:$A,Heron!$A$4,Xero!$E:$E,Heron!$A93)+SUMIFS(Xero!$F:$F,Xero!$B:$B,Heron!BE$9,Xero!$A:$A,Heron!$A$5,Xero!$E:$E,Heron!$A93)</f>
        <v>0</v>
      </c>
      <c r="BF93" s="99">
        <f>SUMIFS(Xero!$F:$F,Xero!$B:$B,Heron!BF$9,Xero!$A:$A,Heron!$A$4,Xero!$E:$E,Heron!$A93)+SUMIFS(Xero!$F:$F,Xero!$B:$B,Heron!BF$9,Xero!$A:$A,Heron!$A$5,Xero!$E:$E,Heron!$A93)</f>
        <v>0</v>
      </c>
      <c r="BG93" s="99">
        <f>SUMIFS(Xero!$F:$F,Xero!$B:$B,Heron!BG$9,Xero!$A:$A,Heron!$A$4,Xero!$E:$E,Heron!$A93)+SUMIFS(Xero!$F:$F,Xero!$B:$B,Heron!BG$9,Xero!$A:$A,Heron!$A$5,Xero!$E:$E,Heron!$A93)</f>
        <v>0</v>
      </c>
      <c r="BH93" s="99">
        <f>SUMIFS(Xero!$F:$F,Xero!$B:$B,Heron!BH$9,Xero!$A:$A,Heron!$A$4,Xero!$E:$E,Heron!$A93)+SUMIFS(Xero!$F:$F,Xero!$B:$B,Heron!BH$9,Xero!$A:$A,Heron!$A$5,Xero!$E:$E,Heron!$A93)</f>
        <v>0</v>
      </c>
      <c r="BI93" s="99">
        <f>SUMIFS(Xero!$F:$F,Xero!$B:$B,Heron!BI$9,Xero!$A:$A,Heron!$A$4,Xero!$E:$E,Heron!$A93)+SUMIFS(Xero!$F:$F,Xero!$B:$B,Heron!BI$9,Xero!$A:$A,Heron!$A$5,Xero!$E:$E,Heron!$A93)</f>
        <v>0</v>
      </c>
      <c r="BJ93" s="99">
        <f>SUMIFS(Xero!$F:$F,Xero!$B:$B,Heron!BJ$9,Xero!$A:$A,Heron!$A$4,Xero!$E:$E,Heron!$A93)+SUMIFS(Xero!$F:$F,Xero!$B:$B,Heron!BJ$9,Xero!$A:$A,Heron!$A$5,Xero!$E:$E,Heron!$A93)</f>
        <v>0</v>
      </c>
      <c r="BK93" s="99">
        <f t="shared" si="5"/>
        <v>189982.96999999997</v>
      </c>
    </row>
    <row r="94" spans="1:63" ht="16" x14ac:dyDescent="0.2">
      <c r="A94" s="98" t="s">
        <v>1097</v>
      </c>
      <c r="D94" s="99">
        <f>SUMIFS(Xero!$F:$F,Xero!$B:$B,Heron!D$9,Xero!$A:$A,Heron!$A$4,Xero!$E:$E,Heron!$A94)+SUMIFS(Xero!$F:$F,Xero!$B:$B,Heron!D$9,Xero!$A:$A,Heron!$A$5,Xero!$E:$E,Heron!$A94)</f>
        <v>0</v>
      </c>
      <c r="E94" s="99">
        <f>SUMIFS(Xero!$F:$F,Xero!$B:$B,Heron!E$9,Xero!$A:$A,Heron!$A$4,Xero!$E:$E,Heron!$A94)+SUMIFS(Xero!$F:$F,Xero!$B:$B,Heron!E$9,Xero!$A:$A,Heron!$A$5,Xero!$E:$E,Heron!$A94)</f>
        <v>0</v>
      </c>
      <c r="F94" s="99">
        <f>SUMIFS(Xero!$F:$F,Xero!$B:$B,Heron!F$9,Xero!$A:$A,Heron!$A$4,Xero!$E:$E,Heron!$A94)+SUMIFS(Xero!$F:$F,Xero!$B:$B,Heron!F$9,Xero!$A:$A,Heron!$A$5,Xero!$E:$E,Heron!$A94)</f>
        <v>0</v>
      </c>
      <c r="G94" s="99">
        <f>SUMIFS(Xero!$F:$F,Xero!$B:$B,Heron!G$9,Xero!$A:$A,Heron!$A$4,Xero!$E:$E,Heron!$A94)+SUMIFS(Xero!$F:$F,Xero!$B:$B,Heron!G$9,Xero!$A:$A,Heron!$A$5,Xero!$E:$E,Heron!$A94)</f>
        <v>0</v>
      </c>
      <c r="H94" s="99">
        <f>SUMIFS(Xero!$F:$F,Xero!$B:$B,Heron!H$9,Xero!$A:$A,Heron!$A$4,Xero!$E:$E,Heron!$A94)+SUMIFS(Xero!$F:$F,Xero!$B:$B,Heron!H$9,Xero!$A:$A,Heron!$A$5,Xero!$E:$E,Heron!$A94)</f>
        <v>0</v>
      </c>
      <c r="I94" s="99">
        <f>SUMIFS(Xero!$F:$F,Xero!$B:$B,Heron!I$9,Xero!$A:$A,Heron!$A$4,Xero!$E:$E,Heron!$A94)+SUMIFS(Xero!$F:$F,Xero!$B:$B,Heron!I$9,Xero!$A:$A,Heron!$A$5,Xero!$E:$E,Heron!$A94)</f>
        <v>0</v>
      </c>
      <c r="J94" s="99">
        <f>SUMIFS(Xero!$F:$F,Xero!$B:$B,Heron!J$9,Xero!$A:$A,Heron!$A$4,Xero!$E:$E,Heron!$A94)+SUMIFS(Xero!$F:$F,Xero!$B:$B,Heron!J$9,Xero!$A:$A,Heron!$A$5,Xero!$E:$E,Heron!$A94)</f>
        <v>0</v>
      </c>
      <c r="K94" s="99">
        <f>SUMIFS(Xero!$F:$F,Xero!$B:$B,Heron!K$9,Xero!$A:$A,Heron!$A$4,Xero!$E:$E,Heron!$A94)+SUMIFS(Xero!$F:$F,Xero!$B:$B,Heron!K$9,Xero!$A:$A,Heron!$A$5,Xero!$E:$E,Heron!$A94)</f>
        <v>0</v>
      </c>
      <c r="L94" s="99">
        <f>SUMIFS(Xero!$F:$F,Xero!$B:$B,Heron!L$9,Xero!$A:$A,Heron!$A$4,Xero!$E:$E,Heron!$A94)+SUMIFS(Xero!$F:$F,Xero!$B:$B,Heron!L$9,Xero!$A:$A,Heron!$A$5,Xero!$E:$E,Heron!$A94)</f>
        <v>0</v>
      </c>
      <c r="M94" s="99">
        <f>SUMIFS(Xero!$F:$F,Xero!$B:$B,Heron!M$9,Xero!$A:$A,Heron!$A$4,Xero!$E:$E,Heron!$A94)+SUMIFS(Xero!$F:$F,Xero!$B:$B,Heron!M$9,Xero!$A:$A,Heron!$A$5,Xero!$E:$E,Heron!$A94)</f>
        <v>0</v>
      </c>
      <c r="N94" s="99">
        <f>SUMIFS(Xero!$F:$F,Xero!$B:$B,Heron!N$9,Xero!$A:$A,Heron!$A$4,Xero!$E:$E,Heron!$A94)+SUMIFS(Xero!$F:$F,Xero!$B:$B,Heron!N$9,Xero!$A:$A,Heron!$A$5,Xero!$E:$E,Heron!$A94)</f>
        <v>0</v>
      </c>
      <c r="O94" s="99">
        <f>SUMIFS(Xero!$F:$F,Xero!$B:$B,Heron!O$9,Xero!$A:$A,Heron!$A$4,Xero!$E:$E,Heron!$A94)+SUMIFS(Xero!$F:$F,Xero!$B:$B,Heron!O$9,Xero!$A:$A,Heron!$A$5,Xero!$E:$E,Heron!$A94)</f>
        <v>0</v>
      </c>
      <c r="P94" s="99">
        <f>SUMIFS(Xero!$F:$F,Xero!$B:$B,Heron!P$9,Xero!$A:$A,Heron!$A$4,Xero!$E:$E,Heron!$A94)+SUMIFS(Xero!$F:$F,Xero!$B:$B,Heron!P$9,Xero!$A:$A,Heron!$A$5,Xero!$E:$E,Heron!$A94)</f>
        <v>0</v>
      </c>
      <c r="Q94" s="99">
        <f>SUMIFS(Xero!$F:$F,Xero!$B:$B,Heron!Q$9,Xero!$A:$A,Heron!$A$4,Xero!$E:$E,Heron!$A94)+SUMIFS(Xero!$F:$F,Xero!$B:$B,Heron!Q$9,Xero!$A:$A,Heron!$A$5,Xero!$E:$E,Heron!$A94)</f>
        <v>0</v>
      </c>
      <c r="R94" s="99">
        <f>SUMIFS(Xero!$F:$F,Xero!$B:$B,Heron!R$9,Xero!$A:$A,Heron!$A$4,Xero!$E:$E,Heron!$A94)+SUMIFS(Xero!$F:$F,Xero!$B:$B,Heron!R$9,Xero!$A:$A,Heron!$A$5,Xero!$E:$E,Heron!$A94)</f>
        <v>0</v>
      </c>
      <c r="S94" s="99">
        <f>SUMIFS(Xero!$F:$F,Xero!$B:$B,Heron!S$9,Xero!$A:$A,Heron!$A$4,Xero!$E:$E,Heron!$A94)+SUMIFS(Xero!$F:$F,Xero!$B:$B,Heron!S$9,Xero!$A:$A,Heron!$A$5,Xero!$E:$E,Heron!$A94)</f>
        <v>0</v>
      </c>
      <c r="T94" s="99">
        <f>SUMIFS(Xero!$F:$F,Xero!$B:$B,Heron!T$9,Xero!$A:$A,Heron!$A$4,Xero!$E:$E,Heron!$A94)+SUMIFS(Xero!$F:$F,Xero!$B:$B,Heron!T$9,Xero!$A:$A,Heron!$A$5,Xero!$E:$E,Heron!$A94)</f>
        <v>0</v>
      </c>
      <c r="U94" s="99">
        <f>SUMIFS(Xero!$F:$F,Xero!$B:$B,Heron!U$9,Xero!$A:$A,Heron!$A$4,Xero!$E:$E,Heron!$A94)+SUMIFS(Xero!$F:$F,Xero!$B:$B,Heron!U$9,Xero!$A:$A,Heron!$A$5,Xero!$E:$E,Heron!$A94)</f>
        <v>0</v>
      </c>
      <c r="V94" s="99">
        <f>SUMIFS(Xero!$F:$F,Xero!$B:$B,Heron!V$9,Xero!$A:$A,Heron!$A$4,Xero!$E:$E,Heron!$A94)+SUMIFS(Xero!$F:$F,Xero!$B:$B,Heron!V$9,Xero!$A:$A,Heron!$A$5,Xero!$E:$E,Heron!$A94)</f>
        <v>0</v>
      </c>
      <c r="W94" s="99">
        <f>SUMIFS(Xero!$F:$F,Xero!$B:$B,Heron!W$9,Xero!$A:$A,Heron!$A$4,Xero!$E:$E,Heron!$A94)+SUMIFS(Xero!$F:$F,Xero!$B:$B,Heron!W$9,Xero!$A:$A,Heron!$A$5,Xero!$E:$E,Heron!$A94)</f>
        <v>0</v>
      </c>
      <c r="X94" s="99">
        <f>SUMIFS(Xero!$F:$F,Xero!$B:$B,Heron!X$9,Xero!$A:$A,Heron!$A$4,Xero!$E:$E,Heron!$A94)+SUMIFS(Xero!$F:$F,Xero!$B:$B,Heron!X$9,Xero!$A:$A,Heron!$A$5,Xero!$E:$E,Heron!$A94)</f>
        <v>0</v>
      </c>
      <c r="Y94" s="99">
        <f>SUMIFS(Xero!$F:$F,Xero!$B:$B,Heron!Y$9,Xero!$A:$A,Heron!$A$4,Xero!$E:$E,Heron!$A94)+SUMIFS(Xero!$F:$F,Xero!$B:$B,Heron!Y$9,Xero!$A:$A,Heron!$A$5,Xero!$E:$E,Heron!$A94)</f>
        <v>0</v>
      </c>
      <c r="Z94" s="99">
        <f>SUMIFS(Xero!$F:$F,Xero!$B:$B,Heron!Z$9,Xero!$A:$A,Heron!$A$4,Xero!$E:$E,Heron!$A94)+SUMIFS(Xero!$F:$F,Xero!$B:$B,Heron!Z$9,Xero!$A:$A,Heron!$A$5,Xero!$E:$E,Heron!$A94)</f>
        <v>0</v>
      </c>
      <c r="AA94" s="99">
        <f>SUMIFS(Xero!$F:$F,Xero!$B:$B,Heron!AA$9,Xero!$A:$A,Heron!$A$4,Xero!$E:$E,Heron!$A94)+SUMIFS(Xero!$F:$F,Xero!$B:$B,Heron!AA$9,Xero!$A:$A,Heron!$A$5,Xero!$E:$E,Heron!$A94)</f>
        <v>0</v>
      </c>
      <c r="AB94" s="99">
        <f>SUMIFS(Xero!$F:$F,Xero!$B:$B,Heron!AB$9,Xero!$A:$A,Heron!$A$4,Xero!$E:$E,Heron!$A94)+SUMIFS(Xero!$F:$F,Xero!$B:$B,Heron!AB$9,Xero!$A:$A,Heron!$A$5,Xero!$E:$E,Heron!$A94)</f>
        <v>0</v>
      </c>
      <c r="AC94" s="99">
        <f>SUMIFS(Xero!$F:$F,Xero!$B:$B,Heron!AC$9,Xero!$A:$A,Heron!$A$4,Xero!$E:$E,Heron!$A94)+SUMIFS(Xero!$F:$F,Xero!$B:$B,Heron!AC$9,Xero!$A:$A,Heron!$A$5,Xero!$E:$E,Heron!$A94)</f>
        <v>0</v>
      </c>
      <c r="AD94" s="99">
        <f>SUMIFS(Xero!$F:$F,Xero!$B:$B,Heron!AD$9,Xero!$A:$A,Heron!$A$4,Xero!$E:$E,Heron!$A94)+SUMIFS(Xero!$F:$F,Xero!$B:$B,Heron!AD$9,Xero!$A:$A,Heron!$A$5,Xero!$E:$E,Heron!$A94)</f>
        <v>0</v>
      </c>
      <c r="AE94" s="99">
        <f>SUMIFS(Xero!$F:$F,Xero!$B:$B,Heron!AE$9,Xero!$A:$A,Heron!$A$4,Xero!$E:$E,Heron!$A94)+SUMIFS(Xero!$F:$F,Xero!$B:$B,Heron!AE$9,Xero!$A:$A,Heron!$A$5,Xero!$E:$E,Heron!$A94)</f>
        <v>0</v>
      </c>
      <c r="AF94" s="99">
        <f>SUMIFS(Xero!$F:$F,Xero!$B:$B,Heron!AF$9,Xero!$A:$A,Heron!$A$4,Xero!$E:$E,Heron!$A94)+SUMIFS(Xero!$F:$F,Xero!$B:$B,Heron!AF$9,Xero!$A:$A,Heron!$A$5,Xero!$E:$E,Heron!$A94)</f>
        <v>20</v>
      </c>
      <c r="AG94" s="99">
        <f>SUMIFS(Xero!$F:$F,Xero!$B:$B,Heron!AG$9,Xero!$A:$A,Heron!$A$4,Xero!$E:$E,Heron!$A94)+SUMIFS(Xero!$F:$F,Xero!$B:$B,Heron!AG$9,Xero!$A:$A,Heron!$A$5,Xero!$E:$E,Heron!$A94)</f>
        <v>0</v>
      </c>
      <c r="AH94" s="99">
        <f>SUMIFS(Xero!$F:$F,Xero!$B:$B,Heron!AH$9,Xero!$A:$A,Heron!$A$4,Xero!$E:$E,Heron!$A94)+SUMIFS(Xero!$F:$F,Xero!$B:$B,Heron!AH$9,Xero!$A:$A,Heron!$A$5,Xero!$E:$E,Heron!$A94)</f>
        <v>0</v>
      </c>
      <c r="AI94" s="99">
        <f>SUMIFS(Xero!$F:$F,Xero!$B:$B,Heron!AI$9,Xero!$A:$A,Heron!$A$4,Xero!$E:$E,Heron!$A94)+SUMIFS(Xero!$F:$F,Xero!$B:$B,Heron!AI$9,Xero!$A:$A,Heron!$A$5,Xero!$E:$E,Heron!$A94)</f>
        <v>0</v>
      </c>
      <c r="AJ94" s="99">
        <f>SUMIFS(Xero!$F:$F,Xero!$B:$B,Heron!AJ$9,Xero!$A:$A,Heron!$A$4,Xero!$E:$E,Heron!$A94)+SUMIFS(Xero!$F:$F,Xero!$B:$B,Heron!AJ$9,Xero!$A:$A,Heron!$A$5,Xero!$E:$E,Heron!$A94)</f>
        <v>0</v>
      </c>
      <c r="AK94" s="99">
        <f>SUMIFS(Xero!$F:$F,Xero!$B:$B,Heron!AK$9,Xero!$A:$A,Heron!$A$4,Xero!$E:$E,Heron!$A94)+SUMIFS(Xero!$F:$F,Xero!$B:$B,Heron!AK$9,Xero!$A:$A,Heron!$A$5,Xero!$E:$E,Heron!$A94)</f>
        <v>0</v>
      </c>
      <c r="AL94" s="99">
        <f>SUMIFS(Xero!$F:$F,Xero!$B:$B,Heron!AL$9,Xero!$A:$A,Heron!$A$4,Xero!$E:$E,Heron!$A94)+SUMIFS(Xero!$F:$F,Xero!$B:$B,Heron!AL$9,Xero!$A:$A,Heron!$A$5,Xero!$E:$E,Heron!$A94)</f>
        <v>0</v>
      </c>
      <c r="AM94" s="99">
        <f>SUMIFS(Xero!$F:$F,Xero!$B:$B,Heron!AM$9,Xero!$A:$A,Heron!$A$4,Xero!$E:$E,Heron!$A94)+SUMIFS(Xero!$F:$F,Xero!$B:$B,Heron!AM$9,Xero!$A:$A,Heron!$A$5,Xero!$E:$E,Heron!$A94)</f>
        <v>0</v>
      </c>
      <c r="AN94" s="99">
        <f>SUMIFS(Xero!$F:$F,Xero!$B:$B,Heron!AN$9,Xero!$A:$A,Heron!$A$4,Xero!$E:$E,Heron!$A94)+SUMIFS(Xero!$F:$F,Xero!$B:$B,Heron!AN$9,Xero!$A:$A,Heron!$A$5,Xero!$E:$E,Heron!$A94)</f>
        <v>0</v>
      </c>
      <c r="AO94" s="99">
        <f>SUMIFS(Xero!$F:$F,Xero!$B:$B,Heron!AO$9,Xero!$A:$A,Heron!$A$4,Xero!$E:$E,Heron!$A94)+SUMIFS(Xero!$F:$F,Xero!$B:$B,Heron!AO$9,Xero!$A:$A,Heron!$A$5,Xero!$E:$E,Heron!$A94)</f>
        <v>0</v>
      </c>
      <c r="AP94" s="99">
        <f>SUMIFS(Xero!$F:$F,Xero!$B:$B,Heron!AP$9,Xero!$A:$A,Heron!$A$4,Xero!$E:$E,Heron!$A94)+SUMIFS(Xero!$F:$F,Xero!$B:$B,Heron!AP$9,Xero!$A:$A,Heron!$A$5,Xero!$E:$E,Heron!$A94)</f>
        <v>0</v>
      </c>
      <c r="AQ94" s="99">
        <f>SUMIFS(Xero!$F:$F,Xero!$B:$B,Heron!AQ$9,Xero!$A:$A,Heron!$A$4,Xero!$E:$E,Heron!$A94)+SUMIFS(Xero!$F:$F,Xero!$B:$B,Heron!AQ$9,Xero!$A:$A,Heron!$A$5,Xero!$E:$E,Heron!$A94)</f>
        <v>0</v>
      </c>
      <c r="AR94" s="99">
        <f>SUMIFS(Xero!$F:$F,Xero!$B:$B,Heron!AR$9,Xero!$A:$A,Heron!$A$4,Xero!$E:$E,Heron!$A94)+SUMIFS(Xero!$F:$F,Xero!$B:$B,Heron!AR$9,Xero!$A:$A,Heron!$A$5,Xero!$E:$E,Heron!$A94)</f>
        <v>0</v>
      </c>
      <c r="AS94" s="99">
        <f>SUMIFS(Xero!$F:$F,Xero!$B:$B,Heron!AS$9,Xero!$A:$A,Heron!$A$4,Xero!$E:$E,Heron!$A94)+SUMIFS(Xero!$F:$F,Xero!$B:$B,Heron!AS$9,Xero!$A:$A,Heron!$A$5,Xero!$E:$E,Heron!$A94)</f>
        <v>0</v>
      </c>
      <c r="AT94" s="99">
        <f>SUMIFS(Xero!$F:$F,Xero!$B:$B,Heron!AT$9,Xero!$A:$A,Heron!$A$4,Xero!$E:$E,Heron!$A94)+SUMIFS(Xero!$F:$F,Xero!$B:$B,Heron!AT$9,Xero!$A:$A,Heron!$A$5,Xero!$E:$E,Heron!$A94)</f>
        <v>0</v>
      </c>
      <c r="AU94" s="99">
        <f>SUMIFS(Xero!$F:$F,Xero!$B:$B,Heron!AU$9,Xero!$A:$A,Heron!$A$4,Xero!$E:$E,Heron!$A94)+SUMIFS(Xero!$F:$F,Xero!$B:$B,Heron!AU$9,Xero!$A:$A,Heron!$A$5,Xero!$E:$E,Heron!$A94)</f>
        <v>0</v>
      </c>
      <c r="AV94" s="99">
        <f>SUMIFS(Xero!$F:$F,Xero!$B:$B,Heron!AV$9,Xero!$A:$A,Heron!$A$4,Xero!$E:$E,Heron!$A94)+SUMIFS(Xero!$F:$F,Xero!$B:$B,Heron!AV$9,Xero!$A:$A,Heron!$A$5,Xero!$E:$E,Heron!$A94)</f>
        <v>0</v>
      </c>
      <c r="AW94" s="99">
        <f>SUMIFS(Xero!$F:$F,Xero!$B:$B,Heron!AW$9,Xero!$A:$A,Heron!$A$4,Xero!$E:$E,Heron!$A94)+SUMIFS(Xero!$F:$F,Xero!$B:$B,Heron!AW$9,Xero!$A:$A,Heron!$A$5,Xero!$E:$E,Heron!$A94)</f>
        <v>0</v>
      </c>
      <c r="AX94" s="99">
        <f>SUMIFS(Xero!$F:$F,Xero!$B:$B,Heron!AX$9,Xero!$A:$A,Heron!$A$4,Xero!$E:$E,Heron!$A94)+SUMIFS(Xero!$F:$F,Xero!$B:$B,Heron!AX$9,Xero!$A:$A,Heron!$A$5,Xero!$E:$E,Heron!$A94)</f>
        <v>0</v>
      </c>
      <c r="AY94" s="99">
        <f>SUMIFS(Xero!$F:$F,Xero!$B:$B,Heron!AY$9,Xero!$A:$A,Heron!$A$4,Xero!$E:$E,Heron!$A94)+SUMIFS(Xero!$F:$F,Xero!$B:$B,Heron!AY$9,Xero!$A:$A,Heron!$A$5,Xero!$E:$E,Heron!$A94)</f>
        <v>0</v>
      </c>
      <c r="AZ94" s="99">
        <f>SUMIFS(Xero!$F:$F,Xero!$B:$B,Heron!AZ$9,Xero!$A:$A,Heron!$A$4,Xero!$E:$E,Heron!$A94)+SUMIFS(Xero!$F:$F,Xero!$B:$B,Heron!AZ$9,Xero!$A:$A,Heron!$A$5,Xero!$E:$E,Heron!$A94)</f>
        <v>0</v>
      </c>
      <c r="BA94" s="99">
        <f>SUMIFS(Xero!$F:$F,Xero!$B:$B,Heron!BA$9,Xero!$A:$A,Heron!$A$4,Xero!$E:$E,Heron!$A94)+SUMIFS(Xero!$F:$F,Xero!$B:$B,Heron!BA$9,Xero!$A:$A,Heron!$A$5,Xero!$E:$E,Heron!$A94)</f>
        <v>0</v>
      </c>
      <c r="BB94" s="99">
        <f>SUMIFS(Xero!$F:$F,Xero!$B:$B,Heron!BB$9,Xero!$A:$A,Heron!$A$4,Xero!$E:$E,Heron!$A94)+SUMIFS(Xero!$F:$F,Xero!$B:$B,Heron!BB$9,Xero!$A:$A,Heron!$A$5,Xero!$E:$E,Heron!$A94)</f>
        <v>0</v>
      </c>
      <c r="BC94" s="99">
        <f>SUMIFS(Xero!$F:$F,Xero!$B:$B,Heron!BC$9,Xero!$A:$A,Heron!$A$4,Xero!$E:$E,Heron!$A94)+SUMIFS(Xero!$F:$F,Xero!$B:$B,Heron!BC$9,Xero!$A:$A,Heron!$A$5,Xero!$E:$E,Heron!$A94)</f>
        <v>0</v>
      </c>
      <c r="BD94" s="99">
        <f>SUMIFS(Xero!$F:$F,Xero!$B:$B,Heron!BD$9,Xero!$A:$A,Heron!$A$4,Xero!$E:$E,Heron!$A94)+SUMIFS(Xero!$F:$F,Xero!$B:$B,Heron!BD$9,Xero!$A:$A,Heron!$A$5,Xero!$E:$E,Heron!$A94)</f>
        <v>0</v>
      </c>
      <c r="BE94" s="99">
        <f>SUMIFS(Xero!$F:$F,Xero!$B:$B,Heron!BE$9,Xero!$A:$A,Heron!$A$4,Xero!$E:$E,Heron!$A94)+SUMIFS(Xero!$F:$F,Xero!$B:$B,Heron!BE$9,Xero!$A:$A,Heron!$A$5,Xero!$E:$E,Heron!$A94)</f>
        <v>0</v>
      </c>
      <c r="BF94" s="99">
        <f>SUMIFS(Xero!$F:$F,Xero!$B:$B,Heron!BF$9,Xero!$A:$A,Heron!$A$4,Xero!$E:$E,Heron!$A94)+SUMIFS(Xero!$F:$F,Xero!$B:$B,Heron!BF$9,Xero!$A:$A,Heron!$A$5,Xero!$E:$E,Heron!$A94)</f>
        <v>0</v>
      </c>
      <c r="BG94" s="99">
        <f>SUMIFS(Xero!$F:$F,Xero!$B:$B,Heron!BG$9,Xero!$A:$A,Heron!$A$4,Xero!$E:$E,Heron!$A94)+SUMIFS(Xero!$F:$F,Xero!$B:$B,Heron!BG$9,Xero!$A:$A,Heron!$A$5,Xero!$E:$E,Heron!$A94)</f>
        <v>0</v>
      </c>
      <c r="BH94" s="99">
        <f>SUMIFS(Xero!$F:$F,Xero!$B:$B,Heron!BH$9,Xero!$A:$A,Heron!$A$4,Xero!$E:$E,Heron!$A94)+SUMIFS(Xero!$F:$F,Xero!$B:$B,Heron!BH$9,Xero!$A:$A,Heron!$A$5,Xero!$E:$E,Heron!$A94)</f>
        <v>0</v>
      </c>
      <c r="BI94" s="99">
        <f>SUMIFS(Xero!$F:$F,Xero!$B:$B,Heron!BI$9,Xero!$A:$A,Heron!$A$4,Xero!$E:$E,Heron!$A94)+SUMIFS(Xero!$F:$F,Xero!$B:$B,Heron!BI$9,Xero!$A:$A,Heron!$A$5,Xero!$E:$E,Heron!$A94)</f>
        <v>0</v>
      </c>
      <c r="BJ94" s="99">
        <f>SUMIFS(Xero!$F:$F,Xero!$B:$B,Heron!BJ$9,Xero!$A:$A,Heron!$A$4,Xero!$E:$E,Heron!$A94)+SUMIFS(Xero!$F:$F,Xero!$B:$B,Heron!BJ$9,Xero!$A:$A,Heron!$A$5,Xero!$E:$E,Heron!$A94)</f>
        <v>0</v>
      </c>
      <c r="BK94" s="99">
        <f t="shared" si="5"/>
        <v>20</v>
      </c>
    </row>
    <row r="95" spans="1:63" ht="16" x14ac:dyDescent="0.2">
      <c r="A95" s="98" t="s">
        <v>1112</v>
      </c>
      <c r="D95" s="99">
        <f>SUMIFS(Xero!$F:$F,Xero!$B:$B,Heron!D$9,Xero!$A:$A,Heron!$A$4,Xero!$E:$E,Heron!$A95)+SUMIFS(Xero!$F:$F,Xero!$B:$B,Heron!D$9,Xero!$A:$A,Heron!$A$5,Xero!$E:$E,Heron!$A95)</f>
        <v>0</v>
      </c>
      <c r="E95" s="99">
        <f>SUMIFS(Xero!$F:$F,Xero!$B:$B,Heron!E$9,Xero!$A:$A,Heron!$A$4,Xero!$E:$E,Heron!$A95)+SUMIFS(Xero!$F:$F,Xero!$B:$B,Heron!E$9,Xero!$A:$A,Heron!$A$5,Xero!$E:$E,Heron!$A95)</f>
        <v>0</v>
      </c>
      <c r="F95" s="99">
        <f>SUMIFS(Xero!$F:$F,Xero!$B:$B,Heron!F$9,Xero!$A:$A,Heron!$A$4,Xero!$E:$E,Heron!$A95)+SUMIFS(Xero!$F:$F,Xero!$B:$B,Heron!F$9,Xero!$A:$A,Heron!$A$5,Xero!$E:$E,Heron!$A95)</f>
        <v>765</v>
      </c>
      <c r="G95" s="99">
        <f>SUMIFS(Xero!$F:$F,Xero!$B:$B,Heron!G$9,Xero!$A:$A,Heron!$A$4,Xero!$E:$E,Heron!$A95)+SUMIFS(Xero!$F:$F,Xero!$B:$B,Heron!G$9,Xero!$A:$A,Heron!$A$5,Xero!$E:$E,Heron!$A95)</f>
        <v>0</v>
      </c>
      <c r="H95" s="99">
        <f>SUMIFS(Xero!$F:$F,Xero!$B:$B,Heron!H$9,Xero!$A:$A,Heron!$A$4,Xero!$E:$E,Heron!$A95)+SUMIFS(Xero!$F:$F,Xero!$B:$B,Heron!H$9,Xero!$A:$A,Heron!$A$5,Xero!$E:$E,Heron!$A95)</f>
        <v>0</v>
      </c>
      <c r="I95" s="99">
        <f>SUMIFS(Xero!$F:$F,Xero!$B:$B,Heron!I$9,Xero!$A:$A,Heron!$A$4,Xero!$E:$E,Heron!$A95)+SUMIFS(Xero!$F:$F,Xero!$B:$B,Heron!I$9,Xero!$A:$A,Heron!$A$5,Xero!$E:$E,Heron!$A95)</f>
        <v>0</v>
      </c>
      <c r="J95" s="99">
        <f>SUMIFS(Xero!$F:$F,Xero!$B:$B,Heron!J$9,Xero!$A:$A,Heron!$A$4,Xero!$E:$E,Heron!$A95)+SUMIFS(Xero!$F:$F,Xero!$B:$B,Heron!J$9,Xero!$A:$A,Heron!$A$5,Xero!$E:$E,Heron!$A95)</f>
        <v>0</v>
      </c>
      <c r="K95" s="99">
        <f>SUMIFS(Xero!$F:$F,Xero!$B:$B,Heron!K$9,Xero!$A:$A,Heron!$A$4,Xero!$E:$E,Heron!$A95)+SUMIFS(Xero!$F:$F,Xero!$B:$B,Heron!K$9,Xero!$A:$A,Heron!$A$5,Xero!$E:$E,Heron!$A95)</f>
        <v>0</v>
      </c>
      <c r="L95" s="99">
        <f>SUMIFS(Xero!$F:$F,Xero!$B:$B,Heron!L$9,Xero!$A:$A,Heron!$A$4,Xero!$E:$E,Heron!$A95)+SUMIFS(Xero!$F:$F,Xero!$B:$B,Heron!L$9,Xero!$A:$A,Heron!$A$5,Xero!$E:$E,Heron!$A95)</f>
        <v>0</v>
      </c>
      <c r="M95" s="99">
        <f>SUMIFS(Xero!$F:$F,Xero!$B:$B,Heron!M$9,Xero!$A:$A,Heron!$A$4,Xero!$E:$E,Heron!$A95)+SUMIFS(Xero!$F:$F,Xero!$B:$B,Heron!M$9,Xero!$A:$A,Heron!$A$5,Xero!$E:$E,Heron!$A95)</f>
        <v>0</v>
      </c>
      <c r="N95" s="99">
        <f>SUMIFS(Xero!$F:$F,Xero!$B:$B,Heron!N$9,Xero!$A:$A,Heron!$A$4,Xero!$E:$E,Heron!$A95)+SUMIFS(Xero!$F:$F,Xero!$B:$B,Heron!N$9,Xero!$A:$A,Heron!$A$5,Xero!$E:$E,Heron!$A95)</f>
        <v>0</v>
      </c>
      <c r="O95" s="99">
        <f>SUMIFS(Xero!$F:$F,Xero!$B:$B,Heron!O$9,Xero!$A:$A,Heron!$A$4,Xero!$E:$E,Heron!$A95)+SUMIFS(Xero!$F:$F,Xero!$B:$B,Heron!O$9,Xero!$A:$A,Heron!$A$5,Xero!$E:$E,Heron!$A95)</f>
        <v>0</v>
      </c>
      <c r="P95" s="99">
        <f>SUMIFS(Xero!$F:$F,Xero!$B:$B,Heron!P$9,Xero!$A:$A,Heron!$A$4,Xero!$E:$E,Heron!$A95)+SUMIFS(Xero!$F:$F,Xero!$B:$B,Heron!P$9,Xero!$A:$A,Heron!$A$5,Xero!$E:$E,Heron!$A95)</f>
        <v>0</v>
      </c>
      <c r="Q95" s="99">
        <f>SUMIFS(Xero!$F:$F,Xero!$B:$B,Heron!Q$9,Xero!$A:$A,Heron!$A$4,Xero!$E:$E,Heron!$A95)+SUMIFS(Xero!$F:$F,Xero!$B:$B,Heron!Q$9,Xero!$A:$A,Heron!$A$5,Xero!$E:$E,Heron!$A95)</f>
        <v>0</v>
      </c>
      <c r="R95" s="99">
        <f>SUMIFS(Xero!$F:$F,Xero!$B:$B,Heron!R$9,Xero!$A:$A,Heron!$A$4,Xero!$E:$E,Heron!$A95)+SUMIFS(Xero!$F:$F,Xero!$B:$B,Heron!R$9,Xero!$A:$A,Heron!$A$5,Xero!$E:$E,Heron!$A95)</f>
        <v>0</v>
      </c>
      <c r="S95" s="99">
        <f>SUMIFS(Xero!$F:$F,Xero!$B:$B,Heron!S$9,Xero!$A:$A,Heron!$A$4,Xero!$E:$E,Heron!$A95)+SUMIFS(Xero!$F:$F,Xero!$B:$B,Heron!S$9,Xero!$A:$A,Heron!$A$5,Xero!$E:$E,Heron!$A95)</f>
        <v>0</v>
      </c>
      <c r="T95" s="99">
        <f>SUMIFS(Xero!$F:$F,Xero!$B:$B,Heron!T$9,Xero!$A:$A,Heron!$A$4,Xero!$E:$E,Heron!$A95)+SUMIFS(Xero!$F:$F,Xero!$B:$B,Heron!T$9,Xero!$A:$A,Heron!$A$5,Xero!$E:$E,Heron!$A95)</f>
        <v>0</v>
      </c>
      <c r="U95" s="99">
        <f>SUMIFS(Xero!$F:$F,Xero!$B:$B,Heron!U$9,Xero!$A:$A,Heron!$A$4,Xero!$E:$E,Heron!$A95)+SUMIFS(Xero!$F:$F,Xero!$B:$B,Heron!U$9,Xero!$A:$A,Heron!$A$5,Xero!$E:$E,Heron!$A95)</f>
        <v>0</v>
      </c>
      <c r="V95" s="99">
        <f>SUMIFS(Xero!$F:$F,Xero!$B:$B,Heron!V$9,Xero!$A:$A,Heron!$A$4,Xero!$E:$E,Heron!$A95)+SUMIFS(Xero!$F:$F,Xero!$B:$B,Heron!V$9,Xero!$A:$A,Heron!$A$5,Xero!$E:$E,Heron!$A95)</f>
        <v>3404.62</v>
      </c>
      <c r="W95" s="99">
        <f>SUMIFS(Xero!$F:$F,Xero!$B:$B,Heron!W$9,Xero!$A:$A,Heron!$A$4,Xero!$E:$E,Heron!$A95)+SUMIFS(Xero!$F:$F,Xero!$B:$B,Heron!W$9,Xero!$A:$A,Heron!$A$5,Xero!$E:$E,Heron!$A95)</f>
        <v>0</v>
      </c>
      <c r="X95" s="99">
        <f>SUMIFS(Xero!$F:$F,Xero!$B:$B,Heron!X$9,Xero!$A:$A,Heron!$A$4,Xero!$E:$E,Heron!$A95)+SUMIFS(Xero!$F:$F,Xero!$B:$B,Heron!X$9,Xero!$A:$A,Heron!$A$5,Xero!$E:$E,Heron!$A95)</f>
        <v>0</v>
      </c>
      <c r="Y95" s="99">
        <f>SUMIFS(Xero!$F:$F,Xero!$B:$B,Heron!Y$9,Xero!$A:$A,Heron!$A$4,Xero!$E:$E,Heron!$A95)+SUMIFS(Xero!$F:$F,Xero!$B:$B,Heron!Y$9,Xero!$A:$A,Heron!$A$5,Xero!$E:$E,Heron!$A95)</f>
        <v>0</v>
      </c>
      <c r="Z95" s="99">
        <f>SUMIFS(Xero!$F:$F,Xero!$B:$B,Heron!Z$9,Xero!$A:$A,Heron!$A$4,Xero!$E:$E,Heron!$A95)+SUMIFS(Xero!$F:$F,Xero!$B:$B,Heron!Z$9,Xero!$A:$A,Heron!$A$5,Xero!$E:$E,Heron!$A95)</f>
        <v>0</v>
      </c>
      <c r="AA95" s="99">
        <f>SUMIFS(Xero!$F:$F,Xero!$B:$B,Heron!AA$9,Xero!$A:$A,Heron!$A$4,Xero!$E:$E,Heron!$A95)+SUMIFS(Xero!$F:$F,Xero!$B:$B,Heron!AA$9,Xero!$A:$A,Heron!$A$5,Xero!$E:$E,Heron!$A95)</f>
        <v>0</v>
      </c>
      <c r="AB95" s="99">
        <f>SUMIFS(Xero!$F:$F,Xero!$B:$B,Heron!AB$9,Xero!$A:$A,Heron!$A$4,Xero!$E:$E,Heron!$A95)+SUMIFS(Xero!$F:$F,Xero!$B:$B,Heron!AB$9,Xero!$A:$A,Heron!$A$5,Xero!$E:$E,Heron!$A95)</f>
        <v>0</v>
      </c>
      <c r="AC95" s="99">
        <f>SUMIFS(Xero!$F:$F,Xero!$B:$B,Heron!AC$9,Xero!$A:$A,Heron!$A$4,Xero!$E:$E,Heron!$A95)+SUMIFS(Xero!$F:$F,Xero!$B:$B,Heron!AC$9,Xero!$A:$A,Heron!$A$5,Xero!$E:$E,Heron!$A95)</f>
        <v>0</v>
      </c>
      <c r="AD95" s="99">
        <f>SUMIFS(Xero!$F:$F,Xero!$B:$B,Heron!AD$9,Xero!$A:$A,Heron!$A$4,Xero!$E:$E,Heron!$A95)+SUMIFS(Xero!$F:$F,Xero!$B:$B,Heron!AD$9,Xero!$A:$A,Heron!$A$5,Xero!$E:$E,Heron!$A95)</f>
        <v>0</v>
      </c>
      <c r="AE95" s="99">
        <f>SUMIFS(Xero!$F:$F,Xero!$B:$B,Heron!AE$9,Xero!$A:$A,Heron!$A$4,Xero!$E:$E,Heron!$A95)+SUMIFS(Xero!$F:$F,Xero!$B:$B,Heron!AE$9,Xero!$A:$A,Heron!$A$5,Xero!$E:$E,Heron!$A95)</f>
        <v>0</v>
      </c>
      <c r="AF95" s="99">
        <f>SUMIFS(Xero!$F:$F,Xero!$B:$B,Heron!AF$9,Xero!$A:$A,Heron!$A$4,Xero!$E:$E,Heron!$A95)+SUMIFS(Xero!$F:$F,Xero!$B:$B,Heron!AF$9,Xero!$A:$A,Heron!$A$5,Xero!$E:$E,Heron!$A95)</f>
        <v>0</v>
      </c>
      <c r="AG95" s="99">
        <f>SUMIFS(Xero!$F:$F,Xero!$B:$B,Heron!AG$9,Xero!$A:$A,Heron!$A$4,Xero!$E:$E,Heron!$A95)+SUMIFS(Xero!$F:$F,Xero!$B:$B,Heron!AG$9,Xero!$A:$A,Heron!$A$5,Xero!$E:$E,Heron!$A95)</f>
        <v>0</v>
      </c>
      <c r="AH95" s="99">
        <f>SUMIFS(Xero!$F:$F,Xero!$B:$B,Heron!AH$9,Xero!$A:$A,Heron!$A$4,Xero!$E:$E,Heron!$A95)+SUMIFS(Xero!$F:$F,Xero!$B:$B,Heron!AH$9,Xero!$A:$A,Heron!$A$5,Xero!$E:$E,Heron!$A95)</f>
        <v>0</v>
      </c>
      <c r="AI95" s="99">
        <f>SUMIFS(Xero!$F:$F,Xero!$B:$B,Heron!AI$9,Xero!$A:$A,Heron!$A$4,Xero!$E:$E,Heron!$A95)+SUMIFS(Xero!$F:$F,Xero!$B:$B,Heron!AI$9,Xero!$A:$A,Heron!$A$5,Xero!$E:$E,Heron!$A95)</f>
        <v>0</v>
      </c>
      <c r="AJ95" s="99">
        <f>SUMIFS(Xero!$F:$F,Xero!$B:$B,Heron!AJ$9,Xero!$A:$A,Heron!$A$4,Xero!$E:$E,Heron!$A95)+SUMIFS(Xero!$F:$F,Xero!$B:$B,Heron!AJ$9,Xero!$A:$A,Heron!$A$5,Xero!$E:$E,Heron!$A95)</f>
        <v>0</v>
      </c>
      <c r="AK95" s="99">
        <f>SUMIFS(Xero!$F:$F,Xero!$B:$B,Heron!AK$9,Xero!$A:$A,Heron!$A$4,Xero!$E:$E,Heron!$A95)+SUMIFS(Xero!$F:$F,Xero!$B:$B,Heron!AK$9,Xero!$A:$A,Heron!$A$5,Xero!$E:$E,Heron!$A95)</f>
        <v>0</v>
      </c>
      <c r="AL95" s="99">
        <f>SUMIFS(Xero!$F:$F,Xero!$B:$B,Heron!AL$9,Xero!$A:$A,Heron!$A$4,Xero!$E:$E,Heron!$A95)+SUMIFS(Xero!$F:$F,Xero!$B:$B,Heron!AL$9,Xero!$A:$A,Heron!$A$5,Xero!$E:$E,Heron!$A95)</f>
        <v>0</v>
      </c>
      <c r="AM95" s="99">
        <f>SUMIFS(Xero!$F:$F,Xero!$B:$B,Heron!AM$9,Xero!$A:$A,Heron!$A$4,Xero!$E:$E,Heron!$A95)+SUMIFS(Xero!$F:$F,Xero!$B:$B,Heron!AM$9,Xero!$A:$A,Heron!$A$5,Xero!$E:$E,Heron!$A95)</f>
        <v>0</v>
      </c>
      <c r="AN95" s="99">
        <f>SUMIFS(Xero!$F:$F,Xero!$B:$B,Heron!AN$9,Xero!$A:$A,Heron!$A$4,Xero!$E:$E,Heron!$A95)+SUMIFS(Xero!$F:$F,Xero!$B:$B,Heron!AN$9,Xero!$A:$A,Heron!$A$5,Xero!$E:$E,Heron!$A95)</f>
        <v>0</v>
      </c>
      <c r="AO95" s="99">
        <f>SUMIFS(Xero!$F:$F,Xero!$B:$B,Heron!AO$9,Xero!$A:$A,Heron!$A$4,Xero!$E:$E,Heron!$A95)+SUMIFS(Xero!$F:$F,Xero!$B:$B,Heron!AO$9,Xero!$A:$A,Heron!$A$5,Xero!$E:$E,Heron!$A95)</f>
        <v>0</v>
      </c>
      <c r="AP95" s="99">
        <f>SUMIFS(Xero!$F:$F,Xero!$B:$B,Heron!AP$9,Xero!$A:$A,Heron!$A$4,Xero!$E:$E,Heron!$A95)+SUMIFS(Xero!$F:$F,Xero!$B:$B,Heron!AP$9,Xero!$A:$A,Heron!$A$5,Xero!$E:$E,Heron!$A95)</f>
        <v>0</v>
      </c>
      <c r="AQ95" s="99">
        <f>SUMIFS(Xero!$F:$F,Xero!$B:$B,Heron!AQ$9,Xero!$A:$A,Heron!$A$4,Xero!$E:$E,Heron!$A95)+SUMIFS(Xero!$F:$F,Xero!$B:$B,Heron!AQ$9,Xero!$A:$A,Heron!$A$5,Xero!$E:$E,Heron!$A95)</f>
        <v>0</v>
      </c>
      <c r="AR95" s="99">
        <f>SUMIFS(Xero!$F:$F,Xero!$B:$B,Heron!AR$9,Xero!$A:$A,Heron!$A$4,Xero!$E:$E,Heron!$A95)+SUMIFS(Xero!$F:$F,Xero!$B:$B,Heron!AR$9,Xero!$A:$A,Heron!$A$5,Xero!$E:$E,Heron!$A95)</f>
        <v>0</v>
      </c>
      <c r="AS95" s="99">
        <f>SUMIFS(Xero!$F:$F,Xero!$B:$B,Heron!AS$9,Xero!$A:$A,Heron!$A$4,Xero!$E:$E,Heron!$A95)+SUMIFS(Xero!$F:$F,Xero!$B:$B,Heron!AS$9,Xero!$A:$A,Heron!$A$5,Xero!$E:$E,Heron!$A95)</f>
        <v>0</v>
      </c>
      <c r="AT95" s="99">
        <f>SUMIFS(Xero!$F:$F,Xero!$B:$B,Heron!AT$9,Xero!$A:$A,Heron!$A$4,Xero!$E:$E,Heron!$A95)+SUMIFS(Xero!$F:$F,Xero!$B:$B,Heron!AT$9,Xero!$A:$A,Heron!$A$5,Xero!$E:$E,Heron!$A95)</f>
        <v>0</v>
      </c>
      <c r="AU95" s="99">
        <f>SUMIFS(Xero!$F:$F,Xero!$B:$B,Heron!AU$9,Xero!$A:$A,Heron!$A$4,Xero!$E:$E,Heron!$A95)+SUMIFS(Xero!$F:$F,Xero!$B:$B,Heron!AU$9,Xero!$A:$A,Heron!$A$5,Xero!$E:$E,Heron!$A95)</f>
        <v>0</v>
      </c>
      <c r="AV95" s="99">
        <f>SUMIFS(Xero!$F:$F,Xero!$B:$B,Heron!AV$9,Xero!$A:$A,Heron!$A$4,Xero!$E:$E,Heron!$A95)+SUMIFS(Xero!$F:$F,Xero!$B:$B,Heron!AV$9,Xero!$A:$A,Heron!$A$5,Xero!$E:$E,Heron!$A95)</f>
        <v>0</v>
      </c>
      <c r="AW95" s="99">
        <f>SUMIFS(Xero!$F:$F,Xero!$B:$B,Heron!AW$9,Xero!$A:$A,Heron!$A$4,Xero!$E:$E,Heron!$A95)+SUMIFS(Xero!$F:$F,Xero!$B:$B,Heron!AW$9,Xero!$A:$A,Heron!$A$5,Xero!$E:$E,Heron!$A95)</f>
        <v>0</v>
      </c>
      <c r="AX95" s="99">
        <f>SUMIFS(Xero!$F:$F,Xero!$B:$B,Heron!AX$9,Xero!$A:$A,Heron!$A$4,Xero!$E:$E,Heron!$A95)+SUMIFS(Xero!$F:$F,Xero!$B:$B,Heron!AX$9,Xero!$A:$A,Heron!$A$5,Xero!$E:$E,Heron!$A95)</f>
        <v>0</v>
      </c>
      <c r="AY95" s="99">
        <f>SUMIFS(Xero!$F:$F,Xero!$B:$B,Heron!AY$9,Xero!$A:$A,Heron!$A$4,Xero!$E:$E,Heron!$A95)+SUMIFS(Xero!$F:$F,Xero!$B:$B,Heron!AY$9,Xero!$A:$A,Heron!$A$5,Xero!$E:$E,Heron!$A95)</f>
        <v>0</v>
      </c>
      <c r="AZ95" s="99">
        <f>SUMIFS(Xero!$F:$F,Xero!$B:$B,Heron!AZ$9,Xero!$A:$A,Heron!$A$4,Xero!$E:$E,Heron!$A95)+SUMIFS(Xero!$F:$F,Xero!$B:$B,Heron!AZ$9,Xero!$A:$A,Heron!$A$5,Xero!$E:$E,Heron!$A95)</f>
        <v>0</v>
      </c>
      <c r="BA95" s="99">
        <f>SUMIFS(Xero!$F:$F,Xero!$B:$B,Heron!BA$9,Xero!$A:$A,Heron!$A$4,Xero!$E:$E,Heron!$A95)+SUMIFS(Xero!$F:$F,Xero!$B:$B,Heron!BA$9,Xero!$A:$A,Heron!$A$5,Xero!$E:$E,Heron!$A95)</f>
        <v>0</v>
      </c>
      <c r="BB95" s="99">
        <f>SUMIFS(Xero!$F:$F,Xero!$B:$B,Heron!BB$9,Xero!$A:$A,Heron!$A$4,Xero!$E:$E,Heron!$A95)+SUMIFS(Xero!$F:$F,Xero!$B:$B,Heron!BB$9,Xero!$A:$A,Heron!$A$5,Xero!$E:$E,Heron!$A95)</f>
        <v>0</v>
      </c>
      <c r="BC95" s="99">
        <f>SUMIFS(Xero!$F:$F,Xero!$B:$B,Heron!BC$9,Xero!$A:$A,Heron!$A$4,Xero!$E:$E,Heron!$A95)+SUMIFS(Xero!$F:$F,Xero!$B:$B,Heron!BC$9,Xero!$A:$A,Heron!$A$5,Xero!$E:$E,Heron!$A95)</f>
        <v>0</v>
      </c>
      <c r="BD95" s="99">
        <f>SUMIFS(Xero!$F:$F,Xero!$B:$B,Heron!BD$9,Xero!$A:$A,Heron!$A$4,Xero!$E:$E,Heron!$A95)+SUMIFS(Xero!$F:$F,Xero!$B:$B,Heron!BD$9,Xero!$A:$A,Heron!$A$5,Xero!$E:$E,Heron!$A95)</f>
        <v>0</v>
      </c>
      <c r="BE95" s="99">
        <f>SUMIFS(Xero!$F:$F,Xero!$B:$B,Heron!BE$9,Xero!$A:$A,Heron!$A$4,Xero!$E:$E,Heron!$A95)+SUMIFS(Xero!$F:$F,Xero!$B:$B,Heron!BE$9,Xero!$A:$A,Heron!$A$5,Xero!$E:$E,Heron!$A95)</f>
        <v>0</v>
      </c>
      <c r="BF95" s="99">
        <f>SUMIFS(Xero!$F:$F,Xero!$B:$B,Heron!BF$9,Xero!$A:$A,Heron!$A$4,Xero!$E:$E,Heron!$A95)+SUMIFS(Xero!$F:$F,Xero!$B:$B,Heron!BF$9,Xero!$A:$A,Heron!$A$5,Xero!$E:$E,Heron!$A95)</f>
        <v>0</v>
      </c>
      <c r="BG95" s="99">
        <f>SUMIFS(Xero!$F:$F,Xero!$B:$B,Heron!BG$9,Xero!$A:$A,Heron!$A$4,Xero!$E:$E,Heron!$A95)+SUMIFS(Xero!$F:$F,Xero!$B:$B,Heron!BG$9,Xero!$A:$A,Heron!$A$5,Xero!$E:$E,Heron!$A95)</f>
        <v>0</v>
      </c>
      <c r="BH95" s="99">
        <f>SUMIFS(Xero!$F:$F,Xero!$B:$B,Heron!BH$9,Xero!$A:$A,Heron!$A$4,Xero!$E:$E,Heron!$A95)+SUMIFS(Xero!$F:$F,Xero!$B:$B,Heron!BH$9,Xero!$A:$A,Heron!$A$5,Xero!$E:$E,Heron!$A95)</f>
        <v>0</v>
      </c>
      <c r="BI95" s="99">
        <f>SUMIFS(Xero!$F:$F,Xero!$B:$B,Heron!BI$9,Xero!$A:$A,Heron!$A$4,Xero!$E:$E,Heron!$A95)+SUMIFS(Xero!$F:$F,Xero!$B:$B,Heron!BI$9,Xero!$A:$A,Heron!$A$5,Xero!$E:$E,Heron!$A95)</f>
        <v>0</v>
      </c>
      <c r="BJ95" s="99">
        <f>SUMIFS(Xero!$F:$F,Xero!$B:$B,Heron!BJ$9,Xero!$A:$A,Heron!$A$4,Xero!$E:$E,Heron!$A95)+SUMIFS(Xero!$F:$F,Xero!$B:$B,Heron!BJ$9,Xero!$A:$A,Heron!$A$5,Xero!$E:$E,Heron!$A95)</f>
        <v>0</v>
      </c>
      <c r="BK95" s="99">
        <f t="shared" si="5"/>
        <v>4169.62</v>
      </c>
    </row>
    <row r="96" spans="1:63" ht="16" x14ac:dyDescent="0.2">
      <c r="A96" s="98" t="s">
        <v>1070</v>
      </c>
      <c r="D96" s="99">
        <f>SUMIFS(Xero!$F:$F,Xero!$B:$B,Heron!D$9,Xero!$A:$A,Heron!$A$4,Xero!$E:$E,Heron!$A96)+SUMIFS(Xero!$F:$F,Xero!$B:$B,Heron!D$9,Xero!$A:$A,Heron!$A$5,Xero!$E:$E,Heron!$A96)</f>
        <v>0</v>
      </c>
      <c r="E96" s="99">
        <f>SUMIFS(Xero!$F:$F,Xero!$B:$B,Heron!E$9,Xero!$A:$A,Heron!$A$4,Xero!$E:$E,Heron!$A96)+SUMIFS(Xero!$F:$F,Xero!$B:$B,Heron!E$9,Xero!$A:$A,Heron!$A$5,Xero!$E:$E,Heron!$A96)</f>
        <v>0</v>
      </c>
      <c r="F96" s="99">
        <f>SUMIFS(Xero!$F:$F,Xero!$B:$B,Heron!F$9,Xero!$A:$A,Heron!$A$4,Xero!$E:$E,Heron!$A96)+SUMIFS(Xero!$F:$F,Xero!$B:$B,Heron!F$9,Xero!$A:$A,Heron!$A$5,Xero!$E:$E,Heron!$A96)</f>
        <v>0</v>
      </c>
      <c r="G96" s="99">
        <f>SUMIFS(Xero!$F:$F,Xero!$B:$B,Heron!G$9,Xero!$A:$A,Heron!$A$4,Xero!$E:$E,Heron!$A96)+SUMIFS(Xero!$F:$F,Xero!$B:$B,Heron!G$9,Xero!$A:$A,Heron!$A$5,Xero!$E:$E,Heron!$A96)</f>
        <v>0</v>
      </c>
      <c r="H96" s="99">
        <f>SUMIFS(Xero!$F:$F,Xero!$B:$B,Heron!H$9,Xero!$A:$A,Heron!$A$4,Xero!$E:$E,Heron!$A96)+SUMIFS(Xero!$F:$F,Xero!$B:$B,Heron!H$9,Xero!$A:$A,Heron!$A$5,Xero!$E:$E,Heron!$A96)</f>
        <v>5505.37</v>
      </c>
      <c r="I96" s="99">
        <f>SUMIFS(Xero!$F:$F,Xero!$B:$B,Heron!I$9,Xero!$A:$A,Heron!$A$4,Xero!$E:$E,Heron!$A96)+SUMIFS(Xero!$F:$F,Xero!$B:$B,Heron!I$9,Xero!$A:$A,Heron!$A$5,Xero!$E:$E,Heron!$A96)</f>
        <v>3374.65</v>
      </c>
      <c r="J96" s="99">
        <f>SUMIFS(Xero!$F:$F,Xero!$B:$B,Heron!J$9,Xero!$A:$A,Heron!$A$4,Xero!$E:$E,Heron!$A96)+SUMIFS(Xero!$F:$F,Xero!$B:$B,Heron!J$9,Xero!$A:$A,Heron!$A$5,Xero!$E:$E,Heron!$A96)</f>
        <v>3067.87</v>
      </c>
      <c r="K96" s="99">
        <f>SUMIFS(Xero!$F:$F,Xero!$B:$B,Heron!K$9,Xero!$A:$A,Heron!$A$4,Xero!$E:$E,Heron!$A96)+SUMIFS(Xero!$F:$F,Xero!$B:$B,Heron!K$9,Xero!$A:$A,Heron!$A$5,Xero!$E:$E,Heron!$A96)</f>
        <v>2965.61</v>
      </c>
      <c r="L96" s="99">
        <f>SUMIFS(Xero!$F:$F,Xero!$B:$B,Heron!L$9,Xero!$A:$A,Heron!$A$4,Xero!$E:$E,Heron!$A96)+SUMIFS(Xero!$F:$F,Xero!$B:$B,Heron!L$9,Xero!$A:$A,Heron!$A$5,Xero!$E:$E,Heron!$A96)</f>
        <v>2965.61</v>
      </c>
      <c r="M96" s="99">
        <f>SUMIFS(Xero!$F:$F,Xero!$B:$B,Heron!M$9,Xero!$A:$A,Heron!$A$4,Xero!$E:$E,Heron!$A96)+SUMIFS(Xero!$F:$F,Xero!$B:$B,Heron!M$9,Xero!$A:$A,Heron!$A$5,Xero!$E:$E,Heron!$A96)</f>
        <v>3476.93</v>
      </c>
      <c r="N96" s="99">
        <f>SUMIFS(Xero!$F:$F,Xero!$B:$B,Heron!N$9,Xero!$A:$A,Heron!$A$4,Xero!$E:$E,Heron!$A96)+SUMIFS(Xero!$F:$F,Xero!$B:$B,Heron!N$9,Xero!$A:$A,Heron!$A$5,Xero!$E:$E,Heron!$A96)</f>
        <v>2965.61</v>
      </c>
      <c r="O96" s="99">
        <f>SUMIFS(Xero!$F:$F,Xero!$B:$B,Heron!O$9,Xero!$A:$A,Heron!$A$4,Xero!$E:$E,Heron!$A96)+SUMIFS(Xero!$F:$F,Xero!$B:$B,Heron!O$9,Xero!$A:$A,Heron!$A$5,Xero!$E:$E,Heron!$A96)</f>
        <v>2965.61</v>
      </c>
      <c r="P96" s="99">
        <f>SUMIFS(Xero!$F:$F,Xero!$B:$B,Heron!P$9,Xero!$A:$A,Heron!$A$4,Xero!$E:$E,Heron!$A96)+SUMIFS(Xero!$F:$F,Xero!$B:$B,Heron!P$9,Xero!$A:$A,Heron!$A$5,Xero!$E:$E,Heron!$A96)</f>
        <v>3170.13</v>
      </c>
      <c r="Q96" s="99">
        <f>SUMIFS(Xero!$F:$F,Xero!$B:$B,Heron!Q$9,Xero!$A:$A,Heron!$A$4,Xero!$E:$E,Heron!$A96)+SUMIFS(Xero!$F:$F,Xero!$B:$B,Heron!Q$9,Xero!$A:$A,Heron!$A$5,Xero!$E:$E,Heron!$A96)</f>
        <v>0</v>
      </c>
      <c r="R96" s="99">
        <f>SUMIFS(Xero!$F:$F,Xero!$B:$B,Heron!R$9,Xero!$A:$A,Heron!$A$4,Xero!$E:$E,Heron!$A96)+SUMIFS(Xero!$F:$F,Xero!$B:$B,Heron!R$9,Xero!$A:$A,Heron!$A$5,Xero!$E:$E,Heron!$A96)</f>
        <v>6340.26</v>
      </c>
      <c r="S96" s="99">
        <f>SUMIFS(Xero!$F:$F,Xero!$B:$B,Heron!S$9,Xero!$A:$A,Heron!$A$4,Xero!$E:$E,Heron!$A96)+SUMIFS(Xero!$F:$F,Xero!$B:$B,Heron!S$9,Xero!$A:$A,Heron!$A$5,Xero!$E:$E,Heron!$A96)</f>
        <v>3067.87</v>
      </c>
      <c r="T96" s="99">
        <f>SUMIFS(Xero!$F:$F,Xero!$B:$B,Heron!T$9,Xero!$A:$A,Heron!$A$4,Xero!$E:$E,Heron!$A96)+SUMIFS(Xero!$F:$F,Xero!$B:$B,Heron!T$9,Xero!$A:$A,Heron!$A$5,Xero!$E:$E,Heron!$A96)</f>
        <v>3114.7</v>
      </c>
      <c r="U96" s="99">
        <f>SUMIFS(Xero!$F:$F,Xero!$B:$B,Heron!U$9,Xero!$A:$A,Heron!$A$4,Xero!$E:$E,Heron!$A96)+SUMIFS(Xero!$F:$F,Xero!$B:$B,Heron!U$9,Xero!$A:$A,Heron!$A$5,Xero!$E:$E,Heron!$A96)</f>
        <v>3442.8</v>
      </c>
      <c r="V96" s="99">
        <f>SUMIFS(Xero!$F:$F,Xero!$B:$B,Heron!V$9,Xero!$A:$A,Heron!$A$4,Xero!$E:$E,Heron!$A96)+SUMIFS(Xero!$F:$F,Xero!$B:$B,Heron!V$9,Xero!$A:$A,Heron!$A$5,Xero!$E:$E,Heron!$A96)</f>
        <v>3227.61</v>
      </c>
      <c r="W96" s="99">
        <f>SUMIFS(Xero!$F:$F,Xero!$B:$B,Heron!W$9,Xero!$A:$A,Heron!$A$4,Xero!$E:$E,Heron!$A96)+SUMIFS(Xero!$F:$F,Xero!$B:$B,Heron!W$9,Xero!$A:$A,Heron!$A$5,Xero!$E:$E,Heron!$A96)</f>
        <v>3406.21</v>
      </c>
      <c r="X96" s="99">
        <f>SUMIFS(Xero!$F:$F,Xero!$B:$B,Heron!X$9,Xero!$A:$A,Heron!$A$4,Xero!$E:$E,Heron!$A96)+SUMIFS(Xero!$F:$F,Xero!$B:$B,Heron!X$9,Xero!$A:$A,Heron!$A$5,Xero!$E:$E,Heron!$A96)</f>
        <v>3335.21</v>
      </c>
      <c r="Y96" s="99">
        <f>SUMIFS(Xero!$F:$F,Xero!$B:$B,Heron!Y$9,Xero!$A:$A,Heron!$A$4,Xero!$E:$E,Heron!$A96)+SUMIFS(Xero!$F:$F,Xero!$B:$B,Heron!Y$9,Xero!$A:$A,Heron!$A$5,Xero!$E:$E,Heron!$A96)</f>
        <v>0</v>
      </c>
      <c r="Z96" s="99">
        <f>SUMIFS(Xero!$F:$F,Xero!$B:$B,Heron!Z$9,Xero!$A:$A,Heron!$A$4,Xero!$E:$E,Heron!$A96)+SUMIFS(Xero!$F:$F,Xero!$B:$B,Heron!Z$9,Xero!$A:$A,Heron!$A$5,Xero!$E:$E,Heron!$A96)</f>
        <v>6778.01</v>
      </c>
      <c r="AA96" s="99">
        <f>SUMIFS(Xero!$F:$F,Xero!$B:$B,Heron!AA$9,Xero!$A:$A,Heron!$A$4,Xero!$E:$E,Heron!$A96)+SUMIFS(Xero!$F:$F,Xero!$B:$B,Heron!AA$9,Xero!$A:$A,Heron!$A$5,Xero!$E:$E,Heron!$A96)</f>
        <v>0</v>
      </c>
      <c r="AB96" s="99">
        <f>SUMIFS(Xero!$F:$F,Xero!$B:$B,Heron!AB$9,Xero!$A:$A,Heron!$A$4,Xero!$E:$E,Heron!$A96)+SUMIFS(Xero!$F:$F,Xero!$B:$B,Heron!AB$9,Xero!$A:$A,Heron!$A$5,Xero!$E:$E,Heron!$A96)</f>
        <v>30819.25</v>
      </c>
      <c r="AC96" s="99">
        <f>SUMIFS(Xero!$F:$F,Xero!$B:$B,Heron!AC$9,Xero!$A:$A,Heron!$A$4,Xero!$E:$E,Heron!$A96)+SUMIFS(Xero!$F:$F,Xero!$B:$B,Heron!AC$9,Xero!$A:$A,Heron!$A$5,Xero!$E:$E,Heron!$A96)</f>
        <v>-42216.76</v>
      </c>
      <c r="AD96" s="99">
        <f>SUMIFS(Xero!$F:$F,Xero!$B:$B,Heron!AD$9,Xero!$A:$A,Heron!$A$4,Xero!$E:$E,Heron!$A96)+SUMIFS(Xero!$F:$F,Xero!$B:$B,Heron!AD$9,Xero!$A:$A,Heron!$A$5,Xero!$E:$E,Heron!$A96)</f>
        <v>1.08</v>
      </c>
      <c r="AE96" s="99">
        <f>SUMIFS(Xero!$F:$F,Xero!$B:$B,Heron!AE$9,Xero!$A:$A,Heron!$A$4,Xero!$E:$E,Heron!$A96)+SUMIFS(Xero!$F:$F,Xero!$B:$B,Heron!AE$9,Xero!$A:$A,Heron!$A$5,Xero!$E:$E,Heron!$A96)</f>
        <v>0</v>
      </c>
      <c r="AF96" s="99">
        <f>SUMIFS(Xero!$F:$F,Xero!$B:$B,Heron!AF$9,Xero!$A:$A,Heron!$A$4,Xero!$E:$E,Heron!$A96)+SUMIFS(Xero!$F:$F,Xero!$B:$B,Heron!AF$9,Xero!$A:$A,Heron!$A$5,Xero!$E:$E,Heron!$A96)</f>
        <v>0</v>
      </c>
      <c r="AG96" s="99">
        <f>SUMIFS(Xero!$F:$F,Xero!$B:$B,Heron!AG$9,Xero!$A:$A,Heron!$A$4,Xero!$E:$E,Heron!$A96)+SUMIFS(Xero!$F:$F,Xero!$B:$B,Heron!AG$9,Xero!$A:$A,Heron!$A$5,Xero!$E:$E,Heron!$A96)</f>
        <v>0</v>
      </c>
      <c r="AH96" s="99">
        <f>SUMIFS(Xero!$F:$F,Xero!$B:$B,Heron!AH$9,Xero!$A:$A,Heron!$A$4,Xero!$E:$E,Heron!$A96)+SUMIFS(Xero!$F:$F,Xero!$B:$B,Heron!AH$9,Xero!$A:$A,Heron!$A$5,Xero!$E:$E,Heron!$A96)</f>
        <v>9078.59</v>
      </c>
      <c r="AI96" s="99">
        <f>SUMIFS(Xero!$F:$F,Xero!$B:$B,Heron!AI$9,Xero!$A:$A,Heron!$A$4,Xero!$E:$E,Heron!$A96)+SUMIFS(Xero!$F:$F,Xero!$B:$B,Heron!AI$9,Xero!$A:$A,Heron!$A$5,Xero!$E:$E,Heron!$A96)</f>
        <v>0</v>
      </c>
      <c r="AJ96" s="99">
        <f>SUMIFS(Xero!$F:$F,Xero!$B:$B,Heron!AJ$9,Xero!$A:$A,Heron!$A$4,Xero!$E:$E,Heron!$A96)+SUMIFS(Xero!$F:$F,Xero!$B:$B,Heron!AJ$9,Xero!$A:$A,Heron!$A$5,Xero!$E:$E,Heron!$A96)</f>
        <v>213951.5</v>
      </c>
      <c r="AK96" s="99">
        <f>SUMIFS(Xero!$F:$F,Xero!$B:$B,Heron!AK$9,Xero!$A:$A,Heron!$A$4,Xero!$E:$E,Heron!$A96)+SUMIFS(Xero!$F:$F,Xero!$B:$B,Heron!AK$9,Xero!$A:$A,Heron!$A$5,Xero!$E:$E,Heron!$A96)</f>
        <v>0</v>
      </c>
      <c r="AL96" s="99">
        <f>SUMIFS(Xero!$F:$F,Xero!$B:$B,Heron!AL$9,Xero!$A:$A,Heron!$A$4,Xero!$E:$E,Heron!$A96)+SUMIFS(Xero!$F:$F,Xero!$B:$B,Heron!AL$9,Xero!$A:$A,Heron!$A$5,Xero!$E:$E,Heron!$A96)</f>
        <v>0</v>
      </c>
      <c r="AM96" s="99">
        <f>SUMIFS(Xero!$F:$F,Xero!$B:$B,Heron!AM$9,Xero!$A:$A,Heron!$A$4,Xero!$E:$E,Heron!$A96)+SUMIFS(Xero!$F:$F,Xero!$B:$B,Heron!AM$9,Xero!$A:$A,Heron!$A$5,Xero!$E:$E,Heron!$A96)</f>
        <v>0</v>
      </c>
      <c r="AN96" s="99">
        <f>SUMIFS(Xero!$F:$F,Xero!$B:$B,Heron!AN$9,Xero!$A:$A,Heron!$A$4,Xero!$E:$E,Heron!$A96)+SUMIFS(Xero!$F:$F,Xero!$B:$B,Heron!AN$9,Xero!$A:$A,Heron!$A$5,Xero!$E:$E,Heron!$A96)</f>
        <v>0</v>
      </c>
      <c r="AO96" s="99">
        <f>SUMIFS(Xero!$F:$F,Xero!$B:$B,Heron!AO$9,Xero!$A:$A,Heron!$A$4,Xero!$E:$E,Heron!$A96)+SUMIFS(Xero!$F:$F,Xero!$B:$B,Heron!AO$9,Xero!$A:$A,Heron!$A$5,Xero!$E:$E,Heron!$A96)</f>
        <v>0</v>
      </c>
      <c r="AP96" s="99">
        <f>SUMIFS(Xero!$F:$F,Xero!$B:$B,Heron!AP$9,Xero!$A:$A,Heron!$A$4,Xero!$E:$E,Heron!$A96)+SUMIFS(Xero!$F:$F,Xero!$B:$B,Heron!AP$9,Xero!$A:$A,Heron!$A$5,Xero!$E:$E,Heron!$A96)</f>
        <v>0</v>
      </c>
      <c r="AQ96" s="99">
        <f>SUMIFS(Xero!$F:$F,Xero!$B:$B,Heron!AQ$9,Xero!$A:$A,Heron!$A$4,Xero!$E:$E,Heron!$A96)+SUMIFS(Xero!$F:$F,Xero!$B:$B,Heron!AQ$9,Xero!$A:$A,Heron!$A$5,Xero!$E:$E,Heron!$A96)</f>
        <v>0</v>
      </c>
      <c r="AR96" s="99">
        <f>SUMIFS(Xero!$F:$F,Xero!$B:$B,Heron!AR$9,Xero!$A:$A,Heron!$A$4,Xero!$E:$E,Heron!$A96)+SUMIFS(Xero!$F:$F,Xero!$B:$B,Heron!AR$9,Xero!$A:$A,Heron!$A$5,Xero!$E:$E,Heron!$A96)</f>
        <v>0</v>
      </c>
      <c r="AS96" s="99">
        <f>SUMIFS(Xero!$F:$F,Xero!$B:$B,Heron!AS$9,Xero!$A:$A,Heron!$A$4,Xero!$E:$E,Heron!$A96)+SUMIFS(Xero!$F:$F,Xero!$B:$B,Heron!AS$9,Xero!$A:$A,Heron!$A$5,Xero!$E:$E,Heron!$A96)</f>
        <v>0</v>
      </c>
      <c r="AT96" s="99">
        <f>SUMIFS(Xero!$F:$F,Xero!$B:$B,Heron!AT$9,Xero!$A:$A,Heron!$A$4,Xero!$E:$E,Heron!$A96)+SUMIFS(Xero!$F:$F,Xero!$B:$B,Heron!AT$9,Xero!$A:$A,Heron!$A$5,Xero!$E:$E,Heron!$A96)</f>
        <v>0</v>
      </c>
      <c r="AU96" s="99">
        <f>SUMIFS(Xero!$F:$F,Xero!$B:$B,Heron!AU$9,Xero!$A:$A,Heron!$A$4,Xero!$E:$E,Heron!$A96)+SUMIFS(Xero!$F:$F,Xero!$B:$B,Heron!AU$9,Xero!$A:$A,Heron!$A$5,Xero!$E:$E,Heron!$A96)</f>
        <v>0</v>
      </c>
      <c r="AV96" s="99">
        <f>SUMIFS(Xero!$F:$F,Xero!$B:$B,Heron!AV$9,Xero!$A:$A,Heron!$A$4,Xero!$E:$E,Heron!$A96)+SUMIFS(Xero!$F:$F,Xero!$B:$B,Heron!AV$9,Xero!$A:$A,Heron!$A$5,Xero!$E:$E,Heron!$A96)</f>
        <v>0</v>
      </c>
      <c r="AW96" s="99">
        <f>SUMIFS(Xero!$F:$F,Xero!$B:$B,Heron!AW$9,Xero!$A:$A,Heron!$A$4,Xero!$E:$E,Heron!$A96)+SUMIFS(Xero!$F:$F,Xero!$B:$B,Heron!AW$9,Xero!$A:$A,Heron!$A$5,Xero!$E:$E,Heron!$A96)</f>
        <v>0</v>
      </c>
      <c r="AX96" s="99">
        <f>SUMIFS(Xero!$F:$F,Xero!$B:$B,Heron!AX$9,Xero!$A:$A,Heron!$A$4,Xero!$E:$E,Heron!$A96)+SUMIFS(Xero!$F:$F,Xero!$B:$B,Heron!AX$9,Xero!$A:$A,Heron!$A$5,Xero!$E:$E,Heron!$A96)</f>
        <v>0</v>
      </c>
      <c r="AY96" s="99">
        <f>SUMIFS(Xero!$F:$F,Xero!$B:$B,Heron!AY$9,Xero!$A:$A,Heron!$A$4,Xero!$E:$E,Heron!$A96)+SUMIFS(Xero!$F:$F,Xero!$B:$B,Heron!AY$9,Xero!$A:$A,Heron!$A$5,Xero!$E:$E,Heron!$A96)</f>
        <v>0</v>
      </c>
      <c r="AZ96" s="99">
        <f>SUMIFS(Xero!$F:$F,Xero!$B:$B,Heron!AZ$9,Xero!$A:$A,Heron!$A$4,Xero!$E:$E,Heron!$A96)+SUMIFS(Xero!$F:$F,Xero!$B:$B,Heron!AZ$9,Xero!$A:$A,Heron!$A$5,Xero!$E:$E,Heron!$A96)</f>
        <v>0</v>
      </c>
      <c r="BA96" s="99">
        <f>SUMIFS(Xero!$F:$F,Xero!$B:$B,Heron!BA$9,Xero!$A:$A,Heron!$A$4,Xero!$E:$E,Heron!$A96)+SUMIFS(Xero!$F:$F,Xero!$B:$B,Heron!BA$9,Xero!$A:$A,Heron!$A$5,Xero!$E:$E,Heron!$A96)</f>
        <v>0</v>
      </c>
      <c r="BB96" s="99">
        <f>SUMIFS(Xero!$F:$F,Xero!$B:$B,Heron!BB$9,Xero!$A:$A,Heron!$A$4,Xero!$E:$E,Heron!$A96)+SUMIFS(Xero!$F:$F,Xero!$B:$B,Heron!BB$9,Xero!$A:$A,Heron!$A$5,Xero!$E:$E,Heron!$A96)</f>
        <v>0</v>
      </c>
      <c r="BC96" s="99">
        <f>SUMIFS(Xero!$F:$F,Xero!$B:$B,Heron!BC$9,Xero!$A:$A,Heron!$A$4,Xero!$E:$E,Heron!$A96)+SUMIFS(Xero!$F:$F,Xero!$B:$B,Heron!BC$9,Xero!$A:$A,Heron!$A$5,Xero!$E:$E,Heron!$A96)</f>
        <v>0</v>
      </c>
      <c r="BD96" s="99">
        <f>SUMIFS(Xero!$F:$F,Xero!$B:$B,Heron!BD$9,Xero!$A:$A,Heron!$A$4,Xero!$E:$E,Heron!$A96)+SUMIFS(Xero!$F:$F,Xero!$B:$B,Heron!BD$9,Xero!$A:$A,Heron!$A$5,Xero!$E:$E,Heron!$A96)</f>
        <v>0</v>
      </c>
      <c r="BE96" s="99">
        <f>SUMIFS(Xero!$F:$F,Xero!$B:$B,Heron!BE$9,Xero!$A:$A,Heron!$A$4,Xero!$E:$E,Heron!$A96)+SUMIFS(Xero!$F:$F,Xero!$B:$B,Heron!BE$9,Xero!$A:$A,Heron!$A$5,Xero!$E:$E,Heron!$A96)</f>
        <v>0</v>
      </c>
      <c r="BF96" s="99">
        <f>SUMIFS(Xero!$F:$F,Xero!$B:$B,Heron!BF$9,Xero!$A:$A,Heron!$A$4,Xero!$E:$E,Heron!$A96)+SUMIFS(Xero!$F:$F,Xero!$B:$B,Heron!BF$9,Xero!$A:$A,Heron!$A$5,Xero!$E:$E,Heron!$A96)</f>
        <v>0</v>
      </c>
      <c r="BG96" s="99">
        <f>SUMIFS(Xero!$F:$F,Xero!$B:$B,Heron!BG$9,Xero!$A:$A,Heron!$A$4,Xero!$E:$E,Heron!$A96)+SUMIFS(Xero!$F:$F,Xero!$B:$B,Heron!BG$9,Xero!$A:$A,Heron!$A$5,Xero!$E:$E,Heron!$A96)</f>
        <v>0</v>
      </c>
      <c r="BH96" s="99">
        <f>SUMIFS(Xero!$F:$F,Xero!$B:$B,Heron!BH$9,Xero!$A:$A,Heron!$A$4,Xero!$E:$E,Heron!$A96)+SUMIFS(Xero!$F:$F,Xero!$B:$B,Heron!BH$9,Xero!$A:$A,Heron!$A$5,Xero!$E:$E,Heron!$A96)</f>
        <v>0</v>
      </c>
      <c r="BI96" s="99">
        <f>SUMIFS(Xero!$F:$F,Xero!$B:$B,Heron!BI$9,Xero!$A:$A,Heron!$A$4,Xero!$E:$E,Heron!$A96)+SUMIFS(Xero!$F:$F,Xero!$B:$B,Heron!BI$9,Xero!$A:$A,Heron!$A$5,Xero!$E:$E,Heron!$A96)</f>
        <v>0</v>
      </c>
      <c r="BJ96" s="99">
        <f>SUMIFS(Xero!$F:$F,Xero!$B:$B,Heron!BJ$9,Xero!$A:$A,Heron!$A$4,Xero!$E:$E,Heron!$A96)+SUMIFS(Xero!$F:$F,Xero!$B:$B,Heron!BJ$9,Xero!$A:$A,Heron!$A$5,Xero!$E:$E,Heron!$A96)</f>
        <v>0</v>
      </c>
      <c r="BK96" s="99">
        <f t="shared" si="5"/>
        <v>274803.71999999997</v>
      </c>
    </row>
    <row r="97" spans="1:63" ht="16" x14ac:dyDescent="0.2">
      <c r="A97" s="98" t="s">
        <v>1075</v>
      </c>
      <c r="D97" s="99">
        <f>SUMIFS(Xero!$F:$F,Xero!$B:$B,Heron!D$9,Xero!$A:$A,Heron!$A$4,Xero!$E:$E,Heron!$A97)+SUMIFS(Xero!$F:$F,Xero!$B:$B,Heron!D$9,Xero!$A:$A,Heron!$A$5,Xero!$E:$E,Heron!$A97)</f>
        <v>0</v>
      </c>
      <c r="E97" s="99">
        <f>SUMIFS(Xero!$F:$F,Xero!$B:$B,Heron!E$9,Xero!$A:$A,Heron!$A$4,Xero!$E:$E,Heron!$A97)+SUMIFS(Xero!$F:$F,Xero!$B:$B,Heron!E$9,Xero!$A:$A,Heron!$A$5,Xero!$E:$E,Heron!$A97)</f>
        <v>0</v>
      </c>
      <c r="F97" s="99">
        <f>SUMIFS(Xero!$F:$F,Xero!$B:$B,Heron!F$9,Xero!$A:$A,Heron!$A$4,Xero!$E:$E,Heron!$A97)+SUMIFS(Xero!$F:$F,Xero!$B:$B,Heron!F$9,Xero!$A:$A,Heron!$A$5,Xero!$E:$E,Heron!$A97)</f>
        <v>0</v>
      </c>
      <c r="G97" s="99">
        <f>SUMIFS(Xero!$F:$F,Xero!$B:$B,Heron!G$9,Xero!$A:$A,Heron!$A$4,Xero!$E:$E,Heron!$A97)+SUMIFS(Xero!$F:$F,Xero!$B:$B,Heron!G$9,Xero!$A:$A,Heron!$A$5,Xero!$E:$E,Heron!$A97)</f>
        <v>0</v>
      </c>
      <c r="H97" s="99">
        <f>SUMIFS(Xero!$F:$F,Xero!$B:$B,Heron!H$9,Xero!$A:$A,Heron!$A$4,Xero!$E:$E,Heron!$A97)+SUMIFS(Xero!$F:$F,Xero!$B:$B,Heron!H$9,Xero!$A:$A,Heron!$A$5,Xero!$E:$E,Heron!$A97)</f>
        <v>0</v>
      </c>
      <c r="I97" s="99">
        <f>SUMIFS(Xero!$F:$F,Xero!$B:$B,Heron!I$9,Xero!$A:$A,Heron!$A$4,Xero!$E:$E,Heron!$A97)+SUMIFS(Xero!$F:$F,Xero!$B:$B,Heron!I$9,Xero!$A:$A,Heron!$A$5,Xero!$E:$E,Heron!$A97)</f>
        <v>0</v>
      </c>
      <c r="J97" s="99">
        <f>SUMIFS(Xero!$F:$F,Xero!$B:$B,Heron!J$9,Xero!$A:$A,Heron!$A$4,Xero!$E:$E,Heron!$A97)+SUMIFS(Xero!$F:$F,Xero!$B:$B,Heron!J$9,Xero!$A:$A,Heron!$A$5,Xero!$E:$E,Heron!$A97)</f>
        <v>250</v>
      </c>
      <c r="K97" s="99">
        <f>SUMIFS(Xero!$F:$F,Xero!$B:$B,Heron!K$9,Xero!$A:$A,Heron!$A$4,Xero!$E:$E,Heron!$A97)+SUMIFS(Xero!$F:$F,Xero!$B:$B,Heron!K$9,Xero!$A:$A,Heron!$A$5,Xero!$E:$E,Heron!$A97)</f>
        <v>0</v>
      </c>
      <c r="L97" s="99">
        <f>SUMIFS(Xero!$F:$F,Xero!$B:$B,Heron!L$9,Xero!$A:$A,Heron!$A$4,Xero!$E:$E,Heron!$A97)+SUMIFS(Xero!$F:$F,Xero!$B:$B,Heron!L$9,Xero!$A:$A,Heron!$A$5,Xero!$E:$E,Heron!$A97)</f>
        <v>0</v>
      </c>
      <c r="M97" s="99">
        <f>SUMIFS(Xero!$F:$F,Xero!$B:$B,Heron!M$9,Xero!$A:$A,Heron!$A$4,Xero!$E:$E,Heron!$A97)+SUMIFS(Xero!$F:$F,Xero!$B:$B,Heron!M$9,Xero!$A:$A,Heron!$A$5,Xero!$E:$E,Heron!$A97)</f>
        <v>0</v>
      </c>
      <c r="N97" s="99">
        <f>SUMIFS(Xero!$F:$F,Xero!$B:$B,Heron!N$9,Xero!$A:$A,Heron!$A$4,Xero!$E:$E,Heron!$A97)+SUMIFS(Xero!$F:$F,Xero!$B:$B,Heron!N$9,Xero!$A:$A,Heron!$A$5,Xero!$E:$E,Heron!$A97)</f>
        <v>0</v>
      </c>
      <c r="O97" s="99">
        <f>SUMIFS(Xero!$F:$F,Xero!$B:$B,Heron!O$9,Xero!$A:$A,Heron!$A$4,Xero!$E:$E,Heron!$A97)+SUMIFS(Xero!$F:$F,Xero!$B:$B,Heron!O$9,Xero!$A:$A,Heron!$A$5,Xero!$E:$E,Heron!$A97)</f>
        <v>0</v>
      </c>
      <c r="P97" s="99">
        <f>SUMIFS(Xero!$F:$F,Xero!$B:$B,Heron!P$9,Xero!$A:$A,Heron!$A$4,Xero!$E:$E,Heron!$A97)+SUMIFS(Xero!$F:$F,Xero!$B:$B,Heron!P$9,Xero!$A:$A,Heron!$A$5,Xero!$E:$E,Heron!$A97)</f>
        <v>0</v>
      </c>
      <c r="Q97" s="99">
        <f>SUMIFS(Xero!$F:$F,Xero!$B:$B,Heron!Q$9,Xero!$A:$A,Heron!$A$4,Xero!$E:$E,Heron!$A97)+SUMIFS(Xero!$F:$F,Xero!$B:$B,Heron!Q$9,Xero!$A:$A,Heron!$A$5,Xero!$E:$E,Heron!$A97)</f>
        <v>0</v>
      </c>
      <c r="R97" s="99">
        <f>SUMIFS(Xero!$F:$F,Xero!$B:$B,Heron!R$9,Xero!$A:$A,Heron!$A$4,Xero!$E:$E,Heron!$A97)+SUMIFS(Xero!$F:$F,Xero!$B:$B,Heron!R$9,Xero!$A:$A,Heron!$A$5,Xero!$E:$E,Heron!$A97)</f>
        <v>0</v>
      </c>
      <c r="S97" s="99">
        <f>SUMIFS(Xero!$F:$F,Xero!$B:$B,Heron!S$9,Xero!$A:$A,Heron!$A$4,Xero!$E:$E,Heron!$A97)+SUMIFS(Xero!$F:$F,Xero!$B:$B,Heron!S$9,Xero!$A:$A,Heron!$A$5,Xero!$E:$E,Heron!$A97)</f>
        <v>0</v>
      </c>
      <c r="T97" s="99">
        <f>SUMIFS(Xero!$F:$F,Xero!$B:$B,Heron!T$9,Xero!$A:$A,Heron!$A$4,Xero!$E:$E,Heron!$A97)+SUMIFS(Xero!$F:$F,Xero!$B:$B,Heron!T$9,Xero!$A:$A,Heron!$A$5,Xero!$E:$E,Heron!$A97)</f>
        <v>0</v>
      </c>
      <c r="U97" s="99">
        <f>SUMIFS(Xero!$F:$F,Xero!$B:$B,Heron!U$9,Xero!$A:$A,Heron!$A$4,Xero!$E:$E,Heron!$A97)+SUMIFS(Xero!$F:$F,Xero!$B:$B,Heron!U$9,Xero!$A:$A,Heron!$A$5,Xero!$E:$E,Heron!$A97)</f>
        <v>0</v>
      </c>
      <c r="V97" s="99">
        <f>SUMIFS(Xero!$F:$F,Xero!$B:$B,Heron!V$9,Xero!$A:$A,Heron!$A$4,Xero!$E:$E,Heron!$A97)+SUMIFS(Xero!$F:$F,Xero!$B:$B,Heron!V$9,Xero!$A:$A,Heron!$A$5,Xero!$E:$E,Heron!$A97)</f>
        <v>4347.83</v>
      </c>
      <c r="W97" s="99">
        <f>SUMIFS(Xero!$F:$F,Xero!$B:$B,Heron!W$9,Xero!$A:$A,Heron!$A$4,Xero!$E:$E,Heron!$A97)+SUMIFS(Xero!$F:$F,Xero!$B:$B,Heron!W$9,Xero!$A:$A,Heron!$A$5,Xero!$E:$E,Heron!$A97)</f>
        <v>18372.16</v>
      </c>
      <c r="X97" s="99">
        <f>SUMIFS(Xero!$F:$F,Xero!$B:$B,Heron!X$9,Xero!$A:$A,Heron!$A$4,Xero!$E:$E,Heron!$A97)+SUMIFS(Xero!$F:$F,Xero!$B:$B,Heron!X$9,Xero!$A:$A,Heron!$A$5,Xero!$E:$E,Heron!$A97)</f>
        <v>0</v>
      </c>
      <c r="Y97" s="99">
        <f>SUMIFS(Xero!$F:$F,Xero!$B:$B,Heron!Y$9,Xero!$A:$A,Heron!$A$4,Xero!$E:$E,Heron!$A97)+SUMIFS(Xero!$F:$F,Xero!$B:$B,Heron!Y$9,Xero!$A:$A,Heron!$A$5,Xero!$E:$E,Heron!$A97)</f>
        <v>0</v>
      </c>
      <c r="Z97" s="99">
        <f>SUMIFS(Xero!$F:$F,Xero!$B:$B,Heron!Z$9,Xero!$A:$A,Heron!$A$4,Xero!$E:$E,Heron!$A97)+SUMIFS(Xero!$F:$F,Xero!$B:$B,Heron!Z$9,Xero!$A:$A,Heron!$A$5,Xero!$E:$E,Heron!$A97)</f>
        <v>0</v>
      </c>
      <c r="AA97" s="99">
        <f>SUMIFS(Xero!$F:$F,Xero!$B:$B,Heron!AA$9,Xero!$A:$A,Heron!$A$4,Xero!$E:$E,Heron!$A97)+SUMIFS(Xero!$F:$F,Xero!$B:$B,Heron!AA$9,Xero!$A:$A,Heron!$A$5,Xero!$E:$E,Heron!$A97)</f>
        <v>0</v>
      </c>
      <c r="AB97" s="99">
        <f>SUMIFS(Xero!$F:$F,Xero!$B:$B,Heron!AB$9,Xero!$A:$A,Heron!$A$4,Xero!$E:$E,Heron!$A97)+SUMIFS(Xero!$F:$F,Xero!$B:$B,Heron!AB$9,Xero!$A:$A,Heron!$A$5,Xero!$E:$E,Heron!$A97)</f>
        <v>0</v>
      </c>
      <c r="AC97" s="99">
        <f>SUMIFS(Xero!$F:$F,Xero!$B:$B,Heron!AC$9,Xero!$A:$A,Heron!$A$4,Xero!$E:$E,Heron!$A97)+SUMIFS(Xero!$F:$F,Xero!$B:$B,Heron!AC$9,Xero!$A:$A,Heron!$A$5,Xero!$E:$E,Heron!$A97)</f>
        <v>0</v>
      </c>
      <c r="AD97" s="99">
        <f>SUMIFS(Xero!$F:$F,Xero!$B:$B,Heron!AD$9,Xero!$A:$A,Heron!$A$4,Xero!$E:$E,Heron!$A97)+SUMIFS(Xero!$F:$F,Xero!$B:$B,Heron!AD$9,Xero!$A:$A,Heron!$A$5,Xero!$E:$E,Heron!$A97)</f>
        <v>0</v>
      </c>
      <c r="AE97" s="99">
        <f>SUMIFS(Xero!$F:$F,Xero!$B:$B,Heron!AE$9,Xero!$A:$A,Heron!$A$4,Xero!$E:$E,Heron!$A97)+SUMIFS(Xero!$F:$F,Xero!$B:$B,Heron!AE$9,Xero!$A:$A,Heron!$A$5,Xero!$E:$E,Heron!$A97)</f>
        <v>0</v>
      </c>
      <c r="AF97" s="99">
        <f>SUMIFS(Xero!$F:$F,Xero!$B:$B,Heron!AF$9,Xero!$A:$A,Heron!$A$4,Xero!$E:$E,Heron!$A97)+SUMIFS(Xero!$F:$F,Xero!$B:$B,Heron!AF$9,Xero!$A:$A,Heron!$A$5,Xero!$E:$E,Heron!$A97)</f>
        <v>33647.279999999999</v>
      </c>
      <c r="AG97" s="99">
        <f>SUMIFS(Xero!$F:$F,Xero!$B:$B,Heron!AG$9,Xero!$A:$A,Heron!$A$4,Xero!$E:$E,Heron!$A97)+SUMIFS(Xero!$F:$F,Xero!$B:$B,Heron!AG$9,Xero!$A:$A,Heron!$A$5,Xero!$E:$E,Heron!$A97)</f>
        <v>0</v>
      </c>
      <c r="AH97" s="99">
        <f>SUMIFS(Xero!$F:$F,Xero!$B:$B,Heron!AH$9,Xero!$A:$A,Heron!$A$4,Xero!$E:$E,Heron!$A97)+SUMIFS(Xero!$F:$F,Xero!$B:$B,Heron!AH$9,Xero!$A:$A,Heron!$A$5,Xero!$E:$E,Heron!$A97)</f>
        <v>16566.560000000001</v>
      </c>
      <c r="AI97" s="99">
        <f>SUMIFS(Xero!$F:$F,Xero!$B:$B,Heron!AI$9,Xero!$A:$A,Heron!$A$4,Xero!$E:$E,Heron!$A97)+SUMIFS(Xero!$F:$F,Xero!$B:$B,Heron!AI$9,Xero!$A:$A,Heron!$A$5,Xero!$E:$E,Heron!$A97)</f>
        <v>-103.07000000000005</v>
      </c>
      <c r="AJ97" s="99">
        <f>SUMIFS(Xero!$F:$F,Xero!$B:$B,Heron!AJ$9,Xero!$A:$A,Heron!$A$4,Xero!$E:$E,Heron!$A97)+SUMIFS(Xero!$F:$F,Xero!$B:$B,Heron!AJ$9,Xero!$A:$A,Heron!$A$5,Xero!$E:$E,Heron!$A97)</f>
        <v>0</v>
      </c>
      <c r="AK97" s="99">
        <f>SUMIFS(Xero!$F:$F,Xero!$B:$B,Heron!AK$9,Xero!$A:$A,Heron!$A$4,Xero!$E:$E,Heron!$A97)+SUMIFS(Xero!$F:$F,Xero!$B:$B,Heron!AK$9,Xero!$A:$A,Heron!$A$5,Xero!$E:$E,Heron!$A97)</f>
        <v>0</v>
      </c>
      <c r="AL97" s="99">
        <f>SUMIFS(Xero!$F:$F,Xero!$B:$B,Heron!AL$9,Xero!$A:$A,Heron!$A$4,Xero!$E:$E,Heron!$A97)+SUMIFS(Xero!$F:$F,Xero!$B:$B,Heron!AL$9,Xero!$A:$A,Heron!$A$5,Xero!$E:$E,Heron!$A97)</f>
        <v>7583.63</v>
      </c>
      <c r="AM97" s="99">
        <f>SUMIFS(Xero!$F:$F,Xero!$B:$B,Heron!AM$9,Xero!$A:$A,Heron!$A$4,Xero!$E:$E,Heron!$A97)+SUMIFS(Xero!$F:$F,Xero!$B:$B,Heron!AM$9,Xero!$A:$A,Heron!$A$5,Xero!$E:$E,Heron!$A97)</f>
        <v>0</v>
      </c>
      <c r="AN97" s="99">
        <f>SUMIFS(Xero!$F:$F,Xero!$B:$B,Heron!AN$9,Xero!$A:$A,Heron!$A$4,Xero!$E:$E,Heron!$A97)+SUMIFS(Xero!$F:$F,Xero!$B:$B,Heron!AN$9,Xero!$A:$A,Heron!$A$5,Xero!$E:$E,Heron!$A97)</f>
        <v>0</v>
      </c>
      <c r="AO97" s="99">
        <f>SUMIFS(Xero!$F:$F,Xero!$B:$B,Heron!AO$9,Xero!$A:$A,Heron!$A$4,Xero!$E:$E,Heron!$A97)+SUMIFS(Xero!$F:$F,Xero!$B:$B,Heron!AO$9,Xero!$A:$A,Heron!$A$5,Xero!$E:$E,Heron!$A97)</f>
        <v>0</v>
      </c>
      <c r="AP97" s="99">
        <f>SUMIFS(Xero!$F:$F,Xero!$B:$B,Heron!AP$9,Xero!$A:$A,Heron!$A$4,Xero!$E:$E,Heron!$A97)+SUMIFS(Xero!$F:$F,Xero!$B:$B,Heron!AP$9,Xero!$A:$A,Heron!$A$5,Xero!$E:$E,Heron!$A97)</f>
        <v>0</v>
      </c>
      <c r="AQ97" s="99">
        <f>SUMIFS(Xero!$F:$F,Xero!$B:$B,Heron!AQ$9,Xero!$A:$A,Heron!$A$4,Xero!$E:$E,Heron!$A97)+SUMIFS(Xero!$F:$F,Xero!$B:$B,Heron!AQ$9,Xero!$A:$A,Heron!$A$5,Xero!$E:$E,Heron!$A97)</f>
        <v>2815.04</v>
      </c>
      <c r="AR97" s="99">
        <f>SUMIFS(Xero!$F:$F,Xero!$B:$B,Heron!AR$9,Xero!$A:$A,Heron!$A$4,Xero!$E:$E,Heron!$A97)+SUMIFS(Xero!$F:$F,Xero!$B:$B,Heron!AR$9,Xero!$A:$A,Heron!$A$5,Xero!$E:$E,Heron!$A97)</f>
        <v>0</v>
      </c>
      <c r="AS97" s="99">
        <f>SUMIFS(Xero!$F:$F,Xero!$B:$B,Heron!AS$9,Xero!$A:$A,Heron!$A$4,Xero!$E:$E,Heron!$A97)+SUMIFS(Xero!$F:$F,Xero!$B:$B,Heron!AS$9,Xero!$A:$A,Heron!$A$5,Xero!$E:$E,Heron!$A97)</f>
        <v>0</v>
      </c>
      <c r="AT97" s="99">
        <f>SUMIFS(Xero!$F:$F,Xero!$B:$B,Heron!AT$9,Xero!$A:$A,Heron!$A$4,Xero!$E:$E,Heron!$A97)+SUMIFS(Xero!$F:$F,Xero!$B:$B,Heron!AT$9,Xero!$A:$A,Heron!$A$5,Xero!$E:$E,Heron!$A97)</f>
        <v>0</v>
      </c>
      <c r="AU97" s="99">
        <f>SUMIFS(Xero!$F:$F,Xero!$B:$B,Heron!AU$9,Xero!$A:$A,Heron!$A$4,Xero!$E:$E,Heron!$A97)+SUMIFS(Xero!$F:$F,Xero!$B:$B,Heron!AU$9,Xero!$A:$A,Heron!$A$5,Xero!$E:$E,Heron!$A97)</f>
        <v>0</v>
      </c>
      <c r="AV97" s="99">
        <f>SUMIFS(Xero!$F:$F,Xero!$B:$B,Heron!AV$9,Xero!$A:$A,Heron!$A$4,Xero!$E:$E,Heron!$A97)+SUMIFS(Xero!$F:$F,Xero!$B:$B,Heron!AV$9,Xero!$A:$A,Heron!$A$5,Xero!$E:$E,Heron!$A97)</f>
        <v>0</v>
      </c>
      <c r="AW97" s="99">
        <f>SUMIFS(Xero!$F:$F,Xero!$B:$B,Heron!AW$9,Xero!$A:$A,Heron!$A$4,Xero!$E:$E,Heron!$A97)+SUMIFS(Xero!$F:$F,Xero!$B:$B,Heron!AW$9,Xero!$A:$A,Heron!$A$5,Xero!$E:$E,Heron!$A97)</f>
        <v>0</v>
      </c>
      <c r="AX97" s="99">
        <f>SUMIFS(Xero!$F:$F,Xero!$B:$B,Heron!AX$9,Xero!$A:$A,Heron!$A$4,Xero!$E:$E,Heron!$A97)+SUMIFS(Xero!$F:$F,Xero!$B:$B,Heron!AX$9,Xero!$A:$A,Heron!$A$5,Xero!$E:$E,Heron!$A97)</f>
        <v>0</v>
      </c>
      <c r="AY97" s="99">
        <f>SUMIFS(Xero!$F:$F,Xero!$B:$B,Heron!AY$9,Xero!$A:$A,Heron!$A$4,Xero!$E:$E,Heron!$A97)+SUMIFS(Xero!$F:$F,Xero!$B:$B,Heron!AY$9,Xero!$A:$A,Heron!$A$5,Xero!$E:$E,Heron!$A97)</f>
        <v>0</v>
      </c>
      <c r="AZ97" s="99">
        <f>SUMIFS(Xero!$F:$F,Xero!$B:$B,Heron!AZ$9,Xero!$A:$A,Heron!$A$4,Xero!$E:$E,Heron!$A97)+SUMIFS(Xero!$F:$F,Xero!$B:$B,Heron!AZ$9,Xero!$A:$A,Heron!$A$5,Xero!$E:$E,Heron!$A97)</f>
        <v>0</v>
      </c>
      <c r="BA97" s="99">
        <f>SUMIFS(Xero!$F:$F,Xero!$B:$B,Heron!BA$9,Xero!$A:$A,Heron!$A$4,Xero!$E:$E,Heron!$A97)+SUMIFS(Xero!$F:$F,Xero!$B:$B,Heron!BA$9,Xero!$A:$A,Heron!$A$5,Xero!$E:$E,Heron!$A97)</f>
        <v>0</v>
      </c>
      <c r="BB97" s="99">
        <f>SUMIFS(Xero!$F:$F,Xero!$B:$B,Heron!BB$9,Xero!$A:$A,Heron!$A$4,Xero!$E:$E,Heron!$A97)+SUMIFS(Xero!$F:$F,Xero!$B:$B,Heron!BB$9,Xero!$A:$A,Heron!$A$5,Xero!$E:$E,Heron!$A97)</f>
        <v>0</v>
      </c>
      <c r="BC97" s="99">
        <f>SUMIFS(Xero!$F:$F,Xero!$B:$B,Heron!BC$9,Xero!$A:$A,Heron!$A$4,Xero!$E:$E,Heron!$A97)+SUMIFS(Xero!$F:$F,Xero!$B:$B,Heron!BC$9,Xero!$A:$A,Heron!$A$5,Xero!$E:$E,Heron!$A97)</f>
        <v>0</v>
      </c>
      <c r="BD97" s="99">
        <f>SUMIFS(Xero!$F:$F,Xero!$B:$B,Heron!BD$9,Xero!$A:$A,Heron!$A$4,Xero!$E:$E,Heron!$A97)+SUMIFS(Xero!$F:$F,Xero!$B:$B,Heron!BD$9,Xero!$A:$A,Heron!$A$5,Xero!$E:$E,Heron!$A97)</f>
        <v>0</v>
      </c>
      <c r="BE97" s="99">
        <f>SUMIFS(Xero!$F:$F,Xero!$B:$B,Heron!BE$9,Xero!$A:$A,Heron!$A$4,Xero!$E:$E,Heron!$A97)+SUMIFS(Xero!$F:$F,Xero!$B:$B,Heron!BE$9,Xero!$A:$A,Heron!$A$5,Xero!$E:$E,Heron!$A97)</f>
        <v>0</v>
      </c>
      <c r="BF97" s="99">
        <f>SUMIFS(Xero!$F:$F,Xero!$B:$B,Heron!BF$9,Xero!$A:$A,Heron!$A$4,Xero!$E:$E,Heron!$A97)+SUMIFS(Xero!$F:$F,Xero!$B:$B,Heron!BF$9,Xero!$A:$A,Heron!$A$5,Xero!$E:$E,Heron!$A97)</f>
        <v>0</v>
      </c>
      <c r="BG97" s="99">
        <f>SUMIFS(Xero!$F:$F,Xero!$B:$B,Heron!BG$9,Xero!$A:$A,Heron!$A$4,Xero!$E:$E,Heron!$A97)+SUMIFS(Xero!$F:$F,Xero!$B:$B,Heron!BG$9,Xero!$A:$A,Heron!$A$5,Xero!$E:$E,Heron!$A97)</f>
        <v>0</v>
      </c>
      <c r="BH97" s="99">
        <f>SUMIFS(Xero!$F:$F,Xero!$B:$B,Heron!BH$9,Xero!$A:$A,Heron!$A$4,Xero!$E:$E,Heron!$A97)+SUMIFS(Xero!$F:$F,Xero!$B:$B,Heron!BH$9,Xero!$A:$A,Heron!$A$5,Xero!$E:$E,Heron!$A97)</f>
        <v>0</v>
      </c>
      <c r="BI97" s="99">
        <f>SUMIFS(Xero!$F:$F,Xero!$B:$B,Heron!BI$9,Xero!$A:$A,Heron!$A$4,Xero!$E:$E,Heron!$A97)+SUMIFS(Xero!$F:$F,Xero!$B:$B,Heron!BI$9,Xero!$A:$A,Heron!$A$5,Xero!$E:$E,Heron!$A97)</f>
        <v>0</v>
      </c>
      <c r="BJ97" s="99">
        <f>SUMIFS(Xero!$F:$F,Xero!$B:$B,Heron!BJ$9,Xero!$A:$A,Heron!$A$4,Xero!$E:$E,Heron!$A97)+SUMIFS(Xero!$F:$F,Xero!$B:$B,Heron!BJ$9,Xero!$A:$A,Heron!$A$5,Xero!$E:$E,Heron!$A97)</f>
        <v>0</v>
      </c>
      <c r="BK97" s="99">
        <f t="shared" ref="BK97:BK128" si="6">SUM(D97:BJ97)</f>
        <v>83479.429999999993</v>
      </c>
    </row>
    <row r="98" spans="1:63" ht="16" x14ac:dyDescent="0.2">
      <c r="A98" s="98" t="s">
        <v>1171</v>
      </c>
      <c r="D98" s="99">
        <f>SUMIFS(Xero!$F:$F,Xero!$B:$B,Heron!D$9,Xero!$A:$A,Heron!$A$4,Xero!$E:$E,Heron!$A98)+SUMIFS(Xero!$F:$F,Xero!$B:$B,Heron!D$9,Xero!$A:$A,Heron!$A$5,Xero!$E:$E,Heron!$A98)</f>
        <v>100</v>
      </c>
      <c r="E98" s="99">
        <f>SUMIFS(Xero!$F:$F,Xero!$B:$B,Heron!E$9,Xero!$A:$A,Heron!$A$4,Xero!$E:$E,Heron!$A98)+SUMIFS(Xero!$F:$F,Xero!$B:$B,Heron!E$9,Xero!$A:$A,Heron!$A$5,Xero!$E:$E,Heron!$A98)</f>
        <v>0</v>
      </c>
      <c r="F98" s="99">
        <f>SUMIFS(Xero!$F:$F,Xero!$B:$B,Heron!F$9,Xero!$A:$A,Heron!$A$4,Xero!$E:$E,Heron!$A98)+SUMIFS(Xero!$F:$F,Xero!$B:$B,Heron!F$9,Xero!$A:$A,Heron!$A$5,Xero!$E:$E,Heron!$A98)</f>
        <v>0</v>
      </c>
      <c r="G98" s="99">
        <f>SUMIFS(Xero!$F:$F,Xero!$B:$B,Heron!G$9,Xero!$A:$A,Heron!$A$4,Xero!$E:$E,Heron!$A98)+SUMIFS(Xero!$F:$F,Xero!$B:$B,Heron!G$9,Xero!$A:$A,Heron!$A$5,Xero!$E:$E,Heron!$A98)</f>
        <v>2000</v>
      </c>
      <c r="H98" s="99">
        <f>SUMIFS(Xero!$F:$F,Xero!$B:$B,Heron!H$9,Xero!$A:$A,Heron!$A$4,Xero!$E:$E,Heron!$A98)+SUMIFS(Xero!$F:$F,Xero!$B:$B,Heron!H$9,Xero!$A:$A,Heron!$A$5,Xero!$E:$E,Heron!$A98)</f>
        <v>0</v>
      </c>
      <c r="I98" s="99">
        <f>SUMIFS(Xero!$F:$F,Xero!$B:$B,Heron!I$9,Xero!$A:$A,Heron!$A$4,Xero!$E:$E,Heron!$A98)+SUMIFS(Xero!$F:$F,Xero!$B:$B,Heron!I$9,Xero!$A:$A,Heron!$A$5,Xero!$E:$E,Heron!$A98)</f>
        <v>0</v>
      </c>
      <c r="J98" s="99">
        <f>SUMIFS(Xero!$F:$F,Xero!$B:$B,Heron!J$9,Xero!$A:$A,Heron!$A$4,Xero!$E:$E,Heron!$A98)+SUMIFS(Xero!$F:$F,Xero!$B:$B,Heron!J$9,Xero!$A:$A,Heron!$A$5,Xero!$E:$E,Heron!$A98)</f>
        <v>14900</v>
      </c>
      <c r="K98" s="99">
        <f>SUMIFS(Xero!$F:$F,Xero!$B:$B,Heron!K$9,Xero!$A:$A,Heron!$A$4,Xero!$E:$E,Heron!$A98)+SUMIFS(Xero!$F:$F,Xero!$B:$B,Heron!K$9,Xero!$A:$A,Heron!$A$5,Xero!$E:$E,Heron!$A98)</f>
        <v>0</v>
      </c>
      <c r="L98" s="99">
        <f>SUMIFS(Xero!$F:$F,Xero!$B:$B,Heron!L$9,Xero!$A:$A,Heron!$A$4,Xero!$E:$E,Heron!$A98)+SUMIFS(Xero!$F:$F,Xero!$B:$B,Heron!L$9,Xero!$A:$A,Heron!$A$5,Xero!$E:$E,Heron!$A98)</f>
        <v>0</v>
      </c>
      <c r="M98" s="99">
        <f>SUMIFS(Xero!$F:$F,Xero!$B:$B,Heron!M$9,Xero!$A:$A,Heron!$A$4,Xero!$E:$E,Heron!$A98)+SUMIFS(Xero!$F:$F,Xero!$B:$B,Heron!M$9,Xero!$A:$A,Heron!$A$5,Xero!$E:$E,Heron!$A98)</f>
        <v>0</v>
      </c>
      <c r="N98" s="99">
        <f>SUMIFS(Xero!$F:$F,Xero!$B:$B,Heron!N$9,Xero!$A:$A,Heron!$A$4,Xero!$E:$E,Heron!$A98)+SUMIFS(Xero!$F:$F,Xero!$B:$B,Heron!N$9,Xero!$A:$A,Heron!$A$5,Xero!$E:$E,Heron!$A98)</f>
        <v>0</v>
      </c>
      <c r="O98" s="99">
        <f>SUMIFS(Xero!$F:$F,Xero!$B:$B,Heron!O$9,Xero!$A:$A,Heron!$A$4,Xero!$E:$E,Heron!$A98)+SUMIFS(Xero!$F:$F,Xero!$B:$B,Heron!O$9,Xero!$A:$A,Heron!$A$5,Xero!$E:$E,Heron!$A98)</f>
        <v>0</v>
      </c>
      <c r="P98" s="99">
        <f>SUMIFS(Xero!$F:$F,Xero!$B:$B,Heron!P$9,Xero!$A:$A,Heron!$A$4,Xero!$E:$E,Heron!$A98)+SUMIFS(Xero!$F:$F,Xero!$B:$B,Heron!P$9,Xero!$A:$A,Heron!$A$5,Xero!$E:$E,Heron!$A98)</f>
        <v>0</v>
      </c>
      <c r="Q98" s="99">
        <f>SUMIFS(Xero!$F:$F,Xero!$B:$B,Heron!Q$9,Xero!$A:$A,Heron!$A$4,Xero!$E:$E,Heron!$A98)+SUMIFS(Xero!$F:$F,Xero!$B:$B,Heron!Q$9,Xero!$A:$A,Heron!$A$5,Xero!$E:$E,Heron!$A98)</f>
        <v>0</v>
      </c>
      <c r="R98" s="99">
        <f>SUMIFS(Xero!$F:$F,Xero!$B:$B,Heron!R$9,Xero!$A:$A,Heron!$A$4,Xero!$E:$E,Heron!$A98)+SUMIFS(Xero!$F:$F,Xero!$B:$B,Heron!R$9,Xero!$A:$A,Heron!$A$5,Xero!$E:$E,Heron!$A98)</f>
        <v>0</v>
      </c>
      <c r="S98" s="99">
        <f>SUMIFS(Xero!$F:$F,Xero!$B:$B,Heron!S$9,Xero!$A:$A,Heron!$A$4,Xero!$E:$E,Heron!$A98)+SUMIFS(Xero!$F:$F,Xero!$B:$B,Heron!S$9,Xero!$A:$A,Heron!$A$5,Xero!$E:$E,Heron!$A98)</f>
        <v>0</v>
      </c>
      <c r="T98" s="99">
        <f>SUMIFS(Xero!$F:$F,Xero!$B:$B,Heron!T$9,Xero!$A:$A,Heron!$A$4,Xero!$E:$E,Heron!$A98)+SUMIFS(Xero!$F:$F,Xero!$B:$B,Heron!T$9,Xero!$A:$A,Heron!$A$5,Xero!$E:$E,Heron!$A98)</f>
        <v>0</v>
      </c>
      <c r="U98" s="99">
        <f>SUMIFS(Xero!$F:$F,Xero!$B:$B,Heron!U$9,Xero!$A:$A,Heron!$A$4,Xero!$E:$E,Heron!$A98)+SUMIFS(Xero!$F:$F,Xero!$B:$B,Heron!U$9,Xero!$A:$A,Heron!$A$5,Xero!$E:$E,Heron!$A98)</f>
        <v>0</v>
      </c>
      <c r="V98" s="99">
        <f>SUMIFS(Xero!$F:$F,Xero!$B:$B,Heron!V$9,Xero!$A:$A,Heron!$A$4,Xero!$E:$E,Heron!$A98)+SUMIFS(Xero!$F:$F,Xero!$B:$B,Heron!V$9,Xero!$A:$A,Heron!$A$5,Xero!$E:$E,Heron!$A98)</f>
        <v>0</v>
      </c>
      <c r="W98" s="99">
        <f>SUMIFS(Xero!$F:$F,Xero!$B:$B,Heron!W$9,Xero!$A:$A,Heron!$A$4,Xero!$E:$E,Heron!$A98)+SUMIFS(Xero!$F:$F,Xero!$B:$B,Heron!W$9,Xero!$A:$A,Heron!$A$5,Xero!$E:$E,Heron!$A98)</f>
        <v>0</v>
      </c>
      <c r="X98" s="99">
        <f>SUMIFS(Xero!$F:$F,Xero!$B:$B,Heron!X$9,Xero!$A:$A,Heron!$A$4,Xero!$E:$E,Heron!$A98)+SUMIFS(Xero!$F:$F,Xero!$B:$B,Heron!X$9,Xero!$A:$A,Heron!$A$5,Xero!$E:$E,Heron!$A98)</f>
        <v>0</v>
      </c>
      <c r="Y98" s="99">
        <f>SUMIFS(Xero!$F:$F,Xero!$B:$B,Heron!Y$9,Xero!$A:$A,Heron!$A$4,Xero!$E:$E,Heron!$A98)+SUMIFS(Xero!$F:$F,Xero!$B:$B,Heron!Y$9,Xero!$A:$A,Heron!$A$5,Xero!$E:$E,Heron!$A98)</f>
        <v>0</v>
      </c>
      <c r="Z98" s="99">
        <f>SUMIFS(Xero!$F:$F,Xero!$B:$B,Heron!Z$9,Xero!$A:$A,Heron!$A$4,Xero!$E:$E,Heron!$A98)+SUMIFS(Xero!$F:$F,Xero!$B:$B,Heron!Z$9,Xero!$A:$A,Heron!$A$5,Xero!$E:$E,Heron!$A98)</f>
        <v>0</v>
      </c>
      <c r="AA98" s="99">
        <f>SUMIFS(Xero!$F:$F,Xero!$B:$B,Heron!AA$9,Xero!$A:$A,Heron!$A$4,Xero!$E:$E,Heron!$A98)+SUMIFS(Xero!$F:$F,Xero!$B:$B,Heron!AA$9,Xero!$A:$A,Heron!$A$5,Xero!$E:$E,Heron!$A98)</f>
        <v>0</v>
      </c>
      <c r="AB98" s="99">
        <f>SUMIFS(Xero!$F:$F,Xero!$B:$B,Heron!AB$9,Xero!$A:$A,Heron!$A$4,Xero!$E:$E,Heron!$A98)+SUMIFS(Xero!$F:$F,Xero!$B:$B,Heron!AB$9,Xero!$A:$A,Heron!$A$5,Xero!$E:$E,Heron!$A98)</f>
        <v>0</v>
      </c>
      <c r="AC98" s="99">
        <f>SUMIFS(Xero!$F:$F,Xero!$B:$B,Heron!AC$9,Xero!$A:$A,Heron!$A$4,Xero!$E:$E,Heron!$A98)+SUMIFS(Xero!$F:$F,Xero!$B:$B,Heron!AC$9,Xero!$A:$A,Heron!$A$5,Xero!$E:$E,Heron!$A98)</f>
        <v>0</v>
      </c>
      <c r="AD98" s="99">
        <f>SUMIFS(Xero!$F:$F,Xero!$B:$B,Heron!AD$9,Xero!$A:$A,Heron!$A$4,Xero!$E:$E,Heron!$A98)+SUMIFS(Xero!$F:$F,Xero!$B:$B,Heron!AD$9,Xero!$A:$A,Heron!$A$5,Xero!$E:$E,Heron!$A98)</f>
        <v>0</v>
      </c>
      <c r="AE98" s="99">
        <f>SUMIFS(Xero!$F:$F,Xero!$B:$B,Heron!AE$9,Xero!$A:$A,Heron!$A$4,Xero!$E:$E,Heron!$A98)+SUMIFS(Xero!$F:$F,Xero!$B:$B,Heron!AE$9,Xero!$A:$A,Heron!$A$5,Xero!$E:$E,Heron!$A98)</f>
        <v>0</v>
      </c>
      <c r="AF98" s="99">
        <f>SUMIFS(Xero!$F:$F,Xero!$B:$B,Heron!AF$9,Xero!$A:$A,Heron!$A$4,Xero!$E:$E,Heron!$A98)+SUMIFS(Xero!$F:$F,Xero!$B:$B,Heron!AF$9,Xero!$A:$A,Heron!$A$5,Xero!$E:$E,Heron!$A98)</f>
        <v>0</v>
      </c>
      <c r="AG98" s="99">
        <f>SUMIFS(Xero!$F:$F,Xero!$B:$B,Heron!AG$9,Xero!$A:$A,Heron!$A$4,Xero!$E:$E,Heron!$A98)+SUMIFS(Xero!$F:$F,Xero!$B:$B,Heron!AG$9,Xero!$A:$A,Heron!$A$5,Xero!$E:$E,Heron!$A98)</f>
        <v>0</v>
      </c>
      <c r="AH98" s="99">
        <f>SUMIFS(Xero!$F:$F,Xero!$B:$B,Heron!AH$9,Xero!$A:$A,Heron!$A$4,Xero!$E:$E,Heron!$A98)+SUMIFS(Xero!$F:$F,Xero!$B:$B,Heron!AH$9,Xero!$A:$A,Heron!$A$5,Xero!$E:$E,Heron!$A98)</f>
        <v>0</v>
      </c>
      <c r="AI98" s="99">
        <f>SUMIFS(Xero!$F:$F,Xero!$B:$B,Heron!AI$9,Xero!$A:$A,Heron!$A$4,Xero!$E:$E,Heron!$A98)+SUMIFS(Xero!$F:$F,Xero!$B:$B,Heron!AI$9,Xero!$A:$A,Heron!$A$5,Xero!$E:$E,Heron!$A98)</f>
        <v>0</v>
      </c>
      <c r="AJ98" s="99">
        <f>SUMIFS(Xero!$F:$F,Xero!$B:$B,Heron!AJ$9,Xero!$A:$A,Heron!$A$4,Xero!$E:$E,Heron!$A98)+SUMIFS(Xero!$F:$F,Xero!$B:$B,Heron!AJ$9,Xero!$A:$A,Heron!$A$5,Xero!$E:$E,Heron!$A98)</f>
        <v>0</v>
      </c>
      <c r="AK98" s="99">
        <f>SUMIFS(Xero!$F:$F,Xero!$B:$B,Heron!AK$9,Xero!$A:$A,Heron!$A$4,Xero!$E:$E,Heron!$A98)+SUMIFS(Xero!$F:$F,Xero!$B:$B,Heron!AK$9,Xero!$A:$A,Heron!$A$5,Xero!$E:$E,Heron!$A98)</f>
        <v>0</v>
      </c>
      <c r="AL98" s="99">
        <f>SUMIFS(Xero!$F:$F,Xero!$B:$B,Heron!AL$9,Xero!$A:$A,Heron!$A$4,Xero!$E:$E,Heron!$A98)+SUMIFS(Xero!$F:$F,Xero!$B:$B,Heron!AL$9,Xero!$A:$A,Heron!$A$5,Xero!$E:$E,Heron!$A98)</f>
        <v>0</v>
      </c>
      <c r="AM98" s="99">
        <f>SUMIFS(Xero!$F:$F,Xero!$B:$B,Heron!AM$9,Xero!$A:$A,Heron!$A$4,Xero!$E:$E,Heron!$A98)+SUMIFS(Xero!$F:$F,Xero!$B:$B,Heron!AM$9,Xero!$A:$A,Heron!$A$5,Xero!$E:$E,Heron!$A98)</f>
        <v>0</v>
      </c>
      <c r="AN98" s="99">
        <f>SUMIFS(Xero!$F:$F,Xero!$B:$B,Heron!AN$9,Xero!$A:$A,Heron!$A$4,Xero!$E:$E,Heron!$A98)+SUMIFS(Xero!$F:$F,Xero!$B:$B,Heron!AN$9,Xero!$A:$A,Heron!$A$5,Xero!$E:$E,Heron!$A98)</f>
        <v>0</v>
      </c>
      <c r="AO98" s="99">
        <f>SUMIFS(Xero!$F:$F,Xero!$B:$B,Heron!AO$9,Xero!$A:$A,Heron!$A$4,Xero!$E:$E,Heron!$A98)+SUMIFS(Xero!$F:$F,Xero!$B:$B,Heron!AO$9,Xero!$A:$A,Heron!$A$5,Xero!$E:$E,Heron!$A98)</f>
        <v>0</v>
      </c>
      <c r="AP98" s="99">
        <f>SUMIFS(Xero!$F:$F,Xero!$B:$B,Heron!AP$9,Xero!$A:$A,Heron!$A$4,Xero!$E:$E,Heron!$A98)+SUMIFS(Xero!$F:$F,Xero!$B:$B,Heron!AP$9,Xero!$A:$A,Heron!$A$5,Xero!$E:$E,Heron!$A98)</f>
        <v>0</v>
      </c>
      <c r="AQ98" s="99">
        <f>SUMIFS(Xero!$F:$F,Xero!$B:$B,Heron!AQ$9,Xero!$A:$A,Heron!$A$4,Xero!$E:$E,Heron!$A98)+SUMIFS(Xero!$F:$F,Xero!$B:$B,Heron!AQ$9,Xero!$A:$A,Heron!$A$5,Xero!$E:$E,Heron!$A98)</f>
        <v>0</v>
      </c>
      <c r="AR98" s="99">
        <f>SUMIFS(Xero!$F:$F,Xero!$B:$B,Heron!AR$9,Xero!$A:$A,Heron!$A$4,Xero!$E:$E,Heron!$A98)+SUMIFS(Xero!$F:$F,Xero!$B:$B,Heron!AR$9,Xero!$A:$A,Heron!$A$5,Xero!$E:$E,Heron!$A98)</f>
        <v>0</v>
      </c>
      <c r="AS98" s="99">
        <f>SUMIFS(Xero!$F:$F,Xero!$B:$B,Heron!AS$9,Xero!$A:$A,Heron!$A$4,Xero!$E:$E,Heron!$A98)+SUMIFS(Xero!$F:$F,Xero!$B:$B,Heron!AS$9,Xero!$A:$A,Heron!$A$5,Xero!$E:$E,Heron!$A98)</f>
        <v>0</v>
      </c>
      <c r="AT98" s="99">
        <f>SUMIFS(Xero!$F:$F,Xero!$B:$B,Heron!AT$9,Xero!$A:$A,Heron!$A$4,Xero!$E:$E,Heron!$A98)+SUMIFS(Xero!$F:$F,Xero!$B:$B,Heron!AT$9,Xero!$A:$A,Heron!$A$5,Xero!$E:$E,Heron!$A98)</f>
        <v>0</v>
      </c>
      <c r="AU98" s="99">
        <f>SUMIFS(Xero!$F:$F,Xero!$B:$B,Heron!AU$9,Xero!$A:$A,Heron!$A$4,Xero!$E:$E,Heron!$A98)+SUMIFS(Xero!$F:$F,Xero!$B:$B,Heron!AU$9,Xero!$A:$A,Heron!$A$5,Xero!$E:$E,Heron!$A98)</f>
        <v>0</v>
      </c>
      <c r="AV98" s="99">
        <f>SUMIFS(Xero!$F:$F,Xero!$B:$B,Heron!AV$9,Xero!$A:$A,Heron!$A$4,Xero!$E:$E,Heron!$A98)+SUMIFS(Xero!$F:$F,Xero!$B:$B,Heron!AV$9,Xero!$A:$A,Heron!$A$5,Xero!$E:$E,Heron!$A98)</f>
        <v>0</v>
      </c>
      <c r="AW98" s="99">
        <f>SUMIFS(Xero!$F:$F,Xero!$B:$B,Heron!AW$9,Xero!$A:$A,Heron!$A$4,Xero!$E:$E,Heron!$A98)+SUMIFS(Xero!$F:$F,Xero!$B:$B,Heron!AW$9,Xero!$A:$A,Heron!$A$5,Xero!$E:$E,Heron!$A98)</f>
        <v>0</v>
      </c>
      <c r="AX98" s="99">
        <f>SUMIFS(Xero!$F:$F,Xero!$B:$B,Heron!AX$9,Xero!$A:$A,Heron!$A$4,Xero!$E:$E,Heron!$A98)+SUMIFS(Xero!$F:$F,Xero!$B:$B,Heron!AX$9,Xero!$A:$A,Heron!$A$5,Xero!$E:$E,Heron!$A98)</f>
        <v>0</v>
      </c>
      <c r="AY98" s="99">
        <f>SUMIFS(Xero!$F:$F,Xero!$B:$B,Heron!AY$9,Xero!$A:$A,Heron!$A$4,Xero!$E:$E,Heron!$A98)+SUMIFS(Xero!$F:$F,Xero!$B:$B,Heron!AY$9,Xero!$A:$A,Heron!$A$5,Xero!$E:$E,Heron!$A98)</f>
        <v>0</v>
      </c>
      <c r="AZ98" s="99">
        <f>SUMIFS(Xero!$F:$F,Xero!$B:$B,Heron!AZ$9,Xero!$A:$A,Heron!$A$4,Xero!$E:$E,Heron!$A98)+SUMIFS(Xero!$F:$F,Xero!$B:$B,Heron!AZ$9,Xero!$A:$A,Heron!$A$5,Xero!$E:$E,Heron!$A98)</f>
        <v>0</v>
      </c>
      <c r="BA98" s="99">
        <f>SUMIFS(Xero!$F:$F,Xero!$B:$B,Heron!BA$9,Xero!$A:$A,Heron!$A$4,Xero!$E:$E,Heron!$A98)+SUMIFS(Xero!$F:$F,Xero!$B:$B,Heron!BA$9,Xero!$A:$A,Heron!$A$5,Xero!$E:$E,Heron!$A98)</f>
        <v>0</v>
      </c>
      <c r="BB98" s="99">
        <f>SUMIFS(Xero!$F:$F,Xero!$B:$B,Heron!BB$9,Xero!$A:$A,Heron!$A$4,Xero!$E:$E,Heron!$A98)+SUMIFS(Xero!$F:$F,Xero!$B:$B,Heron!BB$9,Xero!$A:$A,Heron!$A$5,Xero!$E:$E,Heron!$A98)</f>
        <v>0</v>
      </c>
      <c r="BC98" s="99">
        <f>SUMIFS(Xero!$F:$F,Xero!$B:$B,Heron!BC$9,Xero!$A:$A,Heron!$A$4,Xero!$E:$E,Heron!$A98)+SUMIFS(Xero!$F:$F,Xero!$B:$B,Heron!BC$9,Xero!$A:$A,Heron!$A$5,Xero!$E:$E,Heron!$A98)</f>
        <v>0</v>
      </c>
      <c r="BD98" s="99">
        <f>SUMIFS(Xero!$F:$F,Xero!$B:$B,Heron!BD$9,Xero!$A:$A,Heron!$A$4,Xero!$E:$E,Heron!$A98)+SUMIFS(Xero!$F:$F,Xero!$B:$B,Heron!BD$9,Xero!$A:$A,Heron!$A$5,Xero!$E:$E,Heron!$A98)</f>
        <v>0</v>
      </c>
      <c r="BE98" s="99">
        <f>SUMIFS(Xero!$F:$F,Xero!$B:$B,Heron!BE$9,Xero!$A:$A,Heron!$A$4,Xero!$E:$E,Heron!$A98)+SUMIFS(Xero!$F:$F,Xero!$B:$B,Heron!BE$9,Xero!$A:$A,Heron!$A$5,Xero!$E:$E,Heron!$A98)</f>
        <v>0</v>
      </c>
      <c r="BF98" s="99">
        <f>SUMIFS(Xero!$F:$F,Xero!$B:$B,Heron!BF$9,Xero!$A:$A,Heron!$A$4,Xero!$E:$E,Heron!$A98)+SUMIFS(Xero!$F:$F,Xero!$B:$B,Heron!BF$9,Xero!$A:$A,Heron!$A$5,Xero!$E:$E,Heron!$A98)</f>
        <v>0</v>
      </c>
      <c r="BG98" s="99">
        <f>SUMIFS(Xero!$F:$F,Xero!$B:$B,Heron!BG$9,Xero!$A:$A,Heron!$A$4,Xero!$E:$E,Heron!$A98)+SUMIFS(Xero!$F:$F,Xero!$B:$B,Heron!BG$9,Xero!$A:$A,Heron!$A$5,Xero!$E:$E,Heron!$A98)</f>
        <v>0</v>
      </c>
      <c r="BH98" s="99">
        <f>SUMIFS(Xero!$F:$F,Xero!$B:$B,Heron!BH$9,Xero!$A:$A,Heron!$A$4,Xero!$E:$E,Heron!$A98)+SUMIFS(Xero!$F:$F,Xero!$B:$B,Heron!BH$9,Xero!$A:$A,Heron!$A$5,Xero!$E:$E,Heron!$A98)</f>
        <v>0</v>
      </c>
      <c r="BI98" s="99">
        <f>SUMIFS(Xero!$F:$F,Xero!$B:$B,Heron!BI$9,Xero!$A:$A,Heron!$A$4,Xero!$E:$E,Heron!$A98)+SUMIFS(Xero!$F:$F,Xero!$B:$B,Heron!BI$9,Xero!$A:$A,Heron!$A$5,Xero!$E:$E,Heron!$A98)</f>
        <v>0</v>
      </c>
      <c r="BJ98" s="99">
        <f>SUMIFS(Xero!$F:$F,Xero!$B:$B,Heron!BJ$9,Xero!$A:$A,Heron!$A$4,Xero!$E:$E,Heron!$A98)+SUMIFS(Xero!$F:$F,Xero!$B:$B,Heron!BJ$9,Xero!$A:$A,Heron!$A$5,Xero!$E:$E,Heron!$A98)</f>
        <v>0</v>
      </c>
      <c r="BK98" s="99">
        <f t="shared" si="6"/>
        <v>17000</v>
      </c>
    </row>
    <row r="99" spans="1:63" ht="16" x14ac:dyDescent="0.2">
      <c r="A99" s="98" t="s">
        <v>1104</v>
      </c>
      <c r="D99" s="99">
        <f>SUMIFS(Xero!$F:$F,Xero!$B:$B,Heron!D$9,Xero!$A:$A,Heron!$A$4,Xero!$E:$E,Heron!$A99)+SUMIFS(Xero!$F:$F,Xero!$B:$B,Heron!D$9,Xero!$A:$A,Heron!$A$5,Xero!$E:$E,Heron!$A99)</f>
        <v>0</v>
      </c>
      <c r="E99" s="99">
        <f>SUMIFS(Xero!$F:$F,Xero!$B:$B,Heron!E$9,Xero!$A:$A,Heron!$A$4,Xero!$E:$E,Heron!$A99)+SUMIFS(Xero!$F:$F,Xero!$B:$B,Heron!E$9,Xero!$A:$A,Heron!$A$5,Xero!$E:$E,Heron!$A99)</f>
        <v>0</v>
      </c>
      <c r="F99" s="99">
        <f>SUMIFS(Xero!$F:$F,Xero!$B:$B,Heron!F$9,Xero!$A:$A,Heron!$A$4,Xero!$E:$E,Heron!$A99)+SUMIFS(Xero!$F:$F,Xero!$B:$B,Heron!F$9,Xero!$A:$A,Heron!$A$5,Xero!$E:$E,Heron!$A99)</f>
        <v>0</v>
      </c>
      <c r="G99" s="99">
        <f>SUMIFS(Xero!$F:$F,Xero!$B:$B,Heron!G$9,Xero!$A:$A,Heron!$A$4,Xero!$E:$E,Heron!$A99)+SUMIFS(Xero!$F:$F,Xero!$B:$B,Heron!G$9,Xero!$A:$A,Heron!$A$5,Xero!$E:$E,Heron!$A99)</f>
        <v>0</v>
      </c>
      <c r="H99" s="99">
        <f>SUMIFS(Xero!$F:$F,Xero!$B:$B,Heron!H$9,Xero!$A:$A,Heron!$A$4,Xero!$E:$E,Heron!$A99)+SUMIFS(Xero!$F:$F,Xero!$B:$B,Heron!H$9,Xero!$A:$A,Heron!$A$5,Xero!$E:$E,Heron!$A99)</f>
        <v>0</v>
      </c>
      <c r="I99" s="99">
        <f>SUMIFS(Xero!$F:$F,Xero!$B:$B,Heron!I$9,Xero!$A:$A,Heron!$A$4,Xero!$E:$E,Heron!$A99)+SUMIFS(Xero!$F:$F,Xero!$B:$B,Heron!I$9,Xero!$A:$A,Heron!$A$5,Xero!$E:$E,Heron!$A99)</f>
        <v>0</v>
      </c>
      <c r="J99" s="99">
        <f>SUMIFS(Xero!$F:$F,Xero!$B:$B,Heron!J$9,Xero!$A:$A,Heron!$A$4,Xero!$E:$E,Heron!$A99)+SUMIFS(Xero!$F:$F,Xero!$B:$B,Heron!J$9,Xero!$A:$A,Heron!$A$5,Xero!$E:$E,Heron!$A99)</f>
        <v>0</v>
      </c>
      <c r="K99" s="99">
        <f>SUMIFS(Xero!$F:$F,Xero!$B:$B,Heron!K$9,Xero!$A:$A,Heron!$A$4,Xero!$E:$E,Heron!$A99)+SUMIFS(Xero!$F:$F,Xero!$B:$B,Heron!K$9,Xero!$A:$A,Heron!$A$5,Xero!$E:$E,Heron!$A99)</f>
        <v>0</v>
      </c>
      <c r="L99" s="99">
        <f>SUMIFS(Xero!$F:$F,Xero!$B:$B,Heron!L$9,Xero!$A:$A,Heron!$A$4,Xero!$E:$E,Heron!$A99)+SUMIFS(Xero!$F:$F,Xero!$B:$B,Heron!L$9,Xero!$A:$A,Heron!$A$5,Xero!$E:$E,Heron!$A99)</f>
        <v>0</v>
      </c>
      <c r="M99" s="99">
        <f>SUMIFS(Xero!$F:$F,Xero!$B:$B,Heron!M$9,Xero!$A:$A,Heron!$A$4,Xero!$E:$E,Heron!$A99)+SUMIFS(Xero!$F:$F,Xero!$B:$B,Heron!M$9,Xero!$A:$A,Heron!$A$5,Xero!$E:$E,Heron!$A99)</f>
        <v>0</v>
      </c>
      <c r="N99" s="99">
        <f>SUMIFS(Xero!$F:$F,Xero!$B:$B,Heron!N$9,Xero!$A:$A,Heron!$A$4,Xero!$E:$E,Heron!$A99)+SUMIFS(Xero!$F:$F,Xero!$B:$B,Heron!N$9,Xero!$A:$A,Heron!$A$5,Xero!$E:$E,Heron!$A99)</f>
        <v>0</v>
      </c>
      <c r="O99" s="99">
        <f>SUMIFS(Xero!$F:$F,Xero!$B:$B,Heron!O$9,Xero!$A:$A,Heron!$A$4,Xero!$E:$E,Heron!$A99)+SUMIFS(Xero!$F:$F,Xero!$B:$B,Heron!O$9,Xero!$A:$A,Heron!$A$5,Xero!$E:$E,Heron!$A99)</f>
        <v>0</v>
      </c>
      <c r="P99" s="99">
        <f>SUMIFS(Xero!$F:$F,Xero!$B:$B,Heron!P$9,Xero!$A:$A,Heron!$A$4,Xero!$E:$E,Heron!$A99)+SUMIFS(Xero!$F:$F,Xero!$B:$B,Heron!P$9,Xero!$A:$A,Heron!$A$5,Xero!$E:$E,Heron!$A99)</f>
        <v>0</v>
      </c>
      <c r="Q99" s="99">
        <f>SUMIFS(Xero!$F:$F,Xero!$B:$B,Heron!Q$9,Xero!$A:$A,Heron!$A$4,Xero!$E:$E,Heron!$A99)+SUMIFS(Xero!$F:$F,Xero!$B:$B,Heron!Q$9,Xero!$A:$A,Heron!$A$5,Xero!$E:$E,Heron!$A99)</f>
        <v>0</v>
      </c>
      <c r="R99" s="99">
        <f>SUMIFS(Xero!$F:$F,Xero!$B:$B,Heron!R$9,Xero!$A:$A,Heron!$A$4,Xero!$E:$E,Heron!$A99)+SUMIFS(Xero!$F:$F,Xero!$B:$B,Heron!R$9,Xero!$A:$A,Heron!$A$5,Xero!$E:$E,Heron!$A99)</f>
        <v>0</v>
      </c>
      <c r="S99" s="99">
        <f>SUMIFS(Xero!$F:$F,Xero!$B:$B,Heron!S$9,Xero!$A:$A,Heron!$A$4,Xero!$E:$E,Heron!$A99)+SUMIFS(Xero!$F:$F,Xero!$B:$B,Heron!S$9,Xero!$A:$A,Heron!$A$5,Xero!$E:$E,Heron!$A99)</f>
        <v>0</v>
      </c>
      <c r="T99" s="99">
        <f>SUMIFS(Xero!$F:$F,Xero!$B:$B,Heron!T$9,Xero!$A:$A,Heron!$A$4,Xero!$E:$E,Heron!$A99)+SUMIFS(Xero!$F:$F,Xero!$B:$B,Heron!T$9,Xero!$A:$A,Heron!$A$5,Xero!$E:$E,Heron!$A99)</f>
        <v>0</v>
      </c>
      <c r="U99" s="99">
        <f>SUMIFS(Xero!$F:$F,Xero!$B:$B,Heron!U$9,Xero!$A:$A,Heron!$A$4,Xero!$E:$E,Heron!$A99)+SUMIFS(Xero!$F:$F,Xero!$B:$B,Heron!U$9,Xero!$A:$A,Heron!$A$5,Xero!$E:$E,Heron!$A99)</f>
        <v>0</v>
      </c>
      <c r="V99" s="99">
        <f>SUMIFS(Xero!$F:$F,Xero!$B:$B,Heron!V$9,Xero!$A:$A,Heron!$A$4,Xero!$E:$E,Heron!$A99)+SUMIFS(Xero!$F:$F,Xero!$B:$B,Heron!V$9,Xero!$A:$A,Heron!$A$5,Xero!$E:$E,Heron!$A99)</f>
        <v>0</v>
      </c>
      <c r="W99" s="99">
        <f>SUMIFS(Xero!$F:$F,Xero!$B:$B,Heron!W$9,Xero!$A:$A,Heron!$A$4,Xero!$E:$E,Heron!$A99)+SUMIFS(Xero!$F:$F,Xero!$B:$B,Heron!W$9,Xero!$A:$A,Heron!$A$5,Xero!$E:$E,Heron!$A99)</f>
        <v>0</v>
      </c>
      <c r="X99" s="99">
        <f>SUMIFS(Xero!$F:$F,Xero!$B:$B,Heron!X$9,Xero!$A:$A,Heron!$A$4,Xero!$E:$E,Heron!$A99)+SUMIFS(Xero!$F:$F,Xero!$B:$B,Heron!X$9,Xero!$A:$A,Heron!$A$5,Xero!$E:$E,Heron!$A99)</f>
        <v>0</v>
      </c>
      <c r="Y99" s="99">
        <f>SUMIFS(Xero!$F:$F,Xero!$B:$B,Heron!Y$9,Xero!$A:$A,Heron!$A$4,Xero!$E:$E,Heron!$A99)+SUMIFS(Xero!$F:$F,Xero!$B:$B,Heron!Y$9,Xero!$A:$A,Heron!$A$5,Xero!$E:$E,Heron!$A99)</f>
        <v>0</v>
      </c>
      <c r="Z99" s="99">
        <f>SUMIFS(Xero!$F:$F,Xero!$B:$B,Heron!Z$9,Xero!$A:$A,Heron!$A$4,Xero!$E:$E,Heron!$A99)+SUMIFS(Xero!$F:$F,Xero!$B:$B,Heron!Z$9,Xero!$A:$A,Heron!$A$5,Xero!$E:$E,Heron!$A99)</f>
        <v>0</v>
      </c>
      <c r="AA99" s="99">
        <f>SUMIFS(Xero!$F:$F,Xero!$B:$B,Heron!AA$9,Xero!$A:$A,Heron!$A$4,Xero!$E:$E,Heron!$A99)+SUMIFS(Xero!$F:$F,Xero!$B:$B,Heron!AA$9,Xero!$A:$A,Heron!$A$5,Xero!$E:$E,Heron!$A99)</f>
        <v>0</v>
      </c>
      <c r="AB99" s="99">
        <f>SUMIFS(Xero!$F:$F,Xero!$B:$B,Heron!AB$9,Xero!$A:$A,Heron!$A$4,Xero!$E:$E,Heron!$A99)+SUMIFS(Xero!$F:$F,Xero!$B:$B,Heron!AB$9,Xero!$A:$A,Heron!$A$5,Xero!$E:$E,Heron!$A99)</f>
        <v>0</v>
      </c>
      <c r="AC99" s="99">
        <f>SUMIFS(Xero!$F:$F,Xero!$B:$B,Heron!AC$9,Xero!$A:$A,Heron!$A$4,Xero!$E:$E,Heron!$A99)+SUMIFS(Xero!$F:$F,Xero!$B:$B,Heron!AC$9,Xero!$A:$A,Heron!$A$5,Xero!$E:$E,Heron!$A99)</f>
        <v>0</v>
      </c>
      <c r="AD99" s="99">
        <f>SUMIFS(Xero!$F:$F,Xero!$B:$B,Heron!AD$9,Xero!$A:$A,Heron!$A$4,Xero!$E:$E,Heron!$A99)+SUMIFS(Xero!$F:$F,Xero!$B:$B,Heron!AD$9,Xero!$A:$A,Heron!$A$5,Xero!$E:$E,Heron!$A99)</f>
        <v>0</v>
      </c>
      <c r="AE99" s="99">
        <f>SUMIFS(Xero!$F:$F,Xero!$B:$B,Heron!AE$9,Xero!$A:$A,Heron!$A$4,Xero!$E:$E,Heron!$A99)+SUMIFS(Xero!$F:$F,Xero!$B:$B,Heron!AE$9,Xero!$A:$A,Heron!$A$5,Xero!$E:$E,Heron!$A99)</f>
        <v>0</v>
      </c>
      <c r="AF99" s="99">
        <f>SUMIFS(Xero!$F:$F,Xero!$B:$B,Heron!AF$9,Xero!$A:$A,Heron!$A$4,Xero!$E:$E,Heron!$A99)+SUMIFS(Xero!$F:$F,Xero!$B:$B,Heron!AF$9,Xero!$A:$A,Heron!$A$5,Xero!$E:$E,Heron!$A99)</f>
        <v>0</v>
      </c>
      <c r="AG99" s="99">
        <f>SUMIFS(Xero!$F:$F,Xero!$B:$B,Heron!AG$9,Xero!$A:$A,Heron!$A$4,Xero!$E:$E,Heron!$A99)+SUMIFS(Xero!$F:$F,Xero!$B:$B,Heron!AG$9,Xero!$A:$A,Heron!$A$5,Xero!$E:$E,Heron!$A99)</f>
        <v>0</v>
      </c>
      <c r="AH99" s="99">
        <f>SUMIFS(Xero!$F:$F,Xero!$B:$B,Heron!AH$9,Xero!$A:$A,Heron!$A$4,Xero!$E:$E,Heron!$A99)+SUMIFS(Xero!$F:$F,Xero!$B:$B,Heron!AH$9,Xero!$A:$A,Heron!$A$5,Xero!$E:$E,Heron!$A99)</f>
        <v>0</v>
      </c>
      <c r="AI99" s="99">
        <f>SUMIFS(Xero!$F:$F,Xero!$B:$B,Heron!AI$9,Xero!$A:$A,Heron!$A$4,Xero!$E:$E,Heron!$A99)+SUMIFS(Xero!$F:$F,Xero!$B:$B,Heron!AI$9,Xero!$A:$A,Heron!$A$5,Xero!$E:$E,Heron!$A99)</f>
        <v>0</v>
      </c>
      <c r="AJ99" s="99">
        <f>SUMIFS(Xero!$F:$F,Xero!$B:$B,Heron!AJ$9,Xero!$A:$A,Heron!$A$4,Xero!$E:$E,Heron!$A99)+SUMIFS(Xero!$F:$F,Xero!$B:$B,Heron!AJ$9,Xero!$A:$A,Heron!$A$5,Xero!$E:$E,Heron!$A99)</f>
        <v>7198.71</v>
      </c>
      <c r="AK99" s="99">
        <f>SUMIFS(Xero!$F:$F,Xero!$B:$B,Heron!AK$9,Xero!$A:$A,Heron!$A$4,Xero!$E:$E,Heron!$A99)+SUMIFS(Xero!$F:$F,Xero!$B:$B,Heron!AK$9,Xero!$A:$A,Heron!$A$5,Xero!$E:$E,Heron!$A99)</f>
        <v>0</v>
      </c>
      <c r="AL99" s="99">
        <f>SUMIFS(Xero!$F:$F,Xero!$B:$B,Heron!AL$9,Xero!$A:$A,Heron!$A$4,Xero!$E:$E,Heron!$A99)+SUMIFS(Xero!$F:$F,Xero!$B:$B,Heron!AL$9,Xero!$A:$A,Heron!$A$5,Xero!$E:$E,Heron!$A99)</f>
        <v>0</v>
      </c>
      <c r="AM99" s="99">
        <f>SUMIFS(Xero!$F:$F,Xero!$B:$B,Heron!AM$9,Xero!$A:$A,Heron!$A$4,Xero!$E:$E,Heron!$A99)+SUMIFS(Xero!$F:$F,Xero!$B:$B,Heron!AM$9,Xero!$A:$A,Heron!$A$5,Xero!$E:$E,Heron!$A99)</f>
        <v>0</v>
      </c>
      <c r="AN99" s="99">
        <f>SUMIFS(Xero!$F:$F,Xero!$B:$B,Heron!AN$9,Xero!$A:$A,Heron!$A$4,Xero!$E:$E,Heron!$A99)+SUMIFS(Xero!$F:$F,Xero!$B:$B,Heron!AN$9,Xero!$A:$A,Heron!$A$5,Xero!$E:$E,Heron!$A99)</f>
        <v>0</v>
      </c>
      <c r="AO99" s="99">
        <f>SUMIFS(Xero!$F:$F,Xero!$B:$B,Heron!AO$9,Xero!$A:$A,Heron!$A$4,Xero!$E:$E,Heron!$A99)+SUMIFS(Xero!$F:$F,Xero!$B:$B,Heron!AO$9,Xero!$A:$A,Heron!$A$5,Xero!$E:$E,Heron!$A99)</f>
        <v>0</v>
      </c>
      <c r="AP99" s="99">
        <f>SUMIFS(Xero!$F:$F,Xero!$B:$B,Heron!AP$9,Xero!$A:$A,Heron!$A$4,Xero!$E:$E,Heron!$A99)+SUMIFS(Xero!$F:$F,Xero!$B:$B,Heron!AP$9,Xero!$A:$A,Heron!$A$5,Xero!$E:$E,Heron!$A99)</f>
        <v>0</v>
      </c>
      <c r="AQ99" s="99">
        <f>SUMIFS(Xero!$F:$F,Xero!$B:$B,Heron!AQ$9,Xero!$A:$A,Heron!$A$4,Xero!$E:$E,Heron!$A99)+SUMIFS(Xero!$F:$F,Xero!$B:$B,Heron!AQ$9,Xero!$A:$A,Heron!$A$5,Xero!$E:$E,Heron!$A99)</f>
        <v>0</v>
      </c>
      <c r="AR99" s="99">
        <f>SUMIFS(Xero!$F:$F,Xero!$B:$B,Heron!AR$9,Xero!$A:$A,Heron!$A$4,Xero!$E:$E,Heron!$A99)+SUMIFS(Xero!$F:$F,Xero!$B:$B,Heron!AR$9,Xero!$A:$A,Heron!$A$5,Xero!$E:$E,Heron!$A99)</f>
        <v>0</v>
      </c>
      <c r="AS99" s="99">
        <f>SUMIFS(Xero!$F:$F,Xero!$B:$B,Heron!AS$9,Xero!$A:$A,Heron!$A$4,Xero!$E:$E,Heron!$A99)+SUMIFS(Xero!$F:$F,Xero!$B:$B,Heron!AS$9,Xero!$A:$A,Heron!$A$5,Xero!$E:$E,Heron!$A99)</f>
        <v>0</v>
      </c>
      <c r="AT99" s="99">
        <f>SUMIFS(Xero!$F:$F,Xero!$B:$B,Heron!AT$9,Xero!$A:$A,Heron!$A$4,Xero!$E:$E,Heron!$A99)+SUMIFS(Xero!$F:$F,Xero!$B:$B,Heron!AT$9,Xero!$A:$A,Heron!$A$5,Xero!$E:$E,Heron!$A99)</f>
        <v>0</v>
      </c>
      <c r="AU99" s="99">
        <f>SUMIFS(Xero!$F:$F,Xero!$B:$B,Heron!AU$9,Xero!$A:$A,Heron!$A$4,Xero!$E:$E,Heron!$A99)+SUMIFS(Xero!$F:$F,Xero!$B:$B,Heron!AU$9,Xero!$A:$A,Heron!$A$5,Xero!$E:$E,Heron!$A99)</f>
        <v>0</v>
      </c>
      <c r="AV99" s="99">
        <f>SUMIFS(Xero!$F:$F,Xero!$B:$B,Heron!AV$9,Xero!$A:$A,Heron!$A$4,Xero!$E:$E,Heron!$A99)+SUMIFS(Xero!$F:$F,Xero!$B:$B,Heron!AV$9,Xero!$A:$A,Heron!$A$5,Xero!$E:$E,Heron!$A99)</f>
        <v>0</v>
      </c>
      <c r="AW99" s="99">
        <f>SUMIFS(Xero!$F:$F,Xero!$B:$B,Heron!AW$9,Xero!$A:$A,Heron!$A$4,Xero!$E:$E,Heron!$A99)+SUMIFS(Xero!$F:$F,Xero!$B:$B,Heron!AW$9,Xero!$A:$A,Heron!$A$5,Xero!$E:$E,Heron!$A99)</f>
        <v>0</v>
      </c>
      <c r="AX99" s="99">
        <f>SUMIFS(Xero!$F:$F,Xero!$B:$B,Heron!AX$9,Xero!$A:$A,Heron!$A$4,Xero!$E:$E,Heron!$A99)+SUMIFS(Xero!$F:$F,Xero!$B:$B,Heron!AX$9,Xero!$A:$A,Heron!$A$5,Xero!$E:$E,Heron!$A99)</f>
        <v>0</v>
      </c>
      <c r="AY99" s="99">
        <f>SUMIFS(Xero!$F:$F,Xero!$B:$B,Heron!AY$9,Xero!$A:$A,Heron!$A$4,Xero!$E:$E,Heron!$A99)+SUMIFS(Xero!$F:$F,Xero!$B:$B,Heron!AY$9,Xero!$A:$A,Heron!$A$5,Xero!$E:$E,Heron!$A99)</f>
        <v>0</v>
      </c>
      <c r="AZ99" s="99">
        <f>SUMIFS(Xero!$F:$F,Xero!$B:$B,Heron!AZ$9,Xero!$A:$A,Heron!$A$4,Xero!$E:$E,Heron!$A99)+SUMIFS(Xero!$F:$F,Xero!$B:$B,Heron!AZ$9,Xero!$A:$A,Heron!$A$5,Xero!$E:$E,Heron!$A99)</f>
        <v>0</v>
      </c>
      <c r="BA99" s="99">
        <f>SUMIFS(Xero!$F:$F,Xero!$B:$B,Heron!BA$9,Xero!$A:$A,Heron!$A$4,Xero!$E:$E,Heron!$A99)+SUMIFS(Xero!$F:$F,Xero!$B:$B,Heron!BA$9,Xero!$A:$A,Heron!$A$5,Xero!$E:$E,Heron!$A99)</f>
        <v>0</v>
      </c>
      <c r="BB99" s="99">
        <f>SUMIFS(Xero!$F:$F,Xero!$B:$B,Heron!BB$9,Xero!$A:$A,Heron!$A$4,Xero!$E:$E,Heron!$A99)+SUMIFS(Xero!$F:$F,Xero!$B:$B,Heron!BB$9,Xero!$A:$A,Heron!$A$5,Xero!$E:$E,Heron!$A99)</f>
        <v>0</v>
      </c>
      <c r="BC99" s="99">
        <f>SUMIFS(Xero!$F:$F,Xero!$B:$B,Heron!BC$9,Xero!$A:$A,Heron!$A$4,Xero!$E:$E,Heron!$A99)+SUMIFS(Xero!$F:$F,Xero!$B:$B,Heron!BC$9,Xero!$A:$A,Heron!$A$5,Xero!$E:$E,Heron!$A99)</f>
        <v>0</v>
      </c>
      <c r="BD99" s="99">
        <f>SUMIFS(Xero!$F:$F,Xero!$B:$B,Heron!BD$9,Xero!$A:$A,Heron!$A$4,Xero!$E:$E,Heron!$A99)+SUMIFS(Xero!$F:$F,Xero!$B:$B,Heron!BD$9,Xero!$A:$A,Heron!$A$5,Xero!$E:$E,Heron!$A99)</f>
        <v>0</v>
      </c>
      <c r="BE99" s="99">
        <f>SUMIFS(Xero!$F:$F,Xero!$B:$B,Heron!BE$9,Xero!$A:$A,Heron!$A$4,Xero!$E:$E,Heron!$A99)+SUMIFS(Xero!$F:$F,Xero!$B:$B,Heron!BE$9,Xero!$A:$A,Heron!$A$5,Xero!$E:$E,Heron!$A99)</f>
        <v>0</v>
      </c>
      <c r="BF99" s="99">
        <f>SUMIFS(Xero!$F:$F,Xero!$B:$B,Heron!BF$9,Xero!$A:$A,Heron!$A$4,Xero!$E:$E,Heron!$A99)+SUMIFS(Xero!$F:$F,Xero!$B:$B,Heron!BF$9,Xero!$A:$A,Heron!$A$5,Xero!$E:$E,Heron!$A99)</f>
        <v>0</v>
      </c>
      <c r="BG99" s="99">
        <f>SUMIFS(Xero!$F:$F,Xero!$B:$B,Heron!BG$9,Xero!$A:$A,Heron!$A$4,Xero!$E:$E,Heron!$A99)+SUMIFS(Xero!$F:$F,Xero!$B:$B,Heron!BG$9,Xero!$A:$A,Heron!$A$5,Xero!$E:$E,Heron!$A99)</f>
        <v>0</v>
      </c>
      <c r="BH99" s="99">
        <f>SUMIFS(Xero!$F:$F,Xero!$B:$B,Heron!BH$9,Xero!$A:$A,Heron!$A$4,Xero!$E:$E,Heron!$A99)+SUMIFS(Xero!$F:$F,Xero!$B:$B,Heron!BH$9,Xero!$A:$A,Heron!$A$5,Xero!$E:$E,Heron!$A99)</f>
        <v>0</v>
      </c>
      <c r="BI99" s="99">
        <f>SUMIFS(Xero!$F:$F,Xero!$B:$B,Heron!BI$9,Xero!$A:$A,Heron!$A$4,Xero!$E:$E,Heron!$A99)+SUMIFS(Xero!$F:$F,Xero!$B:$B,Heron!BI$9,Xero!$A:$A,Heron!$A$5,Xero!$E:$E,Heron!$A99)</f>
        <v>0</v>
      </c>
      <c r="BJ99" s="99">
        <f>SUMIFS(Xero!$F:$F,Xero!$B:$B,Heron!BJ$9,Xero!$A:$A,Heron!$A$4,Xero!$E:$E,Heron!$A99)+SUMIFS(Xero!$F:$F,Xero!$B:$B,Heron!BJ$9,Xero!$A:$A,Heron!$A$5,Xero!$E:$E,Heron!$A99)</f>
        <v>0</v>
      </c>
      <c r="BK99" s="99">
        <f t="shared" si="6"/>
        <v>7198.71</v>
      </c>
    </row>
    <row r="100" spans="1:63" ht="16" x14ac:dyDescent="0.2">
      <c r="A100" s="98" t="s">
        <v>1150</v>
      </c>
      <c r="D100" s="99">
        <f>SUMIFS(Xero!$F:$F,Xero!$B:$B,Heron!D$9,Xero!$A:$A,Heron!$A$4,Xero!$E:$E,Heron!$A100)+SUMIFS(Xero!$F:$F,Xero!$B:$B,Heron!D$9,Xero!$A:$A,Heron!$A$5,Xero!$E:$E,Heron!$A100)</f>
        <v>0</v>
      </c>
      <c r="E100" s="99">
        <f>SUMIFS(Xero!$F:$F,Xero!$B:$B,Heron!E$9,Xero!$A:$A,Heron!$A$4,Xero!$E:$E,Heron!$A100)+SUMIFS(Xero!$F:$F,Xero!$B:$B,Heron!E$9,Xero!$A:$A,Heron!$A$5,Xero!$E:$E,Heron!$A100)</f>
        <v>0</v>
      </c>
      <c r="F100" s="99">
        <f>SUMIFS(Xero!$F:$F,Xero!$B:$B,Heron!F$9,Xero!$A:$A,Heron!$A$4,Xero!$E:$E,Heron!$A100)+SUMIFS(Xero!$F:$F,Xero!$B:$B,Heron!F$9,Xero!$A:$A,Heron!$A$5,Xero!$E:$E,Heron!$A100)</f>
        <v>0</v>
      </c>
      <c r="G100" s="99">
        <f>SUMIFS(Xero!$F:$F,Xero!$B:$B,Heron!G$9,Xero!$A:$A,Heron!$A$4,Xero!$E:$E,Heron!$A100)+SUMIFS(Xero!$F:$F,Xero!$B:$B,Heron!G$9,Xero!$A:$A,Heron!$A$5,Xero!$E:$E,Heron!$A100)</f>
        <v>1078.97</v>
      </c>
      <c r="H100" s="99">
        <f>SUMIFS(Xero!$F:$F,Xero!$B:$B,Heron!H$9,Xero!$A:$A,Heron!$A$4,Xero!$E:$E,Heron!$A100)+SUMIFS(Xero!$F:$F,Xero!$B:$B,Heron!H$9,Xero!$A:$A,Heron!$A$5,Xero!$E:$E,Heron!$A100)</f>
        <v>430.43</v>
      </c>
      <c r="I100" s="99">
        <f>SUMIFS(Xero!$F:$F,Xero!$B:$B,Heron!I$9,Xero!$A:$A,Heron!$A$4,Xero!$E:$E,Heron!$A100)+SUMIFS(Xero!$F:$F,Xero!$B:$B,Heron!I$9,Xero!$A:$A,Heron!$A$5,Xero!$E:$E,Heron!$A100)</f>
        <v>-430.43</v>
      </c>
      <c r="J100" s="99">
        <f>SUMIFS(Xero!$F:$F,Xero!$B:$B,Heron!J$9,Xero!$A:$A,Heron!$A$4,Xero!$E:$E,Heron!$A100)+SUMIFS(Xero!$F:$F,Xero!$B:$B,Heron!J$9,Xero!$A:$A,Heron!$A$5,Xero!$E:$E,Heron!$A100)</f>
        <v>278.26</v>
      </c>
      <c r="K100" s="99">
        <f>SUMIFS(Xero!$F:$F,Xero!$B:$B,Heron!K$9,Xero!$A:$A,Heron!$A$4,Xero!$E:$E,Heron!$A100)+SUMIFS(Xero!$F:$F,Xero!$B:$B,Heron!K$9,Xero!$A:$A,Heron!$A$5,Xero!$E:$E,Heron!$A100)</f>
        <v>1095.26</v>
      </c>
      <c r="L100" s="99">
        <f>SUMIFS(Xero!$F:$F,Xero!$B:$B,Heron!L$9,Xero!$A:$A,Heron!$A$4,Xero!$E:$E,Heron!$A100)+SUMIFS(Xero!$F:$F,Xero!$B:$B,Heron!L$9,Xero!$A:$A,Heron!$A$5,Xero!$E:$E,Heron!$A100)</f>
        <v>783.26</v>
      </c>
      <c r="M100" s="99">
        <f>SUMIFS(Xero!$F:$F,Xero!$B:$B,Heron!M$9,Xero!$A:$A,Heron!$A$4,Xero!$E:$E,Heron!$A100)+SUMIFS(Xero!$F:$F,Xero!$B:$B,Heron!M$9,Xero!$A:$A,Heron!$A$5,Xero!$E:$E,Heron!$A100)</f>
        <v>600.04</v>
      </c>
      <c r="N100" s="99">
        <f>SUMIFS(Xero!$F:$F,Xero!$B:$B,Heron!N$9,Xero!$A:$A,Heron!$A$4,Xero!$E:$E,Heron!$A100)+SUMIFS(Xero!$F:$F,Xero!$B:$B,Heron!N$9,Xero!$A:$A,Heron!$A$5,Xero!$E:$E,Heron!$A100)</f>
        <v>285.26</v>
      </c>
      <c r="O100" s="99">
        <f>SUMIFS(Xero!$F:$F,Xero!$B:$B,Heron!O$9,Xero!$A:$A,Heron!$A$4,Xero!$E:$E,Heron!$A100)+SUMIFS(Xero!$F:$F,Xero!$B:$B,Heron!O$9,Xero!$A:$A,Heron!$A$5,Xero!$E:$E,Heron!$A100)</f>
        <v>285.26</v>
      </c>
      <c r="P100" s="99">
        <f>SUMIFS(Xero!$F:$F,Xero!$B:$B,Heron!P$9,Xero!$A:$A,Heron!$A$4,Xero!$E:$E,Heron!$A100)+SUMIFS(Xero!$F:$F,Xero!$B:$B,Heron!P$9,Xero!$A:$A,Heron!$A$5,Xero!$E:$E,Heron!$A100)</f>
        <v>285.26</v>
      </c>
      <c r="Q100" s="99">
        <f>SUMIFS(Xero!$F:$F,Xero!$B:$B,Heron!Q$9,Xero!$A:$A,Heron!$A$4,Xero!$E:$E,Heron!$A100)+SUMIFS(Xero!$F:$F,Xero!$B:$B,Heron!Q$9,Xero!$A:$A,Heron!$A$5,Xero!$E:$E,Heron!$A100)</f>
        <v>302.64999999999998</v>
      </c>
      <c r="R100" s="99">
        <f>SUMIFS(Xero!$F:$F,Xero!$B:$B,Heron!R$9,Xero!$A:$A,Heron!$A$4,Xero!$E:$E,Heron!$A100)+SUMIFS(Xero!$F:$F,Xero!$B:$B,Heron!R$9,Xero!$A:$A,Heron!$A$5,Xero!$E:$E,Heron!$A100)</f>
        <v>302.64999999999998</v>
      </c>
      <c r="S100" s="99">
        <f>SUMIFS(Xero!$F:$F,Xero!$B:$B,Heron!S$9,Xero!$A:$A,Heron!$A$4,Xero!$E:$E,Heron!$A100)+SUMIFS(Xero!$F:$F,Xero!$B:$B,Heron!S$9,Xero!$A:$A,Heron!$A$5,Xero!$E:$E,Heron!$A100)</f>
        <v>1723.38</v>
      </c>
      <c r="T100" s="99">
        <f>SUMIFS(Xero!$F:$F,Xero!$B:$B,Heron!T$9,Xero!$A:$A,Heron!$A$4,Xero!$E:$E,Heron!$A100)+SUMIFS(Xero!$F:$F,Xero!$B:$B,Heron!T$9,Xero!$A:$A,Heron!$A$5,Xero!$E:$E,Heron!$A100)</f>
        <v>328.38</v>
      </c>
      <c r="U100" s="99">
        <f>SUMIFS(Xero!$F:$F,Xero!$B:$B,Heron!U$9,Xero!$A:$A,Heron!$A$4,Xero!$E:$E,Heron!$A100)+SUMIFS(Xero!$F:$F,Xero!$B:$B,Heron!U$9,Xero!$A:$A,Heron!$A$5,Xero!$E:$E,Heron!$A100)</f>
        <v>328.38</v>
      </c>
      <c r="V100" s="99">
        <f>SUMIFS(Xero!$F:$F,Xero!$B:$B,Heron!V$9,Xero!$A:$A,Heron!$A$4,Xero!$E:$E,Heron!$A100)+SUMIFS(Xero!$F:$F,Xero!$B:$B,Heron!V$9,Xero!$A:$A,Heron!$A$5,Xero!$E:$E,Heron!$A100)</f>
        <v>328.38</v>
      </c>
      <c r="W100" s="99">
        <f>SUMIFS(Xero!$F:$F,Xero!$B:$B,Heron!W$9,Xero!$A:$A,Heron!$A$4,Xero!$E:$E,Heron!$A100)+SUMIFS(Xero!$F:$F,Xero!$B:$B,Heron!W$9,Xero!$A:$A,Heron!$A$5,Xero!$E:$E,Heron!$A100)</f>
        <v>328.38</v>
      </c>
      <c r="X100" s="99">
        <f>SUMIFS(Xero!$F:$F,Xero!$B:$B,Heron!X$9,Xero!$A:$A,Heron!$A$4,Xero!$E:$E,Heron!$A100)+SUMIFS(Xero!$F:$F,Xero!$B:$B,Heron!X$9,Xero!$A:$A,Heron!$A$5,Xero!$E:$E,Heron!$A100)</f>
        <v>328.38</v>
      </c>
      <c r="Y100" s="99">
        <f>SUMIFS(Xero!$F:$F,Xero!$B:$B,Heron!Y$9,Xero!$A:$A,Heron!$A$4,Xero!$E:$E,Heron!$A100)+SUMIFS(Xero!$F:$F,Xero!$B:$B,Heron!Y$9,Xero!$A:$A,Heron!$A$5,Xero!$E:$E,Heron!$A100)</f>
        <v>665.19</v>
      </c>
      <c r="Z100" s="99">
        <f>SUMIFS(Xero!$F:$F,Xero!$B:$B,Heron!Z$9,Xero!$A:$A,Heron!$A$4,Xero!$E:$E,Heron!$A100)+SUMIFS(Xero!$F:$F,Xero!$B:$B,Heron!Z$9,Xero!$A:$A,Heron!$A$5,Xero!$E:$E,Heron!$A100)</f>
        <v>328.38</v>
      </c>
      <c r="AA100" s="99">
        <f>SUMIFS(Xero!$F:$F,Xero!$B:$B,Heron!AA$9,Xero!$A:$A,Heron!$A$4,Xero!$E:$E,Heron!$A100)+SUMIFS(Xero!$F:$F,Xero!$B:$B,Heron!AA$9,Xero!$A:$A,Heron!$A$5,Xero!$E:$E,Heron!$A100)</f>
        <v>328.38</v>
      </c>
      <c r="AB100" s="99">
        <f>SUMIFS(Xero!$F:$F,Xero!$B:$B,Heron!AB$9,Xero!$A:$A,Heron!$A$4,Xero!$E:$E,Heron!$A100)+SUMIFS(Xero!$F:$F,Xero!$B:$B,Heron!AB$9,Xero!$A:$A,Heron!$A$5,Xero!$E:$E,Heron!$A100)</f>
        <v>328.38</v>
      </c>
      <c r="AC100" s="99">
        <f>SUMIFS(Xero!$F:$F,Xero!$B:$B,Heron!AC$9,Xero!$A:$A,Heron!$A$4,Xero!$E:$E,Heron!$A100)+SUMIFS(Xero!$F:$F,Xero!$B:$B,Heron!AC$9,Xero!$A:$A,Heron!$A$5,Xero!$E:$E,Heron!$A100)</f>
        <v>328.38</v>
      </c>
      <c r="AD100" s="99">
        <f>SUMIFS(Xero!$F:$F,Xero!$B:$B,Heron!AD$9,Xero!$A:$A,Heron!$A$4,Xero!$E:$E,Heron!$A100)+SUMIFS(Xero!$F:$F,Xero!$B:$B,Heron!AD$9,Xero!$A:$A,Heron!$A$5,Xero!$E:$E,Heron!$A100)</f>
        <v>328.38</v>
      </c>
      <c r="AE100" s="99">
        <f>SUMIFS(Xero!$F:$F,Xero!$B:$B,Heron!AE$9,Xero!$A:$A,Heron!$A$4,Xero!$E:$E,Heron!$A100)+SUMIFS(Xero!$F:$F,Xero!$B:$B,Heron!AE$9,Xero!$A:$A,Heron!$A$5,Xero!$E:$E,Heron!$A100)</f>
        <v>366.14</v>
      </c>
      <c r="AF100" s="99">
        <f>SUMIFS(Xero!$F:$F,Xero!$B:$B,Heron!AF$9,Xero!$A:$A,Heron!$A$4,Xero!$E:$E,Heron!$A100)+SUMIFS(Xero!$F:$F,Xero!$B:$B,Heron!AF$9,Xero!$A:$A,Heron!$A$5,Xero!$E:$E,Heron!$A100)</f>
        <v>366.14</v>
      </c>
      <c r="AG100" s="99">
        <f>SUMIFS(Xero!$F:$F,Xero!$B:$B,Heron!AG$9,Xero!$A:$A,Heron!$A$4,Xero!$E:$E,Heron!$A100)+SUMIFS(Xero!$F:$F,Xero!$B:$B,Heron!AG$9,Xero!$A:$A,Heron!$A$5,Xero!$E:$E,Heron!$A100)</f>
        <v>366.14</v>
      </c>
      <c r="AH100" s="99">
        <f>SUMIFS(Xero!$F:$F,Xero!$B:$B,Heron!AH$9,Xero!$A:$A,Heron!$A$4,Xero!$E:$E,Heron!$A100)+SUMIFS(Xero!$F:$F,Xero!$B:$B,Heron!AH$9,Xero!$A:$A,Heron!$A$5,Xero!$E:$E,Heron!$A100)</f>
        <v>366.14</v>
      </c>
      <c r="AI100" s="99">
        <f>SUMIFS(Xero!$F:$F,Xero!$B:$B,Heron!AI$9,Xero!$A:$A,Heron!$A$4,Xero!$E:$E,Heron!$A100)+SUMIFS(Xero!$F:$F,Xero!$B:$B,Heron!AI$9,Xero!$A:$A,Heron!$A$5,Xero!$E:$E,Heron!$A100)</f>
        <v>366.14</v>
      </c>
      <c r="AJ100" s="99">
        <f>SUMIFS(Xero!$F:$F,Xero!$B:$B,Heron!AJ$9,Xero!$A:$A,Heron!$A$4,Xero!$E:$E,Heron!$A100)+SUMIFS(Xero!$F:$F,Xero!$B:$B,Heron!AJ$9,Xero!$A:$A,Heron!$A$5,Xero!$E:$E,Heron!$A100)</f>
        <v>366.14</v>
      </c>
      <c r="AK100" s="99">
        <f>SUMIFS(Xero!$F:$F,Xero!$B:$B,Heron!AK$9,Xero!$A:$A,Heron!$A$4,Xero!$E:$E,Heron!$A100)+SUMIFS(Xero!$F:$F,Xero!$B:$B,Heron!AK$9,Xero!$A:$A,Heron!$A$5,Xero!$E:$E,Heron!$A100)</f>
        <v>1119.77</v>
      </c>
      <c r="AL100" s="99">
        <f>SUMIFS(Xero!$F:$F,Xero!$B:$B,Heron!AL$9,Xero!$A:$A,Heron!$A$4,Xero!$E:$E,Heron!$A100)+SUMIFS(Xero!$F:$F,Xero!$B:$B,Heron!AL$9,Xero!$A:$A,Heron!$A$5,Xero!$E:$E,Heron!$A100)</f>
        <v>0</v>
      </c>
      <c r="AM100" s="99">
        <f>SUMIFS(Xero!$F:$F,Xero!$B:$B,Heron!AM$9,Xero!$A:$A,Heron!$A$4,Xero!$E:$E,Heron!$A100)+SUMIFS(Xero!$F:$F,Xero!$B:$B,Heron!AM$9,Xero!$A:$A,Heron!$A$5,Xero!$E:$E,Heron!$A100)</f>
        <v>374.64</v>
      </c>
      <c r="AN100" s="99">
        <f>SUMIFS(Xero!$F:$F,Xero!$B:$B,Heron!AN$9,Xero!$A:$A,Heron!$A$4,Xero!$E:$E,Heron!$A100)+SUMIFS(Xero!$F:$F,Xero!$B:$B,Heron!AN$9,Xero!$A:$A,Heron!$A$5,Xero!$E:$E,Heron!$A100)</f>
        <v>374.64</v>
      </c>
      <c r="AO100" s="99">
        <f>SUMIFS(Xero!$F:$F,Xero!$B:$B,Heron!AO$9,Xero!$A:$A,Heron!$A$4,Xero!$E:$E,Heron!$A100)+SUMIFS(Xero!$F:$F,Xero!$B:$B,Heron!AO$9,Xero!$A:$A,Heron!$A$5,Xero!$E:$E,Heron!$A100)</f>
        <v>374.64</v>
      </c>
      <c r="AP100" s="99">
        <f>SUMIFS(Xero!$F:$F,Xero!$B:$B,Heron!AP$9,Xero!$A:$A,Heron!$A$4,Xero!$E:$E,Heron!$A100)+SUMIFS(Xero!$F:$F,Xero!$B:$B,Heron!AP$9,Xero!$A:$A,Heron!$A$5,Xero!$E:$E,Heron!$A100)</f>
        <v>749.28</v>
      </c>
      <c r="AQ100" s="99">
        <f>SUMIFS(Xero!$F:$F,Xero!$B:$B,Heron!AQ$9,Xero!$A:$A,Heron!$A$4,Xero!$E:$E,Heron!$A100)+SUMIFS(Xero!$F:$F,Xero!$B:$B,Heron!AQ$9,Xero!$A:$A,Heron!$A$5,Xero!$E:$E,Heron!$A100)</f>
        <v>0</v>
      </c>
      <c r="AR100" s="99">
        <f>SUMIFS(Xero!$F:$F,Xero!$B:$B,Heron!AR$9,Xero!$A:$A,Heron!$A$4,Xero!$E:$E,Heron!$A100)+SUMIFS(Xero!$F:$F,Xero!$B:$B,Heron!AR$9,Xero!$A:$A,Heron!$A$5,Xero!$E:$E,Heron!$A100)</f>
        <v>374.64</v>
      </c>
      <c r="AS100" s="99">
        <f>SUMIFS(Xero!$F:$F,Xero!$B:$B,Heron!AS$9,Xero!$A:$A,Heron!$A$4,Xero!$E:$E,Heron!$A100)+SUMIFS(Xero!$F:$F,Xero!$B:$B,Heron!AS$9,Xero!$A:$A,Heron!$A$5,Xero!$E:$E,Heron!$A100)</f>
        <v>0</v>
      </c>
      <c r="AT100" s="99">
        <f>SUMIFS(Xero!$F:$F,Xero!$B:$B,Heron!AT$9,Xero!$A:$A,Heron!$A$4,Xero!$E:$E,Heron!$A100)+SUMIFS(Xero!$F:$F,Xero!$B:$B,Heron!AT$9,Xero!$A:$A,Heron!$A$5,Xero!$E:$E,Heron!$A100)</f>
        <v>0</v>
      </c>
      <c r="AU100" s="99">
        <f>SUMIFS(Xero!$F:$F,Xero!$B:$B,Heron!AU$9,Xero!$A:$A,Heron!$A$4,Xero!$E:$E,Heron!$A100)+SUMIFS(Xero!$F:$F,Xero!$B:$B,Heron!AU$9,Xero!$A:$A,Heron!$A$5,Xero!$E:$E,Heron!$A100)</f>
        <v>0</v>
      </c>
      <c r="AV100" s="99">
        <f>SUMIFS(Xero!$F:$F,Xero!$B:$B,Heron!AV$9,Xero!$A:$A,Heron!$A$4,Xero!$E:$E,Heron!$A100)+SUMIFS(Xero!$F:$F,Xero!$B:$B,Heron!AV$9,Xero!$A:$A,Heron!$A$5,Xero!$E:$E,Heron!$A100)</f>
        <v>0</v>
      </c>
      <c r="AW100" s="99">
        <f>SUMIFS(Xero!$F:$F,Xero!$B:$B,Heron!AW$9,Xero!$A:$A,Heron!$A$4,Xero!$E:$E,Heron!$A100)+SUMIFS(Xero!$F:$F,Xero!$B:$B,Heron!AW$9,Xero!$A:$A,Heron!$A$5,Xero!$E:$E,Heron!$A100)</f>
        <v>0</v>
      </c>
      <c r="AX100" s="99">
        <f>SUMIFS(Xero!$F:$F,Xero!$B:$B,Heron!AX$9,Xero!$A:$A,Heron!$A$4,Xero!$E:$E,Heron!$A100)+SUMIFS(Xero!$F:$F,Xero!$B:$B,Heron!AX$9,Xero!$A:$A,Heron!$A$5,Xero!$E:$E,Heron!$A100)</f>
        <v>0</v>
      </c>
      <c r="AY100" s="99">
        <f>SUMIFS(Xero!$F:$F,Xero!$B:$B,Heron!AY$9,Xero!$A:$A,Heron!$A$4,Xero!$E:$E,Heron!$A100)+SUMIFS(Xero!$F:$F,Xero!$B:$B,Heron!AY$9,Xero!$A:$A,Heron!$A$5,Xero!$E:$E,Heron!$A100)</f>
        <v>0</v>
      </c>
      <c r="AZ100" s="99">
        <f>SUMIFS(Xero!$F:$F,Xero!$B:$B,Heron!AZ$9,Xero!$A:$A,Heron!$A$4,Xero!$E:$E,Heron!$A100)+SUMIFS(Xero!$F:$F,Xero!$B:$B,Heron!AZ$9,Xero!$A:$A,Heron!$A$5,Xero!$E:$E,Heron!$A100)</f>
        <v>0</v>
      </c>
      <c r="BA100" s="99">
        <f>SUMIFS(Xero!$F:$F,Xero!$B:$B,Heron!BA$9,Xero!$A:$A,Heron!$A$4,Xero!$E:$E,Heron!$A100)+SUMIFS(Xero!$F:$F,Xero!$B:$B,Heron!BA$9,Xero!$A:$A,Heron!$A$5,Xero!$E:$E,Heron!$A100)</f>
        <v>0</v>
      </c>
      <c r="BB100" s="99">
        <f>SUMIFS(Xero!$F:$F,Xero!$B:$B,Heron!BB$9,Xero!$A:$A,Heron!$A$4,Xero!$E:$E,Heron!$A100)+SUMIFS(Xero!$F:$F,Xero!$B:$B,Heron!BB$9,Xero!$A:$A,Heron!$A$5,Xero!$E:$E,Heron!$A100)</f>
        <v>0</v>
      </c>
      <c r="BC100" s="99">
        <f>SUMIFS(Xero!$F:$F,Xero!$B:$B,Heron!BC$9,Xero!$A:$A,Heron!$A$4,Xero!$E:$E,Heron!$A100)+SUMIFS(Xero!$F:$F,Xero!$B:$B,Heron!BC$9,Xero!$A:$A,Heron!$A$5,Xero!$E:$E,Heron!$A100)</f>
        <v>0</v>
      </c>
      <c r="BD100" s="99">
        <f>SUMIFS(Xero!$F:$F,Xero!$B:$B,Heron!BD$9,Xero!$A:$A,Heron!$A$4,Xero!$E:$E,Heron!$A100)+SUMIFS(Xero!$F:$F,Xero!$B:$B,Heron!BD$9,Xero!$A:$A,Heron!$A$5,Xero!$E:$E,Heron!$A100)</f>
        <v>0</v>
      </c>
      <c r="BE100" s="99">
        <f>SUMIFS(Xero!$F:$F,Xero!$B:$B,Heron!BE$9,Xero!$A:$A,Heron!$A$4,Xero!$E:$E,Heron!$A100)+SUMIFS(Xero!$F:$F,Xero!$B:$B,Heron!BE$9,Xero!$A:$A,Heron!$A$5,Xero!$E:$E,Heron!$A100)</f>
        <v>0</v>
      </c>
      <c r="BF100" s="99">
        <f>SUMIFS(Xero!$F:$F,Xero!$B:$B,Heron!BF$9,Xero!$A:$A,Heron!$A$4,Xero!$E:$E,Heron!$A100)+SUMIFS(Xero!$F:$F,Xero!$B:$B,Heron!BF$9,Xero!$A:$A,Heron!$A$5,Xero!$E:$E,Heron!$A100)</f>
        <v>0</v>
      </c>
      <c r="BG100" s="99">
        <f>SUMIFS(Xero!$F:$F,Xero!$B:$B,Heron!BG$9,Xero!$A:$A,Heron!$A$4,Xero!$E:$E,Heron!$A100)+SUMIFS(Xero!$F:$F,Xero!$B:$B,Heron!BG$9,Xero!$A:$A,Heron!$A$5,Xero!$E:$E,Heron!$A100)</f>
        <v>0</v>
      </c>
      <c r="BH100" s="99">
        <f>SUMIFS(Xero!$F:$F,Xero!$B:$B,Heron!BH$9,Xero!$A:$A,Heron!$A$4,Xero!$E:$E,Heron!$A100)+SUMIFS(Xero!$F:$F,Xero!$B:$B,Heron!BH$9,Xero!$A:$A,Heron!$A$5,Xero!$E:$E,Heron!$A100)</f>
        <v>0</v>
      </c>
      <c r="BI100" s="99">
        <f>SUMIFS(Xero!$F:$F,Xero!$B:$B,Heron!BI$9,Xero!$A:$A,Heron!$A$4,Xero!$E:$E,Heron!$A100)+SUMIFS(Xero!$F:$F,Xero!$B:$B,Heron!BI$9,Xero!$A:$A,Heron!$A$5,Xero!$E:$E,Heron!$A100)</f>
        <v>0</v>
      </c>
      <c r="BJ100" s="99">
        <f>SUMIFS(Xero!$F:$F,Xero!$B:$B,Heron!BJ$9,Xero!$A:$A,Heron!$A$4,Xero!$E:$E,Heron!$A100)+SUMIFS(Xero!$F:$F,Xero!$B:$B,Heron!BJ$9,Xero!$A:$A,Heron!$A$5,Xero!$E:$E,Heron!$A100)</f>
        <v>0</v>
      </c>
      <c r="BK100" s="99">
        <f t="shared" si="6"/>
        <v>16533.689999999991</v>
      </c>
    </row>
    <row r="101" spans="1:63" ht="16" x14ac:dyDescent="0.2">
      <c r="A101" s="98" t="s">
        <v>1652</v>
      </c>
      <c r="D101" s="99">
        <f>SUMIFS(Xero!$F:$F,Xero!$B:$B,Heron!D$9,Xero!$A:$A,Heron!$A$4,Xero!$E:$E,Heron!$A101)+SUMIFS(Xero!$F:$F,Xero!$B:$B,Heron!D$9,Xero!$A:$A,Heron!$A$5,Xero!$E:$E,Heron!$A101)</f>
        <v>0</v>
      </c>
      <c r="E101" s="99">
        <f>SUMIFS(Xero!$F:$F,Xero!$B:$B,Heron!E$9,Xero!$A:$A,Heron!$A$4,Xero!$E:$E,Heron!$A101)+SUMIFS(Xero!$F:$F,Xero!$B:$B,Heron!E$9,Xero!$A:$A,Heron!$A$5,Xero!$E:$E,Heron!$A101)</f>
        <v>0</v>
      </c>
      <c r="F101" s="99">
        <f>SUMIFS(Xero!$F:$F,Xero!$B:$B,Heron!F$9,Xero!$A:$A,Heron!$A$4,Xero!$E:$E,Heron!$A101)+SUMIFS(Xero!$F:$F,Xero!$B:$B,Heron!F$9,Xero!$A:$A,Heron!$A$5,Xero!$E:$E,Heron!$A101)</f>
        <v>0</v>
      </c>
      <c r="G101" s="99">
        <f>SUMIFS(Xero!$F:$F,Xero!$B:$B,Heron!G$9,Xero!$A:$A,Heron!$A$4,Xero!$E:$E,Heron!$A101)+SUMIFS(Xero!$F:$F,Xero!$B:$B,Heron!G$9,Xero!$A:$A,Heron!$A$5,Xero!$E:$E,Heron!$A101)</f>
        <v>0</v>
      </c>
      <c r="H101" s="99">
        <f>SUMIFS(Xero!$F:$F,Xero!$B:$B,Heron!H$9,Xero!$A:$A,Heron!$A$4,Xero!$E:$E,Heron!$A101)+SUMIFS(Xero!$F:$F,Xero!$B:$B,Heron!H$9,Xero!$A:$A,Heron!$A$5,Xero!$E:$E,Heron!$A101)</f>
        <v>0</v>
      </c>
      <c r="I101" s="99">
        <f>SUMIFS(Xero!$F:$F,Xero!$B:$B,Heron!I$9,Xero!$A:$A,Heron!$A$4,Xero!$E:$E,Heron!$A101)+SUMIFS(Xero!$F:$F,Xero!$B:$B,Heron!I$9,Xero!$A:$A,Heron!$A$5,Xero!$E:$E,Heron!$A101)</f>
        <v>0</v>
      </c>
      <c r="J101" s="99">
        <f>SUMIFS(Xero!$F:$F,Xero!$B:$B,Heron!J$9,Xero!$A:$A,Heron!$A$4,Xero!$E:$E,Heron!$A101)+SUMIFS(Xero!$F:$F,Xero!$B:$B,Heron!J$9,Xero!$A:$A,Heron!$A$5,Xero!$E:$E,Heron!$A101)</f>
        <v>0</v>
      </c>
      <c r="K101" s="99">
        <f>SUMIFS(Xero!$F:$F,Xero!$B:$B,Heron!K$9,Xero!$A:$A,Heron!$A$4,Xero!$E:$E,Heron!$A101)+SUMIFS(Xero!$F:$F,Xero!$B:$B,Heron!K$9,Xero!$A:$A,Heron!$A$5,Xero!$E:$E,Heron!$A101)</f>
        <v>0</v>
      </c>
      <c r="L101" s="99">
        <f>SUMIFS(Xero!$F:$F,Xero!$B:$B,Heron!L$9,Xero!$A:$A,Heron!$A$4,Xero!$E:$E,Heron!$A101)+SUMIFS(Xero!$F:$F,Xero!$B:$B,Heron!L$9,Xero!$A:$A,Heron!$A$5,Xero!$E:$E,Heron!$A101)</f>
        <v>0</v>
      </c>
      <c r="M101" s="99">
        <f>SUMIFS(Xero!$F:$F,Xero!$B:$B,Heron!M$9,Xero!$A:$A,Heron!$A$4,Xero!$E:$E,Heron!$A101)+SUMIFS(Xero!$F:$F,Xero!$B:$B,Heron!M$9,Xero!$A:$A,Heron!$A$5,Xero!$E:$E,Heron!$A101)</f>
        <v>0</v>
      </c>
      <c r="N101" s="99">
        <f>SUMIFS(Xero!$F:$F,Xero!$B:$B,Heron!N$9,Xero!$A:$A,Heron!$A$4,Xero!$E:$E,Heron!$A101)+SUMIFS(Xero!$F:$F,Xero!$B:$B,Heron!N$9,Xero!$A:$A,Heron!$A$5,Xero!$E:$E,Heron!$A101)</f>
        <v>0</v>
      </c>
      <c r="O101" s="99">
        <f>SUMIFS(Xero!$F:$F,Xero!$B:$B,Heron!O$9,Xero!$A:$A,Heron!$A$4,Xero!$E:$E,Heron!$A101)+SUMIFS(Xero!$F:$F,Xero!$B:$B,Heron!O$9,Xero!$A:$A,Heron!$A$5,Xero!$E:$E,Heron!$A101)</f>
        <v>0</v>
      </c>
      <c r="P101" s="99">
        <f>SUMIFS(Xero!$F:$F,Xero!$B:$B,Heron!P$9,Xero!$A:$A,Heron!$A$4,Xero!$E:$E,Heron!$A101)+SUMIFS(Xero!$F:$F,Xero!$B:$B,Heron!P$9,Xero!$A:$A,Heron!$A$5,Xero!$E:$E,Heron!$A101)</f>
        <v>0</v>
      </c>
      <c r="Q101" s="99">
        <f>SUMIFS(Xero!$F:$F,Xero!$B:$B,Heron!Q$9,Xero!$A:$A,Heron!$A$4,Xero!$E:$E,Heron!$A101)+SUMIFS(Xero!$F:$F,Xero!$B:$B,Heron!Q$9,Xero!$A:$A,Heron!$A$5,Xero!$E:$E,Heron!$A101)</f>
        <v>0</v>
      </c>
      <c r="R101" s="99">
        <f>SUMIFS(Xero!$F:$F,Xero!$B:$B,Heron!R$9,Xero!$A:$A,Heron!$A$4,Xero!$E:$E,Heron!$A101)+SUMIFS(Xero!$F:$F,Xero!$B:$B,Heron!R$9,Xero!$A:$A,Heron!$A$5,Xero!$E:$E,Heron!$A101)</f>
        <v>0</v>
      </c>
      <c r="S101" s="99">
        <f>SUMIFS(Xero!$F:$F,Xero!$B:$B,Heron!S$9,Xero!$A:$A,Heron!$A$4,Xero!$E:$E,Heron!$A101)+SUMIFS(Xero!$F:$F,Xero!$B:$B,Heron!S$9,Xero!$A:$A,Heron!$A$5,Xero!$E:$E,Heron!$A101)</f>
        <v>0</v>
      </c>
      <c r="T101" s="99">
        <f>SUMIFS(Xero!$F:$F,Xero!$B:$B,Heron!T$9,Xero!$A:$A,Heron!$A$4,Xero!$E:$E,Heron!$A101)+SUMIFS(Xero!$F:$F,Xero!$B:$B,Heron!T$9,Xero!$A:$A,Heron!$A$5,Xero!$E:$E,Heron!$A101)</f>
        <v>0</v>
      </c>
      <c r="U101" s="99">
        <f>SUMIFS(Xero!$F:$F,Xero!$B:$B,Heron!U$9,Xero!$A:$A,Heron!$A$4,Xero!$E:$E,Heron!$A101)+SUMIFS(Xero!$F:$F,Xero!$B:$B,Heron!U$9,Xero!$A:$A,Heron!$A$5,Xero!$E:$E,Heron!$A101)</f>
        <v>0</v>
      </c>
      <c r="V101" s="99">
        <f>SUMIFS(Xero!$F:$F,Xero!$B:$B,Heron!V$9,Xero!$A:$A,Heron!$A$4,Xero!$E:$E,Heron!$A101)+SUMIFS(Xero!$F:$F,Xero!$B:$B,Heron!V$9,Xero!$A:$A,Heron!$A$5,Xero!$E:$E,Heron!$A101)</f>
        <v>0</v>
      </c>
      <c r="W101" s="99">
        <f>SUMIFS(Xero!$F:$F,Xero!$B:$B,Heron!W$9,Xero!$A:$A,Heron!$A$4,Xero!$E:$E,Heron!$A101)+SUMIFS(Xero!$F:$F,Xero!$B:$B,Heron!W$9,Xero!$A:$A,Heron!$A$5,Xero!$E:$E,Heron!$A101)</f>
        <v>0</v>
      </c>
      <c r="X101" s="99">
        <f>SUMIFS(Xero!$F:$F,Xero!$B:$B,Heron!X$9,Xero!$A:$A,Heron!$A$4,Xero!$E:$E,Heron!$A101)+SUMIFS(Xero!$F:$F,Xero!$B:$B,Heron!X$9,Xero!$A:$A,Heron!$A$5,Xero!$E:$E,Heron!$A101)</f>
        <v>0</v>
      </c>
      <c r="Y101" s="99">
        <f>SUMIFS(Xero!$F:$F,Xero!$B:$B,Heron!Y$9,Xero!$A:$A,Heron!$A$4,Xero!$E:$E,Heron!$A101)+SUMIFS(Xero!$F:$F,Xero!$B:$B,Heron!Y$9,Xero!$A:$A,Heron!$A$5,Xero!$E:$E,Heron!$A101)</f>
        <v>0</v>
      </c>
      <c r="Z101" s="99">
        <f>SUMIFS(Xero!$F:$F,Xero!$B:$B,Heron!Z$9,Xero!$A:$A,Heron!$A$4,Xero!$E:$E,Heron!$A101)+SUMIFS(Xero!$F:$F,Xero!$B:$B,Heron!Z$9,Xero!$A:$A,Heron!$A$5,Xero!$E:$E,Heron!$A101)</f>
        <v>0</v>
      </c>
      <c r="AA101" s="99">
        <f>SUMIFS(Xero!$F:$F,Xero!$B:$B,Heron!AA$9,Xero!$A:$A,Heron!$A$4,Xero!$E:$E,Heron!$A101)+SUMIFS(Xero!$F:$F,Xero!$B:$B,Heron!AA$9,Xero!$A:$A,Heron!$A$5,Xero!$E:$E,Heron!$A101)</f>
        <v>100.26</v>
      </c>
      <c r="AB101" s="99">
        <f>SUMIFS(Xero!$F:$F,Xero!$B:$B,Heron!AB$9,Xero!$A:$A,Heron!$A$4,Xero!$E:$E,Heron!$A101)+SUMIFS(Xero!$F:$F,Xero!$B:$B,Heron!AB$9,Xero!$A:$A,Heron!$A$5,Xero!$E:$E,Heron!$A101)</f>
        <v>0</v>
      </c>
      <c r="AC101" s="99">
        <f>SUMIFS(Xero!$F:$F,Xero!$B:$B,Heron!AC$9,Xero!$A:$A,Heron!$A$4,Xero!$E:$E,Heron!$A101)+SUMIFS(Xero!$F:$F,Xero!$B:$B,Heron!AC$9,Xero!$A:$A,Heron!$A$5,Xero!$E:$E,Heron!$A101)</f>
        <v>0</v>
      </c>
      <c r="AD101" s="99">
        <f>SUMIFS(Xero!$F:$F,Xero!$B:$B,Heron!AD$9,Xero!$A:$A,Heron!$A$4,Xero!$E:$E,Heron!$A101)+SUMIFS(Xero!$F:$F,Xero!$B:$B,Heron!AD$9,Xero!$A:$A,Heron!$A$5,Xero!$E:$E,Heron!$A101)</f>
        <v>0</v>
      </c>
      <c r="AE101" s="99">
        <f>SUMIFS(Xero!$F:$F,Xero!$B:$B,Heron!AE$9,Xero!$A:$A,Heron!$A$4,Xero!$E:$E,Heron!$A101)+SUMIFS(Xero!$F:$F,Xero!$B:$B,Heron!AE$9,Xero!$A:$A,Heron!$A$5,Xero!$E:$E,Heron!$A101)</f>
        <v>0</v>
      </c>
      <c r="AF101" s="99">
        <f>SUMIFS(Xero!$F:$F,Xero!$B:$B,Heron!AF$9,Xero!$A:$A,Heron!$A$4,Xero!$E:$E,Heron!$A101)+SUMIFS(Xero!$F:$F,Xero!$B:$B,Heron!AF$9,Xero!$A:$A,Heron!$A$5,Xero!$E:$E,Heron!$A101)</f>
        <v>0</v>
      </c>
      <c r="AG101" s="99">
        <f>SUMIFS(Xero!$F:$F,Xero!$B:$B,Heron!AG$9,Xero!$A:$A,Heron!$A$4,Xero!$E:$E,Heron!$A101)+SUMIFS(Xero!$F:$F,Xero!$B:$B,Heron!AG$9,Xero!$A:$A,Heron!$A$5,Xero!$E:$E,Heron!$A101)</f>
        <v>0</v>
      </c>
      <c r="AH101" s="99">
        <f>SUMIFS(Xero!$F:$F,Xero!$B:$B,Heron!AH$9,Xero!$A:$A,Heron!$A$4,Xero!$E:$E,Heron!$A101)+SUMIFS(Xero!$F:$F,Xero!$B:$B,Heron!AH$9,Xero!$A:$A,Heron!$A$5,Xero!$E:$E,Heron!$A101)</f>
        <v>0</v>
      </c>
      <c r="AI101" s="99">
        <f>SUMIFS(Xero!$F:$F,Xero!$B:$B,Heron!AI$9,Xero!$A:$A,Heron!$A$4,Xero!$E:$E,Heron!$A101)+SUMIFS(Xero!$F:$F,Xero!$B:$B,Heron!AI$9,Xero!$A:$A,Heron!$A$5,Xero!$E:$E,Heron!$A101)</f>
        <v>0</v>
      </c>
      <c r="AJ101" s="99">
        <f>SUMIFS(Xero!$F:$F,Xero!$B:$B,Heron!AJ$9,Xero!$A:$A,Heron!$A$4,Xero!$E:$E,Heron!$A101)+SUMIFS(Xero!$F:$F,Xero!$B:$B,Heron!AJ$9,Xero!$A:$A,Heron!$A$5,Xero!$E:$E,Heron!$A101)</f>
        <v>0</v>
      </c>
      <c r="AK101" s="99">
        <f>SUMIFS(Xero!$F:$F,Xero!$B:$B,Heron!AK$9,Xero!$A:$A,Heron!$A$4,Xero!$E:$E,Heron!$A101)+SUMIFS(Xero!$F:$F,Xero!$B:$B,Heron!AK$9,Xero!$A:$A,Heron!$A$5,Xero!$E:$E,Heron!$A101)</f>
        <v>0</v>
      </c>
      <c r="AL101" s="99">
        <f>SUMIFS(Xero!$F:$F,Xero!$B:$B,Heron!AL$9,Xero!$A:$A,Heron!$A$4,Xero!$E:$E,Heron!$A101)+SUMIFS(Xero!$F:$F,Xero!$B:$B,Heron!AL$9,Xero!$A:$A,Heron!$A$5,Xero!$E:$E,Heron!$A101)</f>
        <v>0</v>
      </c>
      <c r="AM101" s="99">
        <f>SUMIFS(Xero!$F:$F,Xero!$B:$B,Heron!AM$9,Xero!$A:$A,Heron!$A$4,Xero!$E:$E,Heron!$A101)+SUMIFS(Xero!$F:$F,Xero!$B:$B,Heron!AM$9,Xero!$A:$A,Heron!$A$5,Xero!$E:$E,Heron!$A101)</f>
        <v>0</v>
      </c>
      <c r="AN101" s="99">
        <f>SUMIFS(Xero!$F:$F,Xero!$B:$B,Heron!AN$9,Xero!$A:$A,Heron!$A$4,Xero!$E:$E,Heron!$A101)+SUMIFS(Xero!$F:$F,Xero!$B:$B,Heron!AN$9,Xero!$A:$A,Heron!$A$5,Xero!$E:$E,Heron!$A101)</f>
        <v>0</v>
      </c>
      <c r="AO101" s="99">
        <f>SUMIFS(Xero!$F:$F,Xero!$B:$B,Heron!AO$9,Xero!$A:$A,Heron!$A$4,Xero!$E:$E,Heron!$A101)+SUMIFS(Xero!$F:$F,Xero!$B:$B,Heron!AO$9,Xero!$A:$A,Heron!$A$5,Xero!$E:$E,Heron!$A101)</f>
        <v>0</v>
      </c>
      <c r="AP101" s="99">
        <f>SUMIFS(Xero!$F:$F,Xero!$B:$B,Heron!AP$9,Xero!$A:$A,Heron!$A$4,Xero!$E:$E,Heron!$A101)+SUMIFS(Xero!$F:$F,Xero!$B:$B,Heron!AP$9,Xero!$A:$A,Heron!$A$5,Xero!$E:$E,Heron!$A101)</f>
        <v>0</v>
      </c>
      <c r="AQ101" s="99">
        <f>SUMIFS(Xero!$F:$F,Xero!$B:$B,Heron!AQ$9,Xero!$A:$A,Heron!$A$4,Xero!$E:$E,Heron!$A101)+SUMIFS(Xero!$F:$F,Xero!$B:$B,Heron!AQ$9,Xero!$A:$A,Heron!$A$5,Xero!$E:$E,Heron!$A101)</f>
        <v>0</v>
      </c>
      <c r="AR101" s="99">
        <f>SUMIFS(Xero!$F:$F,Xero!$B:$B,Heron!AR$9,Xero!$A:$A,Heron!$A$4,Xero!$E:$E,Heron!$A101)+SUMIFS(Xero!$F:$F,Xero!$B:$B,Heron!AR$9,Xero!$A:$A,Heron!$A$5,Xero!$E:$E,Heron!$A101)</f>
        <v>0</v>
      </c>
      <c r="AS101" s="99">
        <f>SUMIFS(Xero!$F:$F,Xero!$B:$B,Heron!AS$9,Xero!$A:$A,Heron!$A$4,Xero!$E:$E,Heron!$A101)+SUMIFS(Xero!$F:$F,Xero!$B:$B,Heron!AS$9,Xero!$A:$A,Heron!$A$5,Xero!$E:$E,Heron!$A101)</f>
        <v>0</v>
      </c>
      <c r="AT101" s="99">
        <f>SUMIFS(Xero!$F:$F,Xero!$B:$B,Heron!AT$9,Xero!$A:$A,Heron!$A$4,Xero!$E:$E,Heron!$A101)+SUMIFS(Xero!$F:$F,Xero!$B:$B,Heron!AT$9,Xero!$A:$A,Heron!$A$5,Xero!$E:$E,Heron!$A101)</f>
        <v>0</v>
      </c>
      <c r="AU101" s="99">
        <f>SUMIFS(Xero!$F:$F,Xero!$B:$B,Heron!AU$9,Xero!$A:$A,Heron!$A$4,Xero!$E:$E,Heron!$A101)+SUMIFS(Xero!$F:$F,Xero!$B:$B,Heron!AU$9,Xero!$A:$A,Heron!$A$5,Xero!$E:$E,Heron!$A101)</f>
        <v>0</v>
      </c>
      <c r="AV101" s="99">
        <f>SUMIFS(Xero!$F:$F,Xero!$B:$B,Heron!AV$9,Xero!$A:$A,Heron!$A$4,Xero!$E:$E,Heron!$A101)+SUMIFS(Xero!$F:$F,Xero!$B:$B,Heron!AV$9,Xero!$A:$A,Heron!$A$5,Xero!$E:$E,Heron!$A101)</f>
        <v>0</v>
      </c>
      <c r="AW101" s="99">
        <f>SUMIFS(Xero!$F:$F,Xero!$B:$B,Heron!AW$9,Xero!$A:$A,Heron!$A$4,Xero!$E:$E,Heron!$A101)+SUMIFS(Xero!$F:$F,Xero!$B:$B,Heron!AW$9,Xero!$A:$A,Heron!$A$5,Xero!$E:$E,Heron!$A101)</f>
        <v>0</v>
      </c>
      <c r="AX101" s="99">
        <f>SUMIFS(Xero!$F:$F,Xero!$B:$B,Heron!AX$9,Xero!$A:$A,Heron!$A$4,Xero!$E:$E,Heron!$A101)+SUMIFS(Xero!$F:$F,Xero!$B:$B,Heron!AX$9,Xero!$A:$A,Heron!$A$5,Xero!$E:$E,Heron!$A101)</f>
        <v>0</v>
      </c>
      <c r="AY101" s="99">
        <f>SUMIFS(Xero!$F:$F,Xero!$B:$B,Heron!AY$9,Xero!$A:$A,Heron!$A$4,Xero!$E:$E,Heron!$A101)+SUMIFS(Xero!$F:$F,Xero!$B:$B,Heron!AY$9,Xero!$A:$A,Heron!$A$5,Xero!$E:$E,Heron!$A101)</f>
        <v>0</v>
      </c>
      <c r="AZ101" s="99">
        <f>SUMIFS(Xero!$F:$F,Xero!$B:$B,Heron!AZ$9,Xero!$A:$A,Heron!$A$4,Xero!$E:$E,Heron!$A101)+SUMIFS(Xero!$F:$F,Xero!$B:$B,Heron!AZ$9,Xero!$A:$A,Heron!$A$5,Xero!$E:$E,Heron!$A101)</f>
        <v>0</v>
      </c>
      <c r="BA101" s="99">
        <f>SUMIFS(Xero!$F:$F,Xero!$B:$B,Heron!BA$9,Xero!$A:$A,Heron!$A$4,Xero!$E:$E,Heron!$A101)+SUMIFS(Xero!$F:$F,Xero!$B:$B,Heron!BA$9,Xero!$A:$A,Heron!$A$5,Xero!$E:$E,Heron!$A101)</f>
        <v>0</v>
      </c>
      <c r="BB101" s="99">
        <f>SUMIFS(Xero!$F:$F,Xero!$B:$B,Heron!BB$9,Xero!$A:$A,Heron!$A$4,Xero!$E:$E,Heron!$A101)+SUMIFS(Xero!$F:$F,Xero!$B:$B,Heron!BB$9,Xero!$A:$A,Heron!$A$5,Xero!$E:$E,Heron!$A101)</f>
        <v>0</v>
      </c>
      <c r="BC101" s="99">
        <f>SUMIFS(Xero!$F:$F,Xero!$B:$B,Heron!BC$9,Xero!$A:$A,Heron!$A$4,Xero!$E:$E,Heron!$A101)+SUMIFS(Xero!$F:$F,Xero!$B:$B,Heron!BC$9,Xero!$A:$A,Heron!$A$5,Xero!$E:$E,Heron!$A101)</f>
        <v>0</v>
      </c>
      <c r="BD101" s="99">
        <f>SUMIFS(Xero!$F:$F,Xero!$B:$B,Heron!BD$9,Xero!$A:$A,Heron!$A$4,Xero!$E:$E,Heron!$A101)+SUMIFS(Xero!$F:$F,Xero!$B:$B,Heron!BD$9,Xero!$A:$A,Heron!$A$5,Xero!$E:$E,Heron!$A101)</f>
        <v>0</v>
      </c>
      <c r="BE101" s="99">
        <f>SUMIFS(Xero!$F:$F,Xero!$B:$B,Heron!BE$9,Xero!$A:$A,Heron!$A$4,Xero!$E:$E,Heron!$A101)+SUMIFS(Xero!$F:$F,Xero!$B:$B,Heron!BE$9,Xero!$A:$A,Heron!$A$5,Xero!$E:$E,Heron!$A101)</f>
        <v>0</v>
      </c>
      <c r="BF101" s="99">
        <f>SUMIFS(Xero!$F:$F,Xero!$B:$B,Heron!BF$9,Xero!$A:$A,Heron!$A$4,Xero!$E:$E,Heron!$A101)+SUMIFS(Xero!$F:$F,Xero!$B:$B,Heron!BF$9,Xero!$A:$A,Heron!$A$5,Xero!$E:$E,Heron!$A101)</f>
        <v>0</v>
      </c>
      <c r="BG101" s="99">
        <f>SUMIFS(Xero!$F:$F,Xero!$B:$B,Heron!BG$9,Xero!$A:$A,Heron!$A$4,Xero!$E:$E,Heron!$A101)+SUMIFS(Xero!$F:$F,Xero!$B:$B,Heron!BG$9,Xero!$A:$A,Heron!$A$5,Xero!$E:$E,Heron!$A101)</f>
        <v>0</v>
      </c>
      <c r="BH101" s="99">
        <f>SUMIFS(Xero!$F:$F,Xero!$B:$B,Heron!BH$9,Xero!$A:$A,Heron!$A$4,Xero!$E:$E,Heron!$A101)+SUMIFS(Xero!$F:$F,Xero!$B:$B,Heron!BH$9,Xero!$A:$A,Heron!$A$5,Xero!$E:$E,Heron!$A101)</f>
        <v>0</v>
      </c>
      <c r="BI101" s="99">
        <f>SUMIFS(Xero!$F:$F,Xero!$B:$B,Heron!BI$9,Xero!$A:$A,Heron!$A$4,Xero!$E:$E,Heron!$A101)+SUMIFS(Xero!$F:$F,Xero!$B:$B,Heron!BI$9,Xero!$A:$A,Heron!$A$5,Xero!$E:$E,Heron!$A101)</f>
        <v>0</v>
      </c>
      <c r="BJ101" s="99">
        <f>SUMIFS(Xero!$F:$F,Xero!$B:$B,Heron!BJ$9,Xero!$A:$A,Heron!$A$4,Xero!$E:$E,Heron!$A101)+SUMIFS(Xero!$F:$F,Xero!$B:$B,Heron!BJ$9,Xero!$A:$A,Heron!$A$5,Xero!$E:$E,Heron!$A101)</f>
        <v>0</v>
      </c>
      <c r="BK101" s="99">
        <f t="shared" si="6"/>
        <v>100.26</v>
      </c>
    </row>
    <row r="102" spans="1:63" ht="16" x14ac:dyDescent="0.2">
      <c r="A102" s="98" t="s">
        <v>1127</v>
      </c>
      <c r="D102" s="99">
        <f>SUMIFS(Xero!$F:$F,Xero!$B:$B,Heron!D$9,Xero!$A:$A,Heron!$A$4,Xero!$E:$E,Heron!$A102)+SUMIFS(Xero!$F:$F,Xero!$B:$B,Heron!D$9,Xero!$A:$A,Heron!$A$5,Xero!$E:$E,Heron!$A102)</f>
        <v>0</v>
      </c>
      <c r="E102" s="99">
        <f>SUMIFS(Xero!$F:$F,Xero!$B:$B,Heron!E$9,Xero!$A:$A,Heron!$A$4,Xero!$E:$E,Heron!$A102)+SUMIFS(Xero!$F:$F,Xero!$B:$B,Heron!E$9,Xero!$A:$A,Heron!$A$5,Xero!$E:$E,Heron!$A102)</f>
        <v>0</v>
      </c>
      <c r="F102" s="99">
        <f>SUMIFS(Xero!$F:$F,Xero!$B:$B,Heron!F$9,Xero!$A:$A,Heron!$A$4,Xero!$E:$E,Heron!$A102)+SUMIFS(Xero!$F:$F,Xero!$B:$B,Heron!F$9,Xero!$A:$A,Heron!$A$5,Xero!$E:$E,Heron!$A102)</f>
        <v>0</v>
      </c>
      <c r="G102" s="99">
        <f>SUMIFS(Xero!$F:$F,Xero!$B:$B,Heron!G$9,Xero!$A:$A,Heron!$A$4,Xero!$E:$E,Heron!$A102)+SUMIFS(Xero!$F:$F,Xero!$B:$B,Heron!G$9,Xero!$A:$A,Heron!$A$5,Xero!$E:$E,Heron!$A102)</f>
        <v>0</v>
      </c>
      <c r="H102" s="99">
        <f>SUMIFS(Xero!$F:$F,Xero!$B:$B,Heron!H$9,Xero!$A:$A,Heron!$A$4,Xero!$E:$E,Heron!$A102)+SUMIFS(Xero!$F:$F,Xero!$B:$B,Heron!H$9,Xero!$A:$A,Heron!$A$5,Xero!$E:$E,Heron!$A102)</f>
        <v>0</v>
      </c>
      <c r="I102" s="99">
        <f>SUMIFS(Xero!$F:$F,Xero!$B:$B,Heron!I$9,Xero!$A:$A,Heron!$A$4,Xero!$E:$E,Heron!$A102)+SUMIFS(Xero!$F:$F,Xero!$B:$B,Heron!I$9,Xero!$A:$A,Heron!$A$5,Xero!$E:$E,Heron!$A102)</f>
        <v>0</v>
      </c>
      <c r="J102" s="99">
        <f>SUMIFS(Xero!$F:$F,Xero!$B:$B,Heron!J$9,Xero!$A:$A,Heron!$A$4,Xero!$E:$E,Heron!$A102)+SUMIFS(Xero!$F:$F,Xero!$B:$B,Heron!J$9,Xero!$A:$A,Heron!$A$5,Xero!$E:$E,Heron!$A102)</f>
        <v>0</v>
      </c>
      <c r="K102" s="99">
        <f>SUMIFS(Xero!$F:$F,Xero!$B:$B,Heron!K$9,Xero!$A:$A,Heron!$A$4,Xero!$E:$E,Heron!$A102)+SUMIFS(Xero!$F:$F,Xero!$B:$B,Heron!K$9,Xero!$A:$A,Heron!$A$5,Xero!$E:$E,Heron!$A102)</f>
        <v>0</v>
      </c>
      <c r="L102" s="99">
        <f>SUMIFS(Xero!$F:$F,Xero!$B:$B,Heron!L$9,Xero!$A:$A,Heron!$A$4,Xero!$E:$E,Heron!$A102)+SUMIFS(Xero!$F:$F,Xero!$B:$B,Heron!L$9,Xero!$A:$A,Heron!$A$5,Xero!$E:$E,Heron!$A102)</f>
        <v>1271.93</v>
      </c>
      <c r="M102" s="99">
        <f>SUMIFS(Xero!$F:$F,Xero!$B:$B,Heron!M$9,Xero!$A:$A,Heron!$A$4,Xero!$E:$E,Heron!$A102)+SUMIFS(Xero!$F:$F,Xero!$B:$B,Heron!M$9,Xero!$A:$A,Heron!$A$5,Xero!$E:$E,Heron!$A102)</f>
        <v>0</v>
      </c>
      <c r="N102" s="99">
        <f>SUMIFS(Xero!$F:$F,Xero!$B:$B,Heron!N$9,Xero!$A:$A,Heron!$A$4,Xero!$E:$E,Heron!$A102)+SUMIFS(Xero!$F:$F,Xero!$B:$B,Heron!N$9,Xero!$A:$A,Heron!$A$5,Xero!$E:$E,Heron!$A102)</f>
        <v>0</v>
      </c>
      <c r="O102" s="99">
        <f>SUMIFS(Xero!$F:$F,Xero!$B:$B,Heron!O$9,Xero!$A:$A,Heron!$A$4,Xero!$E:$E,Heron!$A102)+SUMIFS(Xero!$F:$F,Xero!$B:$B,Heron!O$9,Xero!$A:$A,Heron!$A$5,Xero!$E:$E,Heron!$A102)</f>
        <v>0</v>
      </c>
      <c r="P102" s="99">
        <f>SUMIFS(Xero!$F:$F,Xero!$B:$B,Heron!P$9,Xero!$A:$A,Heron!$A$4,Xero!$E:$E,Heron!$A102)+SUMIFS(Xero!$F:$F,Xero!$B:$B,Heron!P$9,Xero!$A:$A,Heron!$A$5,Xero!$E:$E,Heron!$A102)</f>
        <v>0</v>
      </c>
      <c r="Q102" s="99">
        <f>SUMIFS(Xero!$F:$F,Xero!$B:$B,Heron!Q$9,Xero!$A:$A,Heron!$A$4,Xero!$E:$E,Heron!$A102)+SUMIFS(Xero!$F:$F,Xero!$B:$B,Heron!Q$9,Xero!$A:$A,Heron!$A$5,Xero!$E:$E,Heron!$A102)</f>
        <v>0</v>
      </c>
      <c r="R102" s="99">
        <f>SUMIFS(Xero!$F:$F,Xero!$B:$B,Heron!R$9,Xero!$A:$A,Heron!$A$4,Xero!$E:$E,Heron!$A102)+SUMIFS(Xero!$F:$F,Xero!$B:$B,Heron!R$9,Xero!$A:$A,Heron!$A$5,Xero!$E:$E,Heron!$A102)</f>
        <v>0</v>
      </c>
      <c r="S102" s="99">
        <f>SUMIFS(Xero!$F:$F,Xero!$B:$B,Heron!S$9,Xero!$A:$A,Heron!$A$4,Xero!$E:$E,Heron!$A102)+SUMIFS(Xero!$F:$F,Xero!$B:$B,Heron!S$9,Xero!$A:$A,Heron!$A$5,Xero!$E:$E,Heron!$A102)</f>
        <v>0</v>
      </c>
      <c r="T102" s="99">
        <f>SUMIFS(Xero!$F:$F,Xero!$B:$B,Heron!T$9,Xero!$A:$A,Heron!$A$4,Xero!$E:$E,Heron!$A102)+SUMIFS(Xero!$F:$F,Xero!$B:$B,Heron!T$9,Xero!$A:$A,Heron!$A$5,Xero!$E:$E,Heron!$A102)</f>
        <v>0</v>
      </c>
      <c r="U102" s="99">
        <f>SUMIFS(Xero!$F:$F,Xero!$B:$B,Heron!U$9,Xero!$A:$A,Heron!$A$4,Xero!$E:$E,Heron!$A102)+SUMIFS(Xero!$F:$F,Xero!$B:$B,Heron!U$9,Xero!$A:$A,Heron!$A$5,Xero!$E:$E,Heron!$A102)</f>
        <v>0</v>
      </c>
      <c r="V102" s="99">
        <f>SUMIFS(Xero!$F:$F,Xero!$B:$B,Heron!V$9,Xero!$A:$A,Heron!$A$4,Xero!$E:$E,Heron!$A102)+SUMIFS(Xero!$F:$F,Xero!$B:$B,Heron!V$9,Xero!$A:$A,Heron!$A$5,Xero!$E:$E,Heron!$A102)</f>
        <v>0</v>
      </c>
      <c r="W102" s="99">
        <f>SUMIFS(Xero!$F:$F,Xero!$B:$B,Heron!W$9,Xero!$A:$A,Heron!$A$4,Xero!$E:$E,Heron!$A102)+SUMIFS(Xero!$F:$F,Xero!$B:$B,Heron!W$9,Xero!$A:$A,Heron!$A$5,Xero!$E:$E,Heron!$A102)</f>
        <v>526.32000000000005</v>
      </c>
      <c r="X102" s="99">
        <f>SUMIFS(Xero!$F:$F,Xero!$B:$B,Heron!X$9,Xero!$A:$A,Heron!$A$4,Xero!$E:$E,Heron!$A102)+SUMIFS(Xero!$F:$F,Xero!$B:$B,Heron!X$9,Xero!$A:$A,Heron!$A$5,Xero!$E:$E,Heron!$A102)</f>
        <v>262.11</v>
      </c>
      <c r="Y102" s="99">
        <f>SUMIFS(Xero!$F:$F,Xero!$B:$B,Heron!Y$9,Xero!$A:$A,Heron!$A$4,Xero!$E:$E,Heron!$A102)+SUMIFS(Xero!$F:$F,Xero!$B:$B,Heron!Y$9,Xero!$A:$A,Heron!$A$5,Xero!$E:$E,Heron!$A102)</f>
        <v>0</v>
      </c>
      <c r="Z102" s="99">
        <f>SUMIFS(Xero!$F:$F,Xero!$B:$B,Heron!Z$9,Xero!$A:$A,Heron!$A$4,Xero!$E:$E,Heron!$A102)+SUMIFS(Xero!$F:$F,Xero!$B:$B,Heron!Z$9,Xero!$A:$A,Heron!$A$5,Xero!$E:$E,Heron!$A102)</f>
        <v>0</v>
      </c>
      <c r="AA102" s="99">
        <f>SUMIFS(Xero!$F:$F,Xero!$B:$B,Heron!AA$9,Xero!$A:$A,Heron!$A$4,Xero!$E:$E,Heron!$A102)+SUMIFS(Xero!$F:$F,Xero!$B:$B,Heron!AA$9,Xero!$A:$A,Heron!$A$5,Xero!$E:$E,Heron!$A102)</f>
        <v>0</v>
      </c>
      <c r="AB102" s="99">
        <f>SUMIFS(Xero!$F:$F,Xero!$B:$B,Heron!AB$9,Xero!$A:$A,Heron!$A$4,Xero!$E:$E,Heron!$A102)+SUMIFS(Xero!$F:$F,Xero!$B:$B,Heron!AB$9,Xero!$A:$A,Heron!$A$5,Xero!$E:$E,Heron!$A102)</f>
        <v>0</v>
      </c>
      <c r="AC102" s="99">
        <f>SUMIFS(Xero!$F:$F,Xero!$B:$B,Heron!AC$9,Xero!$A:$A,Heron!$A$4,Xero!$E:$E,Heron!$A102)+SUMIFS(Xero!$F:$F,Xero!$B:$B,Heron!AC$9,Xero!$A:$A,Heron!$A$5,Xero!$E:$E,Heron!$A102)</f>
        <v>0</v>
      </c>
      <c r="AD102" s="99">
        <f>SUMIFS(Xero!$F:$F,Xero!$B:$B,Heron!AD$9,Xero!$A:$A,Heron!$A$4,Xero!$E:$E,Heron!$A102)+SUMIFS(Xero!$F:$F,Xero!$B:$B,Heron!AD$9,Xero!$A:$A,Heron!$A$5,Xero!$E:$E,Heron!$A102)</f>
        <v>0</v>
      </c>
      <c r="AE102" s="99">
        <f>SUMIFS(Xero!$F:$F,Xero!$B:$B,Heron!AE$9,Xero!$A:$A,Heron!$A$4,Xero!$E:$E,Heron!$A102)+SUMIFS(Xero!$F:$F,Xero!$B:$B,Heron!AE$9,Xero!$A:$A,Heron!$A$5,Xero!$E:$E,Heron!$A102)</f>
        <v>0</v>
      </c>
      <c r="AF102" s="99">
        <f>SUMIFS(Xero!$F:$F,Xero!$B:$B,Heron!AF$9,Xero!$A:$A,Heron!$A$4,Xero!$E:$E,Heron!$A102)+SUMIFS(Xero!$F:$F,Xero!$B:$B,Heron!AF$9,Xero!$A:$A,Heron!$A$5,Xero!$E:$E,Heron!$A102)</f>
        <v>0</v>
      </c>
      <c r="AG102" s="99">
        <f>SUMIFS(Xero!$F:$F,Xero!$B:$B,Heron!AG$9,Xero!$A:$A,Heron!$A$4,Xero!$E:$E,Heron!$A102)+SUMIFS(Xero!$F:$F,Xero!$B:$B,Heron!AG$9,Xero!$A:$A,Heron!$A$5,Xero!$E:$E,Heron!$A102)</f>
        <v>0</v>
      </c>
      <c r="AH102" s="99">
        <f>SUMIFS(Xero!$F:$F,Xero!$B:$B,Heron!AH$9,Xero!$A:$A,Heron!$A$4,Xero!$E:$E,Heron!$A102)+SUMIFS(Xero!$F:$F,Xero!$B:$B,Heron!AH$9,Xero!$A:$A,Heron!$A$5,Xero!$E:$E,Heron!$A102)</f>
        <v>0</v>
      </c>
      <c r="AI102" s="99">
        <f>SUMIFS(Xero!$F:$F,Xero!$B:$B,Heron!AI$9,Xero!$A:$A,Heron!$A$4,Xero!$E:$E,Heron!$A102)+SUMIFS(Xero!$F:$F,Xero!$B:$B,Heron!AI$9,Xero!$A:$A,Heron!$A$5,Xero!$E:$E,Heron!$A102)</f>
        <v>526.32000000000005</v>
      </c>
      <c r="AJ102" s="99">
        <f>SUMIFS(Xero!$F:$F,Xero!$B:$B,Heron!AJ$9,Xero!$A:$A,Heron!$A$4,Xero!$E:$E,Heron!$A102)+SUMIFS(Xero!$F:$F,Xero!$B:$B,Heron!AJ$9,Xero!$A:$A,Heron!$A$5,Xero!$E:$E,Heron!$A102)</f>
        <v>0</v>
      </c>
      <c r="AK102" s="99">
        <f>SUMIFS(Xero!$F:$F,Xero!$B:$B,Heron!AK$9,Xero!$A:$A,Heron!$A$4,Xero!$E:$E,Heron!$A102)+SUMIFS(Xero!$F:$F,Xero!$B:$B,Heron!AK$9,Xero!$A:$A,Heron!$A$5,Xero!$E:$E,Heron!$A102)</f>
        <v>0</v>
      </c>
      <c r="AL102" s="99">
        <f>SUMIFS(Xero!$F:$F,Xero!$B:$B,Heron!AL$9,Xero!$A:$A,Heron!$A$4,Xero!$E:$E,Heron!$A102)+SUMIFS(Xero!$F:$F,Xero!$B:$B,Heron!AL$9,Xero!$A:$A,Heron!$A$5,Xero!$E:$E,Heron!$A102)</f>
        <v>0</v>
      </c>
      <c r="AM102" s="99">
        <f>SUMIFS(Xero!$F:$F,Xero!$B:$B,Heron!AM$9,Xero!$A:$A,Heron!$A$4,Xero!$E:$E,Heron!$A102)+SUMIFS(Xero!$F:$F,Xero!$B:$B,Heron!AM$9,Xero!$A:$A,Heron!$A$5,Xero!$E:$E,Heron!$A102)</f>
        <v>0</v>
      </c>
      <c r="AN102" s="99">
        <f>SUMIFS(Xero!$F:$F,Xero!$B:$B,Heron!AN$9,Xero!$A:$A,Heron!$A$4,Xero!$E:$E,Heron!$A102)+SUMIFS(Xero!$F:$F,Xero!$B:$B,Heron!AN$9,Xero!$A:$A,Heron!$A$5,Xero!$E:$E,Heron!$A102)</f>
        <v>0</v>
      </c>
      <c r="AO102" s="99">
        <f>SUMIFS(Xero!$F:$F,Xero!$B:$B,Heron!AO$9,Xero!$A:$A,Heron!$A$4,Xero!$E:$E,Heron!$A102)+SUMIFS(Xero!$F:$F,Xero!$B:$B,Heron!AO$9,Xero!$A:$A,Heron!$A$5,Xero!$E:$E,Heron!$A102)</f>
        <v>0</v>
      </c>
      <c r="AP102" s="99">
        <f>SUMIFS(Xero!$F:$F,Xero!$B:$B,Heron!AP$9,Xero!$A:$A,Heron!$A$4,Xero!$E:$E,Heron!$A102)+SUMIFS(Xero!$F:$F,Xero!$B:$B,Heron!AP$9,Xero!$A:$A,Heron!$A$5,Xero!$E:$E,Heron!$A102)</f>
        <v>0</v>
      </c>
      <c r="AQ102" s="99">
        <f>SUMIFS(Xero!$F:$F,Xero!$B:$B,Heron!AQ$9,Xero!$A:$A,Heron!$A$4,Xero!$E:$E,Heron!$A102)+SUMIFS(Xero!$F:$F,Xero!$B:$B,Heron!AQ$9,Xero!$A:$A,Heron!$A$5,Xero!$E:$E,Heron!$A102)</f>
        <v>0</v>
      </c>
      <c r="AR102" s="99">
        <f>SUMIFS(Xero!$F:$F,Xero!$B:$B,Heron!AR$9,Xero!$A:$A,Heron!$A$4,Xero!$E:$E,Heron!$A102)+SUMIFS(Xero!$F:$F,Xero!$B:$B,Heron!AR$9,Xero!$A:$A,Heron!$A$5,Xero!$E:$E,Heron!$A102)</f>
        <v>0</v>
      </c>
      <c r="AS102" s="99">
        <f>SUMIFS(Xero!$F:$F,Xero!$B:$B,Heron!AS$9,Xero!$A:$A,Heron!$A$4,Xero!$E:$E,Heron!$A102)+SUMIFS(Xero!$F:$F,Xero!$B:$B,Heron!AS$9,Xero!$A:$A,Heron!$A$5,Xero!$E:$E,Heron!$A102)</f>
        <v>0</v>
      </c>
      <c r="AT102" s="99">
        <f>SUMIFS(Xero!$F:$F,Xero!$B:$B,Heron!AT$9,Xero!$A:$A,Heron!$A$4,Xero!$E:$E,Heron!$A102)+SUMIFS(Xero!$F:$F,Xero!$B:$B,Heron!AT$9,Xero!$A:$A,Heron!$A$5,Xero!$E:$E,Heron!$A102)</f>
        <v>0</v>
      </c>
      <c r="AU102" s="99">
        <f>SUMIFS(Xero!$F:$F,Xero!$B:$B,Heron!AU$9,Xero!$A:$A,Heron!$A$4,Xero!$E:$E,Heron!$A102)+SUMIFS(Xero!$F:$F,Xero!$B:$B,Heron!AU$9,Xero!$A:$A,Heron!$A$5,Xero!$E:$E,Heron!$A102)</f>
        <v>0</v>
      </c>
      <c r="AV102" s="99">
        <f>SUMIFS(Xero!$F:$F,Xero!$B:$B,Heron!AV$9,Xero!$A:$A,Heron!$A$4,Xero!$E:$E,Heron!$A102)+SUMIFS(Xero!$F:$F,Xero!$B:$B,Heron!AV$9,Xero!$A:$A,Heron!$A$5,Xero!$E:$E,Heron!$A102)</f>
        <v>0</v>
      </c>
      <c r="AW102" s="99">
        <f>SUMIFS(Xero!$F:$F,Xero!$B:$B,Heron!AW$9,Xero!$A:$A,Heron!$A$4,Xero!$E:$E,Heron!$A102)+SUMIFS(Xero!$F:$F,Xero!$B:$B,Heron!AW$9,Xero!$A:$A,Heron!$A$5,Xero!$E:$E,Heron!$A102)</f>
        <v>0</v>
      </c>
      <c r="AX102" s="99">
        <f>SUMIFS(Xero!$F:$F,Xero!$B:$B,Heron!AX$9,Xero!$A:$A,Heron!$A$4,Xero!$E:$E,Heron!$A102)+SUMIFS(Xero!$F:$F,Xero!$B:$B,Heron!AX$9,Xero!$A:$A,Heron!$A$5,Xero!$E:$E,Heron!$A102)</f>
        <v>0</v>
      </c>
      <c r="AY102" s="99">
        <f>SUMIFS(Xero!$F:$F,Xero!$B:$B,Heron!AY$9,Xero!$A:$A,Heron!$A$4,Xero!$E:$E,Heron!$A102)+SUMIFS(Xero!$F:$F,Xero!$B:$B,Heron!AY$9,Xero!$A:$A,Heron!$A$5,Xero!$E:$E,Heron!$A102)</f>
        <v>0</v>
      </c>
      <c r="AZ102" s="99">
        <f>SUMIFS(Xero!$F:$F,Xero!$B:$B,Heron!AZ$9,Xero!$A:$A,Heron!$A$4,Xero!$E:$E,Heron!$A102)+SUMIFS(Xero!$F:$F,Xero!$B:$B,Heron!AZ$9,Xero!$A:$A,Heron!$A$5,Xero!$E:$E,Heron!$A102)</f>
        <v>0</v>
      </c>
      <c r="BA102" s="99">
        <f>SUMIFS(Xero!$F:$F,Xero!$B:$B,Heron!BA$9,Xero!$A:$A,Heron!$A$4,Xero!$E:$E,Heron!$A102)+SUMIFS(Xero!$F:$F,Xero!$B:$B,Heron!BA$9,Xero!$A:$A,Heron!$A$5,Xero!$E:$E,Heron!$A102)</f>
        <v>0</v>
      </c>
      <c r="BB102" s="99">
        <f>SUMIFS(Xero!$F:$F,Xero!$B:$B,Heron!BB$9,Xero!$A:$A,Heron!$A$4,Xero!$E:$E,Heron!$A102)+SUMIFS(Xero!$F:$F,Xero!$B:$B,Heron!BB$9,Xero!$A:$A,Heron!$A$5,Xero!$E:$E,Heron!$A102)</f>
        <v>0</v>
      </c>
      <c r="BC102" s="99">
        <f>SUMIFS(Xero!$F:$F,Xero!$B:$B,Heron!BC$9,Xero!$A:$A,Heron!$A$4,Xero!$E:$E,Heron!$A102)+SUMIFS(Xero!$F:$F,Xero!$B:$B,Heron!BC$9,Xero!$A:$A,Heron!$A$5,Xero!$E:$E,Heron!$A102)</f>
        <v>0</v>
      </c>
      <c r="BD102" s="99">
        <f>SUMIFS(Xero!$F:$F,Xero!$B:$B,Heron!BD$9,Xero!$A:$A,Heron!$A$4,Xero!$E:$E,Heron!$A102)+SUMIFS(Xero!$F:$F,Xero!$B:$B,Heron!BD$9,Xero!$A:$A,Heron!$A$5,Xero!$E:$E,Heron!$A102)</f>
        <v>0</v>
      </c>
      <c r="BE102" s="99">
        <f>SUMIFS(Xero!$F:$F,Xero!$B:$B,Heron!BE$9,Xero!$A:$A,Heron!$A$4,Xero!$E:$E,Heron!$A102)+SUMIFS(Xero!$F:$F,Xero!$B:$B,Heron!BE$9,Xero!$A:$A,Heron!$A$5,Xero!$E:$E,Heron!$A102)</f>
        <v>0</v>
      </c>
      <c r="BF102" s="99">
        <f>SUMIFS(Xero!$F:$F,Xero!$B:$B,Heron!BF$9,Xero!$A:$A,Heron!$A$4,Xero!$E:$E,Heron!$A102)+SUMIFS(Xero!$F:$F,Xero!$B:$B,Heron!BF$9,Xero!$A:$A,Heron!$A$5,Xero!$E:$E,Heron!$A102)</f>
        <v>0</v>
      </c>
      <c r="BG102" s="99">
        <f>SUMIFS(Xero!$F:$F,Xero!$B:$B,Heron!BG$9,Xero!$A:$A,Heron!$A$4,Xero!$E:$E,Heron!$A102)+SUMIFS(Xero!$F:$F,Xero!$B:$B,Heron!BG$9,Xero!$A:$A,Heron!$A$5,Xero!$E:$E,Heron!$A102)</f>
        <v>0</v>
      </c>
      <c r="BH102" s="99">
        <f>SUMIFS(Xero!$F:$F,Xero!$B:$B,Heron!BH$9,Xero!$A:$A,Heron!$A$4,Xero!$E:$E,Heron!$A102)+SUMIFS(Xero!$F:$F,Xero!$B:$B,Heron!BH$9,Xero!$A:$A,Heron!$A$5,Xero!$E:$E,Heron!$A102)</f>
        <v>0</v>
      </c>
      <c r="BI102" s="99">
        <f>SUMIFS(Xero!$F:$F,Xero!$B:$B,Heron!BI$9,Xero!$A:$A,Heron!$A$4,Xero!$E:$E,Heron!$A102)+SUMIFS(Xero!$F:$F,Xero!$B:$B,Heron!BI$9,Xero!$A:$A,Heron!$A$5,Xero!$E:$E,Heron!$A102)</f>
        <v>0</v>
      </c>
      <c r="BJ102" s="99">
        <f>SUMIFS(Xero!$F:$F,Xero!$B:$B,Heron!BJ$9,Xero!$A:$A,Heron!$A$4,Xero!$E:$E,Heron!$A102)+SUMIFS(Xero!$F:$F,Xero!$B:$B,Heron!BJ$9,Xero!$A:$A,Heron!$A$5,Xero!$E:$E,Heron!$A102)</f>
        <v>0</v>
      </c>
      <c r="BK102" s="99">
        <f t="shared" si="6"/>
        <v>2586.6800000000003</v>
      </c>
    </row>
    <row r="103" spans="1:63" ht="16" x14ac:dyDescent="0.2">
      <c r="A103" s="98" t="s">
        <v>1105</v>
      </c>
      <c r="D103" s="99">
        <f>SUMIFS(Xero!$F:$F,Xero!$B:$B,Heron!D$9,Xero!$A:$A,Heron!$A$4,Xero!$E:$E,Heron!$A103)+SUMIFS(Xero!$F:$F,Xero!$B:$B,Heron!D$9,Xero!$A:$A,Heron!$A$5,Xero!$E:$E,Heron!$A103)</f>
        <v>0</v>
      </c>
      <c r="E103" s="99">
        <f>SUMIFS(Xero!$F:$F,Xero!$B:$B,Heron!E$9,Xero!$A:$A,Heron!$A$4,Xero!$E:$E,Heron!$A103)+SUMIFS(Xero!$F:$F,Xero!$B:$B,Heron!E$9,Xero!$A:$A,Heron!$A$5,Xero!$E:$E,Heron!$A103)</f>
        <v>0</v>
      </c>
      <c r="F103" s="99">
        <f>SUMIFS(Xero!$F:$F,Xero!$B:$B,Heron!F$9,Xero!$A:$A,Heron!$A$4,Xero!$E:$E,Heron!$A103)+SUMIFS(Xero!$F:$F,Xero!$B:$B,Heron!F$9,Xero!$A:$A,Heron!$A$5,Xero!$E:$E,Heron!$A103)</f>
        <v>0</v>
      </c>
      <c r="G103" s="99">
        <f>SUMIFS(Xero!$F:$F,Xero!$B:$B,Heron!G$9,Xero!$A:$A,Heron!$A$4,Xero!$E:$E,Heron!$A103)+SUMIFS(Xero!$F:$F,Xero!$B:$B,Heron!G$9,Xero!$A:$A,Heron!$A$5,Xero!$E:$E,Heron!$A103)</f>
        <v>0</v>
      </c>
      <c r="H103" s="99">
        <f>SUMIFS(Xero!$F:$F,Xero!$B:$B,Heron!H$9,Xero!$A:$A,Heron!$A$4,Xero!$E:$E,Heron!$A103)+SUMIFS(Xero!$F:$F,Xero!$B:$B,Heron!H$9,Xero!$A:$A,Heron!$A$5,Xero!$E:$E,Heron!$A103)</f>
        <v>550</v>
      </c>
      <c r="I103" s="99">
        <f>SUMIFS(Xero!$F:$F,Xero!$B:$B,Heron!I$9,Xero!$A:$A,Heron!$A$4,Xero!$E:$E,Heron!$A103)+SUMIFS(Xero!$F:$F,Xero!$B:$B,Heron!I$9,Xero!$A:$A,Heron!$A$5,Xero!$E:$E,Heron!$A103)</f>
        <v>550</v>
      </c>
      <c r="J103" s="99">
        <f>SUMIFS(Xero!$F:$F,Xero!$B:$B,Heron!J$9,Xero!$A:$A,Heron!$A$4,Xero!$E:$E,Heron!$A103)+SUMIFS(Xero!$F:$F,Xero!$B:$B,Heron!J$9,Xero!$A:$A,Heron!$A$5,Xero!$E:$E,Heron!$A103)</f>
        <v>550</v>
      </c>
      <c r="K103" s="99">
        <f>SUMIFS(Xero!$F:$F,Xero!$B:$B,Heron!K$9,Xero!$A:$A,Heron!$A$4,Xero!$E:$E,Heron!$A103)+SUMIFS(Xero!$F:$F,Xero!$B:$B,Heron!K$9,Xero!$A:$A,Heron!$A$5,Xero!$E:$E,Heron!$A103)</f>
        <v>550</v>
      </c>
      <c r="L103" s="99">
        <f>SUMIFS(Xero!$F:$F,Xero!$B:$B,Heron!L$9,Xero!$A:$A,Heron!$A$4,Xero!$E:$E,Heron!$A103)+SUMIFS(Xero!$F:$F,Xero!$B:$B,Heron!L$9,Xero!$A:$A,Heron!$A$5,Xero!$E:$E,Heron!$A103)</f>
        <v>600</v>
      </c>
      <c r="M103" s="99">
        <f>SUMIFS(Xero!$F:$F,Xero!$B:$B,Heron!M$9,Xero!$A:$A,Heron!$A$4,Xero!$E:$E,Heron!$A103)+SUMIFS(Xero!$F:$F,Xero!$B:$B,Heron!M$9,Xero!$A:$A,Heron!$A$5,Xero!$E:$E,Heron!$A103)</f>
        <v>600</v>
      </c>
      <c r="N103" s="99">
        <f>SUMIFS(Xero!$F:$F,Xero!$B:$B,Heron!N$9,Xero!$A:$A,Heron!$A$4,Xero!$E:$E,Heron!$A103)+SUMIFS(Xero!$F:$F,Xero!$B:$B,Heron!N$9,Xero!$A:$A,Heron!$A$5,Xero!$E:$E,Heron!$A103)</f>
        <v>600</v>
      </c>
      <c r="O103" s="99">
        <f>SUMIFS(Xero!$F:$F,Xero!$B:$B,Heron!O$9,Xero!$A:$A,Heron!$A$4,Xero!$E:$E,Heron!$A103)+SUMIFS(Xero!$F:$F,Xero!$B:$B,Heron!O$9,Xero!$A:$A,Heron!$A$5,Xero!$E:$E,Heron!$A103)</f>
        <v>600</v>
      </c>
      <c r="P103" s="99">
        <f>SUMIFS(Xero!$F:$F,Xero!$B:$B,Heron!P$9,Xero!$A:$A,Heron!$A$4,Xero!$E:$E,Heron!$A103)+SUMIFS(Xero!$F:$F,Xero!$B:$B,Heron!P$9,Xero!$A:$A,Heron!$A$5,Xero!$E:$E,Heron!$A103)</f>
        <v>600</v>
      </c>
      <c r="Q103" s="99">
        <f>SUMIFS(Xero!$F:$F,Xero!$B:$B,Heron!Q$9,Xero!$A:$A,Heron!$A$4,Xero!$E:$E,Heron!$A103)+SUMIFS(Xero!$F:$F,Xero!$B:$B,Heron!Q$9,Xero!$A:$A,Heron!$A$5,Xero!$E:$E,Heron!$A103)</f>
        <v>1800</v>
      </c>
      <c r="R103" s="99">
        <f>SUMIFS(Xero!$F:$F,Xero!$B:$B,Heron!R$9,Xero!$A:$A,Heron!$A$4,Xero!$E:$E,Heron!$A103)+SUMIFS(Xero!$F:$F,Xero!$B:$B,Heron!R$9,Xero!$A:$A,Heron!$A$5,Xero!$E:$E,Heron!$A103)</f>
        <v>1200</v>
      </c>
      <c r="S103" s="99">
        <f>SUMIFS(Xero!$F:$F,Xero!$B:$B,Heron!S$9,Xero!$A:$A,Heron!$A$4,Xero!$E:$E,Heron!$A103)+SUMIFS(Xero!$F:$F,Xero!$B:$B,Heron!S$9,Xero!$A:$A,Heron!$A$5,Xero!$E:$E,Heron!$A103)</f>
        <v>1200</v>
      </c>
      <c r="T103" s="99">
        <f>SUMIFS(Xero!$F:$F,Xero!$B:$B,Heron!T$9,Xero!$A:$A,Heron!$A$4,Xero!$E:$E,Heron!$A103)+SUMIFS(Xero!$F:$F,Xero!$B:$B,Heron!T$9,Xero!$A:$A,Heron!$A$5,Xero!$E:$E,Heron!$A103)</f>
        <v>1200</v>
      </c>
      <c r="U103" s="99">
        <f>SUMIFS(Xero!$F:$F,Xero!$B:$B,Heron!U$9,Xero!$A:$A,Heron!$A$4,Xero!$E:$E,Heron!$A103)+SUMIFS(Xero!$F:$F,Xero!$B:$B,Heron!U$9,Xero!$A:$A,Heron!$A$5,Xero!$E:$E,Heron!$A103)</f>
        <v>4800</v>
      </c>
      <c r="V103" s="99">
        <f>SUMIFS(Xero!$F:$F,Xero!$B:$B,Heron!V$9,Xero!$A:$A,Heron!$A$4,Xero!$E:$E,Heron!$A103)+SUMIFS(Xero!$F:$F,Xero!$B:$B,Heron!V$9,Xero!$A:$A,Heron!$A$5,Xero!$E:$E,Heron!$A103)</f>
        <v>1200</v>
      </c>
      <c r="W103" s="99">
        <f>SUMIFS(Xero!$F:$F,Xero!$B:$B,Heron!W$9,Xero!$A:$A,Heron!$A$4,Xero!$E:$E,Heron!$A103)+SUMIFS(Xero!$F:$F,Xero!$B:$B,Heron!W$9,Xero!$A:$A,Heron!$A$5,Xero!$E:$E,Heron!$A103)</f>
        <v>1200</v>
      </c>
      <c r="X103" s="99">
        <f>SUMIFS(Xero!$F:$F,Xero!$B:$B,Heron!X$9,Xero!$A:$A,Heron!$A$4,Xero!$E:$E,Heron!$A103)+SUMIFS(Xero!$F:$F,Xero!$B:$B,Heron!X$9,Xero!$A:$A,Heron!$A$5,Xero!$E:$E,Heron!$A103)</f>
        <v>1200</v>
      </c>
      <c r="Y103" s="99">
        <f>SUMIFS(Xero!$F:$F,Xero!$B:$B,Heron!Y$9,Xero!$A:$A,Heron!$A$4,Xero!$E:$E,Heron!$A103)+SUMIFS(Xero!$F:$F,Xero!$B:$B,Heron!Y$9,Xero!$A:$A,Heron!$A$5,Xero!$E:$E,Heron!$A103)</f>
        <v>1200</v>
      </c>
      <c r="Z103" s="99">
        <f>SUMIFS(Xero!$F:$F,Xero!$B:$B,Heron!Z$9,Xero!$A:$A,Heron!$A$4,Xero!$E:$E,Heron!$A103)+SUMIFS(Xero!$F:$F,Xero!$B:$B,Heron!Z$9,Xero!$A:$A,Heron!$A$5,Xero!$E:$E,Heron!$A103)</f>
        <v>1200</v>
      </c>
      <c r="AA103" s="99">
        <f>SUMIFS(Xero!$F:$F,Xero!$B:$B,Heron!AA$9,Xero!$A:$A,Heron!$A$4,Xero!$E:$E,Heron!$A103)+SUMIFS(Xero!$F:$F,Xero!$B:$B,Heron!AA$9,Xero!$A:$A,Heron!$A$5,Xero!$E:$E,Heron!$A103)</f>
        <v>1200</v>
      </c>
      <c r="AB103" s="99">
        <f>SUMIFS(Xero!$F:$F,Xero!$B:$B,Heron!AB$9,Xero!$A:$A,Heron!$A$4,Xero!$E:$E,Heron!$A103)+SUMIFS(Xero!$F:$F,Xero!$B:$B,Heron!AB$9,Xero!$A:$A,Heron!$A$5,Xero!$E:$E,Heron!$A103)</f>
        <v>1200</v>
      </c>
      <c r="AC103" s="99">
        <f>SUMIFS(Xero!$F:$F,Xero!$B:$B,Heron!AC$9,Xero!$A:$A,Heron!$A$4,Xero!$E:$E,Heron!$A103)+SUMIFS(Xero!$F:$F,Xero!$B:$B,Heron!AC$9,Xero!$A:$A,Heron!$A$5,Xero!$E:$E,Heron!$A103)</f>
        <v>1200</v>
      </c>
      <c r="AD103" s="99">
        <f>SUMIFS(Xero!$F:$F,Xero!$B:$B,Heron!AD$9,Xero!$A:$A,Heron!$A$4,Xero!$E:$E,Heron!$A103)+SUMIFS(Xero!$F:$F,Xero!$B:$B,Heron!AD$9,Xero!$A:$A,Heron!$A$5,Xero!$E:$E,Heron!$A103)</f>
        <v>1200</v>
      </c>
      <c r="AE103" s="99">
        <f>SUMIFS(Xero!$F:$F,Xero!$B:$B,Heron!AE$9,Xero!$A:$A,Heron!$A$4,Xero!$E:$E,Heron!$A103)+SUMIFS(Xero!$F:$F,Xero!$B:$B,Heron!AE$9,Xero!$A:$A,Heron!$A$5,Xero!$E:$E,Heron!$A103)</f>
        <v>1200</v>
      </c>
      <c r="AF103" s="99">
        <f>SUMIFS(Xero!$F:$F,Xero!$B:$B,Heron!AF$9,Xero!$A:$A,Heron!$A$4,Xero!$E:$E,Heron!$A103)+SUMIFS(Xero!$F:$F,Xero!$B:$B,Heron!AF$9,Xero!$A:$A,Heron!$A$5,Xero!$E:$E,Heron!$A103)</f>
        <v>1200</v>
      </c>
      <c r="AG103" s="99">
        <f>SUMIFS(Xero!$F:$F,Xero!$B:$B,Heron!AG$9,Xero!$A:$A,Heron!$A$4,Xero!$E:$E,Heron!$A103)+SUMIFS(Xero!$F:$F,Xero!$B:$B,Heron!AG$9,Xero!$A:$A,Heron!$A$5,Xero!$E:$E,Heron!$A103)</f>
        <v>1200</v>
      </c>
      <c r="AH103" s="99">
        <f>SUMIFS(Xero!$F:$F,Xero!$B:$B,Heron!AH$9,Xero!$A:$A,Heron!$A$4,Xero!$E:$E,Heron!$A103)+SUMIFS(Xero!$F:$F,Xero!$B:$B,Heron!AH$9,Xero!$A:$A,Heron!$A$5,Xero!$E:$E,Heron!$A103)</f>
        <v>1200</v>
      </c>
      <c r="AI103" s="99">
        <f>SUMIFS(Xero!$F:$F,Xero!$B:$B,Heron!AI$9,Xero!$A:$A,Heron!$A$4,Xero!$E:$E,Heron!$A103)+SUMIFS(Xero!$F:$F,Xero!$B:$B,Heron!AI$9,Xero!$A:$A,Heron!$A$5,Xero!$E:$E,Heron!$A103)</f>
        <v>1200</v>
      </c>
      <c r="AJ103" s="99">
        <f>SUMIFS(Xero!$F:$F,Xero!$B:$B,Heron!AJ$9,Xero!$A:$A,Heron!$A$4,Xero!$E:$E,Heron!$A103)+SUMIFS(Xero!$F:$F,Xero!$B:$B,Heron!AJ$9,Xero!$A:$A,Heron!$A$5,Xero!$E:$E,Heron!$A103)</f>
        <v>1200</v>
      </c>
      <c r="AK103" s="99">
        <f>SUMIFS(Xero!$F:$F,Xero!$B:$B,Heron!AK$9,Xero!$A:$A,Heron!$A$4,Xero!$E:$E,Heron!$A103)+SUMIFS(Xero!$F:$F,Xero!$B:$B,Heron!AK$9,Xero!$A:$A,Heron!$A$5,Xero!$E:$E,Heron!$A103)</f>
        <v>1200</v>
      </c>
      <c r="AL103" s="99">
        <f>SUMIFS(Xero!$F:$F,Xero!$B:$B,Heron!AL$9,Xero!$A:$A,Heron!$A$4,Xero!$E:$E,Heron!$A103)+SUMIFS(Xero!$F:$F,Xero!$B:$B,Heron!AL$9,Xero!$A:$A,Heron!$A$5,Xero!$E:$E,Heron!$A103)</f>
        <v>1200</v>
      </c>
      <c r="AM103" s="99">
        <f>SUMIFS(Xero!$F:$F,Xero!$B:$B,Heron!AM$9,Xero!$A:$A,Heron!$A$4,Xero!$E:$E,Heron!$A103)+SUMIFS(Xero!$F:$F,Xero!$B:$B,Heron!AM$9,Xero!$A:$A,Heron!$A$5,Xero!$E:$E,Heron!$A103)</f>
        <v>0</v>
      </c>
      <c r="AN103" s="99">
        <f>SUMIFS(Xero!$F:$F,Xero!$B:$B,Heron!AN$9,Xero!$A:$A,Heron!$A$4,Xero!$E:$E,Heron!$A103)+SUMIFS(Xero!$F:$F,Xero!$B:$B,Heron!AN$9,Xero!$A:$A,Heron!$A$5,Xero!$E:$E,Heron!$A103)</f>
        <v>1200</v>
      </c>
      <c r="AO103" s="99">
        <f>SUMIFS(Xero!$F:$F,Xero!$B:$B,Heron!AO$9,Xero!$A:$A,Heron!$A$4,Xero!$E:$E,Heron!$A103)+SUMIFS(Xero!$F:$F,Xero!$B:$B,Heron!AO$9,Xero!$A:$A,Heron!$A$5,Xero!$E:$E,Heron!$A103)</f>
        <v>0</v>
      </c>
      <c r="AP103" s="99">
        <f>SUMIFS(Xero!$F:$F,Xero!$B:$B,Heron!AP$9,Xero!$A:$A,Heron!$A$4,Xero!$E:$E,Heron!$A103)+SUMIFS(Xero!$F:$F,Xero!$B:$B,Heron!AP$9,Xero!$A:$A,Heron!$A$5,Xero!$E:$E,Heron!$A103)</f>
        <v>1200</v>
      </c>
      <c r="AQ103" s="99">
        <f>SUMIFS(Xero!$F:$F,Xero!$B:$B,Heron!AQ$9,Xero!$A:$A,Heron!$A$4,Xero!$E:$E,Heron!$A103)+SUMIFS(Xero!$F:$F,Xero!$B:$B,Heron!AQ$9,Xero!$A:$A,Heron!$A$5,Xero!$E:$E,Heron!$A103)</f>
        <v>1200</v>
      </c>
      <c r="AR103" s="99">
        <f>SUMIFS(Xero!$F:$F,Xero!$B:$B,Heron!AR$9,Xero!$A:$A,Heron!$A$4,Xero!$E:$E,Heron!$A103)+SUMIFS(Xero!$F:$F,Xero!$B:$B,Heron!AR$9,Xero!$A:$A,Heron!$A$5,Xero!$E:$E,Heron!$A103)</f>
        <v>1200</v>
      </c>
      <c r="AS103" s="99">
        <f>SUMIFS(Xero!$F:$F,Xero!$B:$B,Heron!AS$9,Xero!$A:$A,Heron!$A$4,Xero!$E:$E,Heron!$A103)+SUMIFS(Xero!$F:$F,Xero!$B:$B,Heron!AS$9,Xero!$A:$A,Heron!$A$5,Xero!$E:$E,Heron!$A103)</f>
        <v>0</v>
      </c>
      <c r="AT103" s="99">
        <f>SUMIFS(Xero!$F:$F,Xero!$B:$B,Heron!AT$9,Xero!$A:$A,Heron!$A$4,Xero!$E:$E,Heron!$A103)+SUMIFS(Xero!$F:$F,Xero!$B:$B,Heron!AT$9,Xero!$A:$A,Heron!$A$5,Xero!$E:$E,Heron!$A103)</f>
        <v>0</v>
      </c>
      <c r="AU103" s="99">
        <f>SUMIFS(Xero!$F:$F,Xero!$B:$B,Heron!AU$9,Xero!$A:$A,Heron!$A$4,Xero!$E:$E,Heron!$A103)+SUMIFS(Xero!$F:$F,Xero!$B:$B,Heron!AU$9,Xero!$A:$A,Heron!$A$5,Xero!$E:$E,Heron!$A103)</f>
        <v>0</v>
      </c>
      <c r="AV103" s="99">
        <f>SUMIFS(Xero!$F:$F,Xero!$B:$B,Heron!AV$9,Xero!$A:$A,Heron!$A$4,Xero!$E:$E,Heron!$A103)+SUMIFS(Xero!$F:$F,Xero!$B:$B,Heron!AV$9,Xero!$A:$A,Heron!$A$5,Xero!$E:$E,Heron!$A103)</f>
        <v>0</v>
      </c>
      <c r="AW103" s="99">
        <f>SUMIFS(Xero!$F:$F,Xero!$B:$B,Heron!AW$9,Xero!$A:$A,Heron!$A$4,Xero!$E:$E,Heron!$A103)+SUMIFS(Xero!$F:$F,Xero!$B:$B,Heron!AW$9,Xero!$A:$A,Heron!$A$5,Xero!$E:$E,Heron!$A103)</f>
        <v>0</v>
      </c>
      <c r="AX103" s="99">
        <f>SUMIFS(Xero!$F:$F,Xero!$B:$B,Heron!AX$9,Xero!$A:$A,Heron!$A$4,Xero!$E:$E,Heron!$A103)+SUMIFS(Xero!$F:$F,Xero!$B:$B,Heron!AX$9,Xero!$A:$A,Heron!$A$5,Xero!$E:$E,Heron!$A103)</f>
        <v>0</v>
      </c>
      <c r="AY103" s="99">
        <f>SUMIFS(Xero!$F:$F,Xero!$B:$B,Heron!AY$9,Xero!$A:$A,Heron!$A$4,Xero!$E:$E,Heron!$A103)+SUMIFS(Xero!$F:$F,Xero!$B:$B,Heron!AY$9,Xero!$A:$A,Heron!$A$5,Xero!$E:$E,Heron!$A103)</f>
        <v>0</v>
      </c>
      <c r="AZ103" s="99">
        <f>SUMIFS(Xero!$F:$F,Xero!$B:$B,Heron!AZ$9,Xero!$A:$A,Heron!$A$4,Xero!$E:$E,Heron!$A103)+SUMIFS(Xero!$F:$F,Xero!$B:$B,Heron!AZ$9,Xero!$A:$A,Heron!$A$5,Xero!$E:$E,Heron!$A103)</f>
        <v>0</v>
      </c>
      <c r="BA103" s="99">
        <f>SUMIFS(Xero!$F:$F,Xero!$B:$B,Heron!BA$9,Xero!$A:$A,Heron!$A$4,Xero!$E:$E,Heron!$A103)+SUMIFS(Xero!$F:$F,Xero!$B:$B,Heron!BA$9,Xero!$A:$A,Heron!$A$5,Xero!$E:$E,Heron!$A103)</f>
        <v>0</v>
      </c>
      <c r="BB103" s="99">
        <f>SUMIFS(Xero!$F:$F,Xero!$B:$B,Heron!BB$9,Xero!$A:$A,Heron!$A$4,Xero!$E:$E,Heron!$A103)+SUMIFS(Xero!$F:$F,Xero!$B:$B,Heron!BB$9,Xero!$A:$A,Heron!$A$5,Xero!$E:$E,Heron!$A103)</f>
        <v>0</v>
      </c>
      <c r="BC103" s="99">
        <f>SUMIFS(Xero!$F:$F,Xero!$B:$B,Heron!BC$9,Xero!$A:$A,Heron!$A$4,Xero!$E:$E,Heron!$A103)+SUMIFS(Xero!$F:$F,Xero!$B:$B,Heron!BC$9,Xero!$A:$A,Heron!$A$5,Xero!$E:$E,Heron!$A103)</f>
        <v>0</v>
      </c>
      <c r="BD103" s="99">
        <f>SUMIFS(Xero!$F:$F,Xero!$B:$B,Heron!BD$9,Xero!$A:$A,Heron!$A$4,Xero!$E:$E,Heron!$A103)+SUMIFS(Xero!$F:$F,Xero!$B:$B,Heron!BD$9,Xero!$A:$A,Heron!$A$5,Xero!$E:$E,Heron!$A103)</f>
        <v>0</v>
      </c>
      <c r="BE103" s="99">
        <f>SUMIFS(Xero!$F:$F,Xero!$B:$B,Heron!BE$9,Xero!$A:$A,Heron!$A$4,Xero!$E:$E,Heron!$A103)+SUMIFS(Xero!$F:$F,Xero!$B:$B,Heron!BE$9,Xero!$A:$A,Heron!$A$5,Xero!$E:$E,Heron!$A103)</f>
        <v>0</v>
      </c>
      <c r="BF103" s="99">
        <f>SUMIFS(Xero!$F:$F,Xero!$B:$B,Heron!BF$9,Xero!$A:$A,Heron!$A$4,Xero!$E:$E,Heron!$A103)+SUMIFS(Xero!$F:$F,Xero!$B:$B,Heron!BF$9,Xero!$A:$A,Heron!$A$5,Xero!$E:$E,Heron!$A103)</f>
        <v>0</v>
      </c>
      <c r="BG103" s="99">
        <f>SUMIFS(Xero!$F:$F,Xero!$B:$B,Heron!BG$9,Xero!$A:$A,Heron!$A$4,Xero!$E:$E,Heron!$A103)+SUMIFS(Xero!$F:$F,Xero!$B:$B,Heron!BG$9,Xero!$A:$A,Heron!$A$5,Xero!$E:$E,Heron!$A103)</f>
        <v>0</v>
      </c>
      <c r="BH103" s="99">
        <f>SUMIFS(Xero!$F:$F,Xero!$B:$B,Heron!BH$9,Xero!$A:$A,Heron!$A$4,Xero!$E:$E,Heron!$A103)+SUMIFS(Xero!$F:$F,Xero!$B:$B,Heron!BH$9,Xero!$A:$A,Heron!$A$5,Xero!$E:$E,Heron!$A103)</f>
        <v>0</v>
      </c>
      <c r="BI103" s="99">
        <f>SUMIFS(Xero!$F:$F,Xero!$B:$B,Heron!BI$9,Xero!$A:$A,Heron!$A$4,Xero!$E:$E,Heron!$A103)+SUMIFS(Xero!$F:$F,Xero!$B:$B,Heron!BI$9,Xero!$A:$A,Heron!$A$5,Xero!$E:$E,Heron!$A103)</f>
        <v>0</v>
      </c>
      <c r="BJ103" s="99">
        <f>SUMIFS(Xero!$F:$F,Xero!$B:$B,Heron!BJ$9,Xero!$A:$A,Heron!$A$4,Xero!$E:$E,Heron!$A103)+SUMIFS(Xero!$F:$F,Xero!$B:$B,Heron!BJ$9,Xero!$A:$A,Heron!$A$5,Xero!$E:$E,Heron!$A103)</f>
        <v>0</v>
      </c>
      <c r="BK103" s="99">
        <f t="shared" si="6"/>
        <v>40600</v>
      </c>
    </row>
    <row r="104" spans="1:63" ht="16" x14ac:dyDescent="0.2">
      <c r="A104" s="98" t="s">
        <v>1077</v>
      </c>
      <c r="D104" s="99">
        <f>SUMIFS(Xero!$F:$F,Xero!$B:$B,Heron!D$9,Xero!$A:$A,Heron!$A$4,Xero!$E:$E,Heron!$A104)+SUMIFS(Xero!$F:$F,Xero!$B:$B,Heron!D$9,Xero!$A:$A,Heron!$A$5,Xero!$E:$E,Heron!$A104)</f>
        <v>0</v>
      </c>
      <c r="E104" s="99">
        <f>SUMIFS(Xero!$F:$F,Xero!$B:$B,Heron!E$9,Xero!$A:$A,Heron!$A$4,Xero!$E:$E,Heron!$A104)+SUMIFS(Xero!$F:$F,Xero!$B:$B,Heron!E$9,Xero!$A:$A,Heron!$A$5,Xero!$E:$E,Heron!$A104)</f>
        <v>0</v>
      </c>
      <c r="F104" s="99">
        <f>SUMIFS(Xero!$F:$F,Xero!$B:$B,Heron!F$9,Xero!$A:$A,Heron!$A$4,Xero!$E:$E,Heron!$A104)+SUMIFS(Xero!$F:$F,Xero!$B:$B,Heron!F$9,Xero!$A:$A,Heron!$A$5,Xero!$E:$E,Heron!$A104)</f>
        <v>0</v>
      </c>
      <c r="G104" s="99">
        <f>SUMIFS(Xero!$F:$F,Xero!$B:$B,Heron!G$9,Xero!$A:$A,Heron!$A$4,Xero!$E:$E,Heron!$A104)+SUMIFS(Xero!$F:$F,Xero!$B:$B,Heron!G$9,Xero!$A:$A,Heron!$A$5,Xero!$E:$E,Heron!$A104)</f>
        <v>0</v>
      </c>
      <c r="H104" s="99">
        <f>SUMIFS(Xero!$F:$F,Xero!$B:$B,Heron!H$9,Xero!$A:$A,Heron!$A$4,Xero!$E:$E,Heron!$A104)+SUMIFS(Xero!$F:$F,Xero!$B:$B,Heron!H$9,Xero!$A:$A,Heron!$A$5,Xero!$E:$E,Heron!$A104)</f>
        <v>0</v>
      </c>
      <c r="I104" s="99">
        <f>SUMIFS(Xero!$F:$F,Xero!$B:$B,Heron!I$9,Xero!$A:$A,Heron!$A$4,Xero!$E:$E,Heron!$A104)+SUMIFS(Xero!$F:$F,Xero!$B:$B,Heron!I$9,Xero!$A:$A,Heron!$A$5,Xero!$E:$E,Heron!$A104)</f>
        <v>0</v>
      </c>
      <c r="J104" s="99">
        <f>SUMIFS(Xero!$F:$F,Xero!$B:$B,Heron!J$9,Xero!$A:$A,Heron!$A$4,Xero!$E:$E,Heron!$A104)+SUMIFS(Xero!$F:$F,Xero!$B:$B,Heron!J$9,Xero!$A:$A,Heron!$A$5,Xero!$E:$E,Heron!$A104)</f>
        <v>0</v>
      </c>
      <c r="K104" s="99">
        <f>SUMIFS(Xero!$F:$F,Xero!$B:$B,Heron!K$9,Xero!$A:$A,Heron!$A$4,Xero!$E:$E,Heron!$A104)+SUMIFS(Xero!$F:$F,Xero!$B:$B,Heron!K$9,Xero!$A:$A,Heron!$A$5,Xero!$E:$E,Heron!$A104)</f>
        <v>0</v>
      </c>
      <c r="L104" s="99">
        <f>SUMIFS(Xero!$F:$F,Xero!$B:$B,Heron!L$9,Xero!$A:$A,Heron!$A$4,Xero!$E:$E,Heron!$A104)+SUMIFS(Xero!$F:$F,Xero!$B:$B,Heron!L$9,Xero!$A:$A,Heron!$A$5,Xero!$E:$E,Heron!$A104)</f>
        <v>0</v>
      </c>
      <c r="M104" s="99">
        <f>SUMIFS(Xero!$F:$F,Xero!$B:$B,Heron!M$9,Xero!$A:$A,Heron!$A$4,Xero!$E:$E,Heron!$A104)+SUMIFS(Xero!$F:$F,Xero!$B:$B,Heron!M$9,Xero!$A:$A,Heron!$A$5,Xero!$E:$E,Heron!$A104)</f>
        <v>0</v>
      </c>
      <c r="N104" s="99">
        <f>SUMIFS(Xero!$F:$F,Xero!$B:$B,Heron!N$9,Xero!$A:$A,Heron!$A$4,Xero!$E:$E,Heron!$A104)+SUMIFS(Xero!$F:$F,Xero!$B:$B,Heron!N$9,Xero!$A:$A,Heron!$A$5,Xero!$E:$E,Heron!$A104)</f>
        <v>0</v>
      </c>
      <c r="O104" s="99">
        <f>SUMIFS(Xero!$F:$F,Xero!$B:$B,Heron!O$9,Xero!$A:$A,Heron!$A$4,Xero!$E:$E,Heron!$A104)+SUMIFS(Xero!$F:$F,Xero!$B:$B,Heron!O$9,Xero!$A:$A,Heron!$A$5,Xero!$E:$E,Heron!$A104)</f>
        <v>0</v>
      </c>
      <c r="P104" s="99">
        <f>SUMIFS(Xero!$F:$F,Xero!$B:$B,Heron!P$9,Xero!$A:$A,Heron!$A$4,Xero!$E:$E,Heron!$A104)+SUMIFS(Xero!$F:$F,Xero!$B:$B,Heron!P$9,Xero!$A:$A,Heron!$A$5,Xero!$E:$E,Heron!$A104)</f>
        <v>0</v>
      </c>
      <c r="Q104" s="99">
        <f>SUMIFS(Xero!$F:$F,Xero!$B:$B,Heron!Q$9,Xero!$A:$A,Heron!$A$4,Xero!$E:$E,Heron!$A104)+SUMIFS(Xero!$F:$F,Xero!$B:$B,Heron!Q$9,Xero!$A:$A,Heron!$A$5,Xero!$E:$E,Heron!$A104)</f>
        <v>0</v>
      </c>
      <c r="R104" s="99">
        <f>SUMIFS(Xero!$F:$F,Xero!$B:$B,Heron!R$9,Xero!$A:$A,Heron!$A$4,Xero!$E:$E,Heron!$A104)+SUMIFS(Xero!$F:$F,Xero!$B:$B,Heron!R$9,Xero!$A:$A,Heron!$A$5,Xero!$E:$E,Heron!$A104)</f>
        <v>0</v>
      </c>
      <c r="S104" s="99">
        <f>SUMIFS(Xero!$F:$F,Xero!$B:$B,Heron!S$9,Xero!$A:$A,Heron!$A$4,Xero!$E:$E,Heron!$A104)+SUMIFS(Xero!$F:$F,Xero!$B:$B,Heron!S$9,Xero!$A:$A,Heron!$A$5,Xero!$E:$E,Heron!$A104)</f>
        <v>0</v>
      </c>
      <c r="T104" s="99">
        <f>SUMIFS(Xero!$F:$F,Xero!$B:$B,Heron!T$9,Xero!$A:$A,Heron!$A$4,Xero!$E:$E,Heron!$A104)+SUMIFS(Xero!$F:$F,Xero!$B:$B,Heron!T$9,Xero!$A:$A,Heron!$A$5,Xero!$E:$E,Heron!$A104)</f>
        <v>0</v>
      </c>
      <c r="U104" s="99">
        <f>SUMIFS(Xero!$F:$F,Xero!$B:$B,Heron!U$9,Xero!$A:$A,Heron!$A$4,Xero!$E:$E,Heron!$A104)+SUMIFS(Xero!$F:$F,Xero!$B:$B,Heron!U$9,Xero!$A:$A,Heron!$A$5,Xero!$E:$E,Heron!$A104)</f>
        <v>0</v>
      </c>
      <c r="V104" s="99">
        <f>SUMIFS(Xero!$F:$F,Xero!$B:$B,Heron!V$9,Xero!$A:$A,Heron!$A$4,Xero!$E:$E,Heron!$A104)+SUMIFS(Xero!$F:$F,Xero!$B:$B,Heron!V$9,Xero!$A:$A,Heron!$A$5,Xero!$E:$E,Heron!$A104)</f>
        <v>0</v>
      </c>
      <c r="W104" s="99">
        <f>SUMIFS(Xero!$F:$F,Xero!$B:$B,Heron!W$9,Xero!$A:$A,Heron!$A$4,Xero!$E:$E,Heron!$A104)+SUMIFS(Xero!$F:$F,Xero!$B:$B,Heron!W$9,Xero!$A:$A,Heron!$A$5,Xero!$E:$E,Heron!$A104)</f>
        <v>0</v>
      </c>
      <c r="X104" s="99">
        <f>SUMIFS(Xero!$F:$F,Xero!$B:$B,Heron!X$9,Xero!$A:$A,Heron!$A$4,Xero!$E:$E,Heron!$A104)+SUMIFS(Xero!$F:$F,Xero!$B:$B,Heron!X$9,Xero!$A:$A,Heron!$A$5,Xero!$E:$E,Heron!$A104)</f>
        <v>0</v>
      </c>
      <c r="Y104" s="99">
        <f>SUMIFS(Xero!$F:$F,Xero!$B:$B,Heron!Y$9,Xero!$A:$A,Heron!$A$4,Xero!$E:$E,Heron!$A104)+SUMIFS(Xero!$F:$F,Xero!$B:$B,Heron!Y$9,Xero!$A:$A,Heron!$A$5,Xero!$E:$E,Heron!$A104)</f>
        <v>0</v>
      </c>
      <c r="Z104" s="99">
        <f>SUMIFS(Xero!$F:$F,Xero!$B:$B,Heron!Z$9,Xero!$A:$A,Heron!$A$4,Xero!$E:$E,Heron!$A104)+SUMIFS(Xero!$F:$F,Xero!$B:$B,Heron!Z$9,Xero!$A:$A,Heron!$A$5,Xero!$E:$E,Heron!$A104)</f>
        <v>0</v>
      </c>
      <c r="AA104" s="99">
        <f>SUMIFS(Xero!$F:$F,Xero!$B:$B,Heron!AA$9,Xero!$A:$A,Heron!$A$4,Xero!$E:$E,Heron!$A104)+SUMIFS(Xero!$F:$F,Xero!$B:$B,Heron!AA$9,Xero!$A:$A,Heron!$A$5,Xero!$E:$E,Heron!$A104)</f>
        <v>0</v>
      </c>
      <c r="AB104" s="99">
        <f>SUMIFS(Xero!$F:$F,Xero!$B:$B,Heron!AB$9,Xero!$A:$A,Heron!$A$4,Xero!$E:$E,Heron!$A104)+SUMIFS(Xero!$F:$F,Xero!$B:$B,Heron!AB$9,Xero!$A:$A,Heron!$A$5,Xero!$E:$E,Heron!$A104)</f>
        <v>0</v>
      </c>
      <c r="AC104" s="99">
        <f>SUMIFS(Xero!$F:$F,Xero!$B:$B,Heron!AC$9,Xero!$A:$A,Heron!$A$4,Xero!$E:$E,Heron!$A104)+SUMIFS(Xero!$F:$F,Xero!$B:$B,Heron!AC$9,Xero!$A:$A,Heron!$A$5,Xero!$E:$E,Heron!$A104)</f>
        <v>0</v>
      </c>
      <c r="AD104" s="99">
        <f>SUMIFS(Xero!$F:$F,Xero!$B:$B,Heron!AD$9,Xero!$A:$A,Heron!$A$4,Xero!$E:$E,Heron!$A104)+SUMIFS(Xero!$F:$F,Xero!$B:$B,Heron!AD$9,Xero!$A:$A,Heron!$A$5,Xero!$E:$E,Heron!$A104)</f>
        <v>0</v>
      </c>
      <c r="AE104" s="99">
        <f>SUMIFS(Xero!$F:$F,Xero!$B:$B,Heron!AE$9,Xero!$A:$A,Heron!$A$4,Xero!$E:$E,Heron!$A104)+SUMIFS(Xero!$F:$F,Xero!$B:$B,Heron!AE$9,Xero!$A:$A,Heron!$A$5,Xero!$E:$E,Heron!$A104)</f>
        <v>0</v>
      </c>
      <c r="AF104" s="99">
        <f>SUMIFS(Xero!$F:$F,Xero!$B:$B,Heron!AF$9,Xero!$A:$A,Heron!$A$4,Xero!$E:$E,Heron!$A104)+SUMIFS(Xero!$F:$F,Xero!$B:$B,Heron!AF$9,Xero!$A:$A,Heron!$A$5,Xero!$E:$E,Heron!$A104)</f>
        <v>0</v>
      </c>
      <c r="AG104" s="99">
        <f>SUMIFS(Xero!$F:$F,Xero!$B:$B,Heron!AG$9,Xero!$A:$A,Heron!$A$4,Xero!$E:$E,Heron!$A104)+SUMIFS(Xero!$F:$F,Xero!$B:$B,Heron!AG$9,Xero!$A:$A,Heron!$A$5,Xero!$E:$E,Heron!$A104)</f>
        <v>0</v>
      </c>
      <c r="AH104" s="99">
        <f>SUMIFS(Xero!$F:$F,Xero!$B:$B,Heron!AH$9,Xero!$A:$A,Heron!$A$4,Xero!$E:$E,Heron!$A104)+SUMIFS(Xero!$F:$F,Xero!$B:$B,Heron!AH$9,Xero!$A:$A,Heron!$A$5,Xero!$E:$E,Heron!$A104)</f>
        <v>0</v>
      </c>
      <c r="AI104" s="99">
        <f>SUMIFS(Xero!$F:$F,Xero!$B:$B,Heron!AI$9,Xero!$A:$A,Heron!$A$4,Xero!$E:$E,Heron!$A104)+SUMIFS(Xero!$F:$F,Xero!$B:$B,Heron!AI$9,Xero!$A:$A,Heron!$A$5,Xero!$E:$E,Heron!$A104)</f>
        <v>0</v>
      </c>
      <c r="AJ104" s="99">
        <f>SUMIFS(Xero!$F:$F,Xero!$B:$B,Heron!AJ$9,Xero!$A:$A,Heron!$A$4,Xero!$E:$E,Heron!$A104)+SUMIFS(Xero!$F:$F,Xero!$B:$B,Heron!AJ$9,Xero!$A:$A,Heron!$A$5,Xero!$E:$E,Heron!$A104)</f>
        <v>0</v>
      </c>
      <c r="AK104" s="99">
        <f>SUMIFS(Xero!$F:$F,Xero!$B:$B,Heron!AK$9,Xero!$A:$A,Heron!$A$4,Xero!$E:$E,Heron!$A104)+SUMIFS(Xero!$F:$F,Xero!$B:$B,Heron!AK$9,Xero!$A:$A,Heron!$A$5,Xero!$E:$E,Heron!$A104)</f>
        <v>19.64</v>
      </c>
      <c r="AL104" s="99">
        <f>SUMIFS(Xero!$F:$F,Xero!$B:$B,Heron!AL$9,Xero!$A:$A,Heron!$A$4,Xero!$E:$E,Heron!$A104)+SUMIFS(Xero!$F:$F,Xero!$B:$B,Heron!AL$9,Xero!$A:$A,Heron!$A$5,Xero!$E:$E,Heron!$A104)</f>
        <v>0</v>
      </c>
      <c r="AM104" s="99">
        <f>SUMIFS(Xero!$F:$F,Xero!$B:$B,Heron!AM$9,Xero!$A:$A,Heron!$A$4,Xero!$E:$E,Heron!$A104)+SUMIFS(Xero!$F:$F,Xero!$B:$B,Heron!AM$9,Xero!$A:$A,Heron!$A$5,Xero!$E:$E,Heron!$A104)</f>
        <v>752.09</v>
      </c>
      <c r="AN104" s="99">
        <f>SUMIFS(Xero!$F:$F,Xero!$B:$B,Heron!AN$9,Xero!$A:$A,Heron!$A$4,Xero!$E:$E,Heron!$A104)+SUMIFS(Xero!$F:$F,Xero!$B:$B,Heron!AN$9,Xero!$A:$A,Heron!$A$5,Xero!$E:$E,Heron!$A104)</f>
        <v>127.69</v>
      </c>
      <c r="AO104" s="99">
        <f>SUMIFS(Xero!$F:$F,Xero!$B:$B,Heron!AO$9,Xero!$A:$A,Heron!$A$4,Xero!$E:$E,Heron!$A104)+SUMIFS(Xero!$F:$F,Xero!$B:$B,Heron!AO$9,Xero!$A:$A,Heron!$A$5,Xero!$E:$E,Heron!$A104)</f>
        <v>75.7</v>
      </c>
      <c r="AP104" s="99">
        <f>SUMIFS(Xero!$F:$F,Xero!$B:$B,Heron!AP$9,Xero!$A:$A,Heron!$A$4,Xero!$E:$E,Heron!$A104)+SUMIFS(Xero!$F:$F,Xero!$B:$B,Heron!AP$9,Xero!$A:$A,Heron!$A$5,Xero!$E:$E,Heron!$A104)</f>
        <v>75.7</v>
      </c>
      <c r="AQ104" s="99">
        <f>SUMIFS(Xero!$F:$F,Xero!$B:$B,Heron!AQ$9,Xero!$A:$A,Heron!$A$4,Xero!$E:$E,Heron!$A104)+SUMIFS(Xero!$F:$F,Xero!$B:$B,Heron!AQ$9,Xero!$A:$A,Heron!$A$5,Xero!$E:$E,Heron!$A104)</f>
        <v>-0.01</v>
      </c>
      <c r="AR104" s="99">
        <f>SUMIFS(Xero!$F:$F,Xero!$B:$B,Heron!AR$9,Xero!$A:$A,Heron!$A$4,Xero!$E:$E,Heron!$A104)+SUMIFS(Xero!$F:$F,Xero!$B:$B,Heron!AR$9,Xero!$A:$A,Heron!$A$5,Xero!$E:$E,Heron!$A104)</f>
        <v>40.36</v>
      </c>
      <c r="AS104" s="99">
        <f>SUMIFS(Xero!$F:$F,Xero!$B:$B,Heron!AS$9,Xero!$A:$A,Heron!$A$4,Xero!$E:$E,Heron!$A104)+SUMIFS(Xero!$F:$F,Xero!$B:$B,Heron!AS$9,Xero!$A:$A,Heron!$A$5,Xero!$E:$E,Heron!$A104)</f>
        <v>0</v>
      </c>
      <c r="AT104" s="99">
        <f>SUMIFS(Xero!$F:$F,Xero!$B:$B,Heron!AT$9,Xero!$A:$A,Heron!$A$4,Xero!$E:$E,Heron!$A104)+SUMIFS(Xero!$F:$F,Xero!$B:$B,Heron!AT$9,Xero!$A:$A,Heron!$A$5,Xero!$E:$E,Heron!$A104)</f>
        <v>0</v>
      </c>
      <c r="AU104" s="99">
        <f>SUMIFS(Xero!$F:$F,Xero!$B:$B,Heron!AU$9,Xero!$A:$A,Heron!$A$4,Xero!$E:$E,Heron!$A104)+SUMIFS(Xero!$F:$F,Xero!$B:$B,Heron!AU$9,Xero!$A:$A,Heron!$A$5,Xero!$E:$E,Heron!$A104)</f>
        <v>0</v>
      </c>
      <c r="AV104" s="99">
        <f>SUMIFS(Xero!$F:$F,Xero!$B:$B,Heron!AV$9,Xero!$A:$A,Heron!$A$4,Xero!$E:$E,Heron!$A104)+SUMIFS(Xero!$F:$F,Xero!$B:$B,Heron!AV$9,Xero!$A:$A,Heron!$A$5,Xero!$E:$E,Heron!$A104)</f>
        <v>0</v>
      </c>
      <c r="AW104" s="99">
        <f>SUMIFS(Xero!$F:$F,Xero!$B:$B,Heron!AW$9,Xero!$A:$A,Heron!$A$4,Xero!$E:$E,Heron!$A104)+SUMIFS(Xero!$F:$F,Xero!$B:$B,Heron!AW$9,Xero!$A:$A,Heron!$A$5,Xero!$E:$E,Heron!$A104)</f>
        <v>0</v>
      </c>
      <c r="AX104" s="99">
        <f>SUMIFS(Xero!$F:$F,Xero!$B:$B,Heron!AX$9,Xero!$A:$A,Heron!$A$4,Xero!$E:$E,Heron!$A104)+SUMIFS(Xero!$F:$F,Xero!$B:$B,Heron!AX$9,Xero!$A:$A,Heron!$A$5,Xero!$E:$E,Heron!$A104)</f>
        <v>0</v>
      </c>
      <c r="AY104" s="99">
        <f>SUMIFS(Xero!$F:$F,Xero!$B:$B,Heron!AY$9,Xero!$A:$A,Heron!$A$4,Xero!$E:$E,Heron!$A104)+SUMIFS(Xero!$F:$F,Xero!$B:$B,Heron!AY$9,Xero!$A:$A,Heron!$A$5,Xero!$E:$E,Heron!$A104)</f>
        <v>0</v>
      </c>
      <c r="AZ104" s="99">
        <f>SUMIFS(Xero!$F:$F,Xero!$B:$B,Heron!AZ$9,Xero!$A:$A,Heron!$A$4,Xero!$E:$E,Heron!$A104)+SUMIFS(Xero!$F:$F,Xero!$B:$B,Heron!AZ$9,Xero!$A:$A,Heron!$A$5,Xero!$E:$E,Heron!$A104)</f>
        <v>0</v>
      </c>
      <c r="BA104" s="99">
        <f>SUMIFS(Xero!$F:$F,Xero!$B:$B,Heron!BA$9,Xero!$A:$A,Heron!$A$4,Xero!$E:$E,Heron!$A104)+SUMIFS(Xero!$F:$F,Xero!$B:$B,Heron!BA$9,Xero!$A:$A,Heron!$A$5,Xero!$E:$E,Heron!$A104)</f>
        <v>0</v>
      </c>
      <c r="BB104" s="99">
        <f>SUMIFS(Xero!$F:$F,Xero!$B:$B,Heron!BB$9,Xero!$A:$A,Heron!$A$4,Xero!$E:$E,Heron!$A104)+SUMIFS(Xero!$F:$F,Xero!$B:$B,Heron!BB$9,Xero!$A:$A,Heron!$A$5,Xero!$E:$E,Heron!$A104)</f>
        <v>0</v>
      </c>
      <c r="BC104" s="99">
        <f>SUMIFS(Xero!$F:$F,Xero!$B:$B,Heron!BC$9,Xero!$A:$A,Heron!$A$4,Xero!$E:$E,Heron!$A104)+SUMIFS(Xero!$F:$F,Xero!$B:$B,Heron!BC$9,Xero!$A:$A,Heron!$A$5,Xero!$E:$E,Heron!$A104)</f>
        <v>0</v>
      </c>
      <c r="BD104" s="99">
        <f>SUMIFS(Xero!$F:$F,Xero!$B:$B,Heron!BD$9,Xero!$A:$A,Heron!$A$4,Xero!$E:$E,Heron!$A104)+SUMIFS(Xero!$F:$F,Xero!$B:$B,Heron!BD$9,Xero!$A:$A,Heron!$A$5,Xero!$E:$E,Heron!$A104)</f>
        <v>0</v>
      </c>
      <c r="BE104" s="99">
        <f>SUMIFS(Xero!$F:$F,Xero!$B:$B,Heron!BE$9,Xero!$A:$A,Heron!$A$4,Xero!$E:$E,Heron!$A104)+SUMIFS(Xero!$F:$F,Xero!$B:$B,Heron!BE$9,Xero!$A:$A,Heron!$A$5,Xero!$E:$E,Heron!$A104)</f>
        <v>0</v>
      </c>
      <c r="BF104" s="99">
        <f>SUMIFS(Xero!$F:$F,Xero!$B:$B,Heron!BF$9,Xero!$A:$A,Heron!$A$4,Xero!$E:$E,Heron!$A104)+SUMIFS(Xero!$F:$F,Xero!$B:$B,Heron!BF$9,Xero!$A:$A,Heron!$A$5,Xero!$E:$E,Heron!$A104)</f>
        <v>0</v>
      </c>
      <c r="BG104" s="99">
        <f>SUMIFS(Xero!$F:$F,Xero!$B:$B,Heron!BG$9,Xero!$A:$A,Heron!$A$4,Xero!$E:$E,Heron!$A104)+SUMIFS(Xero!$F:$F,Xero!$B:$B,Heron!BG$9,Xero!$A:$A,Heron!$A$5,Xero!$E:$E,Heron!$A104)</f>
        <v>0</v>
      </c>
      <c r="BH104" s="99">
        <f>SUMIFS(Xero!$F:$F,Xero!$B:$B,Heron!BH$9,Xero!$A:$A,Heron!$A$4,Xero!$E:$E,Heron!$A104)+SUMIFS(Xero!$F:$F,Xero!$B:$B,Heron!BH$9,Xero!$A:$A,Heron!$A$5,Xero!$E:$E,Heron!$A104)</f>
        <v>0</v>
      </c>
      <c r="BI104" s="99">
        <f>SUMIFS(Xero!$F:$F,Xero!$B:$B,Heron!BI$9,Xero!$A:$A,Heron!$A$4,Xero!$E:$E,Heron!$A104)+SUMIFS(Xero!$F:$F,Xero!$B:$B,Heron!BI$9,Xero!$A:$A,Heron!$A$5,Xero!$E:$E,Heron!$A104)</f>
        <v>0</v>
      </c>
      <c r="BJ104" s="99">
        <f>SUMIFS(Xero!$F:$F,Xero!$B:$B,Heron!BJ$9,Xero!$A:$A,Heron!$A$4,Xero!$E:$E,Heron!$A104)+SUMIFS(Xero!$F:$F,Xero!$B:$B,Heron!BJ$9,Xero!$A:$A,Heron!$A$5,Xero!$E:$E,Heron!$A104)</f>
        <v>0</v>
      </c>
      <c r="BK104" s="99">
        <f t="shared" si="6"/>
        <v>1091.17</v>
      </c>
    </row>
    <row r="105" spans="1:63" ht="16" x14ac:dyDescent="0.2">
      <c r="A105" s="98" t="s">
        <v>1215</v>
      </c>
      <c r="D105" s="99">
        <f>SUMIFS(Xero!$F:$F,Xero!$B:$B,Heron!D$9,Xero!$A:$A,Heron!$A$4,Xero!$E:$E,Heron!$A105)+SUMIFS(Xero!$F:$F,Xero!$B:$B,Heron!D$9,Xero!$A:$A,Heron!$A$5,Xero!$E:$E,Heron!$A105)</f>
        <v>0</v>
      </c>
      <c r="E105" s="99">
        <f>SUMIFS(Xero!$F:$F,Xero!$B:$B,Heron!E$9,Xero!$A:$A,Heron!$A$4,Xero!$E:$E,Heron!$A105)+SUMIFS(Xero!$F:$F,Xero!$B:$B,Heron!E$9,Xero!$A:$A,Heron!$A$5,Xero!$E:$E,Heron!$A105)</f>
        <v>0</v>
      </c>
      <c r="F105" s="99">
        <f>SUMIFS(Xero!$F:$F,Xero!$B:$B,Heron!F$9,Xero!$A:$A,Heron!$A$4,Xero!$E:$E,Heron!$A105)+SUMIFS(Xero!$F:$F,Xero!$B:$B,Heron!F$9,Xero!$A:$A,Heron!$A$5,Xero!$E:$E,Heron!$A105)</f>
        <v>0</v>
      </c>
      <c r="G105" s="99">
        <f>SUMIFS(Xero!$F:$F,Xero!$B:$B,Heron!G$9,Xero!$A:$A,Heron!$A$4,Xero!$E:$E,Heron!$A105)+SUMIFS(Xero!$F:$F,Xero!$B:$B,Heron!G$9,Xero!$A:$A,Heron!$A$5,Xero!$E:$E,Heron!$A105)</f>
        <v>26200000</v>
      </c>
      <c r="H105" s="99">
        <f>SUMIFS(Xero!$F:$F,Xero!$B:$B,Heron!H$9,Xero!$A:$A,Heron!$A$4,Xero!$E:$E,Heron!$A105)+SUMIFS(Xero!$F:$F,Xero!$B:$B,Heron!H$9,Xero!$A:$A,Heron!$A$5,Xero!$E:$E,Heron!$A105)</f>
        <v>0</v>
      </c>
      <c r="I105" s="99">
        <f>SUMIFS(Xero!$F:$F,Xero!$B:$B,Heron!I$9,Xero!$A:$A,Heron!$A$4,Xero!$E:$E,Heron!$A105)+SUMIFS(Xero!$F:$F,Xero!$B:$B,Heron!I$9,Xero!$A:$A,Heron!$A$5,Xero!$E:$E,Heron!$A105)</f>
        <v>0</v>
      </c>
      <c r="J105" s="99">
        <f>SUMIFS(Xero!$F:$F,Xero!$B:$B,Heron!J$9,Xero!$A:$A,Heron!$A$4,Xero!$E:$E,Heron!$A105)+SUMIFS(Xero!$F:$F,Xero!$B:$B,Heron!J$9,Xero!$A:$A,Heron!$A$5,Xero!$E:$E,Heron!$A105)</f>
        <v>0</v>
      </c>
      <c r="K105" s="99">
        <f>SUMIFS(Xero!$F:$F,Xero!$B:$B,Heron!K$9,Xero!$A:$A,Heron!$A$4,Xero!$E:$E,Heron!$A105)+SUMIFS(Xero!$F:$F,Xero!$B:$B,Heron!K$9,Xero!$A:$A,Heron!$A$5,Xero!$E:$E,Heron!$A105)</f>
        <v>0</v>
      </c>
      <c r="L105" s="99">
        <f>SUMIFS(Xero!$F:$F,Xero!$B:$B,Heron!L$9,Xero!$A:$A,Heron!$A$4,Xero!$E:$E,Heron!$A105)+SUMIFS(Xero!$F:$F,Xero!$B:$B,Heron!L$9,Xero!$A:$A,Heron!$A$5,Xero!$E:$E,Heron!$A105)</f>
        <v>0</v>
      </c>
      <c r="M105" s="99">
        <f>SUMIFS(Xero!$F:$F,Xero!$B:$B,Heron!M$9,Xero!$A:$A,Heron!$A$4,Xero!$E:$E,Heron!$A105)+SUMIFS(Xero!$F:$F,Xero!$B:$B,Heron!M$9,Xero!$A:$A,Heron!$A$5,Xero!$E:$E,Heron!$A105)</f>
        <v>0</v>
      </c>
      <c r="N105" s="99">
        <f>SUMIFS(Xero!$F:$F,Xero!$B:$B,Heron!N$9,Xero!$A:$A,Heron!$A$4,Xero!$E:$E,Heron!$A105)+SUMIFS(Xero!$F:$F,Xero!$B:$B,Heron!N$9,Xero!$A:$A,Heron!$A$5,Xero!$E:$E,Heron!$A105)</f>
        <v>0</v>
      </c>
      <c r="O105" s="99">
        <f>SUMIFS(Xero!$F:$F,Xero!$B:$B,Heron!O$9,Xero!$A:$A,Heron!$A$4,Xero!$E:$E,Heron!$A105)+SUMIFS(Xero!$F:$F,Xero!$B:$B,Heron!O$9,Xero!$A:$A,Heron!$A$5,Xero!$E:$E,Heron!$A105)</f>
        <v>0</v>
      </c>
      <c r="P105" s="99">
        <f>SUMIFS(Xero!$F:$F,Xero!$B:$B,Heron!P$9,Xero!$A:$A,Heron!$A$4,Xero!$E:$E,Heron!$A105)+SUMIFS(Xero!$F:$F,Xero!$B:$B,Heron!P$9,Xero!$A:$A,Heron!$A$5,Xero!$E:$E,Heron!$A105)</f>
        <v>0</v>
      </c>
      <c r="Q105" s="99">
        <f>SUMIFS(Xero!$F:$F,Xero!$B:$B,Heron!Q$9,Xero!$A:$A,Heron!$A$4,Xero!$E:$E,Heron!$A105)+SUMIFS(Xero!$F:$F,Xero!$B:$B,Heron!Q$9,Xero!$A:$A,Heron!$A$5,Xero!$E:$E,Heron!$A105)</f>
        <v>0</v>
      </c>
      <c r="R105" s="99">
        <f>SUMIFS(Xero!$F:$F,Xero!$B:$B,Heron!R$9,Xero!$A:$A,Heron!$A$4,Xero!$E:$E,Heron!$A105)+SUMIFS(Xero!$F:$F,Xero!$B:$B,Heron!R$9,Xero!$A:$A,Heron!$A$5,Xero!$E:$E,Heron!$A105)</f>
        <v>0</v>
      </c>
      <c r="S105" s="99">
        <f>SUMIFS(Xero!$F:$F,Xero!$B:$B,Heron!S$9,Xero!$A:$A,Heron!$A$4,Xero!$E:$E,Heron!$A105)+SUMIFS(Xero!$F:$F,Xero!$B:$B,Heron!S$9,Xero!$A:$A,Heron!$A$5,Xero!$E:$E,Heron!$A105)</f>
        <v>0</v>
      </c>
      <c r="T105" s="99">
        <f>SUMIFS(Xero!$F:$F,Xero!$B:$B,Heron!T$9,Xero!$A:$A,Heron!$A$4,Xero!$E:$E,Heron!$A105)+SUMIFS(Xero!$F:$F,Xero!$B:$B,Heron!T$9,Xero!$A:$A,Heron!$A$5,Xero!$E:$E,Heron!$A105)</f>
        <v>0</v>
      </c>
      <c r="U105" s="99">
        <f>SUMIFS(Xero!$F:$F,Xero!$B:$B,Heron!U$9,Xero!$A:$A,Heron!$A$4,Xero!$E:$E,Heron!$A105)+SUMIFS(Xero!$F:$F,Xero!$B:$B,Heron!U$9,Xero!$A:$A,Heron!$A$5,Xero!$E:$E,Heron!$A105)</f>
        <v>0</v>
      </c>
      <c r="V105" s="99">
        <f>SUMIFS(Xero!$F:$F,Xero!$B:$B,Heron!V$9,Xero!$A:$A,Heron!$A$4,Xero!$E:$E,Heron!$A105)+SUMIFS(Xero!$F:$F,Xero!$B:$B,Heron!V$9,Xero!$A:$A,Heron!$A$5,Xero!$E:$E,Heron!$A105)</f>
        <v>0</v>
      </c>
      <c r="W105" s="99">
        <f>SUMIFS(Xero!$F:$F,Xero!$B:$B,Heron!W$9,Xero!$A:$A,Heron!$A$4,Xero!$E:$E,Heron!$A105)+SUMIFS(Xero!$F:$F,Xero!$B:$B,Heron!W$9,Xero!$A:$A,Heron!$A$5,Xero!$E:$E,Heron!$A105)</f>
        <v>0</v>
      </c>
      <c r="X105" s="99">
        <f>SUMIFS(Xero!$F:$F,Xero!$B:$B,Heron!X$9,Xero!$A:$A,Heron!$A$4,Xero!$E:$E,Heron!$A105)+SUMIFS(Xero!$F:$F,Xero!$B:$B,Heron!X$9,Xero!$A:$A,Heron!$A$5,Xero!$E:$E,Heron!$A105)</f>
        <v>0</v>
      </c>
      <c r="Y105" s="99">
        <f>SUMIFS(Xero!$F:$F,Xero!$B:$B,Heron!Y$9,Xero!$A:$A,Heron!$A$4,Xero!$E:$E,Heron!$A105)+SUMIFS(Xero!$F:$F,Xero!$B:$B,Heron!Y$9,Xero!$A:$A,Heron!$A$5,Xero!$E:$E,Heron!$A105)</f>
        <v>0</v>
      </c>
      <c r="Z105" s="99">
        <f>SUMIFS(Xero!$F:$F,Xero!$B:$B,Heron!Z$9,Xero!$A:$A,Heron!$A$4,Xero!$E:$E,Heron!$A105)+SUMIFS(Xero!$F:$F,Xero!$B:$B,Heron!Z$9,Xero!$A:$A,Heron!$A$5,Xero!$E:$E,Heron!$A105)</f>
        <v>0</v>
      </c>
      <c r="AA105" s="99">
        <f>SUMIFS(Xero!$F:$F,Xero!$B:$B,Heron!AA$9,Xero!$A:$A,Heron!$A$4,Xero!$E:$E,Heron!$A105)+SUMIFS(Xero!$F:$F,Xero!$B:$B,Heron!AA$9,Xero!$A:$A,Heron!$A$5,Xero!$E:$E,Heron!$A105)</f>
        <v>0</v>
      </c>
      <c r="AB105" s="99">
        <f>SUMIFS(Xero!$F:$F,Xero!$B:$B,Heron!AB$9,Xero!$A:$A,Heron!$A$4,Xero!$E:$E,Heron!$A105)+SUMIFS(Xero!$F:$F,Xero!$B:$B,Heron!AB$9,Xero!$A:$A,Heron!$A$5,Xero!$E:$E,Heron!$A105)</f>
        <v>0</v>
      </c>
      <c r="AC105" s="99">
        <f>SUMIFS(Xero!$F:$F,Xero!$B:$B,Heron!AC$9,Xero!$A:$A,Heron!$A$4,Xero!$E:$E,Heron!$A105)+SUMIFS(Xero!$F:$F,Xero!$B:$B,Heron!AC$9,Xero!$A:$A,Heron!$A$5,Xero!$E:$E,Heron!$A105)</f>
        <v>0</v>
      </c>
      <c r="AD105" s="99">
        <f>SUMIFS(Xero!$F:$F,Xero!$B:$B,Heron!AD$9,Xero!$A:$A,Heron!$A$4,Xero!$E:$E,Heron!$A105)+SUMIFS(Xero!$F:$F,Xero!$B:$B,Heron!AD$9,Xero!$A:$A,Heron!$A$5,Xero!$E:$E,Heron!$A105)</f>
        <v>0</v>
      </c>
      <c r="AE105" s="99">
        <f>SUMIFS(Xero!$F:$F,Xero!$B:$B,Heron!AE$9,Xero!$A:$A,Heron!$A$4,Xero!$E:$E,Heron!$A105)+SUMIFS(Xero!$F:$F,Xero!$B:$B,Heron!AE$9,Xero!$A:$A,Heron!$A$5,Xero!$E:$E,Heron!$A105)</f>
        <v>0</v>
      </c>
      <c r="AF105" s="99">
        <f>SUMIFS(Xero!$F:$F,Xero!$B:$B,Heron!AF$9,Xero!$A:$A,Heron!$A$4,Xero!$E:$E,Heron!$A105)+SUMIFS(Xero!$F:$F,Xero!$B:$B,Heron!AF$9,Xero!$A:$A,Heron!$A$5,Xero!$E:$E,Heron!$A105)</f>
        <v>0</v>
      </c>
      <c r="AG105" s="99">
        <f>SUMIFS(Xero!$F:$F,Xero!$B:$B,Heron!AG$9,Xero!$A:$A,Heron!$A$4,Xero!$E:$E,Heron!$A105)+SUMIFS(Xero!$F:$F,Xero!$B:$B,Heron!AG$9,Xero!$A:$A,Heron!$A$5,Xero!$E:$E,Heron!$A105)</f>
        <v>0</v>
      </c>
      <c r="AH105" s="99">
        <f>SUMIFS(Xero!$F:$F,Xero!$B:$B,Heron!AH$9,Xero!$A:$A,Heron!$A$4,Xero!$E:$E,Heron!$A105)+SUMIFS(Xero!$F:$F,Xero!$B:$B,Heron!AH$9,Xero!$A:$A,Heron!$A$5,Xero!$E:$E,Heron!$A105)</f>
        <v>0</v>
      </c>
      <c r="AI105" s="99">
        <f>SUMIFS(Xero!$F:$F,Xero!$B:$B,Heron!AI$9,Xero!$A:$A,Heron!$A$4,Xero!$E:$E,Heron!$A105)+SUMIFS(Xero!$F:$F,Xero!$B:$B,Heron!AI$9,Xero!$A:$A,Heron!$A$5,Xero!$E:$E,Heron!$A105)</f>
        <v>0</v>
      </c>
      <c r="AJ105" s="99">
        <f>SUMIFS(Xero!$F:$F,Xero!$B:$B,Heron!AJ$9,Xero!$A:$A,Heron!$A$4,Xero!$E:$E,Heron!$A105)+SUMIFS(Xero!$F:$F,Xero!$B:$B,Heron!AJ$9,Xero!$A:$A,Heron!$A$5,Xero!$E:$E,Heron!$A105)</f>
        <v>0</v>
      </c>
      <c r="AK105" s="99">
        <f>SUMIFS(Xero!$F:$F,Xero!$B:$B,Heron!AK$9,Xero!$A:$A,Heron!$A$4,Xero!$E:$E,Heron!$A105)+SUMIFS(Xero!$F:$F,Xero!$B:$B,Heron!AK$9,Xero!$A:$A,Heron!$A$5,Xero!$E:$E,Heron!$A105)</f>
        <v>0</v>
      </c>
      <c r="AL105" s="99">
        <f>SUMIFS(Xero!$F:$F,Xero!$B:$B,Heron!AL$9,Xero!$A:$A,Heron!$A$4,Xero!$E:$E,Heron!$A105)+SUMIFS(Xero!$F:$F,Xero!$B:$B,Heron!AL$9,Xero!$A:$A,Heron!$A$5,Xero!$E:$E,Heron!$A105)</f>
        <v>0</v>
      </c>
      <c r="AM105" s="99">
        <f>SUMIFS(Xero!$F:$F,Xero!$B:$B,Heron!AM$9,Xero!$A:$A,Heron!$A$4,Xero!$E:$E,Heron!$A105)+SUMIFS(Xero!$F:$F,Xero!$B:$B,Heron!AM$9,Xero!$A:$A,Heron!$A$5,Xero!$E:$E,Heron!$A105)</f>
        <v>0</v>
      </c>
      <c r="AN105" s="99">
        <f>SUMIFS(Xero!$F:$F,Xero!$B:$B,Heron!AN$9,Xero!$A:$A,Heron!$A$4,Xero!$E:$E,Heron!$A105)+SUMIFS(Xero!$F:$F,Xero!$B:$B,Heron!AN$9,Xero!$A:$A,Heron!$A$5,Xero!$E:$E,Heron!$A105)</f>
        <v>0</v>
      </c>
      <c r="AO105" s="99">
        <f>SUMIFS(Xero!$F:$F,Xero!$B:$B,Heron!AO$9,Xero!$A:$A,Heron!$A$4,Xero!$E:$E,Heron!$A105)+SUMIFS(Xero!$F:$F,Xero!$B:$B,Heron!AO$9,Xero!$A:$A,Heron!$A$5,Xero!$E:$E,Heron!$A105)</f>
        <v>0</v>
      </c>
      <c r="AP105" s="99">
        <f>SUMIFS(Xero!$F:$F,Xero!$B:$B,Heron!AP$9,Xero!$A:$A,Heron!$A$4,Xero!$E:$E,Heron!$A105)+SUMIFS(Xero!$F:$F,Xero!$B:$B,Heron!AP$9,Xero!$A:$A,Heron!$A$5,Xero!$E:$E,Heron!$A105)</f>
        <v>0</v>
      </c>
      <c r="AQ105" s="99">
        <f>SUMIFS(Xero!$F:$F,Xero!$B:$B,Heron!AQ$9,Xero!$A:$A,Heron!$A$4,Xero!$E:$E,Heron!$A105)+SUMIFS(Xero!$F:$F,Xero!$B:$B,Heron!AQ$9,Xero!$A:$A,Heron!$A$5,Xero!$E:$E,Heron!$A105)</f>
        <v>0</v>
      </c>
      <c r="AR105" s="99">
        <f>SUMIFS(Xero!$F:$F,Xero!$B:$B,Heron!AR$9,Xero!$A:$A,Heron!$A$4,Xero!$E:$E,Heron!$A105)+SUMIFS(Xero!$F:$F,Xero!$B:$B,Heron!AR$9,Xero!$A:$A,Heron!$A$5,Xero!$E:$E,Heron!$A105)</f>
        <v>0</v>
      </c>
      <c r="AS105" s="99">
        <f>SUMIFS(Xero!$F:$F,Xero!$B:$B,Heron!AS$9,Xero!$A:$A,Heron!$A$4,Xero!$E:$E,Heron!$A105)+SUMIFS(Xero!$F:$F,Xero!$B:$B,Heron!AS$9,Xero!$A:$A,Heron!$A$5,Xero!$E:$E,Heron!$A105)</f>
        <v>0</v>
      </c>
      <c r="AT105" s="99">
        <f>SUMIFS(Xero!$F:$F,Xero!$B:$B,Heron!AT$9,Xero!$A:$A,Heron!$A$4,Xero!$E:$E,Heron!$A105)+SUMIFS(Xero!$F:$F,Xero!$B:$B,Heron!AT$9,Xero!$A:$A,Heron!$A$5,Xero!$E:$E,Heron!$A105)</f>
        <v>0</v>
      </c>
      <c r="AU105" s="99">
        <f>SUMIFS(Xero!$F:$F,Xero!$B:$B,Heron!AU$9,Xero!$A:$A,Heron!$A$4,Xero!$E:$E,Heron!$A105)+SUMIFS(Xero!$F:$F,Xero!$B:$B,Heron!AU$9,Xero!$A:$A,Heron!$A$5,Xero!$E:$E,Heron!$A105)</f>
        <v>0</v>
      </c>
      <c r="AV105" s="99">
        <f>SUMIFS(Xero!$F:$F,Xero!$B:$B,Heron!AV$9,Xero!$A:$A,Heron!$A$4,Xero!$E:$E,Heron!$A105)+SUMIFS(Xero!$F:$F,Xero!$B:$B,Heron!AV$9,Xero!$A:$A,Heron!$A$5,Xero!$E:$E,Heron!$A105)</f>
        <v>0</v>
      </c>
      <c r="AW105" s="99">
        <f>SUMIFS(Xero!$F:$F,Xero!$B:$B,Heron!AW$9,Xero!$A:$A,Heron!$A$4,Xero!$E:$E,Heron!$A105)+SUMIFS(Xero!$F:$F,Xero!$B:$B,Heron!AW$9,Xero!$A:$A,Heron!$A$5,Xero!$E:$E,Heron!$A105)</f>
        <v>0</v>
      </c>
      <c r="AX105" s="99">
        <f>SUMIFS(Xero!$F:$F,Xero!$B:$B,Heron!AX$9,Xero!$A:$A,Heron!$A$4,Xero!$E:$E,Heron!$A105)+SUMIFS(Xero!$F:$F,Xero!$B:$B,Heron!AX$9,Xero!$A:$A,Heron!$A$5,Xero!$E:$E,Heron!$A105)</f>
        <v>0</v>
      </c>
      <c r="AY105" s="99">
        <f>SUMIFS(Xero!$F:$F,Xero!$B:$B,Heron!AY$9,Xero!$A:$A,Heron!$A$4,Xero!$E:$E,Heron!$A105)+SUMIFS(Xero!$F:$F,Xero!$B:$B,Heron!AY$9,Xero!$A:$A,Heron!$A$5,Xero!$E:$E,Heron!$A105)</f>
        <v>0</v>
      </c>
      <c r="AZ105" s="99">
        <f>SUMIFS(Xero!$F:$F,Xero!$B:$B,Heron!AZ$9,Xero!$A:$A,Heron!$A$4,Xero!$E:$E,Heron!$A105)+SUMIFS(Xero!$F:$F,Xero!$B:$B,Heron!AZ$9,Xero!$A:$A,Heron!$A$5,Xero!$E:$E,Heron!$A105)</f>
        <v>0</v>
      </c>
      <c r="BA105" s="99">
        <f>SUMIFS(Xero!$F:$F,Xero!$B:$B,Heron!BA$9,Xero!$A:$A,Heron!$A$4,Xero!$E:$E,Heron!$A105)+SUMIFS(Xero!$F:$F,Xero!$B:$B,Heron!BA$9,Xero!$A:$A,Heron!$A$5,Xero!$E:$E,Heron!$A105)</f>
        <v>0</v>
      </c>
      <c r="BB105" s="99">
        <f>SUMIFS(Xero!$F:$F,Xero!$B:$B,Heron!BB$9,Xero!$A:$A,Heron!$A$4,Xero!$E:$E,Heron!$A105)+SUMIFS(Xero!$F:$F,Xero!$B:$B,Heron!BB$9,Xero!$A:$A,Heron!$A$5,Xero!$E:$E,Heron!$A105)</f>
        <v>0</v>
      </c>
      <c r="BC105" s="99">
        <f>SUMIFS(Xero!$F:$F,Xero!$B:$B,Heron!BC$9,Xero!$A:$A,Heron!$A$4,Xero!$E:$E,Heron!$A105)+SUMIFS(Xero!$F:$F,Xero!$B:$B,Heron!BC$9,Xero!$A:$A,Heron!$A$5,Xero!$E:$E,Heron!$A105)</f>
        <v>0</v>
      </c>
      <c r="BD105" s="99">
        <f>SUMIFS(Xero!$F:$F,Xero!$B:$B,Heron!BD$9,Xero!$A:$A,Heron!$A$4,Xero!$E:$E,Heron!$A105)+SUMIFS(Xero!$F:$F,Xero!$B:$B,Heron!BD$9,Xero!$A:$A,Heron!$A$5,Xero!$E:$E,Heron!$A105)</f>
        <v>0</v>
      </c>
      <c r="BE105" s="99">
        <f>SUMIFS(Xero!$F:$F,Xero!$B:$B,Heron!BE$9,Xero!$A:$A,Heron!$A$4,Xero!$E:$E,Heron!$A105)+SUMIFS(Xero!$F:$F,Xero!$B:$B,Heron!BE$9,Xero!$A:$A,Heron!$A$5,Xero!$E:$E,Heron!$A105)</f>
        <v>0</v>
      </c>
      <c r="BF105" s="99">
        <f>SUMIFS(Xero!$F:$F,Xero!$B:$B,Heron!BF$9,Xero!$A:$A,Heron!$A$4,Xero!$E:$E,Heron!$A105)+SUMIFS(Xero!$F:$F,Xero!$B:$B,Heron!BF$9,Xero!$A:$A,Heron!$A$5,Xero!$E:$E,Heron!$A105)</f>
        <v>0</v>
      </c>
      <c r="BG105" s="99">
        <f>SUMIFS(Xero!$F:$F,Xero!$B:$B,Heron!BG$9,Xero!$A:$A,Heron!$A$4,Xero!$E:$E,Heron!$A105)+SUMIFS(Xero!$F:$F,Xero!$B:$B,Heron!BG$9,Xero!$A:$A,Heron!$A$5,Xero!$E:$E,Heron!$A105)</f>
        <v>0</v>
      </c>
      <c r="BH105" s="99">
        <f>SUMIFS(Xero!$F:$F,Xero!$B:$B,Heron!BH$9,Xero!$A:$A,Heron!$A$4,Xero!$E:$E,Heron!$A105)+SUMIFS(Xero!$F:$F,Xero!$B:$B,Heron!BH$9,Xero!$A:$A,Heron!$A$5,Xero!$E:$E,Heron!$A105)</f>
        <v>0</v>
      </c>
      <c r="BI105" s="99">
        <f>SUMIFS(Xero!$F:$F,Xero!$B:$B,Heron!BI$9,Xero!$A:$A,Heron!$A$4,Xero!$E:$E,Heron!$A105)+SUMIFS(Xero!$F:$F,Xero!$B:$B,Heron!BI$9,Xero!$A:$A,Heron!$A$5,Xero!$E:$E,Heron!$A105)</f>
        <v>0</v>
      </c>
      <c r="BJ105" s="99">
        <f>SUMIFS(Xero!$F:$F,Xero!$B:$B,Heron!BJ$9,Xero!$A:$A,Heron!$A$4,Xero!$E:$E,Heron!$A105)+SUMIFS(Xero!$F:$F,Xero!$B:$B,Heron!BJ$9,Xero!$A:$A,Heron!$A$5,Xero!$E:$E,Heron!$A105)</f>
        <v>0</v>
      </c>
      <c r="BK105" s="99">
        <f t="shared" si="6"/>
        <v>26200000</v>
      </c>
    </row>
    <row r="106" spans="1:63" ht="16" x14ac:dyDescent="0.2">
      <c r="A106" s="98" t="s">
        <v>1451</v>
      </c>
      <c r="D106" s="101">
        <f>SUMIFS(Xero!$F:$F,Xero!$B:$B,Heron!D$9,Xero!$A:$A,Heron!$A$6,Xero!$E:$E,Heron!$A106)</f>
        <v>0</v>
      </c>
      <c r="E106" s="101">
        <f>SUMIFS(Xero!$F:$F,Xero!$B:$B,Heron!E$9,Xero!$A:$A,Heron!$A$6,Xero!$E:$E,Heron!$A106)</f>
        <v>0</v>
      </c>
      <c r="F106" s="101">
        <f>SUMIFS(Xero!$F:$F,Xero!$B:$B,Heron!F$9,Xero!$A:$A,Heron!$A$6,Xero!$E:$E,Heron!$A106)</f>
        <v>0</v>
      </c>
      <c r="G106" s="101">
        <f>SUMIFS(Xero!$F:$F,Xero!$B:$B,Heron!G$9,Xero!$A:$A,Heron!$A$6,Xero!$E:$E,Heron!$A106)</f>
        <v>0</v>
      </c>
      <c r="H106" s="101">
        <f>SUMIFS(Xero!$F:$F,Xero!$B:$B,Heron!H$9,Xero!$A:$A,Heron!$A$6,Xero!$E:$E,Heron!$A106)</f>
        <v>0</v>
      </c>
      <c r="I106" s="101">
        <f>SUMIFS(Xero!$F:$F,Xero!$B:$B,Heron!I$9,Xero!$A:$A,Heron!$A$6,Xero!$E:$E,Heron!$A106)</f>
        <v>0</v>
      </c>
      <c r="J106" s="101">
        <f>SUMIFS(Xero!$F:$F,Xero!$B:$B,Heron!J$9,Xero!$A:$A,Heron!$A$6,Xero!$E:$E,Heron!$A106)</f>
        <v>0</v>
      </c>
      <c r="K106" s="101">
        <f>SUMIFS(Xero!$F:$F,Xero!$B:$B,Heron!K$9,Xero!$A:$A,Heron!$A$6,Xero!$E:$E,Heron!$A106)</f>
        <v>0</v>
      </c>
      <c r="L106" s="101">
        <f>SUMIFS(Xero!$F:$F,Xero!$B:$B,Heron!L$9,Xero!$A:$A,Heron!$A$6,Xero!$E:$E,Heron!$A106)</f>
        <v>0</v>
      </c>
      <c r="M106" s="101">
        <f>SUMIFS(Xero!$F:$F,Xero!$B:$B,Heron!M$9,Xero!$A:$A,Heron!$A$6,Xero!$E:$E,Heron!$A106)</f>
        <v>0</v>
      </c>
      <c r="N106" s="101">
        <f>SUMIFS(Xero!$F:$F,Xero!$B:$B,Heron!N$9,Xero!$A:$A,Heron!$A$6,Xero!$E:$E,Heron!$A106)</f>
        <v>29451.51</v>
      </c>
      <c r="O106" s="101">
        <f>SUMIFS(Xero!$F:$F,Xero!$B:$B,Heron!O$9,Xero!$A:$A,Heron!$A$6,Xero!$E:$E,Heron!$A106)</f>
        <v>124636.84</v>
      </c>
      <c r="P106" s="101">
        <f>SUMIFS(Xero!$F:$F,Xero!$B:$B,Heron!P$9,Xero!$A:$A,Heron!$A$6,Xero!$E:$E,Heron!$A106)</f>
        <v>967790.23</v>
      </c>
      <c r="Q106" s="101">
        <f>SUMIFS(Xero!$F:$F,Xero!$B:$B,Heron!Q$9,Xero!$A:$A,Heron!$A$6,Xero!$E:$E,Heron!$A106)</f>
        <v>2138785</v>
      </c>
      <c r="R106" s="101">
        <f>SUMIFS(Xero!$F:$F,Xero!$B:$B,Heron!R$9,Xero!$A:$A,Heron!$A$6,Xero!$E:$E,Heron!$A106)</f>
        <v>3587901.07</v>
      </c>
      <c r="S106" s="101">
        <f>SUMIFS(Xero!$F:$F,Xero!$B:$B,Heron!S$9,Xero!$A:$A,Heron!$A$6,Xero!$E:$E,Heron!$A106)</f>
        <v>2326102.06</v>
      </c>
      <c r="T106" s="101">
        <f>SUMIFS(Xero!$F:$F,Xero!$B:$B,Heron!T$9,Xero!$A:$A,Heron!$A$6,Xero!$E:$E,Heron!$A106)</f>
        <v>3666477.2</v>
      </c>
      <c r="U106" s="101">
        <f>SUMIFS(Xero!$F:$F,Xero!$B:$B,Heron!U$9,Xero!$A:$A,Heron!$A$6,Xero!$E:$E,Heron!$A106)</f>
        <v>4430835.97</v>
      </c>
      <c r="V106" s="101">
        <f>SUMIFS(Xero!$F:$F,Xero!$B:$B,Heron!V$9,Xero!$A:$A,Heron!$A$6,Xero!$E:$E,Heron!$A106)</f>
        <v>5226462.46</v>
      </c>
      <c r="W106" s="101">
        <f>SUMIFS(Xero!$F:$F,Xero!$B:$B,Heron!W$9,Xero!$A:$A,Heron!$A$6,Xero!$E:$E,Heron!$A106)</f>
        <v>3132835.75</v>
      </c>
      <c r="X106" s="101">
        <f>SUMIFS(Xero!$F:$F,Xero!$B:$B,Heron!X$9,Xero!$A:$A,Heron!$A$6,Xero!$E:$E,Heron!$A106)</f>
        <v>2296557.5699999998</v>
      </c>
      <c r="Y106" s="101">
        <f>SUMIFS(Xero!$F:$F,Xero!$B:$B,Heron!Y$9,Xero!$A:$A,Heron!$A$6,Xero!$E:$E,Heron!$A106)</f>
        <v>2454778.69</v>
      </c>
      <c r="Z106" s="101">
        <f>SUMIFS(Xero!$F:$F,Xero!$B:$B,Heron!Z$9,Xero!$A:$A,Heron!$A$6,Xero!$E:$E,Heron!$A106)</f>
        <v>290144.51</v>
      </c>
      <c r="AA106" s="101">
        <f>SUMIFS(Xero!$F:$F,Xero!$B:$B,Heron!AA$9,Xero!$A:$A,Heron!$A$6,Xero!$E:$E,Heron!$A106)</f>
        <v>1119628.56</v>
      </c>
      <c r="AB106" s="101">
        <f>SUMIFS(Xero!$F:$F,Xero!$B:$B,Heron!AB$9,Xero!$A:$A,Heron!$A$6,Xero!$E:$E,Heron!$A106)</f>
        <v>776649.41</v>
      </c>
      <c r="AC106" s="101">
        <f>SUMIFS(Xero!$F:$F,Xero!$B:$B,Heron!AC$9,Xero!$A:$A,Heron!$A$6,Xero!$E:$E,Heron!$A106)</f>
        <v>84649.57</v>
      </c>
      <c r="AD106" s="101">
        <f>SUMIFS(Xero!$F:$F,Xero!$B:$B,Heron!AD$9,Xero!$A:$A,Heron!$A$6,Xero!$E:$E,Heron!$A106)</f>
        <v>149683.76999999999</v>
      </c>
      <c r="AE106" s="101">
        <f>SUMIFS(Xero!$F:$F,Xero!$B:$B,Heron!AE$9,Xero!$A:$A,Heron!$A$6,Xero!$E:$E,Heron!$A106)</f>
        <v>328611.84000000003</v>
      </c>
      <c r="AF106" s="101">
        <f>SUMIFS(Xero!$F:$F,Xero!$B:$B,Heron!AF$9,Xero!$A:$A,Heron!$A$6,Xero!$E:$E,Heron!$A106)</f>
        <v>75191</v>
      </c>
      <c r="AG106" s="101">
        <f>SUMIFS(Xero!$F:$F,Xero!$B:$B,Heron!AG$9,Xero!$A:$A,Heron!$A$6,Xero!$E:$E,Heron!$A106)</f>
        <v>76169.75</v>
      </c>
      <c r="AH106" s="101">
        <f>SUMIFS(Xero!$F:$F,Xero!$B:$B,Heron!AH$9,Xero!$A:$A,Heron!$A$6,Xero!$E:$E,Heron!$A106)</f>
        <v>63191.31</v>
      </c>
      <c r="AI106" s="101">
        <f>SUMIFS(Xero!$F:$F,Xero!$B:$B,Heron!AI$9,Xero!$A:$A,Heron!$A$6,Xero!$E:$E,Heron!$A106)</f>
        <v>44920.98</v>
      </c>
      <c r="AJ106" s="101">
        <f>SUMIFS(Xero!$F:$F,Xero!$B:$B,Heron!AJ$9,Xero!$A:$A,Heron!$A$6,Xero!$E:$E,Heron!$A106)</f>
        <v>34156.449999999997</v>
      </c>
      <c r="AK106" s="101">
        <f>SUMIFS(Xero!$F:$F,Xero!$B:$B,Heron!AK$9,Xero!$A:$A,Heron!$A$6,Xero!$E:$E,Heron!$A106)</f>
        <v>5715</v>
      </c>
      <c r="AL106" s="101">
        <f>SUMIFS(Xero!$F:$F,Xero!$B:$B,Heron!AL$9,Xero!$A:$A,Heron!$A$6,Xero!$E:$E,Heron!$A106)</f>
        <v>900</v>
      </c>
      <c r="AM106" s="101">
        <f>SUMIFS(Xero!$F:$F,Xero!$B:$B,Heron!AM$9,Xero!$A:$A,Heron!$A$6,Xero!$E:$E,Heron!$A106)</f>
        <v>0</v>
      </c>
      <c r="AN106" s="101">
        <f>SUMIFS(Xero!$F:$F,Xero!$B:$B,Heron!AN$9,Xero!$A:$A,Heron!$A$6,Xero!$E:$E,Heron!$A106)</f>
        <v>390</v>
      </c>
      <c r="AO106" s="101">
        <f>SUMIFS(Xero!$F:$F,Xero!$B:$B,Heron!AO$9,Xero!$A:$A,Heron!$A$6,Xero!$E:$E,Heron!$A106)</f>
        <v>1459.05</v>
      </c>
      <c r="AP106" s="101">
        <f>SUMIFS(Xero!$F:$F,Xero!$B:$B,Heron!AP$9,Xero!$A:$A,Heron!$A$6,Xero!$E:$E,Heron!$A106)</f>
        <v>6834.05</v>
      </c>
      <c r="AQ106" s="101">
        <f>SUMIFS(Xero!$F:$F,Xero!$B:$B,Heron!AQ$9,Xero!$A:$A,Heron!$A$6,Xero!$E:$E,Heron!$A106)</f>
        <v>2489.5700000000002</v>
      </c>
      <c r="AR106" s="101">
        <f>SUMIFS(Xero!$F:$F,Xero!$B:$B,Heron!AR$9,Xero!$A:$A,Heron!$A$6,Xero!$E:$E,Heron!$A106)</f>
        <v>7975</v>
      </c>
      <c r="AS106" s="101">
        <f>SUMIFS(Xero!$F:$F,Xero!$B:$B,Heron!AS$9,Xero!$A:$A,Heron!$A$6,Xero!$E:$E,Heron!$A106)</f>
        <v>0</v>
      </c>
      <c r="AT106" s="101">
        <f>SUMIFS(Xero!$F:$F,Xero!$B:$B,Heron!AT$9,Xero!$A:$A,Heron!$A$6,Xero!$E:$E,Heron!$A106)</f>
        <v>0</v>
      </c>
      <c r="AU106" s="101">
        <f>SUMIFS(Xero!$F:$F,Xero!$B:$B,Heron!AU$9,Xero!$A:$A,Heron!$A$6,Xero!$E:$E,Heron!$A106)</f>
        <v>0</v>
      </c>
      <c r="AV106" s="101">
        <f>SUMIFS(Xero!$F:$F,Xero!$B:$B,Heron!AV$9,Xero!$A:$A,Heron!$A$6,Xero!$E:$E,Heron!$A106)</f>
        <v>0</v>
      </c>
      <c r="AW106" s="101">
        <f>SUMIFS(Xero!$F:$F,Xero!$B:$B,Heron!AW$9,Xero!$A:$A,Heron!$A$6,Xero!$E:$E,Heron!$A106)</f>
        <v>0</v>
      </c>
      <c r="AX106" s="101">
        <f>SUMIFS(Xero!$F:$F,Xero!$B:$B,Heron!AX$9,Xero!$A:$A,Heron!$A$6,Xero!$E:$E,Heron!$A106)</f>
        <v>0</v>
      </c>
      <c r="AY106" s="101">
        <f>SUMIFS(Xero!$F:$F,Xero!$B:$B,Heron!AY$9,Xero!$A:$A,Heron!$A$6,Xero!$E:$E,Heron!$A106)</f>
        <v>0</v>
      </c>
      <c r="AZ106" s="101">
        <f>SUMIFS(Xero!$F:$F,Xero!$B:$B,Heron!AZ$9,Xero!$A:$A,Heron!$A$6,Xero!$E:$E,Heron!$A106)</f>
        <v>0</v>
      </c>
      <c r="BA106" s="101">
        <f>SUMIFS(Xero!$F:$F,Xero!$B:$B,Heron!BA$9,Xero!$A:$A,Heron!$A$6,Xero!$E:$E,Heron!$A106)</f>
        <v>0</v>
      </c>
      <c r="BB106" s="101">
        <f>SUMIFS(Xero!$F:$F,Xero!$B:$B,Heron!BB$9,Xero!$A:$A,Heron!$A$6,Xero!$E:$E,Heron!$A106)</f>
        <v>0</v>
      </c>
      <c r="BC106" s="101">
        <f>SUMIFS(Xero!$F:$F,Xero!$B:$B,Heron!BC$9,Xero!$A:$A,Heron!$A$6,Xero!$E:$E,Heron!$A106)</f>
        <v>0</v>
      </c>
      <c r="BD106" s="101">
        <f>SUMIFS(Xero!$F:$F,Xero!$B:$B,Heron!BD$9,Xero!$A:$A,Heron!$A$6,Xero!$E:$E,Heron!$A106)</f>
        <v>0</v>
      </c>
      <c r="BE106" s="101">
        <f>SUMIFS(Xero!$F:$F,Xero!$B:$B,Heron!BE$9,Xero!$A:$A,Heron!$A$6,Xero!$E:$E,Heron!$A106)</f>
        <v>0</v>
      </c>
      <c r="BF106" s="101">
        <f>SUMIFS(Xero!$F:$F,Xero!$B:$B,Heron!BF$9,Xero!$A:$A,Heron!$A$6,Xero!$E:$E,Heron!$A106)</f>
        <v>0</v>
      </c>
      <c r="BG106" s="101">
        <f>SUMIFS(Xero!$F:$F,Xero!$B:$B,Heron!BG$9,Xero!$A:$A,Heron!$A$6,Xero!$E:$E,Heron!$A106)</f>
        <v>0</v>
      </c>
      <c r="BH106" s="101">
        <f>SUMIFS(Xero!$F:$F,Xero!$B:$B,Heron!BH$9,Xero!$A:$A,Heron!$A$6,Xero!$E:$E,Heron!$A106)</f>
        <v>0</v>
      </c>
      <c r="BI106" s="101">
        <f>SUMIFS(Xero!$F:$F,Xero!$B:$B,Heron!BI$9,Xero!$A:$A,Heron!$A$6,Xero!$E:$E,Heron!$A106)</f>
        <v>0</v>
      </c>
      <c r="BJ106" s="101">
        <f>SUMIFS(Xero!$F:$F,Xero!$B:$B,Heron!BJ$9,Xero!$A:$A,Heron!$A$6,Xero!$E:$E,Heron!$A106)</f>
        <v>0</v>
      </c>
      <c r="BK106" s="99">
        <f t="shared" si="6"/>
        <v>33451374.170000002</v>
      </c>
    </row>
    <row r="107" spans="1:63" ht="16" x14ac:dyDescent="0.2">
      <c r="A107" s="98" t="s">
        <v>1453</v>
      </c>
      <c r="D107" s="101">
        <f>SUMIFS(Xero!$F:$F,Xero!$B:$B,Heron!D$9,Xero!$A:$A,Heron!$A$6,Xero!$E:$E,Heron!$A107)</f>
        <v>0</v>
      </c>
      <c r="E107" s="101">
        <f>SUMIFS(Xero!$F:$F,Xero!$B:$B,Heron!E$9,Xero!$A:$A,Heron!$A$6,Xero!$E:$E,Heron!$A107)</f>
        <v>0</v>
      </c>
      <c r="F107" s="101">
        <f>SUMIFS(Xero!$F:$F,Xero!$B:$B,Heron!F$9,Xero!$A:$A,Heron!$A$6,Xero!$E:$E,Heron!$A107)</f>
        <v>0</v>
      </c>
      <c r="G107" s="101">
        <f>SUMIFS(Xero!$F:$F,Xero!$B:$B,Heron!G$9,Xero!$A:$A,Heron!$A$6,Xero!$E:$E,Heron!$A107)</f>
        <v>0</v>
      </c>
      <c r="H107" s="101">
        <f>SUMIFS(Xero!$F:$F,Xero!$B:$B,Heron!H$9,Xero!$A:$A,Heron!$A$6,Xero!$E:$E,Heron!$A107)</f>
        <v>0</v>
      </c>
      <c r="I107" s="101">
        <f>SUMIFS(Xero!$F:$F,Xero!$B:$B,Heron!I$9,Xero!$A:$A,Heron!$A$6,Xero!$E:$E,Heron!$A107)</f>
        <v>0</v>
      </c>
      <c r="J107" s="101">
        <f>SUMIFS(Xero!$F:$F,Xero!$B:$B,Heron!J$9,Xero!$A:$A,Heron!$A$6,Xero!$E:$E,Heron!$A107)</f>
        <v>0</v>
      </c>
      <c r="K107" s="101">
        <f>SUMIFS(Xero!$F:$F,Xero!$B:$B,Heron!K$9,Xero!$A:$A,Heron!$A$6,Xero!$E:$E,Heron!$A107)</f>
        <v>0</v>
      </c>
      <c r="L107" s="101">
        <f>SUMIFS(Xero!$F:$F,Xero!$B:$B,Heron!L$9,Xero!$A:$A,Heron!$A$6,Xero!$E:$E,Heron!$A107)</f>
        <v>0</v>
      </c>
      <c r="M107" s="101">
        <f>SUMIFS(Xero!$F:$F,Xero!$B:$B,Heron!M$9,Xero!$A:$A,Heron!$A$6,Xero!$E:$E,Heron!$A107)</f>
        <v>0</v>
      </c>
      <c r="N107" s="101">
        <f>SUMIFS(Xero!$F:$F,Xero!$B:$B,Heron!N$9,Xero!$A:$A,Heron!$A$6,Xero!$E:$E,Heron!$A107)</f>
        <v>24818.27</v>
      </c>
      <c r="O107" s="101">
        <f>SUMIFS(Xero!$F:$F,Xero!$B:$B,Heron!O$9,Xero!$A:$A,Heron!$A$6,Xero!$E:$E,Heron!$A107)</f>
        <v>43190.559999999998</v>
      </c>
      <c r="P107" s="101">
        <f>SUMIFS(Xero!$F:$F,Xero!$B:$B,Heron!P$9,Xero!$A:$A,Heron!$A$6,Xero!$E:$E,Heron!$A107)</f>
        <v>92590.28</v>
      </c>
      <c r="Q107" s="101">
        <f>SUMIFS(Xero!$F:$F,Xero!$B:$B,Heron!Q$9,Xero!$A:$A,Heron!$A$6,Xero!$E:$E,Heron!$A107)</f>
        <v>239884.17</v>
      </c>
      <c r="R107" s="101">
        <f>SUMIFS(Xero!$F:$F,Xero!$B:$B,Heron!R$9,Xero!$A:$A,Heron!$A$6,Xero!$E:$E,Heron!$A107)</f>
        <v>265346.33</v>
      </c>
      <c r="S107" s="101">
        <f>SUMIFS(Xero!$F:$F,Xero!$B:$B,Heron!S$9,Xero!$A:$A,Heron!$A$6,Xero!$E:$E,Heron!$A107)</f>
        <v>246746.39</v>
      </c>
      <c r="T107" s="101">
        <f>SUMIFS(Xero!$F:$F,Xero!$B:$B,Heron!T$9,Xero!$A:$A,Heron!$A$6,Xero!$E:$E,Heron!$A107)</f>
        <v>355948.88</v>
      </c>
      <c r="U107" s="101">
        <f>SUMIFS(Xero!$F:$F,Xero!$B:$B,Heron!U$9,Xero!$A:$A,Heron!$A$6,Xero!$E:$E,Heron!$A107)</f>
        <v>195931.27</v>
      </c>
      <c r="V107" s="101">
        <f>SUMIFS(Xero!$F:$F,Xero!$B:$B,Heron!V$9,Xero!$A:$A,Heron!$A$6,Xero!$E:$E,Heron!$A107)</f>
        <v>408108.91</v>
      </c>
      <c r="W107" s="101">
        <f>SUMIFS(Xero!$F:$F,Xero!$B:$B,Heron!W$9,Xero!$A:$A,Heron!$A$6,Xero!$E:$E,Heron!$A107)</f>
        <v>281083.21000000002</v>
      </c>
      <c r="X107" s="101">
        <f>SUMIFS(Xero!$F:$F,Xero!$B:$B,Heron!X$9,Xero!$A:$A,Heron!$A$6,Xero!$E:$E,Heron!$A107)</f>
        <v>274149.5</v>
      </c>
      <c r="Y107" s="101">
        <f>SUMIFS(Xero!$F:$F,Xero!$B:$B,Heron!Y$9,Xero!$A:$A,Heron!$A$6,Xero!$E:$E,Heron!$A107)</f>
        <v>313402.61</v>
      </c>
      <c r="Z107" s="101">
        <f>SUMIFS(Xero!$F:$F,Xero!$B:$B,Heron!Z$9,Xero!$A:$A,Heron!$A$6,Xero!$E:$E,Heron!$A107)</f>
        <v>103191.35</v>
      </c>
      <c r="AA107" s="101">
        <f>SUMIFS(Xero!$F:$F,Xero!$B:$B,Heron!AA$9,Xero!$A:$A,Heron!$A$6,Xero!$E:$E,Heron!$A107)</f>
        <v>142419.51</v>
      </c>
      <c r="AB107" s="101">
        <f>SUMIFS(Xero!$F:$F,Xero!$B:$B,Heron!AB$9,Xero!$A:$A,Heron!$A$6,Xero!$E:$E,Heron!$A107)</f>
        <v>59157.63</v>
      </c>
      <c r="AC107" s="101">
        <f>SUMIFS(Xero!$F:$F,Xero!$B:$B,Heron!AC$9,Xero!$A:$A,Heron!$A$6,Xero!$E:$E,Heron!$A107)</f>
        <v>53004.4</v>
      </c>
      <c r="AD107" s="101">
        <f>SUMIFS(Xero!$F:$F,Xero!$B:$B,Heron!AD$9,Xero!$A:$A,Heron!$A$6,Xero!$E:$E,Heron!$A107)</f>
        <v>50267.62</v>
      </c>
      <c r="AE107" s="101">
        <f>SUMIFS(Xero!$F:$F,Xero!$B:$B,Heron!AE$9,Xero!$A:$A,Heron!$A$6,Xero!$E:$E,Heron!$A107)</f>
        <v>40224.74</v>
      </c>
      <c r="AF107" s="101">
        <f>SUMIFS(Xero!$F:$F,Xero!$B:$B,Heron!AF$9,Xero!$A:$A,Heron!$A$6,Xero!$E:$E,Heron!$A107)</f>
        <v>79865.240000000005</v>
      </c>
      <c r="AG107" s="101">
        <f>SUMIFS(Xero!$F:$F,Xero!$B:$B,Heron!AG$9,Xero!$A:$A,Heron!$A$6,Xero!$E:$E,Heron!$A107)</f>
        <v>47477.81</v>
      </c>
      <c r="AH107" s="101">
        <f>SUMIFS(Xero!$F:$F,Xero!$B:$B,Heron!AH$9,Xero!$A:$A,Heron!$A$6,Xero!$E:$E,Heron!$A107)</f>
        <v>-2784.8</v>
      </c>
      <c r="AI107" s="101">
        <f>SUMIFS(Xero!$F:$F,Xero!$B:$B,Heron!AI$9,Xero!$A:$A,Heron!$A$6,Xero!$E:$E,Heron!$A107)</f>
        <v>4396.05</v>
      </c>
      <c r="AJ107" s="101">
        <f>SUMIFS(Xero!$F:$F,Xero!$B:$B,Heron!AJ$9,Xero!$A:$A,Heron!$A$6,Xero!$E:$E,Heron!$A107)</f>
        <v>4110.17</v>
      </c>
      <c r="AK107" s="101">
        <f>SUMIFS(Xero!$F:$F,Xero!$B:$B,Heron!AK$9,Xero!$A:$A,Heron!$A$6,Xero!$E:$E,Heron!$A107)</f>
        <v>4313.09</v>
      </c>
      <c r="AL107" s="101">
        <f>SUMIFS(Xero!$F:$F,Xero!$B:$B,Heron!AL$9,Xero!$A:$A,Heron!$A$6,Xero!$E:$E,Heron!$A107)</f>
        <v>3791.59</v>
      </c>
      <c r="AM107" s="101">
        <f>SUMIFS(Xero!$F:$F,Xero!$B:$B,Heron!AM$9,Xero!$A:$A,Heron!$A$6,Xero!$E:$E,Heron!$A107)</f>
        <v>2901.76</v>
      </c>
      <c r="AN107" s="101">
        <f>SUMIFS(Xero!$F:$F,Xero!$B:$B,Heron!AN$9,Xero!$A:$A,Heron!$A$6,Xero!$E:$E,Heron!$A107)</f>
        <v>3282.19</v>
      </c>
      <c r="AO107" s="101">
        <f>SUMIFS(Xero!$F:$F,Xero!$B:$B,Heron!AO$9,Xero!$A:$A,Heron!$A$6,Xero!$E:$E,Heron!$A107)</f>
        <v>0</v>
      </c>
      <c r="AP107" s="101">
        <f>SUMIFS(Xero!$F:$F,Xero!$B:$B,Heron!AP$9,Xero!$A:$A,Heron!$A$6,Xero!$E:$E,Heron!$A107)</f>
        <v>380.43</v>
      </c>
      <c r="AQ107" s="101">
        <f>SUMIFS(Xero!$F:$F,Xero!$B:$B,Heron!AQ$9,Xero!$A:$A,Heron!$A$6,Xero!$E:$E,Heron!$A107)</f>
        <v>543.04</v>
      </c>
      <c r="AR107" s="101">
        <f>SUMIFS(Xero!$F:$F,Xero!$B:$B,Heron!AR$9,Xero!$A:$A,Heron!$A$6,Xero!$E:$E,Heron!$A107)</f>
        <v>543.04</v>
      </c>
      <c r="AS107" s="101">
        <f>SUMIFS(Xero!$F:$F,Xero!$B:$B,Heron!AS$9,Xero!$A:$A,Heron!$A$6,Xero!$E:$E,Heron!$A107)</f>
        <v>0</v>
      </c>
      <c r="AT107" s="101">
        <f>SUMIFS(Xero!$F:$F,Xero!$B:$B,Heron!AT$9,Xero!$A:$A,Heron!$A$6,Xero!$E:$E,Heron!$A107)</f>
        <v>0</v>
      </c>
      <c r="AU107" s="101">
        <f>SUMIFS(Xero!$F:$F,Xero!$B:$B,Heron!AU$9,Xero!$A:$A,Heron!$A$6,Xero!$E:$E,Heron!$A107)</f>
        <v>0</v>
      </c>
      <c r="AV107" s="101">
        <f>SUMIFS(Xero!$F:$F,Xero!$B:$B,Heron!AV$9,Xero!$A:$A,Heron!$A$6,Xero!$E:$E,Heron!$A107)</f>
        <v>0</v>
      </c>
      <c r="AW107" s="101">
        <f>SUMIFS(Xero!$F:$F,Xero!$B:$B,Heron!AW$9,Xero!$A:$A,Heron!$A$6,Xero!$E:$E,Heron!$A107)</f>
        <v>0</v>
      </c>
      <c r="AX107" s="101">
        <f>SUMIFS(Xero!$F:$F,Xero!$B:$B,Heron!AX$9,Xero!$A:$A,Heron!$A$6,Xero!$E:$E,Heron!$A107)</f>
        <v>0</v>
      </c>
      <c r="AY107" s="101">
        <f>SUMIFS(Xero!$F:$F,Xero!$B:$B,Heron!AY$9,Xero!$A:$A,Heron!$A$6,Xero!$E:$E,Heron!$A107)</f>
        <v>0</v>
      </c>
      <c r="AZ107" s="101">
        <f>SUMIFS(Xero!$F:$F,Xero!$B:$B,Heron!AZ$9,Xero!$A:$A,Heron!$A$6,Xero!$E:$E,Heron!$A107)</f>
        <v>0</v>
      </c>
      <c r="BA107" s="101">
        <f>SUMIFS(Xero!$F:$F,Xero!$B:$B,Heron!BA$9,Xero!$A:$A,Heron!$A$6,Xero!$E:$E,Heron!$A107)</f>
        <v>0</v>
      </c>
      <c r="BB107" s="101">
        <f>SUMIFS(Xero!$F:$F,Xero!$B:$B,Heron!BB$9,Xero!$A:$A,Heron!$A$6,Xero!$E:$E,Heron!$A107)</f>
        <v>0</v>
      </c>
      <c r="BC107" s="101">
        <f>SUMIFS(Xero!$F:$F,Xero!$B:$B,Heron!BC$9,Xero!$A:$A,Heron!$A$6,Xero!$E:$E,Heron!$A107)</f>
        <v>0</v>
      </c>
      <c r="BD107" s="101">
        <f>SUMIFS(Xero!$F:$F,Xero!$B:$B,Heron!BD$9,Xero!$A:$A,Heron!$A$6,Xero!$E:$E,Heron!$A107)</f>
        <v>0</v>
      </c>
      <c r="BE107" s="101">
        <f>SUMIFS(Xero!$F:$F,Xero!$B:$B,Heron!BE$9,Xero!$A:$A,Heron!$A$6,Xero!$E:$E,Heron!$A107)</f>
        <v>0</v>
      </c>
      <c r="BF107" s="101">
        <f>SUMIFS(Xero!$F:$F,Xero!$B:$B,Heron!BF$9,Xero!$A:$A,Heron!$A$6,Xero!$E:$E,Heron!$A107)</f>
        <v>0</v>
      </c>
      <c r="BG107" s="101">
        <f>SUMIFS(Xero!$F:$F,Xero!$B:$B,Heron!BG$9,Xero!$A:$A,Heron!$A$6,Xero!$E:$E,Heron!$A107)</f>
        <v>0</v>
      </c>
      <c r="BH107" s="101">
        <f>SUMIFS(Xero!$F:$F,Xero!$B:$B,Heron!BH$9,Xero!$A:$A,Heron!$A$6,Xero!$E:$E,Heron!$A107)</f>
        <v>0</v>
      </c>
      <c r="BI107" s="101">
        <f>SUMIFS(Xero!$F:$F,Xero!$B:$B,Heron!BI$9,Xero!$A:$A,Heron!$A$6,Xero!$E:$E,Heron!$A107)</f>
        <v>0</v>
      </c>
      <c r="BJ107" s="101">
        <f>SUMIFS(Xero!$F:$F,Xero!$B:$B,Heron!BJ$9,Xero!$A:$A,Heron!$A$6,Xero!$E:$E,Heron!$A107)</f>
        <v>0</v>
      </c>
      <c r="BK107" s="99">
        <f t="shared" si="6"/>
        <v>3338285.24</v>
      </c>
    </row>
    <row r="108" spans="1:63" ht="16" x14ac:dyDescent="0.2">
      <c r="A108" s="98" t="s">
        <v>1316</v>
      </c>
      <c r="D108" s="101">
        <f>SUMIFS(Xero!$F:$F,Xero!$B:$B,Heron!D$9,Xero!$A:$A,Heron!$A$6,Xero!$E:$E,Heron!$A108)</f>
        <v>0</v>
      </c>
      <c r="E108" s="101">
        <f>SUMIFS(Xero!$F:$F,Xero!$B:$B,Heron!E$9,Xero!$A:$A,Heron!$A$6,Xero!$E:$E,Heron!$A108)</f>
        <v>0</v>
      </c>
      <c r="F108" s="101">
        <f>SUMIFS(Xero!$F:$F,Xero!$B:$B,Heron!F$9,Xero!$A:$A,Heron!$A$6,Xero!$E:$E,Heron!$A108)</f>
        <v>0</v>
      </c>
      <c r="G108" s="101">
        <f>SUMIFS(Xero!$F:$F,Xero!$B:$B,Heron!G$9,Xero!$A:$A,Heron!$A$6,Xero!$E:$E,Heron!$A108)</f>
        <v>0</v>
      </c>
      <c r="H108" s="101">
        <f>SUMIFS(Xero!$F:$F,Xero!$B:$B,Heron!H$9,Xero!$A:$A,Heron!$A$6,Xero!$E:$E,Heron!$A108)</f>
        <v>0</v>
      </c>
      <c r="I108" s="101">
        <f>SUMIFS(Xero!$F:$F,Xero!$B:$B,Heron!I$9,Xero!$A:$A,Heron!$A$6,Xero!$E:$E,Heron!$A108)</f>
        <v>0</v>
      </c>
      <c r="J108" s="101">
        <f>SUMIFS(Xero!$F:$F,Xero!$B:$B,Heron!J$9,Xero!$A:$A,Heron!$A$6,Xero!$E:$E,Heron!$A108)</f>
        <v>0</v>
      </c>
      <c r="K108" s="101">
        <f>SUMIFS(Xero!$F:$F,Xero!$B:$B,Heron!K$9,Xero!$A:$A,Heron!$A$6,Xero!$E:$E,Heron!$A108)</f>
        <v>0</v>
      </c>
      <c r="L108" s="101">
        <f>SUMIFS(Xero!$F:$F,Xero!$B:$B,Heron!L$9,Xero!$A:$A,Heron!$A$6,Xero!$E:$E,Heron!$A108)</f>
        <v>0</v>
      </c>
      <c r="M108" s="101">
        <f>SUMIFS(Xero!$F:$F,Xero!$B:$B,Heron!M$9,Xero!$A:$A,Heron!$A$6,Xero!$E:$E,Heron!$A108)</f>
        <v>0</v>
      </c>
      <c r="N108" s="101">
        <f>SUMIFS(Xero!$F:$F,Xero!$B:$B,Heron!N$9,Xero!$A:$A,Heron!$A$6,Xero!$E:$E,Heron!$A108)</f>
        <v>869.57</v>
      </c>
      <c r="O108" s="101">
        <f>SUMIFS(Xero!$F:$F,Xero!$B:$B,Heron!O$9,Xero!$A:$A,Heron!$A$6,Xero!$E:$E,Heron!$A108)</f>
        <v>1793.11</v>
      </c>
      <c r="P108" s="101">
        <f>SUMIFS(Xero!$F:$F,Xero!$B:$B,Heron!P$9,Xero!$A:$A,Heron!$A$6,Xero!$E:$E,Heron!$A108)</f>
        <v>268.05</v>
      </c>
      <c r="Q108" s="101">
        <f>SUMIFS(Xero!$F:$F,Xero!$B:$B,Heron!Q$9,Xero!$A:$A,Heron!$A$6,Xero!$E:$E,Heron!$A108)</f>
        <v>2415</v>
      </c>
      <c r="R108" s="101">
        <f>SUMIFS(Xero!$F:$F,Xero!$B:$B,Heron!R$9,Xero!$A:$A,Heron!$A$6,Xero!$E:$E,Heron!$A108)</f>
        <v>269.64999999999998</v>
      </c>
      <c r="S108" s="101">
        <f>SUMIFS(Xero!$F:$F,Xero!$B:$B,Heron!S$9,Xero!$A:$A,Heron!$A$6,Xero!$E:$E,Heron!$A108)</f>
        <v>0</v>
      </c>
      <c r="T108" s="101">
        <f>SUMIFS(Xero!$F:$F,Xero!$B:$B,Heron!T$9,Xero!$A:$A,Heron!$A$6,Xero!$E:$E,Heron!$A108)</f>
        <v>0</v>
      </c>
      <c r="U108" s="101">
        <f>SUMIFS(Xero!$F:$F,Xero!$B:$B,Heron!U$9,Xero!$A:$A,Heron!$A$6,Xero!$E:$E,Heron!$A108)</f>
        <v>0</v>
      </c>
      <c r="V108" s="101">
        <f>SUMIFS(Xero!$F:$F,Xero!$B:$B,Heron!V$9,Xero!$A:$A,Heron!$A$6,Xero!$E:$E,Heron!$A108)</f>
        <v>0</v>
      </c>
      <c r="W108" s="101">
        <f>SUMIFS(Xero!$F:$F,Xero!$B:$B,Heron!W$9,Xero!$A:$A,Heron!$A$6,Xero!$E:$E,Heron!$A108)</f>
        <v>0</v>
      </c>
      <c r="X108" s="101">
        <f>SUMIFS(Xero!$F:$F,Xero!$B:$B,Heron!X$9,Xero!$A:$A,Heron!$A$6,Xero!$E:$E,Heron!$A108)</f>
        <v>0</v>
      </c>
      <c r="Y108" s="101">
        <f>SUMIFS(Xero!$F:$F,Xero!$B:$B,Heron!Y$9,Xero!$A:$A,Heron!$A$6,Xero!$E:$E,Heron!$A108)</f>
        <v>0</v>
      </c>
      <c r="Z108" s="101">
        <f>SUMIFS(Xero!$F:$F,Xero!$B:$B,Heron!Z$9,Xero!$A:$A,Heron!$A$6,Xero!$E:$E,Heron!$A108)</f>
        <v>0</v>
      </c>
      <c r="AA108" s="101">
        <f>SUMIFS(Xero!$F:$F,Xero!$B:$B,Heron!AA$9,Xero!$A:$A,Heron!$A$6,Xero!$E:$E,Heron!$A108)</f>
        <v>486.96</v>
      </c>
      <c r="AB108" s="101">
        <f>SUMIFS(Xero!$F:$F,Xero!$B:$B,Heron!AB$9,Xero!$A:$A,Heron!$A$6,Xero!$E:$E,Heron!$A108)</f>
        <v>0</v>
      </c>
      <c r="AC108" s="101">
        <f>SUMIFS(Xero!$F:$F,Xero!$B:$B,Heron!AC$9,Xero!$A:$A,Heron!$A$6,Xero!$E:$E,Heron!$A108)</f>
        <v>0</v>
      </c>
      <c r="AD108" s="101">
        <f>SUMIFS(Xero!$F:$F,Xero!$B:$B,Heron!AD$9,Xero!$A:$A,Heron!$A$6,Xero!$E:$E,Heron!$A108)</f>
        <v>1129.57</v>
      </c>
      <c r="AE108" s="101">
        <f>SUMIFS(Xero!$F:$F,Xero!$B:$B,Heron!AE$9,Xero!$A:$A,Heron!$A$6,Xero!$E:$E,Heron!$A108)</f>
        <v>0</v>
      </c>
      <c r="AF108" s="101">
        <f>SUMIFS(Xero!$F:$F,Xero!$B:$B,Heron!AF$9,Xero!$A:$A,Heron!$A$6,Xero!$E:$E,Heron!$A108)</f>
        <v>0</v>
      </c>
      <c r="AG108" s="101">
        <f>SUMIFS(Xero!$F:$F,Xero!$B:$B,Heron!AG$9,Xero!$A:$A,Heron!$A$6,Xero!$E:$E,Heron!$A108)</f>
        <v>0</v>
      </c>
      <c r="AH108" s="101">
        <f>SUMIFS(Xero!$F:$F,Xero!$B:$B,Heron!AH$9,Xero!$A:$A,Heron!$A$6,Xero!$E:$E,Heron!$A108)</f>
        <v>0</v>
      </c>
      <c r="AI108" s="101">
        <f>SUMIFS(Xero!$F:$F,Xero!$B:$B,Heron!AI$9,Xero!$A:$A,Heron!$A$6,Xero!$E:$E,Heron!$A108)</f>
        <v>0</v>
      </c>
      <c r="AJ108" s="101">
        <f>SUMIFS(Xero!$F:$F,Xero!$B:$B,Heron!AJ$9,Xero!$A:$A,Heron!$A$6,Xero!$E:$E,Heron!$A108)</f>
        <v>0</v>
      </c>
      <c r="AK108" s="101">
        <f>SUMIFS(Xero!$F:$F,Xero!$B:$B,Heron!AK$9,Xero!$A:$A,Heron!$A$6,Xero!$E:$E,Heron!$A108)</f>
        <v>0</v>
      </c>
      <c r="AL108" s="101">
        <f>SUMIFS(Xero!$F:$F,Xero!$B:$B,Heron!AL$9,Xero!$A:$A,Heron!$A$6,Xero!$E:$E,Heron!$A108)</f>
        <v>0</v>
      </c>
      <c r="AM108" s="101">
        <f>SUMIFS(Xero!$F:$F,Xero!$B:$B,Heron!AM$9,Xero!$A:$A,Heron!$A$6,Xero!$E:$E,Heron!$A108)</f>
        <v>0</v>
      </c>
      <c r="AN108" s="101">
        <f>SUMIFS(Xero!$F:$F,Xero!$B:$B,Heron!AN$9,Xero!$A:$A,Heron!$A$6,Xero!$E:$E,Heron!$A108)</f>
        <v>0</v>
      </c>
      <c r="AO108" s="101">
        <f>SUMIFS(Xero!$F:$F,Xero!$B:$B,Heron!AO$9,Xero!$A:$A,Heron!$A$6,Xero!$E:$E,Heron!$A108)</f>
        <v>0</v>
      </c>
      <c r="AP108" s="101">
        <f>SUMIFS(Xero!$F:$F,Xero!$B:$B,Heron!AP$9,Xero!$A:$A,Heron!$A$6,Xero!$E:$E,Heron!$A108)</f>
        <v>0</v>
      </c>
      <c r="AQ108" s="101">
        <f>SUMIFS(Xero!$F:$F,Xero!$B:$B,Heron!AQ$9,Xero!$A:$A,Heron!$A$6,Xero!$E:$E,Heron!$A108)</f>
        <v>0</v>
      </c>
      <c r="AR108" s="101">
        <f>SUMIFS(Xero!$F:$F,Xero!$B:$B,Heron!AR$9,Xero!$A:$A,Heron!$A$6,Xero!$E:$E,Heron!$A108)</f>
        <v>0</v>
      </c>
      <c r="AS108" s="101">
        <f>SUMIFS(Xero!$F:$F,Xero!$B:$B,Heron!AS$9,Xero!$A:$A,Heron!$A$6,Xero!$E:$E,Heron!$A108)</f>
        <v>0</v>
      </c>
      <c r="AT108" s="101">
        <f>SUMIFS(Xero!$F:$F,Xero!$B:$B,Heron!AT$9,Xero!$A:$A,Heron!$A$6,Xero!$E:$E,Heron!$A108)</f>
        <v>0</v>
      </c>
      <c r="AU108" s="101">
        <f>SUMIFS(Xero!$F:$F,Xero!$B:$B,Heron!AU$9,Xero!$A:$A,Heron!$A$6,Xero!$E:$E,Heron!$A108)</f>
        <v>0</v>
      </c>
      <c r="AV108" s="101">
        <f>SUMIFS(Xero!$F:$F,Xero!$B:$B,Heron!AV$9,Xero!$A:$A,Heron!$A$6,Xero!$E:$E,Heron!$A108)</f>
        <v>0</v>
      </c>
      <c r="AW108" s="101">
        <f>SUMIFS(Xero!$F:$F,Xero!$B:$B,Heron!AW$9,Xero!$A:$A,Heron!$A$6,Xero!$E:$E,Heron!$A108)</f>
        <v>0</v>
      </c>
      <c r="AX108" s="101">
        <f>SUMIFS(Xero!$F:$F,Xero!$B:$B,Heron!AX$9,Xero!$A:$A,Heron!$A$6,Xero!$E:$E,Heron!$A108)</f>
        <v>0</v>
      </c>
      <c r="AY108" s="101">
        <f>SUMIFS(Xero!$F:$F,Xero!$B:$B,Heron!AY$9,Xero!$A:$A,Heron!$A$6,Xero!$E:$E,Heron!$A108)</f>
        <v>0</v>
      </c>
      <c r="AZ108" s="101">
        <f>SUMIFS(Xero!$F:$F,Xero!$B:$B,Heron!AZ$9,Xero!$A:$A,Heron!$A$6,Xero!$E:$E,Heron!$A108)</f>
        <v>0</v>
      </c>
      <c r="BA108" s="101">
        <f>SUMIFS(Xero!$F:$F,Xero!$B:$B,Heron!BA$9,Xero!$A:$A,Heron!$A$6,Xero!$E:$E,Heron!$A108)</f>
        <v>0</v>
      </c>
      <c r="BB108" s="101">
        <f>SUMIFS(Xero!$F:$F,Xero!$B:$B,Heron!BB$9,Xero!$A:$A,Heron!$A$6,Xero!$E:$E,Heron!$A108)</f>
        <v>0</v>
      </c>
      <c r="BC108" s="101">
        <f>SUMIFS(Xero!$F:$F,Xero!$B:$B,Heron!BC$9,Xero!$A:$A,Heron!$A$6,Xero!$E:$E,Heron!$A108)</f>
        <v>0</v>
      </c>
      <c r="BD108" s="101">
        <f>SUMIFS(Xero!$F:$F,Xero!$B:$B,Heron!BD$9,Xero!$A:$A,Heron!$A$6,Xero!$E:$E,Heron!$A108)</f>
        <v>0</v>
      </c>
      <c r="BE108" s="101">
        <f>SUMIFS(Xero!$F:$F,Xero!$B:$B,Heron!BE$9,Xero!$A:$A,Heron!$A$6,Xero!$E:$E,Heron!$A108)</f>
        <v>0</v>
      </c>
      <c r="BF108" s="101">
        <f>SUMIFS(Xero!$F:$F,Xero!$B:$B,Heron!BF$9,Xero!$A:$A,Heron!$A$6,Xero!$E:$E,Heron!$A108)</f>
        <v>0</v>
      </c>
      <c r="BG108" s="101">
        <f>SUMIFS(Xero!$F:$F,Xero!$B:$B,Heron!BG$9,Xero!$A:$A,Heron!$A$6,Xero!$E:$E,Heron!$A108)</f>
        <v>0</v>
      </c>
      <c r="BH108" s="101">
        <f>SUMIFS(Xero!$F:$F,Xero!$B:$B,Heron!BH$9,Xero!$A:$A,Heron!$A$6,Xero!$E:$E,Heron!$A108)</f>
        <v>0</v>
      </c>
      <c r="BI108" s="101">
        <f>SUMIFS(Xero!$F:$F,Xero!$B:$B,Heron!BI$9,Xero!$A:$A,Heron!$A$6,Xero!$E:$E,Heron!$A108)</f>
        <v>0</v>
      </c>
      <c r="BJ108" s="101">
        <f>SUMIFS(Xero!$F:$F,Xero!$B:$B,Heron!BJ$9,Xero!$A:$A,Heron!$A$6,Xero!$E:$E,Heron!$A108)</f>
        <v>0</v>
      </c>
      <c r="BK108" s="99">
        <f t="shared" si="6"/>
        <v>7231.9099999999989</v>
      </c>
    </row>
    <row r="109" spans="1:63" ht="16" x14ac:dyDescent="0.2">
      <c r="A109" s="98" t="s">
        <v>1543</v>
      </c>
      <c r="D109" s="101">
        <f>SUMIFS(Xero!$F:$F,Xero!$B:$B,Heron!D$9,Xero!$A:$A,Heron!$A$6,Xero!$E:$E,Heron!$A109)+SUMIFS('Updated Construction'!$F:$F,'Updated Construction'!$C:$C,1,'Updated Construction'!$E:$E,"&lt;="&amp;Heron!D$9,'Updated Construction'!$E:$E,"&gt;"&amp;Heron!C$9,'Updated Construction'!$D:$D,FALSE)</f>
        <v>0</v>
      </c>
      <c r="E109" s="101">
        <f>SUMIFS(Xero!$F:$F,Xero!$B:$B,Heron!E$9,Xero!$A:$A,Heron!$A$6,Xero!$E:$E,Heron!$A109)+SUMIFS('Updated Construction'!$F:$F,'Updated Construction'!$C:$C,1,'Updated Construction'!$E:$E,"&lt;="&amp;Heron!E$9,'Updated Construction'!$E:$E,"&gt;"&amp;Heron!D$9,'Updated Construction'!$D:$D,FALSE)</f>
        <v>0</v>
      </c>
      <c r="F109" s="101">
        <f>SUMIFS(Xero!$F:$F,Xero!$B:$B,Heron!F$9,Xero!$A:$A,Heron!$A$6,Xero!$E:$E,Heron!$A109)+SUMIFS('Updated Construction'!$F:$F,'Updated Construction'!$C:$C,1,'Updated Construction'!$E:$E,"&lt;="&amp;Heron!F$9,'Updated Construction'!$E:$E,"&gt;"&amp;Heron!E$9,'Updated Construction'!$D:$D,FALSE)</f>
        <v>0</v>
      </c>
      <c r="G109" s="101">
        <f>SUMIFS(Xero!$F:$F,Xero!$B:$B,Heron!G$9,Xero!$A:$A,Heron!$A$6,Xero!$E:$E,Heron!$A109)+SUMIFS('Updated Construction'!$F:$F,'Updated Construction'!$C:$C,1,'Updated Construction'!$E:$E,"&lt;="&amp;Heron!G$9,'Updated Construction'!$E:$E,"&gt;"&amp;Heron!F$9,'Updated Construction'!$D:$D,FALSE)</f>
        <v>0</v>
      </c>
      <c r="H109" s="101">
        <f>SUMIFS(Xero!$F:$F,Xero!$B:$B,Heron!H$9,Xero!$A:$A,Heron!$A$6,Xero!$E:$E,Heron!$A109)+SUMIFS('Updated Construction'!$F:$F,'Updated Construction'!$C:$C,1,'Updated Construction'!$E:$E,"&lt;="&amp;Heron!H$9,'Updated Construction'!$E:$E,"&gt;"&amp;Heron!G$9,'Updated Construction'!$D:$D,FALSE)</f>
        <v>0</v>
      </c>
      <c r="I109" s="101">
        <f>SUMIFS(Xero!$F:$F,Xero!$B:$B,Heron!I$9,Xero!$A:$A,Heron!$A$6,Xero!$E:$E,Heron!$A109)+SUMIFS('Updated Construction'!$F:$F,'Updated Construction'!$C:$C,1,'Updated Construction'!$E:$E,"&lt;="&amp;Heron!I$9,'Updated Construction'!$E:$E,"&gt;"&amp;Heron!H$9,'Updated Construction'!$D:$D,FALSE)</f>
        <v>0</v>
      </c>
      <c r="J109" s="101">
        <f>SUMIFS(Xero!$F:$F,Xero!$B:$B,Heron!J$9,Xero!$A:$A,Heron!$A$6,Xero!$E:$E,Heron!$A109)+SUMIFS('Updated Construction'!$F:$F,'Updated Construction'!$C:$C,1,'Updated Construction'!$E:$E,"&lt;="&amp;Heron!J$9,'Updated Construction'!$E:$E,"&gt;"&amp;Heron!I$9,'Updated Construction'!$D:$D,FALSE)</f>
        <v>0</v>
      </c>
      <c r="K109" s="101">
        <f>SUMIFS(Xero!$F:$F,Xero!$B:$B,Heron!K$9,Xero!$A:$A,Heron!$A$6,Xero!$E:$E,Heron!$A109)+SUMIFS('Updated Construction'!$F:$F,'Updated Construction'!$C:$C,1,'Updated Construction'!$E:$E,"&lt;="&amp;Heron!K$9,'Updated Construction'!$E:$E,"&gt;"&amp;Heron!J$9,'Updated Construction'!$D:$D,FALSE)</f>
        <v>0</v>
      </c>
      <c r="L109" s="101">
        <f>SUMIFS(Xero!$F:$F,Xero!$B:$B,Heron!L$9,Xero!$A:$A,Heron!$A$6,Xero!$E:$E,Heron!$A109)+SUMIFS('Updated Construction'!$F:$F,'Updated Construction'!$C:$C,1,'Updated Construction'!$E:$E,"&lt;="&amp;Heron!L$9,'Updated Construction'!$E:$E,"&gt;"&amp;Heron!K$9,'Updated Construction'!$D:$D,FALSE)</f>
        <v>0</v>
      </c>
      <c r="M109" s="101">
        <f>SUMIFS(Xero!$F:$F,Xero!$B:$B,Heron!M$9,Xero!$A:$A,Heron!$A$6,Xero!$E:$E,Heron!$A109)+SUMIFS('Updated Construction'!$F:$F,'Updated Construction'!$C:$C,1,'Updated Construction'!$E:$E,"&lt;="&amp;Heron!M$9,'Updated Construction'!$E:$E,"&gt;"&amp;Heron!L$9,'Updated Construction'!$D:$D,FALSE)</f>
        <v>0</v>
      </c>
      <c r="N109" s="101">
        <f>SUMIFS(Xero!$F:$F,Xero!$B:$B,Heron!N$9,Xero!$A:$A,Heron!$A$6,Xero!$E:$E,Heron!$A109)+SUMIFS('Updated Construction'!$F:$F,'Updated Construction'!$C:$C,1,'Updated Construction'!$E:$E,"&lt;="&amp;Heron!N$9,'Updated Construction'!$E:$E,"&gt;"&amp;Heron!M$9,'Updated Construction'!$D:$D,FALSE)</f>
        <v>0</v>
      </c>
      <c r="O109" s="101">
        <f>SUMIFS(Xero!$F:$F,Xero!$B:$B,Heron!O$9,Xero!$A:$A,Heron!$A$6,Xero!$E:$E,Heron!$A109)+SUMIFS('Updated Construction'!$F:$F,'Updated Construction'!$C:$C,1,'Updated Construction'!$E:$E,"&lt;="&amp;Heron!O$9,'Updated Construction'!$E:$E,"&gt;"&amp;Heron!N$9,'Updated Construction'!$D:$D,FALSE)</f>
        <v>0</v>
      </c>
      <c r="P109" s="101">
        <f>SUMIFS(Xero!$F:$F,Xero!$B:$B,Heron!P$9,Xero!$A:$A,Heron!$A$6,Xero!$E:$E,Heron!$A109)+SUMIFS('Updated Construction'!$F:$F,'Updated Construction'!$C:$C,1,'Updated Construction'!$E:$E,"&lt;="&amp;Heron!P$9,'Updated Construction'!$E:$E,"&gt;"&amp;Heron!O$9,'Updated Construction'!$D:$D,FALSE)</f>
        <v>0</v>
      </c>
      <c r="Q109" s="101">
        <f>SUMIFS(Xero!$F:$F,Xero!$B:$B,Heron!Q$9,Xero!$A:$A,Heron!$A$6,Xero!$E:$E,Heron!$A109)+SUMIFS('Updated Construction'!$F:$F,'Updated Construction'!$C:$C,1,'Updated Construction'!$E:$E,"&lt;="&amp;Heron!Q$9,'Updated Construction'!$E:$E,"&gt;"&amp;Heron!P$9,'Updated Construction'!$D:$D,FALSE)</f>
        <v>0</v>
      </c>
      <c r="R109" s="101">
        <f>SUMIFS(Xero!$F:$F,Xero!$B:$B,Heron!R$9,Xero!$A:$A,Heron!$A$6,Xero!$E:$E,Heron!$A109)+SUMIFS('Updated Construction'!$F:$F,'Updated Construction'!$C:$C,1,'Updated Construction'!$E:$E,"&lt;="&amp;Heron!R$9,'Updated Construction'!$E:$E,"&gt;"&amp;Heron!Q$9,'Updated Construction'!$D:$D,FALSE)</f>
        <v>0</v>
      </c>
      <c r="S109" s="101">
        <f>SUMIFS(Xero!$F:$F,Xero!$B:$B,Heron!S$9,Xero!$A:$A,Heron!$A$6,Xero!$E:$E,Heron!$A109)+SUMIFS('Updated Construction'!$F:$F,'Updated Construction'!$C:$C,1,'Updated Construction'!$E:$E,"&lt;="&amp;Heron!S$9,'Updated Construction'!$E:$E,"&gt;"&amp;Heron!R$9,'Updated Construction'!$D:$D,FALSE)</f>
        <v>0</v>
      </c>
      <c r="T109" s="101">
        <f>SUMIFS(Xero!$F:$F,Xero!$B:$B,Heron!T$9,Xero!$A:$A,Heron!$A$6,Xero!$E:$E,Heron!$A109)+SUMIFS('Updated Construction'!$F:$F,'Updated Construction'!$C:$C,1,'Updated Construction'!$E:$E,"&lt;="&amp;Heron!T$9,'Updated Construction'!$E:$E,"&gt;"&amp;Heron!S$9,'Updated Construction'!$D:$D,FALSE)</f>
        <v>0</v>
      </c>
      <c r="U109" s="101">
        <f>SUMIFS(Xero!$F:$F,Xero!$B:$B,Heron!U$9,Xero!$A:$A,Heron!$A$6,Xero!$E:$E,Heron!$A109)+SUMIFS('Updated Construction'!$F:$F,'Updated Construction'!$C:$C,1,'Updated Construction'!$E:$E,"&lt;="&amp;Heron!U$9,'Updated Construction'!$E:$E,"&gt;"&amp;Heron!T$9,'Updated Construction'!$D:$D,FALSE)</f>
        <v>0</v>
      </c>
      <c r="V109" s="101">
        <f>SUMIFS(Xero!$F:$F,Xero!$B:$B,Heron!V$9,Xero!$A:$A,Heron!$A$6,Xero!$E:$E,Heron!$A109)+SUMIFS('Updated Construction'!$F:$F,'Updated Construction'!$C:$C,1,'Updated Construction'!$E:$E,"&lt;="&amp;Heron!V$9,'Updated Construction'!$E:$E,"&gt;"&amp;Heron!U$9,'Updated Construction'!$D:$D,FALSE)</f>
        <v>512835.64</v>
      </c>
      <c r="W109" s="101">
        <f>SUMIFS(Xero!$F:$F,Xero!$B:$B,Heron!W$9,Xero!$A:$A,Heron!$A$6,Xero!$E:$E,Heron!$A109)+SUMIFS('Updated Construction'!$F:$F,'Updated Construction'!$C:$C,1,'Updated Construction'!$E:$E,"&lt;="&amp;Heron!W$9,'Updated Construction'!$E:$E,"&gt;"&amp;Heron!V$9,'Updated Construction'!$D:$D,FALSE)</f>
        <v>1211819.46</v>
      </c>
      <c r="X109" s="101">
        <f>SUMIFS(Xero!$F:$F,Xero!$B:$B,Heron!X$9,Xero!$A:$A,Heron!$A$6,Xero!$E:$E,Heron!$A109)+SUMIFS('Updated Construction'!$F:$F,'Updated Construction'!$C:$C,1,'Updated Construction'!$E:$E,"&lt;="&amp;Heron!X$9,'Updated Construction'!$E:$E,"&gt;"&amp;Heron!W$9,'Updated Construction'!$D:$D,FALSE)</f>
        <v>1000578.69</v>
      </c>
      <c r="Y109" s="101">
        <f>SUMIFS(Xero!$F:$F,Xero!$B:$B,Heron!Y$9,Xero!$A:$A,Heron!$A$6,Xero!$E:$E,Heron!$A109)+SUMIFS('Updated Construction'!$F:$F,'Updated Construction'!$C:$C,1,'Updated Construction'!$E:$E,"&lt;="&amp;Heron!Y$9,'Updated Construction'!$E:$E,"&gt;"&amp;Heron!X$9,'Updated Construction'!$D:$D,FALSE)</f>
        <v>1439041.06</v>
      </c>
      <c r="Z109" s="101">
        <f>SUMIFS(Xero!$F:$F,Xero!$B:$B,Heron!Z$9,Xero!$A:$A,Heron!$A$6,Xero!$E:$E,Heron!$A109)+SUMIFS('Updated Construction'!$F:$F,'Updated Construction'!$C:$C,1,'Updated Construction'!$E:$E,"&lt;="&amp;Heron!Z$9,'Updated Construction'!$E:$E,"&gt;"&amp;Heron!Y$9,'Updated Construction'!$D:$D,FALSE)</f>
        <v>695304.12</v>
      </c>
      <c r="AA109" s="101">
        <f>SUMIFS(Xero!$F:$F,Xero!$B:$B,Heron!AA$9,Xero!$A:$A,Heron!$A$6,Xero!$E:$E,Heron!$A109)+SUMIFS('Updated Construction'!$F:$F,'Updated Construction'!$C:$C,1,'Updated Construction'!$E:$E,"&lt;="&amp;Heron!AA$9,'Updated Construction'!$E:$E,"&gt;"&amp;Heron!Z$9,'Updated Construction'!$D:$D,FALSE)</f>
        <v>1706068.25</v>
      </c>
      <c r="AB109" s="101">
        <f>SUMIFS(Xero!$F:$F,Xero!$B:$B,Heron!AB$9,Xero!$A:$A,Heron!$A$6,Xero!$E:$E,Heron!$A109)+SUMIFS('Updated Construction'!$F:$F,'Updated Construction'!$C:$C,1,'Updated Construction'!$E:$E,"&lt;="&amp;Heron!AB$9,'Updated Construction'!$E:$E,"&gt;"&amp;Heron!AA$9,'Updated Construction'!$D:$D,FALSE)</f>
        <v>2483055.52</v>
      </c>
      <c r="AC109" s="101">
        <f>SUMIFS(Xero!$F:$F,Xero!$B:$B,Heron!AC$9,Xero!$A:$A,Heron!$A$6,Xero!$E:$E,Heron!$A109)+SUMIFS('Updated Construction'!$F:$F,'Updated Construction'!$C:$C,1,'Updated Construction'!$E:$E,"&lt;="&amp;Heron!AC$9,'Updated Construction'!$E:$E,"&gt;"&amp;Heron!AB$9,'Updated Construction'!$D:$D,FALSE)</f>
        <v>3193925.31</v>
      </c>
      <c r="AD109" s="101">
        <f>SUMIFS(Xero!$F:$F,Xero!$B:$B,Heron!AD$9,Xero!$A:$A,Heron!$A$6,Xero!$E:$E,Heron!$A109)+SUMIFS('Updated Construction'!$F:$F,'Updated Construction'!$C:$C,1,'Updated Construction'!$E:$E,"&lt;="&amp;Heron!AD$9,'Updated Construction'!$E:$E,"&gt;"&amp;Heron!AC$9,'Updated Construction'!$D:$D,FALSE)</f>
        <v>3793437.38</v>
      </c>
      <c r="AE109" s="101">
        <f>SUMIFS(Xero!$F:$F,Xero!$B:$B,Heron!AE$9,Xero!$A:$A,Heron!$A$6,Xero!$E:$E,Heron!$A109)+SUMIFS('Updated Construction'!$F:$F,'Updated Construction'!$C:$C,1,'Updated Construction'!$E:$E,"&lt;="&amp;Heron!AE$9,'Updated Construction'!$E:$E,"&gt;"&amp;Heron!AD$9,'Updated Construction'!$D:$D,FALSE)</f>
        <v>2684636.77</v>
      </c>
      <c r="AF109" s="101">
        <f>SUMIFS(Xero!$F:$F,Xero!$B:$B,Heron!AF$9,Xero!$A:$A,Heron!$A$6,Xero!$E:$E,Heron!$A109)+SUMIFS('Updated Construction'!$F:$F,'Updated Construction'!$C:$C,1,'Updated Construction'!$E:$E,"&lt;="&amp;Heron!AF$9,'Updated Construction'!$E:$E,"&gt;"&amp;Heron!AE$9,'Updated Construction'!$D:$D,FALSE)</f>
        <v>3233584.29</v>
      </c>
      <c r="AG109" s="101">
        <f>SUMIFS(Xero!$F:$F,Xero!$B:$B,Heron!AG$9,Xero!$A:$A,Heron!$A$6,Xero!$E:$E,Heron!$A109)+SUMIFS('Updated Construction'!$F:$F,'Updated Construction'!$C:$C,1,'Updated Construction'!$E:$E,"&lt;="&amp;Heron!AG$9,'Updated Construction'!$E:$E,"&gt;"&amp;Heron!AF$9,'Updated Construction'!$D:$D,FALSE)</f>
        <v>1998124.14</v>
      </c>
      <c r="AH109" s="101">
        <f>SUMIFS(Xero!$F:$F,Xero!$B:$B,Heron!AH$9,Xero!$A:$A,Heron!$A$6,Xero!$E:$E,Heron!$A109)+SUMIFS('Updated Construction'!$F:$F,'Updated Construction'!$C:$C,1,'Updated Construction'!$E:$E,"&lt;="&amp;Heron!AH$9,'Updated Construction'!$E:$E,"&gt;"&amp;Heron!AG$9,'Updated Construction'!$D:$D,FALSE)</f>
        <v>4150526.94</v>
      </c>
      <c r="AI109" s="101">
        <f>SUMIFS(Xero!$F:$F,Xero!$B:$B,Heron!AI$9,Xero!$A:$A,Heron!$A$6,Xero!$E:$E,Heron!$A109)+SUMIFS('Updated Construction'!$F:$F,'Updated Construction'!$C:$C,1,'Updated Construction'!$E:$E,"&lt;="&amp;Heron!AI$9,'Updated Construction'!$E:$E,"&gt;"&amp;Heron!AH$9,'Updated Construction'!$D:$D,FALSE)</f>
        <v>5221094.5199999996</v>
      </c>
      <c r="AJ109" s="101">
        <f>SUMIFS(Xero!$F:$F,Xero!$B:$B,Heron!AJ$9,Xero!$A:$A,Heron!$A$6,Xero!$E:$E,Heron!$A109)+SUMIFS('Updated Construction'!$F:$F,'Updated Construction'!$C:$C,1,'Updated Construction'!$E:$E,"&lt;="&amp;Heron!AJ$9,'Updated Construction'!$E:$E,"&gt;"&amp;Heron!AI$9,'Updated Construction'!$D:$D,FALSE)</f>
        <v>10559669.02</v>
      </c>
      <c r="AK109" s="101">
        <f>SUMIFS(Xero!$F:$F,Xero!$B:$B,Heron!AK$9,Xero!$A:$A,Heron!$A$6,Xero!$E:$E,Heron!$A109)+SUMIFS('Updated Construction'!$F:$F,'Updated Construction'!$C:$C,1,'Updated Construction'!$E:$E,"&lt;="&amp;Heron!AK$9,'Updated Construction'!$E:$E,"&gt;"&amp;Heron!AJ$9,'Updated Construction'!$D:$D,FALSE)</f>
        <v>3086415.9</v>
      </c>
      <c r="AL109" s="101">
        <f>SUMIFS(Xero!$F:$F,Xero!$B:$B,Heron!AL$9,Xero!$A:$A,Heron!$A$6,Xero!$E:$E,Heron!$A109)+SUMIFS('Updated Construction'!$F:$F,'Updated Construction'!$C:$C,1,'Updated Construction'!$E:$E,"&lt;="&amp;Heron!AL$9,'Updated Construction'!$E:$E,"&gt;"&amp;Heron!AK$9,'Updated Construction'!$D:$D,FALSE)</f>
        <v>2951807.99</v>
      </c>
      <c r="AM109" s="101">
        <f>SUMIFS(Xero!$F:$F,Xero!$B:$B,Heron!AM$9,Xero!$A:$A,Heron!$A$6,Xero!$E:$E,Heron!$A109)+SUMIFS('Updated Construction'!$F:$F,'Updated Construction'!$C:$C,1,'Updated Construction'!$E:$E,"&lt;="&amp;Heron!AM$9,'Updated Construction'!$E:$E,"&gt;"&amp;Heron!AL$9,'Updated Construction'!$D:$D,FALSE)</f>
        <v>32750.81</v>
      </c>
      <c r="AN109" s="101">
        <f>SUMIFS(Xero!$F:$F,Xero!$B:$B,Heron!AN$9,Xero!$A:$A,Heron!$A$6,Xero!$E:$E,Heron!$A109)+SUMIFS('Updated Construction'!$F:$F,'Updated Construction'!$C:$C,1,'Updated Construction'!$E:$E,"&lt;="&amp;Heron!AN$9,'Updated Construction'!$E:$E,"&gt;"&amp;Heron!AM$9,'Updated Construction'!$D:$D,FALSE)</f>
        <v>4423042.03</v>
      </c>
      <c r="AO109" s="101">
        <f>SUMIFS(Xero!$F:$F,Xero!$B:$B,Heron!AO$9,Xero!$A:$A,Heron!$A$6,Xero!$E:$E,Heron!$A109)+SUMIFS('Updated Construction'!$F:$F,'Updated Construction'!$C:$C,1,'Updated Construction'!$E:$E,"&lt;="&amp;Heron!AO$9,'Updated Construction'!$E:$E,"&gt;"&amp;Heron!AN$9,'Updated Construction'!$D:$D,FALSE)</f>
        <v>1185303.73</v>
      </c>
      <c r="AP109" s="101">
        <f>SUMIFS(Xero!$F:$F,Xero!$B:$B,Heron!AP$9,Xero!$A:$A,Heron!$A$6,Xero!$E:$E,Heron!$A109)+SUMIFS('Updated Construction'!$F:$F,'Updated Construction'!$C:$C,1,'Updated Construction'!$E:$E,"&lt;="&amp;Heron!AP$9,'Updated Construction'!$E:$E,"&gt;"&amp;Heron!AO$9,'Updated Construction'!$D:$D,FALSE)</f>
        <v>5202417.05</v>
      </c>
      <c r="AQ109" s="101">
        <f>SUMIFS(Xero!$F:$F,Xero!$B:$B,Heron!AQ$9,Xero!$A:$A,Heron!$A$6,Xero!$E:$E,Heron!$A109)+SUMIFS('Updated Construction'!$F:$F,'Updated Construction'!$C:$C,1,'Updated Construction'!$E:$E,"&lt;="&amp;Heron!AQ$9,'Updated Construction'!$E:$E,"&gt;"&amp;Heron!AP$9,'Updated Construction'!$D:$D,FALSE)</f>
        <v>10836064.35</v>
      </c>
      <c r="AR109" s="101">
        <f>SUMIFS(Xero!$F:$F,Xero!$B:$B,Heron!AR$9,Xero!$A:$A,Heron!$A$6,Xero!$E:$E,Heron!$A109)+SUMIFS('Updated Construction'!$F:$F,'Updated Construction'!$C:$C,1,'Updated Construction'!$E:$E,"&lt;="&amp;Heron!AR$9,'Updated Construction'!$E:$E,"&gt;"&amp;Heron!AQ$9,'Updated Construction'!$D:$D,FALSE)</f>
        <v>7725606.8199999984</v>
      </c>
      <c r="AS109" s="101">
        <f>SUMIFS(Xero!$F:$F,Xero!$B:$B,Heron!AS$9,Xero!$A:$A,Heron!$A$6,Xero!$E:$E,Heron!$A109)+SUMIFS('Updated Construction'!$F:$F,'Updated Construction'!$C:$C,1,'Updated Construction'!$E:$E,"&lt;="&amp;Heron!AS$9,'Updated Construction'!$E:$E,"&gt;"&amp;Heron!AR$9,'Updated Construction'!$D:$D,FALSE)</f>
        <v>3030361.61</v>
      </c>
      <c r="AT109" s="101">
        <f>SUMIFS(Xero!$F:$F,Xero!$B:$B,Heron!AT$9,Xero!$A:$A,Heron!$A$6,Xero!$E:$E,Heron!$A109)+SUMIFS('Updated Construction'!$F:$F,'Updated Construction'!$C:$C,1,'Updated Construction'!$E:$E,"&lt;="&amp;Heron!AT$9,'Updated Construction'!$E:$E,"&gt;"&amp;Heron!AS$9,'Updated Construction'!$D:$D,FALSE)</f>
        <v>917753.10000000009</v>
      </c>
      <c r="AU109" s="101">
        <f>SUMIFS(Xero!$F:$F,Xero!$B:$B,Heron!AU$9,Xero!$A:$A,Heron!$A$6,Xero!$E:$E,Heron!$A109)+SUMIFS('Updated Construction'!$F:$F,'Updated Construction'!$C:$C,1,'Updated Construction'!$E:$E,"&lt;="&amp;Heron!AU$9,'Updated Construction'!$E:$E,"&gt;"&amp;Heron!AT$9,'Updated Construction'!$D:$D,FALSE)</f>
        <v>333571.26</v>
      </c>
      <c r="AV109" s="101">
        <f>SUMIFS(Xero!$F:$F,Xero!$B:$B,Heron!AV$9,Xero!$A:$A,Heron!$A$6,Xero!$E:$E,Heron!$A109)+SUMIFS('Updated Construction'!$F:$F,'Updated Construction'!$C:$C,1,'Updated Construction'!$E:$E,"&lt;="&amp;Heron!AV$9,'Updated Construction'!$E:$E,"&gt;"&amp;Heron!AU$9,'Updated Construction'!$D:$D,FALSE)</f>
        <v>529859.83999999997</v>
      </c>
      <c r="AW109" s="101">
        <f>SUMIFS(Xero!$F:$F,Xero!$B:$B,Heron!AW$9,Xero!$A:$A,Heron!$A$6,Xero!$E:$E,Heron!$A109)+SUMIFS('Updated Construction'!$F:$F,'Updated Construction'!$C:$C,1,'Updated Construction'!$E:$E,"&lt;="&amp;Heron!AW$9,'Updated Construction'!$E:$E,"&gt;"&amp;Heron!AV$9,'Updated Construction'!$D:$D,FALSE)</f>
        <v>387976.61</v>
      </c>
      <c r="AX109" s="101">
        <f>SUMIFS(Xero!$F:$F,Xero!$B:$B,Heron!AX$9,Xero!$A:$A,Heron!$A$6,Xero!$E:$E,Heron!$A109)+SUMIFS('Updated Construction'!$F:$F,'Updated Construction'!$C:$C,1,'Updated Construction'!$E:$E,"&lt;="&amp;Heron!AX$9,'Updated Construction'!$E:$E,"&gt;"&amp;Heron!AW$9,'Updated Construction'!$D:$D,FALSE)</f>
        <v>0</v>
      </c>
      <c r="AY109" s="101">
        <f>SUMIFS(Xero!$F:$F,Xero!$B:$B,Heron!AY$9,Xero!$A:$A,Heron!$A$6,Xero!$E:$E,Heron!$A109)+SUMIFS('Updated Construction'!$F:$F,'Updated Construction'!$C:$C,1,'Updated Construction'!$E:$E,"&lt;="&amp;Heron!AY$9,'Updated Construction'!$E:$E,"&gt;"&amp;Heron!AX$9,'Updated Construction'!$D:$D,FALSE)</f>
        <v>109446.76</v>
      </c>
      <c r="AZ109" s="101">
        <f>SUMIFS(Xero!$F:$F,Xero!$B:$B,Heron!AZ$9,Xero!$A:$A,Heron!$A$6,Xero!$E:$E,Heron!$A109)+SUMIFS('Updated Construction'!$F:$F,'Updated Construction'!$C:$C,1,'Updated Construction'!$E:$E,"&lt;="&amp;Heron!AZ$9,'Updated Construction'!$E:$E,"&gt;"&amp;Heron!AY$9,'Updated Construction'!$D:$D,FALSE)</f>
        <v>0</v>
      </c>
      <c r="BA109" s="101">
        <f>SUMIFS(Xero!$F:$F,Xero!$B:$B,Heron!BA$9,Xero!$A:$A,Heron!$A$6,Xero!$E:$E,Heron!$A109)+SUMIFS('Updated Construction'!$F:$F,'Updated Construction'!$C:$C,1,'Updated Construction'!$E:$E,"&lt;="&amp;Heron!BA$9,'Updated Construction'!$E:$E,"&gt;"&amp;Heron!AZ$9,'Updated Construction'!$D:$D,FALSE)</f>
        <v>0</v>
      </c>
      <c r="BB109" s="101">
        <f>SUMIFS(Xero!$F:$F,Xero!$B:$B,Heron!BB$9,Xero!$A:$A,Heron!$A$6,Xero!$E:$E,Heron!$A109)+SUMIFS('Updated Construction'!$F:$F,'Updated Construction'!$C:$C,1,'Updated Construction'!$E:$E,"&lt;="&amp;Heron!BB$9,'Updated Construction'!$E:$E,"&gt;"&amp;Heron!BA$9,'Updated Construction'!$D:$D,FALSE)</f>
        <v>0</v>
      </c>
      <c r="BC109" s="101">
        <f>SUMIFS(Xero!$F:$F,Xero!$B:$B,Heron!BC$9,Xero!$A:$A,Heron!$A$6,Xero!$E:$E,Heron!$A109)+SUMIFS('Updated Construction'!$F:$F,'Updated Construction'!$C:$C,1,'Updated Construction'!$E:$E,"&lt;="&amp;Heron!BC$9,'Updated Construction'!$E:$E,"&gt;"&amp;Heron!BB$9,'Updated Construction'!$D:$D,FALSE)</f>
        <v>0</v>
      </c>
      <c r="BD109" s="101">
        <f>SUMIFS(Xero!$F:$F,Xero!$B:$B,Heron!BD$9,Xero!$A:$A,Heron!$A$6,Xero!$E:$E,Heron!$A109)+SUMIFS('Updated Construction'!$F:$F,'Updated Construction'!$C:$C,1,'Updated Construction'!$E:$E,"&lt;="&amp;Heron!BD$9,'Updated Construction'!$E:$E,"&gt;"&amp;Heron!BC$9,'Updated Construction'!$D:$D,FALSE)</f>
        <v>0</v>
      </c>
      <c r="BE109" s="101">
        <f>SUMIFS(Xero!$F:$F,Xero!$B:$B,Heron!BE$9,Xero!$A:$A,Heron!$A$6,Xero!$E:$E,Heron!$A109)+SUMIFS('Updated Construction'!$F:$F,'Updated Construction'!$C:$C,1,'Updated Construction'!$E:$E,"&lt;="&amp;Heron!BE$9,'Updated Construction'!$E:$E,"&gt;"&amp;Heron!BD$9,'Updated Construction'!$D:$D,FALSE)</f>
        <v>0</v>
      </c>
      <c r="BF109" s="101">
        <f>SUMIFS(Xero!$F:$F,Xero!$B:$B,Heron!BF$9,Xero!$A:$A,Heron!$A$6,Xero!$E:$E,Heron!$A109)+SUMIFS('Updated Construction'!$F:$F,'Updated Construction'!$C:$C,1,'Updated Construction'!$E:$E,"&lt;="&amp;Heron!BF$9,'Updated Construction'!$E:$E,"&gt;"&amp;Heron!BE$9,'Updated Construction'!$D:$D,FALSE)</f>
        <v>0</v>
      </c>
      <c r="BG109" s="101">
        <f>SUMIFS(Xero!$F:$F,Xero!$B:$B,Heron!BG$9,Xero!$A:$A,Heron!$A$6,Xero!$E:$E,Heron!$A109)+SUMIFS('Updated Construction'!$F:$F,'Updated Construction'!$C:$C,1,'Updated Construction'!$E:$E,"&lt;="&amp;Heron!BG$9,'Updated Construction'!$E:$E,"&gt;"&amp;Heron!BF$9,'Updated Construction'!$D:$D,FALSE)</f>
        <v>0</v>
      </c>
      <c r="BH109" s="101">
        <f>SUMIFS(Xero!$F:$F,Xero!$B:$B,Heron!BH$9,Xero!$A:$A,Heron!$A$6,Xero!$E:$E,Heron!$A109)+SUMIFS('Updated Construction'!$F:$F,'Updated Construction'!$C:$C,1,'Updated Construction'!$E:$E,"&lt;="&amp;Heron!BH$9,'Updated Construction'!$E:$E,"&gt;"&amp;Heron!BG$9,'Updated Construction'!$D:$D,FALSE)</f>
        <v>0</v>
      </c>
      <c r="BI109" s="101">
        <f>SUMIFS(Xero!$F:$F,Xero!$B:$B,Heron!BI$9,Xero!$A:$A,Heron!$A$6,Xero!$E:$E,Heron!$A109)+SUMIFS('Updated Construction'!$F:$F,'Updated Construction'!$C:$C,1,'Updated Construction'!$E:$E,"&lt;="&amp;Heron!BI$9,'Updated Construction'!$E:$E,"&gt;"&amp;Heron!BH$9,'Updated Construction'!$D:$D,FALSE)</f>
        <v>0</v>
      </c>
      <c r="BJ109" s="101">
        <f>SUMIFS(Xero!$F:$F,Xero!$B:$B,Heron!BJ$9,Xero!$A:$A,Heron!$A$6,Xero!$E:$E,Heron!$A109)+SUMIFS('Updated Construction'!$F:$F,'Updated Construction'!$C:$C,1,'Updated Construction'!$E:$E,"&lt;="&amp;Heron!BJ$9,'Updated Construction'!$E:$E,"&gt;"&amp;Heron!BI$9,'Updated Construction'!$D:$D,FALSE)</f>
        <v>0</v>
      </c>
      <c r="BK109" s="99">
        <f t="shared" si="6"/>
        <v>84636078.969999999</v>
      </c>
    </row>
    <row r="110" spans="1:63" ht="16" x14ac:dyDescent="0.2">
      <c r="A110" s="98" t="s">
        <v>1528</v>
      </c>
      <c r="D110" s="101">
        <f>SUMIFS(Xero!$F:$F,Xero!$B:$B,Heron!D$9,Xero!$A:$A,Heron!$A$6,Xero!$E:$E,Heron!$A110)</f>
        <v>0</v>
      </c>
      <c r="E110" s="101">
        <f>SUMIFS(Xero!$F:$F,Xero!$B:$B,Heron!E$9,Xero!$A:$A,Heron!$A$6,Xero!$E:$E,Heron!$A110)</f>
        <v>0</v>
      </c>
      <c r="F110" s="101">
        <f>SUMIFS(Xero!$F:$F,Xero!$B:$B,Heron!F$9,Xero!$A:$A,Heron!$A$6,Xero!$E:$E,Heron!$A110)</f>
        <v>0</v>
      </c>
      <c r="G110" s="101">
        <f>SUMIFS(Xero!$F:$F,Xero!$B:$B,Heron!G$9,Xero!$A:$A,Heron!$A$6,Xero!$E:$E,Heron!$A110)</f>
        <v>0</v>
      </c>
      <c r="H110" s="101">
        <f>SUMIFS(Xero!$F:$F,Xero!$B:$B,Heron!H$9,Xero!$A:$A,Heron!$A$6,Xero!$E:$E,Heron!$A110)</f>
        <v>0</v>
      </c>
      <c r="I110" s="101">
        <f>SUMIFS(Xero!$F:$F,Xero!$B:$B,Heron!I$9,Xero!$A:$A,Heron!$A$6,Xero!$E:$E,Heron!$A110)</f>
        <v>0</v>
      </c>
      <c r="J110" s="101">
        <f>SUMIFS(Xero!$F:$F,Xero!$B:$B,Heron!J$9,Xero!$A:$A,Heron!$A$6,Xero!$E:$E,Heron!$A110)</f>
        <v>0</v>
      </c>
      <c r="K110" s="101">
        <f>SUMIFS(Xero!$F:$F,Xero!$B:$B,Heron!K$9,Xero!$A:$A,Heron!$A$6,Xero!$E:$E,Heron!$A110)</f>
        <v>0</v>
      </c>
      <c r="L110" s="101">
        <f>SUMIFS(Xero!$F:$F,Xero!$B:$B,Heron!L$9,Xero!$A:$A,Heron!$A$6,Xero!$E:$E,Heron!$A110)</f>
        <v>0</v>
      </c>
      <c r="M110" s="101">
        <f>SUMIFS(Xero!$F:$F,Xero!$B:$B,Heron!M$9,Xero!$A:$A,Heron!$A$6,Xero!$E:$E,Heron!$A110)</f>
        <v>0</v>
      </c>
      <c r="N110" s="101">
        <f>SUMIFS(Xero!$F:$F,Xero!$B:$B,Heron!N$9,Xero!$A:$A,Heron!$A$6,Xero!$E:$E,Heron!$A110)</f>
        <v>0</v>
      </c>
      <c r="O110" s="101">
        <f>SUMIFS(Xero!$F:$F,Xero!$B:$B,Heron!O$9,Xero!$A:$A,Heron!$A$6,Xero!$E:$E,Heron!$A110)</f>
        <v>0</v>
      </c>
      <c r="P110" s="101">
        <f>SUMIFS(Xero!$F:$F,Xero!$B:$B,Heron!P$9,Xero!$A:$A,Heron!$A$6,Xero!$E:$E,Heron!$A110)</f>
        <v>0</v>
      </c>
      <c r="Q110" s="101">
        <f>SUMIFS(Xero!$F:$F,Xero!$B:$B,Heron!Q$9,Xero!$A:$A,Heron!$A$6,Xero!$E:$E,Heron!$A110)</f>
        <v>0</v>
      </c>
      <c r="R110" s="101">
        <f>SUMIFS(Xero!$F:$F,Xero!$B:$B,Heron!R$9,Xero!$A:$A,Heron!$A$6,Xero!$E:$E,Heron!$A110)</f>
        <v>0</v>
      </c>
      <c r="S110" s="101">
        <f>SUMIFS(Xero!$F:$F,Xero!$B:$B,Heron!S$9,Xero!$A:$A,Heron!$A$6,Xero!$E:$E,Heron!$A110)</f>
        <v>0</v>
      </c>
      <c r="T110" s="101">
        <f>SUMIFS(Xero!$F:$F,Xero!$B:$B,Heron!T$9,Xero!$A:$A,Heron!$A$6,Xero!$E:$E,Heron!$A110)</f>
        <v>5914.78</v>
      </c>
      <c r="U110" s="101">
        <f>SUMIFS(Xero!$F:$F,Xero!$B:$B,Heron!U$9,Xero!$A:$A,Heron!$A$6,Xero!$E:$E,Heron!$A110)</f>
        <v>13772.72</v>
      </c>
      <c r="V110" s="101">
        <f>SUMIFS(Xero!$F:$F,Xero!$B:$B,Heron!V$9,Xero!$A:$A,Heron!$A$6,Xero!$E:$E,Heron!$A110)</f>
        <v>72905.279999999999</v>
      </c>
      <c r="W110" s="101">
        <f>SUMIFS(Xero!$F:$F,Xero!$B:$B,Heron!W$9,Xero!$A:$A,Heron!$A$6,Xero!$E:$E,Heron!$A110)</f>
        <v>18460.650000000001</v>
      </c>
      <c r="X110" s="101">
        <f>SUMIFS(Xero!$F:$F,Xero!$B:$B,Heron!X$9,Xero!$A:$A,Heron!$A$6,Xero!$E:$E,Heron!$A110)</f>
        <v>74859.360000000001</v>
      </c>
      <c r="Y110" s="101">
        <f>SUMIFS(Xero!$F:$F,Xero!$B:$B,Heron!Y$9,Xero!$A:$A,Heron!$A$6,Xero!$E:$E,Heron!$A110)</f>
        <v>10636.8</v>
      </c>
      <c r="Z110" s="101">
        <f>SUMIFS(Xero!$F:$F,Xero!$B:$B,Heron!Z$9,Xero!$A:$A,Heron!$A$6,Xero!$E:$E,Heron!$A110)</f>
        <v>40096.92</v>
      </c>
      <c r="AA110" s="101">
        <f>SUMIFS(Xero!$F:$F,Xero!$B:$B,Heron!AA$9,Xero!$A:$A,Heron!$A$6,Xero!$E:$E,Heron!$A110)</f>
        <v>66505.36</v>
      </c>
      <c r="AB110" s="101">
        <f>SUMIFS(Xero!$F:$F,Xero!$B:$B,Heron!AB$9,Xero!$A:$A,Heron!$A$6,Xero!$E:$E,Heron!$A110)</f>
        <v>263223.18</v>
      </c>
      <c r="AC110" s="101">
        <f>SUMIFS(Xero!$F:$F,Xero!$B:$B,Heron!AC$9,Xero!$A:$A,Heron!$A$6,Xero!$E:$E,Heron!$A110)</f>
        <v>111322.42</v>
      </c>
      <c r="AD110" s="101">
        <f>SUMIFS(Xero!$F:$F,Xero!$B:$B,Heron!AD$9,Xero!$A:$A,Heron!$A$6,Xero!$E:$E,Heron!$A110)</f>
        <v>61021.919999999998</v>
      </c>
      <c r="AE110" s="101">
        <f>SUMIFS(Xero!$F:$F,Xero!$B:$B,Heron!AE$9,Xero!$A:$A,Heron!$A$6,Xero!$E:$E,Heron!$A110)</f>
        <v>28694.560000000001</v>
      </c>
      <c r="AF110" s="101">
        <f>SUMIFS(Xero!$F:$F,Xero!$B:$B,Heron!AF$9,Xero!$A:$A,Heron!$A$6,Xero!$E:$E,Heron!$A110)</f>
        <v>24793.88</v>
      </c>
      <c r="AG110" s="101">
        <f>SUMIFS(Xero!$F:$F,Xero!$B:$B,Heron!AG$9,Xero!$A:$A,Heron!$A$6,Xero!$E:$E,Heron!$A110)</f>
        <v>43415.97</v>
      </c>
      <c r="AH110" s="101">
        <f>SUMIFS(Xero!$F:$F,Xero!$B:$B,Heron!AH$9,Xero!$A:$A,Heron!$A$6,Xero!$E:$E,Heron!$A110)</f>
        <v>10445.36</v>
      </c>
      <c r="AI110" s="101">
        <f>SUMIFS(Xero!$F:$F,Xero!$B:$B,Heron!AI$9,Xero!$A:$A,Heron!$A$6,Xero!$E:$E,Heron!$A110)</f>
        <v>2652.6</v>
      </c>
      <c r="AJ110" s="101">
        <f>SUMIFS(Xero!$F:$F,Xero!$B:$B,Heron!AJ$9,Xero!$A:$A,Heron!$A$6,Xero!$E:$E,Heron!$A110)</f>
        <v>1665.25</v>
      </c>
      <c r="AK110" s="101">
        <f>SUMIFS(Xero!$F:$F,Xero!$B:$B,Heron!AK$9,Xero!$A:$A,Heron!$A$6,Xero!$E:$E,Heron!$A110)</f>
        <v>1443.35</v>
      </c>
      <c r="AL110" s="101">
        <f>SUMIFS(Xero!$F:$F,Xero!$B:$B,Heron!AL$9,Xero!$A:$A,Heron!$A$6,Xero!$E:$E,Heron!$A110)</f>
        <v>518.37</v>
      </c>
      <c r="AM110" s="101">
        <f>SUMIFS(Xero!$F:$F,Xero!$B:$B,Heron!AM$9,Xero!$A:$A,Heron!$A$6,Xero!$E:$E,Heron!$A110)</f>
        <v>0</v>
      </c>
      <c r="AN110" s="101">
        <f>SUMIFS(Xero!$F:$F,Xero!$B:$B,Heron!AN$9,Xero!$A:$A,Heron!$A$6,Xero!$E:$E,Heron!$A110)</f>
        <v>5069.8</v>
      </c>
      <c r="AO110" s="101">
        <f>SUMIFS(Xero!$F:$F,Xero!$B:$B,Heron!AO$9,Xero!$A:$A,Heron!$A$6,Xero!$E:$E,Heron!$A110)</f>
        <v>10800</v>
      </c>
      <c r="AP110" s="101">
        <f>SUMIFS(Xero!$F:$F,Xero!$B:$B,Heron!AP$9,Xero!$A:$A,Heron!$A$6,Xero!$E:$E,Heron!$A110)</f>
        <v>11598.75</v>
      </c>
      <c r="AQ110" s="101">
        <f>SUMIFS(Xero!$F:$F,Xero!$B:$B,Heron!AQ$9,Xero!$A:$A,Heron!$A$6,Xero!$E:$E,Heron!$A110)</f>
        <v>673.45</v>
      </c>
      <c r="AR110" s="101">
        <f>SUMIFS(Xero!$F:$F,Xero!$B:$B,Heron!AR$9,Xero!$A:$A,Heron!$A$6,Xero!$E:$E,Heron!$A110)</f>
        <v>0</v>
      </c>
      <c r="AS110" s="101">
        <f>SUMIFS(Xero!$F:$F,Xero!$B:$B,Heron!AS$9,Xero!$A:$A,Heron!$A$6,Xero!$E:$E,Heron!$A110)</f>
        <v>0</v>
      </c>
      <c r="AT110" s="101">
        <f>SUMIFS(Xero!$F:$F,Xero!$B:$B,Heron!AT$9,Xero!$A:$A,Heron!$A$6,Xero!$E:$E,Heron!$A110)</f>
        <v>0</v>
      </c>
      <c r="AU110" s="101">
        <f>SUMIFS(Xero!$F:$F,Xero!$B:$B,Heron!AU$9,Xero!$A:$A,Heron!$A$6,Xero!$E:$E,Heron!$A110)</f>
        <v>0</v>
      </c>
      <c r="AV110" s="101">
        <f>SUMIFS(Xero!$F:$F,Xero!$B:$B,Heron!AV$9,Xero!$A:$A,Heron!$A$6,Xero!$E:$E,Heron!$A110)</f>
        <v>0</v>
      </c>
      <c r="AW110" s="101">
        <f>SUMIFS(Xero!$F:$F,Xero!$B:$B,Heron!AW$9,Xero!$A:$A,Heron!$A$6,Xero!$E:$E,Heron!$A110)</f>
        <v>0</v>
      </c>
      <c r="AX110" s="101">
        <f>SUMIFS(Xero!$F:$F,Xero!$B:$B,Heron!AX$9,Xero!$A:$A,Heron!$A$6,Xero!$E:$E,Heron!$A110)</f>
        <v>0</v>
      </c>
      <c r="AY110" s="101">
        <f>SUMIFS(Xero!$F:$F,Xero!$B:$B,Heron!AY$9,Xero!$A:$A,Heron!$A$6,Xero!$E:$E,Heron!$A110)</f>
        <v>0</v>
      </c>
      <c r="AZ110" s="101">
        <f>SUMIFS(Xero!$F:$F,Xero!$B:$B,Heron!AZ$9,Xero!$A:$A,Heron!$A$6,Xero!$E:$E,Heron!$A110)</f>
        <v>0</v>
      </c>
      <c r="BA110" s="101">
        <f>SUMIFS(Xero!$F:$F,Xero!$B:$B,Heron!BA$9,Xero!$A:$A,Heron!$A$6,Xero!$E:$E,Heron!$A110)</f>
        <v>0</v>
      </c>
      <c r="BB110" s="101">
        <f>SUMIFS(Xero!$F:$F,Xero!$B:$B,Heron!BB$9,Xero!$A:$A,Heron!$A$6,Xero!$E:$E,Heron!$A110)</f>
        <v>0</v>
      </c>
      <c r="BC110" s="101">
        <f>SUMIFS(Xero!$F:$F,Xero!$B:$B,Heron!BC$9,Xero!$A:$A,Heron!$A$6,Xero!$E:$E,Heron!$A110)</f>
        <v>0</v>
      </c>
      <c r="BD110" s="101">
        <f>SUMIFS(Xero!$F:$F,Xero!$B:$B,Heron!BD$9,Xero!$A:$A,Heron!$A$6,Xero!$E:$E,Heron!$A110)</f>
        <v>0</v>
      </c>
      <c r="BE110" s="101">
        <f>SUMIFS(Xero!$F:$F,Xero!$B:$B,Heron!BE$9,Xero!$A:$A,Heron!$A$6,Xero!$E:$E,Heron!$A110)</f>
        <v>0</v>
      </c>
      <c r="BF110" s="101">
        <f>SUMIFS(Xero!$F:$F,Xero!$B:$B,Heron!BF$9,Xero!$A:$A,Heron!$A$6,Xero!$E:$E,Heron!$A110)</f>
        <v>0</v>
      </c>
      <c r="BG110" s="101">
        <f>SUMIFS(Xero!$F:$F,Xero!$B:$B,Heron!BG$9,Xero!$A:$A,Heron!$A$6,Xero!$E:$E,Heron!$A110)</f>
        <v>0</v>
      </c>
      <c r="BH110" s="101">
        <f>SUMIFS(Xero!$F:$F,Xero!$B:$B,Heron!BH$9,Xero!$A:$A,Heron!$A$6,Xero!$E:$E,Heron!$A110)</f>
        <v>0</v>
      </c>
      <c r="BI110" s="101">
        <f>SUMIFS(Xero!$F:$F,Xero!$B:$B,Heron!BI$9,Xero!$A:$A,Heron!$A$6,Xero!$E:$E,Heron!$A110)</f>
        <v>0</v>
      </c>
      <c r="BJ110" s="101">
        <f>SUMIFS(Xero!$F:$F,Xero!$B:$B,Heron!BJ$9,Xero!$A:$A,Heron!$A$6,Xero!$E:$E,Heron!$A110)</f>
        <v>0</v>
      </c>
      <c r="BK110" s="99">
        <f t="shared" si="6"/>
        <v>880490.73</v>
      </c>
    </row>
    <row r="111" spans="1:63" ht="16" x14ac:dyDescent="0.2">
      <c r="A111" s="98" t="s">
        <v>1621</v>
      </c>
      <c r="D111" s="101">
        <f>SUMIFS(Xero!$F:$F,Xero!$B:$B,Heron!D$9,Xero!$A:$A,Heron!$A$6,Xero!$E:$E,Heron!$A111)</f>
        <v>0</v>
      </c>
      <c r="E111" s="101">
        <f>SUMIFS(Xero!$F:$F,Xero!$B:$B,Heron!E$9,Xero!$A:$A,Heron!$A$6,Xero!$E:$E,Heron!$A111)</f>
        <v>0</v>
      </c>
      <c r="F111" s="101">
        <f>SUMIFS(Xero!$F:$F,Xero!$B:$B,Heron!F$9,Xero!$A:$A,Heron!$A$6,Xero!$E:$E,Heron!$A111)</f>
        <v>0</v>
      </c>
      <c r="G111" s="101">
        <f>SUMIFS(Xero!$F:$F,Xero!$B:$B,Heron!G$9,Xero!$A:$A,Heron!$A$6,Xero!$E:$E,Heron!$A111)</f>
        <v>0</v>
      </c>
      <c r="H111" s="101">
        <f>SUMIFS(Xero!$F:$F,Xero!$B:$B,Heron!H$9,Xero!$A:$A,Heron!$A$6,Xero!$E:$E,Heron!$A111)</f>
        <v>0</v>
      </c>
      <c r="I111" s="101">
        <f>SUMIFS(Xero!$F:$F,Xero!$B:$B,Heron!I$9,Xero!$A:$A,Heron!$A$6,Xero!$E:$E,Heron!$A111)</f>
        <v>0</v>
      </c>
      <c r="J111" s="101">
        <f>SUMIFS(Xero!$F:$F,Xero!$B:$B,Heron!J$9,Xero!$A:$A,Heron!$A$6,Xero!$E:$E,Heron!$A111)</f>
        <v>0</v>
      </c>
      <c r="K111" s="101">
        <f>SUMIFS(Xero!$F:$F,Xero!$B:$B,Heron!K$9,Xero!$A:$A,Heron!$A$6,Xero!$E:$E,Heron!$A111)</f>
        <v>0</v>
      </c>
      <c r="L111" s="101">
        <f>SUMIFS(Xero!$F:$F,Xero!$B:$B,Heron!L$9,Xero!$A:$A,Heron!$A$6,Xero!$E:$E,Heron!$A111)</f>
        <v>0</v>
      </c>
      <c r="M111" s="101">
        <f>SUMIFS(Xero!$F:$F,Xero!$B:$B,Heron!M$9,Xero!$A:$A,Heron!$A$6,Xero!$E:$E,Heron!$A111)</f>
        <v>0</v>
      </c>
      <c r="N111" s="101">
        <f>SUMIFS(Xero!$F:$F,Xero!$B:$B,Heron!N$9,Xero!$A:$A,Heron!$A$6,Xero!$E:$E,Heron!$A111)</f>
        <v>0</v>
      </c>
      <c r="O111" s="101">
        <f>SUMIFS(Xero!$F:$F,Xero!$B:$B,Heron!O$9,Xero!$A:$A,Heron!$A$6,Xero!$E:$E,Heron!$A111)</f>
        <v>0</v>
      </c>
      <c r="P111" s="101">
        <f>SUMIFS(Xero!$F:$F,Xero!$B:$B,Heron!P$9,Xero!$A:$A,Heron!$A$6,Xero!$E:$E,Heron!$A111)</f>
        <v>0</v>
      </c>
      <c r="Q111" s="101">
        <f>SUMIFS(Xero!$F:$F,Xero!$B:$B,Heron!Q$9,Xero!$A:$A,Heron!$A$6,Xero!$E:$E,Heron!$A111)</f>
        <v>0</v>
      </c>
      <c r="R111" s="101">
        <f>SUMIFS(Xero!$F:$F,Xero!$B:$B,Heron!R$9,Xero!$A:$A,Heron!$A$6,Xero!$E:$E,Heron!$A111)</f>
        <v>0</v>
      </c>
      <c r="S111" s="101">
        <f>SUMIFS(Xero!$F:$F,Xero!$B:$B,Heron!S$9,Xero!$A:$A,Heron!$A$6,Xero!$E:$E,Heron!$A111)</f>
        <v>0</v>
      </c>
      <c r="T111" s="101">
        <f>SUMIFS(Xero!$F:$F,Xero!$B:$B,Heron!T$9,Xero!$A:$A,Heron!$A$6,Xero!$E:$E,Heron!$A111)</f>
        <v>0</v>
      </c>
      <c r="U111" s="101">
        <f>SUMIFS(Xero!$F:$F,Xero!$B:$B,Heron!U$9,Xero!$A:$A,Heron!$A$6,Xero!$E:$E,Heron!$A111)</f>
        <v>0</v>
      </c>
      <c r="V111" s="101">
        <f>SUMIFS(Xero!$F:$F,Xero!$B:$B,Heron!V$9,Xero!$A:$A,Heron!$A$6,Xero!$E:$E,Heron!$A111)</f>
        <v>0</v>
      </c>
      <c r="W111" s="101">
        <f>SUMIFS(Xero!$F:$F,Xero!$B:$B,Heron!W$9,Xero!$A:$A,Heron!$A$6,Xero!$E:$E,Heron!$A111)</f>
        <v>0</v>
      </c>
      <c r="X111" s="101">
        <f>SUMIFS(Xero!$F:$F,Xero!$B:$B,Heron!X$9,Xero!$A:$A,Heron!$A$6,Xero!$E:$E,Heron!$A111)</f>
        <v>0</v>
      </c>
      <c r="Y111" s="101">
        <f>SUMIFS(Xero!$F:$F,Xero!$B:$B,Heron!Y$9,Xero!$A:$A,Heron!$A$6,Xero!$E:$E,Heron!$A111)</f>
        <v>0</v>
      </c>
      <c r="Z111" s="101">
        <f>SUMIFS(Xero!$F:$F,Xero!$B:$B,Heron!Z$9,Xero!$A:$A,Heron!$A$6,Xero!$E:$E,Heron!$A111)</f>
        <v>1404.78</v>
      </c>
      <c r="AA111" s="101">
        <f>SUMIFS(Xero!$F:$F,Xero!$B:$B,Heron!AA$9,Xero!$A:$A,Heron!$A$6,Xero!$E:$E,Heron!$A111)</f>
        <v>2895.63</v>
      </c>
      <c r="AB111" s="101">
        <f>SUMIFS(Xero!$F:$F,Xero!$B:$B,Heron!AB$9,Xero!$A:$A,Heron!$A$6,Xero!$E:$E,Heron!$A111)</f>
        <v>0</v>
      </c>
      <c r="AC111" s="101">
        <f>SUMIFS(Xero!$F:$F,Xero!$B:$B,Heron!AC$9,Xero!$A:$A,Heron!$A$6,Xero!$E:$E,Heron!$A111)</f>
        <v>78.260000000000005</v>
      </c>
      <c r="AD111" s="101">
        <f>SUMIFS(Xero!$F:$F,Xero!$B:$B,Heron!AD$9,Xero!$A:$A,Heron!$A$6,Xero!$E:$E,Heron!$A111)</f>
        <v>2170.4499999999998</v>
      </c>
      <c r="AE111" s="101">
        <f>SUMIFS(Xero!$F:$F,Xero!$B:$B,Heron!AE$9,Xero!$A:$A,Heron!$A$6,Xero!$E:$E,Heron!$A111)</f>
        <v>8882.14</v>
      </c>
      <c r="AF111" s="101">
        <f>SUMIFS(Xero!$F:$F,Xero!$B:$B,Heron!AF$9,Xero!$A:$A,Heron!$A$6,Xero!$E:$E,Heron!$A111)</f>
        <v>107.39</v>
      </c>
      <c r="AG111" s="101">
        <f>SUMIFS(Xero!$F:$F,Xero!$B:$B,Heron!AG$9,Xero!$A:$A,Heron!$A$6,Xero!$E:$E,Heron!$A111)</f>
        <v>3776.28</v>
      </c>
      <c r="AH111" s="101">
        <f>SUMIFS(Xero!$F:$F,Xero!$B:$B,Heron!AH$9,Xero!$A:$A,Heron!$A$6,Xero!$E:$E,Heron!$A111)</f>
        <v>5743.47</v>
      </c>
      <c r="AI111" s="101">
        <f>SUMIFS(Xero!$F:$F,Xero!$B:$B,Heron!AI$9,Xero!$A:$A,Heron!$A$6,Xero!$E:$E,Heron!$A111)</f>
        <v>1652.17</v>
      </c>
      <c r="AJ111" s="101">
        <f>SUMIFS(Xero!$F:$F,Xero!$B:$B,Heron!AJ$9,Xero!$A:$A,Heron!$A$6,Xero!$E:$E,Heron!$A111)</f>
        <v>5843.48</v>
      </c>
      <c r="AK111" s="101">
        <f>SUMIFS(Xero!$F:$F,Xero!$B:$B,Heron!AK$9,Xero!$A:$A,Heron!$A$6,Xero!$E:$E,Heron!$A111)</f>
        <v>2242.61</v>
      </c>
      <c r="AL111" s="101">
        <f>SUMIFS(Xero!$F:$F,Xero!$B:$B,Heron!AL$9,Xero!$A:$A,Heron!$A$6,Xero!$E:$E,Heron!$A111)</f>
        <v>3036.13</v>
      </c>
      <c r="AM111" s="101">
        <f>SUMIFS(Xero!$F:$F,Xero!$B:$B,Heron!AM$9,Xero!$A:$A,Heron!$A$6,Xero!$E:$E,Heron!$A111)</f>
        <v>0</v>
      </c>
      <c r="AN111" s="101">
        <f>SUMIFS(Xero!$F:$F,Xero!$B:$B,Heron!AN$9,Xero!$A:$A,Heron!$A$6,Xero!$E:$E,Heron!$A111)</f>
        <v>2256.52</v>
      </c>
      <c r="AO111" s="101">
        <f>SUMIFS(Xero!$F:$F,Xero!$B:$B,Heron!AO$9,Xero!$A:$A,Heron!$A$6,Xero!$E:$E,Heron!$A111)</f>
        <v>0</v>
      </c>
      <c r="AP111" s="101">
        <f>SUMIFS(Xero!$F:$F,Xero!$B:$B,Heron!AP$9,Xero!$A:$A,Heron!$A$6,Xero!$E:$E,Heron!$A111)</f>
        <v>0</v>
      </c>
      <c r="AQ111" s="101">
        <f>SUMIFS(Xero!$F:$F,Xero!$B:$B,Heron!AQ$9,Xero!$A:$A,Heron!$A$6,Xero!$E:$E,Heron!$A111)</f>
        <v>116.5</v>
      </c>
      <c r="AR111" s="101">
        <f>SUMIFS(Xero!$F:$F,Xero!$B:$B,Heron!AR$9,Xero!$A:$A,Heron!$A$6,Xero!$E:$E,Heron!$A111)</f>
        <v>0</v>
      </c>
      <c r="AS111" s="101">
        <f>SUMIFS(Xero!$F:$F,Xero!$B:$B,Heron!AS$9,Xero!$A:$A,Heron!$A$6,Xero!$E:$E,Heron!$A111)</f>
        <v>0</v>
      </c>
      <c r="AT111" s="101">
        <f>SUMIFS(Xero!$F:$F,Xero!$B:$B,Heron!AT$9,Xero!$A:$A,Heron!$A$6,Xero!$E:$E,Heron!$A111)</f>
        <v>0</v>
      </c>
      <c r="AU111" s="101">
        <f>SUMIFS(Xero!$F:$F,Xero!$B:$B,Heron!AU$9,Xero!$A:$A,Heron!$A$6,Xero!$E:$E,Heron!$A111)</f>
        <v>0</v>
      </c>
      <c r="AV111" s="101">
        <f>SUMIFS(Xero!$F:$F,Xero!$B:$B,Heron!AV$9,Xero!$A:$A,Heron!$A$6,Xero!$E:$E,Heron!$A111)</f>
        <v>0</v>
      </c>
      <c r="AW111" s="101">
        <f>SUMIFS(Xero!$F:$F,Xero!$B:$B,Heron!AW$9,Xero!$A:$A,Heron!$A$6,Xero!$E:$E,Heron!$A111)</f>
        <v>0</v>
      </c>
      <c r="AX111" s="101">
        <f>SUMIFS(Xero!$F:$F,Xero!$B:$B,Heron!AX$9,Xero!$A:$A,Heron!$A$6,Xero!$E:$E,Heron!$A111)</f>
        <v>0</v>
      </c>
      <c r="AY111" s="101">
        <f>SUMIFS(Xero!$F:$F,Xero!$B:$B,Heron!AY$9,Xero!$A:$A,Heron!$A$6,Xero!$E:$E,Heron!$A111)</f>
        <v>0</v>
      </c>
      <c r="AZ111" s="101">
        <f>SUMIFS(Xero!$F:$F,Xero!$B:$B,Heron!AZ$9,Xero!$A:$A,Heron!$A$6,Xero!$E:$E,Heron!$A111)</f>
        <v>0</v>
      </c>
      <c r="BA111" s="101">
        <f>SUMIFS(Xero!$F:$F,Xero!$B:$B,Heron!BA$9,Xero!$A:$A,Heron!$A$6,Xero!$E:$E,Heron!$A111)</f>
        <v>0</v>
      </c>
      <c r="BB111" s="101">
        <f>SUMIFS(Xero!$F:$F,Xero!$B:$B,Heron!BB$9,Xero!$A:$A,Heron!$A$6,Xero!$E:$E,Heron!$A111)</f>
        <v>0</v>
      </c>
      <c r="BC111" s="101">
        <f>SUMIFS(Xero!$F:$F,Xero!$B:$B,Heron!BC$9,Xero!$A:$A,Heron!$A$6,Xero!$E:$E,Heron!$A111)</f>
        <v>0</v>
      </c>
      <c r="BD111" s="101">
        <f>SUMIFS(Xero!$F:$F,Xero!$B:$B,Heron!BD$9,Xero!$A:$A,Heron!$A$6,Xero!$E:$E,Heron!$A111)</f>
        <v>0</v>
      </c>
      <c r="BE111" s="101">
        <f>SUMIFS(Xero!$F:$F,Xero!$B:$B,Heron!BE$9,Xero!$A:$A,Heron!$A$6,Xero!$E:$E,Heron!$A111)</f>
        <v>0</v>
      </c>
      <c r="BF111" s="101">
        <f>SUMIFS(Xero!$F:$F,Xero!$B:$B,Heron!BF$9,Xero!$A:$A,Heron!$A$6,Xero!$E:$E,Heron!$A111)</f>
        <v>0</v>
      </c>
      <c r="BG111" s="101">
        <f>SUMIFS(Xero!$F:$F,Xero!$B:$B,Heron!BG$9,Xero!$A:$A,Heron!$A$6,Xero!$E:$E,Heron!$A111)</f>
        <v>0</v>
      </c>
      <c r="BH111" s="101">
        <f>SUMIFS(Xero!$F:$F,Xero!$B:$B,Heron!BH$9,Xero!$A:$A,Heron!$A$6,Xero!$E:$E,Heron!$A111)</f>
        <v>0</v>
      </c>
      <c r="BI111" s="101">
        <f>SUMIFS(Xero!$F:$F,Xero!$B:$B,Heron!BI$9,Xero!$A:$A,Heron!$A$6,Xero!$E:$E,Heron!$A111)</f>
        <v>0</v>
      </c>
      <c r="BJ111" s="101">
        <f>SUMIFS(Xero!$F:$F,Xero!$B:$B,Heron!BJ$9,Xero!$A:$A,Heron!$A$6,Xero!$E:$E,Heron!$A111)</f>
        <v>0</v>
      </c>
      <c r="BK111" s="99">
        <f t="shared" si="6"/>
        <v>40205.80999999999</v>
      </c>
    </row>
    <row r="112" spans="1:63" ht="16" x14ac:dyDescent="0.2">
      <c r="A112" s="98" t="s">
        <v>1151</v>
      </c>
      <c r="D112" s="102">
        <f>SUMIFS('Other Costs'!$D:$D,'Other Costs'!$A:$A,Heron!$A112,'Other Costs'!$C:$C,"&lt;="&amp;Heron!D$9,'Other Costs'!$C:$C,"&gt;"&amp;Heron!C$9)</f>
        <v>0</v>
      </c>
      <c r="E112" s="102">
        <f>SUMIFS('Other Costs'!$D:$D,'Other Costs'!$A:$A,Heron!$A112,'Other Costs'!$C:$C,"&lt;="&amp;Heron!E$9,'Other Costs'!$C:$C,"&gt;"&amp;Heron!D$9)</f>
        <v>0</v>
      </c>
      <c r="F112" s="102">
        <f>SUMIFS('Other Costs'!$D:$D,'Other Costs'!$A:$A,Heron!$A112,'Other Costs'!$C:$C,"&lt;="&amp;Heron!F$9,'Other Costs'!$C:$C,"&gt;"&amp;Heron!E$9)</f>
        <v>0</v>
      </c>
      <c r="G112" s="102">
        <f>SUMIFS('Other Costs'!$D:$D,'Other Costs'!$A:$A,Heron!$A112,'Other Costs'!$C:$C,"&lt;="&amp;Heron!G$9,'Other Costs'!$C:$C,"&gt;"&amp;Heron!F$9)</f>
        <v>0</v>
      </c>
      <c r="H112" s="102">
        <f>SUMIFS('Other Costs'!$D:$D,'Other Costs'!$A:$A,Heron!$A112,'Other Costs'!$C:$C,"&lt;="&amp;Heron!H$9,'Other Costs'!$C:$C,"&gt;"&amp;Heron!G$9)</f>
        <v>0</v>
      </c>
      <c r="I112" s="102">
        <f>SUMIFS('Other Costs'!$D:$D,'Other Costs'!$A:$A,Heron!$A112,'Other Costs'!$C:$C,"&lt;="&amp;Heron!I$9,'Other Costs'!$C:$C,"&gt;"&amp;Heron!H$9)</f>
        <v>0</v>
      </c>
      <c r="J112" s="102">
        <f>SUMIFS('Other Costs'!$D:$D,'Other Costs'!$A:$A,Heron!$A112,'Other Costs'!$C:$C,"&lt;="&amp;Heron!J$9,'Other Costs'!$C:$C,"&gt;"&amp;Heron!I$9)</f>
        <v>0</v>
      </c>
      <c r="K112" s="102">
        <f>SUMIFS('Other Costs'!$D:$D,'Other Costs'!$A:$A,Heron!$A112,'Other Costs'!$C:$C,"&lt;="&amp;Heron!K$9,'Other Costs'!$C:$C,"&gt;"&amp;Heron!J$9)</f>
        <v>0</v>
      </c>
      <c r="L112" s="102">
        <f>SUMIFS('Other Costs'!$D:$D,'Other Costs'!$A:$A,Heron!$A112,'Other Costs'!$C:$C,"&lt;="&amp;Heron!L$9,'Other Costs'!$C:$C,"&gt;"&amp;Heron!K$9)</f>
        <v>0</v>
      </c>
      <c r="M112" s="102">
        <f>SUMIFS('Other Costs'!$D:$D,'Other Costs'!$A:$A,Heron!$A112,'Other Costs'!$C:$C,"&lt;="&amp;Heron!M$9,'Other Costs'!$C:$C,"&gt;"&amp;Heron!L$9)</f>
        <v>0</v>
      </c>
      <c r="N112" s="102">
        <f>SUMIFS('Other Costs'!$D:$D,'Other Costs'!$A:$A,Heron!$A112,'Other Costs'!$C:$C,"&lt;="&amp;Heron!N$9,'Other Costs'!$C:$C,"&gt;"&amp;Heron!M$9)</f>
        <v>0</v>
      </c>
      <c r="O112" s="102">
        <f>SUMIFS('Other Costs'!$D:$D,'Other Costs'!$A:$A,Heron!$A112,'Other Costs'!$C:$C,"&lt;="&amp;Heron!O$9,'Other Costs'!$C:$C,"&gt;"&amp;Heron!N$9)</f>
        <v>0</v>
      </c>
      <c r="P112" s="102">
        <f>SUMIFS('Other Costs'!$D:$D,'Other Costs'!$A:$A,Heron!$A112,'Other Costs'!$C:$C,"&lt;="&amp;Heron!P$9,'Other Costs'!$C:$C,"&gt;"&amp;Heron!O$9)</f>
        <v>0</v>
      </c>
      <c r="Q112" s="102">
        <f>SUMIFS('Other Costs'!$D:$D,'Other Costs'!$A:$A,Heron!$A112,'Other Costs'!$C:$C,"&lt;="&amp;Heron!Q$9,'Other Costs'!$C:$C,"&gt;"&amp;Heron!P$9)</f>
        <v>0</v>
      </c>
      <c r="R112" s="102">
        <f>SUMIFS('Other Costs'!$D:$D,'Other Costs'!$A:$A,Heron!$A112,'Other Costs'!$C:$C,"&lt;="&amp;Heron!R$9,'Other Costs'!$C:$C,"&gt;"&amp;Heron!Q$9)</f>
        <v>0</v>
      </c>
      <c r="S112" s="102">
        <f>SUMIFS('Other Costs'!$D:$D,'Other Costs'!$A:$A,Heron!$A112,'Other Costs'!$C:$C,"&lt;="&amp;Heron!S$9,'Other Costs'!$C:$C,"&gt;"&amp;Heron!R$9)</f>
        <v>0</v>
      </c>
      <c r="T112" s="102">
        <f>SUMIFS('Other Costs'!$D:$D,'Other Costs'!$A:$A,Heron!$A112,'Other Costs'!$C:$C,"&lt;="&amp;Heron!T$9,'Other Costs'!$C:$C,"&gt;"&amp;Heron!S$9)</f>
        <v>0</v>
      </c>
      <c r="U112" s="102">
        <f>SUMIFS('Other Costs'!$D:$D,'Other Costs'!$A:$A,Heron!$A112,'Other Costs'!$C:$C,"&lt;="&amp;Heron!U$9,'Other Costs'!$C:$C,"&gt;"&amp;Heron!T$9)</f>
        <v>0</v>
      </c>
      <c r="V112" s="102">
        <f>SUMIFS('Other Costs'!$D:$D,'Other Costs'!$A:$A,Heron!$A112,'Other Costs'!$C:$C,"&lt;="&amp;Heron!V$9,'Other Costs'!$C:$C,"&gt;"&amp;Heron!U$9)</f>
        <v>0</v>
      </c>
      <c r="W112" s="102">
        <f>SUMIFS('Other Costs'!$D:$D,'Other Costs'!$A:$A,Heron!$A112,'Other Costs'!$C:$C,"&lt;="&amp;Heron!W$9,'Other Costs'!$C:$C,"&gt;"&amp;Heron!V$9)</f>
        <v>0</v>
      </c>
      <c r="X112" s="102">
        <f>SUMIFS('Other Costs'!$D:$D,'Other Costs'!$A:$A,Heron!$A112,'Other Costs'!$C:$C,"&lt;="&amp;Heron!X$9,'Other Costs'!$C:$C,"&gt;"&amp;Heron!W$9)</f>
        <v>0</v>
      </c>
      <c r="Y112" s="102">
        <f>SUMIFS('Other Costs'!$D:$D,'Other Costs'!$A:$A,Heron!$A112,'Other Costs'!$C:$C,"&lt;="&amp;Heron!Y$9,'Other Costs'!$C:$C,"&gt;"&amp;Heron!X$9)</f>
        <v>0</v>
      </c>
      <c r="Z112" s="102">
        <f>SUMIFS('Other Costs'!$D:$D,'Other Costs'!$A:$A,Heron!$A112,'Other Costs'!$C:$C,"&lt;="&amp;Heron!Z$9,'Other Costs'!$C:$C,"&gt;"&amp;Heron!Y$9)</f>
        <v>0</v>
      </c>
      <c r="AA112" s="102">
        <f>SUMIFS('Other Costs'!$D:$D,'Other Costs'!$A:$A,Heron!$A112,'Other Costs'!$C:$C,"&lt;="&amp;Heron!AA$9,'Other Costs'!$C:$C,"&gt;"&amp;Heron!Z$9)</f>
        <v>0</v>
      </c>
      <c r="AB112" s="102">
        <f>SUMIFS('Other Costs'!$D:$D,'Other Costs'!$A:$A,Heron!$A112,'Other Costs'!$C:$C,"&lt;="&amp;Heron!AB$9,'Other Costs'!$C:$C,"&gt;"&amp;Heron!AA$9)</f>
        <v>0</v>
      </c>
      <c r="AC112" s="102">
        <f>SUMIFS('Other Costs'!$D:$D,'Other Costs'!$A:$A,Heron!$A112,'Other Costs'!$C:$C,"&lt;="&amp;Heron!AC$9,'Other Costs'!$C:$C,"&gt;"&amp;Heron!AB$9)</f>
        <v>0</v>
      </c>
      <c r="AD112" s="102">
        <f>SUMIFS('Other Costs'!$D:$D,'Other Costs'!$A:$A,Heron!$A112,'Other Costs'!$C:$C,"&lt;="&amp;Heron!AD$9,'Other Costs'!$C:$C,"&gt;"&amp;Heron!AC$9)</f>
        <v>0</v>
      </c>
      <c r="AE112" s="102">
        <f>SUMIFS('Other Costs'!$D:$D,'Other Costs'!$A:$A,Heron!$A112,'Other Costs'!$C:$C,"&lt;="&amp;Heron!AE$9,'Other Costs'!$C:$C,"&gt;"&amp;Heron!AD$9)</f>
        <v>0</v>
      </c>
      <c r="AF112" s="102">
        <f>SUMIFS('Other Costs'!$D:$D,'Other Costs'!$A:$A,Heron!$A112,'Other Costs'!$C:$C,"&lt;="&amp;Heron!AF$9,'Other Costs'!$C:$C,"&gt;"&amp;Heron!AE$9)</f>
        <v>0</v>
      </c>
      <c r="AG112" s="102">
        <f>SUMIFS('Other Costs'!$D:$D,'Other Costs'!$A:$A,Heron!$A112,'Other Costs'!$C:$C,"&lt;="&amp;Heron!AG$9,'Other Costs'!$C:$C,"&gt;"&amp;Heron!AF$9)</f>
        <v>0</v>
      </c>
      <c r="AH112" s="102">
        <f>SUMIFS('Other Costs'!$D:$D,'Other Costs'!$A:$A,Heron!$A112,'Other Costs'!$C:$C,"&lt;="&amp;Heron!AH$9,'Other Costs'!$C:$C,"&gt;"&amp;Heron!AG$9)</f>
        <v>0</v>
      </c>
      <c r="AI112" s="102">
        <f>SUMIFS('Other Costs'!$D:$D,'Other Costs'!$A:$A,Heron!$A112,'Other Costs'!$C:$C,"&lt;="&amp;Heron!AI$9,'Other Costs'!$C:$C,"&gt;"&amp;Heron!AH$9)</f>
        <v>5125504.8499999996</v>
      </c>
      <c r="AJ112" s="102">
        <f>SUMIFS('Other Costs'!$D:$D,'Other Costs'!$A:$A,Heron!$A112,'Other Costs'!$C:$C,"&lt;="&amp;Heron!AJ$9,'Other Costs'!$C:$C,"&gt;"&amp;Heron!AI$9)</f>
        <v>314037.88</v>
      </c>
      <c r="AK112" s="102">
        <f>SUMIFS('Other Costs'!$D:$D,'Other Costs'!$A:$A,Heron!$A112,'Other Costs'!$C:$C,"&lt;="&amp;Heron!AK$9,'Other Costs'!$C:$C,"&gt;"&amp;Heron!AJ$9)</f>
        <v>314037.88</v>
      </c>
      <c r="AL112" s="102">
        <f>SUMIFS('Other Costs'!$D:$D,'Other Costs'!$A:$A,Heron!$A112,'Other Costs'!$C:$C,"&lt;="&amp;Heron!AL$9,'Other Costs'!$C:$C,"&gt;"&amp;Heron!AK$9)</f>
        <v>314037.88</v>
      </c>
      <c r="AM112" s="102">
        <f>SUMIFS('Other Costs'!$D:$D,'Other Costs'!$A:$A,Heron!$A112,'Other Costs'!$C:$C,"&lt;="&amp;Heron!AM$9,'Other Costs'!$C:$C,"&gt;"&amp;Heron!AL$9)</f>
        <v>0</v>
      </c>
      <c r="AN112" s="102">
        <f>SUMIFS('Other Costs'!$D:$D,'Other Costs'!$A:$A,Heron!$A112,'Other Costs'!$C:$C,"&lt;="&amp;Heron!AN$9,'Other Costs'!$C:$C,"&gt;"&amp;Heron!AM$9)</f>
        <v>314037.88</v>
      </c>
      <c r="AO112" s="102">
        <f>SUMIFS('Other Costs'!$D:$D,'Other Costs'!$A:$A,Heron!$A112,'Other Costs'!$C:$C,"&lt;="&amp;Heron!AO$9,'Other Costs'!$C:$C,"&gt;"&amp;Heron!AN$9)</f>
        <v>0</v>
      </c>
      <c r="AP112" s="102">
        <f>SUMIFS('Other Costs'!$D:$D,'Other Costs'!$A:$A,Heron!$A112,'Other Costs'!$C:$C,"&lt;="&amp;Heron!AP$9,'Other Costs'!$C:$C,"&gt;"&amp;Heron!AO$9)</f>
        <v>314037.88</v>
      </c>
      <c r="AQ112" s="102">
        <f>SUMIFS('Other Costs'!$D:$D,'Other Costs'!$A:$A,Heron!$A112,'Other Costs'!$C:$C,"&lt;="&amp;Heron!AQ$9,'Other Costs'!$C:$C,"&gt;"&amp;Heron!AP$9)</f>
        <v>314037.88</v>
      </c>
      <c r="AR112" s="102">
        <f>SUMIFS('Other Costs'!$D:$D,'Other Costs'!$A:$A,Heron!$A112,'Other Costs'!$C:$C,"&lt;="&amp;Heron!AR$9,'Other Costs'!$C:$C,"&gt;"&amp;Heron!AQ$9)</f>
        <v>314037.88</v>
      </c>
      <c r="AS112" s="102">
        <f>SUMIFS('Other Costs'!$D:$D,'Other Costs'!$A:$A,Heron!$A112,'Other Costs'!$C:$C,"&lt;="&amp;Heron!AS$9,'Other Costs'!$C:$C,"&gt;"&amp;Heron!AR$9)</f>
        <v>314037.88</v>
      </c>
      <c r="AT112" s="102">
        <f>SUMIFS('Other Costs'!$D:$D,'Other Costs'!$A:$A,Heron!$A112,'Other Costs'!$C:$C,"&lt;="&amp;Heron!AT$9,'Other Costs'!$C:$C,"&gt;"&amp;Heron!AS$9)</f>
        <v>314037.88</v>
      </c>
      <c r="AU112" s="102">
        <f>SUMIFS('Other Costs'!$D:$D,'Other Costs'!$A:$A,Heron!$A112,'Other Costs'!$C:$C,"&lt;="&amp;Heron!AU$9,'Other Costs'!$C:$C,"&gt;"&amp;Heron!AT$9)</f>
        <v>314037.88</v>
      </c>
      <c r="AV112" s="102">
        <f>SUMIFS('Other Costs'!$D:$D,'Other Costs'!$A:$A,Heron!$A112,'Other Costs'!$C:$C,"&lt;="&amp;Heron!AV$9,'Other Costs'!$C:$C,"&gt;"&amp;Heron!AU$9)</f>
        <v>0</v>
      </c>
      <c r="AW112" s="102">
        <f>SUMIFS('Other Costs'!$D:$D,'Other Costs'!$A:$A,Heron!$A112,'Other Costs'!$C:$C,"&lt;="&amp;Heron!AW$9,'Other Costs'!$C:$C,"&gt;"&amp;Heron!AV$9)</f>
        <v>0</v>
      </c>
      <c r="AX112" s="102">
        <f>SUMIFS('Other Costs'!$D:$D,'Other Costs'!$A:$A,Heron!$A112,'Other Costs'!$C:$C,"&lt;="&amp;Heron!AX$9,'Other Costs'!$C:$C,"&gt;"&amp;Heron!AW$9)</f>
        <v>0</v>
      </c>
      <c r="AY112" s="102">
        <f>SUMIFS('Other Costs'!$D:$D,'Other Costs'!$A:$A,Heron!$A112,'Other Costs'!$C:$C,"&lt;="&amp;Heron!AY$9,'Other Costs'!$C:$C,"&gt;"&amp;Heron!AX$9)</f>
        <v>0</v>
      </c>
      <c r="AZ112" s="102">
        <f>SUMIFS('Other Costs'!$D:$D,'Other Costs'!$A:$A,Heron!$A112,'Other Costs'!$C:$C,"&lt;="&amp;Heron!AZ$9,'Other Costs'!$C:$C,"&gt;"&amp;Heron!AY$9)</f>
        <v>0</v>
      </c>
      <c r="BA112" s="102">
        <f>SUMIFS('Other Costs'!$D:$D,'Other Costs'!$A:$A,Heron!$A112,'Other Costs'!$C:$C,"&lt;="&amp;Heron!BA$9,'Other Costs'!$C:$C,"&gt;"&amp;Heron!AZ$9)</f>
        <v>0</v>
      </c>
      <c r="BB112" s="102">
        <f>SUMIFS('Other Costs'!$D:$D,'Other Costs'!$A:$A,Heron!$A112,'Other Costs'!$C:$C,"&lt;="&amp;Heron!BB$9,'Other Costs'!$C:$C,"&gt;"&amp;Heron!BA$9)</f>
        <v>0</v>
      </c>
      <c r="BC112" s="102">
        <f>SUMIFS('Other Costs'!$D:$D,'Other Costs'!$A:$A,Heron!$A112,'Other Costs'!$C:$C,"&lt;="&amp;Heron!BC$9,'Other Costs'!$C:$C,"&gt;"&amp;Heron!BB$9)</f>
        <v>0</v>
      </c>
      <c r="BD112" s="102">
        <f>SUMIFS('Other Costs'!$D:$D,'Other Costs'!$A:$A,Heron!$A112,'Other Costs'!$C:$C,"&lt;="&amp;Heron!BD$9,'Other Costs'!$C:$C,"&gt;"&amp;Heron!BC$9)</f>
        <v>0</v>
      </c>
      <c r="BE112" s="102">
        <f>SUMIFS('Other Costs'!$D:$D,'Other Costs'!$A:$A,Heron!$A112,'Other Costs'!$C:$C,"&lt;="&amp;Heron!BE$9,'Other Costs'!$C:$C,"&gt;"&amp;Heron!BD$9)</f>
        <v>0</v>
      </c>
      <c r="BF112" s="102">
        <f>SUMIFS('Other Costs'!$D:$D,'Other Costs'!$A:$A,Heron!$A112,'Other Costs'!$C:$C,"&lt;="&amp;Heron!BF$9,'Other Costs'!$C:$C,"&gt;"&amp;Heron!BE$9)</f>
        <v>0</v>
      </c>
      <c r="BG112" s="102">
        <f>SUMIFS('Other Costs'!$D:$D,'Other Costs'!$A:$A,Heron!$A112,'Other Costs'!$C:$C,"&lt;="&amp;Heron!BG$9,'Other Costs'!$C:$C,"&gt;"&amp;Heron!BF$9)</f>
        <v>0</v>
      </c>
      <c r="BH112" s="102">
        <f>SUMIFS('Other Costs'!$D:$D,'Other Costs'!$A:$A,Heron!$A112,'Other Costs'!$C:$C,"&lt;="&amp;Heron!BH$9,'Other Costs'!$C:$C,"&gt;"&amp;Heron!BG$9)</f>
        <v>0</v>
      </c>
      <c r="BI112" s="102">
        <f>SUMIFS('Other Costs'!$D:$D,'Other Costs'!$A:$A,Heron!$A112,'Other Costs'!$C:$C,"&lt;="&amp;Heron!BI$9,'Other Costs'!$C:$C,"&gt;"&amp;Heron!BH$9)</f>
        <v>0</v>
      </c>
      <c r="BJ112" s="102">
        <f>SUMIFS('Other Costs'!$D:$D,'Other Costs'!$A:$A,Heron!$A112,'Other Costs'!$C:$C,"&lt;="&amp;Heron!BJ$9,'Other Costs'!$C:$C,"&gt;"&amp;Heron!BI$9)</f>
        <v>0</v>
      </c>
      <c r="BK112" s="99">
        <f t="shared" si="6"/>
        <v>8265883.6499999985</v>
      </c>
    </row>
    <row r="113" spans="1:64" ht="16" x14ac:dyDescent="0.2">
      <c r="A113" s="98" t="s">
        <v>1829</v>
      </c>
      <c r="D113" s="102">
        <f>SUMIFS('Other Costs'!$D:$D,'Other Costs'!$A:$A,Heron!$A113,'Other Costs'!$C:$C,"&lt;="&amp;Heron!D$9,'Other Costs'!$C:$C,"&gt;"&amp;Heron!C$9)</f>
        <v>0</v>
      </c>
      <c r="E113" s="102">
        <f>SUMIFS('Other Costs'!$D:$D,'Other Costs'!$A:$A,Heron!$A113,'Other Costs'!$C:$C,"&lt;="&amp;Heron!E$9,'Other Costs'!$C:$C,"&gt;"&amp;Heron!D$9)</f>
        <v>0</v>
      </c>
      <c r="F113" s="102">
        <f>SUMIFS('Other Costs'!$D:$D,'Other Costs'!$A:$A,Heron!$A113,'Other Costs'!$C:$C,"&lt;="&amp;Heron!F$9,'Other Costs'!$C:$C,"&gt;"&amp;Heron!E$9)</f>
        <v>0</v>
      </c>
      <c r="G113" s="102">
        <f>SUMIFS('Other Costs'!$D:$D,'Other Costs'!$A:$A,Heron!$A113,'Other Costs'!$C:$C,"&lt;="&amp;Heron!G$9,'Other Costs'!$C:$C,"&gt;"&amp;Heron!F$9)</f>
        <v>0</v>
      </c>
      <c r="H113" s="102">
        <f>SUMIFS('Other Costs'!$D:$D,'Other Costs'!$A:$A,Heron!$A113,'Other Costs'!$C:$C,"&lt;="&amp;Heron!H$9,'Other Costs'!$C:$C,"&gt;"&amp;Heron!G$9)</f>
        <v>0</v>
      </c>
      <c r="I113" s="102">
        <f>SUMIFS('Other Costs'!$D:$D,'Other Costs'!$A:$A,Heron!$A113,'Other Costs'!$C:$C,"&lt;="&amp;Heron!I$9,'Other Costs'!$C:$C,"&gt;"&amp;Heron!H$9)</f>
        <v>0</v>
      </c>
      <c r="J113" s="102">
        <f>SUMIFS('Other Costs'!$D:$D,'Other Costs'!$A:$A,Heron!$A113,'Other Costs'!$C:$C,"&lt;="&amp;Heron!J$9,'Other Costs'!$C:$C,"&gt;"&amp;Heron!I$9)</f>
        <v>0</v>
      </c>
      <c r="K113" s="102">
        <f>SUMIFS('Other Costs'!$D:$D,'Other Costs'!$A:$A,Heron!$A113,'Other Costs'!$C:$C,"&lt;="&amp;Heron!K$9,'Other Costs'!$C:$C,"&gt;"&amp;Heron!J$9)</f>
        <v>0</v>
      </c>
      <c r="L113" s="102">
        <f>SUMIFS('Other Costs'!$D:$D,'Other Costs'!$A:$A,Heron!$A113,'Other Costs'!$C:$C,"&lt;="&amp;Heron!L$9,'Other Costs'!$C:$C,"&gt;"&amp;Heron!K$9)</f>
        <v>0</v>
      </c>
      <c r="M113" s="102">
        <f>SUMIFS('Other Costs'!$D:$D,'Other Costs'!$A:$A,Heron!$A113,'Other Costs'!$C:$C,"&lt;="&amp;Heron!M$9,'Other Costs'!$C:$C,"&gt;"&amp;Heron!L$9)</f>
        <v>0</v>
      </c>
      <c r="N113" s="102">
        <f>SUMIFS('Other Costs'!$D:$D,'Other Costs'!$A:$A,Heron!$A113,'Other Costs'!$C:$C,"&lt;="&amp;Heron!N$9,'Other Costs'!$C:$C,"&gt;"&amp;Heron!M$9)</f>
        <v>0</v>
      </c>
      <c r="O113" s="102">
        <f>SUMIFS('Other Costs'!$D:$D,'Other Costs'!$A:$A,Heron!$A113,'Other Costs'!$C:$C,"&lt;="&amp;Heron!O$9,'Other Costs'!$C:$C,"&gt;"&amp;Heron!N$9)</f>
        <v>0</v>
      </c>
      <c r="P113" s="102">
        <f>SUMIFS('Other Costs'!$D:$D,'Other Costs'!$A:$A,Heron!$A113,'Other Costs'!$C:$C,"&lt;="&amp;Heron!P$9,'Other Costs'!$C:$C,"&gt;"&amp;Heron!O$9)</f>
        <v>0</v>
      </c>
      <c r="Q113" s="102">
        <f>SUMIFS('Other Costs'!$D:$D,'Other Costs'!$A:$A,Heron!$A113,'Other Costs'!$C:$C,"&lt;="&amp;Heron!Q$9,'Other Costs'!$C:$C,"&gt;"&amp;Heron!P$9)</f>
        <v>0</v>
      </c>
      <c r="R113" s="102">
        <f>SUMIFS('Other Costs'!$D:$D,'Other Costs'!$A:$A,Heron!$A113,'Other Costs'!$C:$C,"&lt;="&amp;Heron!R$9,'Other Costs'!$C:$C,"&gt;"&amp;Heron!Q$9)</f>
        <v>0</v>
      </c>
      <c r="S113" s="102">
        <f>SUMIFS('Other Costs'!$D:$D,'Other Costs'!$A:$A,Heron!$A113,'Other Costs'!$C:$C,"&lt;="&amp;Heron!S$9,'Other Costs'!$C:$C,"&gt;"&amp;Heron!R$9)</f>
        <v>0</v>
      </c>
      <c r="T113" s="102">
        <f>SUMIFS('Other Costs'!$D:$D,'Other Costs'!$A:$A,Heron!$A113,'Other Costs'!$C:$C,"&lt;="&amp;Heron!T$9,'Other Costs'!$C:$C,"&gt;"&amp;Heron!S$9)</f>
        <v>0</v>
      </c>
      <c r="U113" s="102">
        <f>SUMIFS('Other Costs'!$D:$D,'Other Costs'!$A:$A,Heron!$A113,'Other Costs'!$C:$C,"&lt;="&amp;Heron!U$9,'Other Costs'!$C:$C,"&gt;"&amp;Heron!T$9)</f>
        <v>0</v>
      </c>
      <c r="V113" s="102">
        <f>SUMIFS('Other Costs'!$D:$D,'Other Costs'!$A:$A,Heron!$A113,'Other Costs'!$C:$C,"&lt;="&amp;Heron!V$9,'Other Costs'!$C:$C,"&gt;"&amp;Heron!U$9)</f>
        <v>0</v>
      </c>
      <c r="W113" s="102">
        <f>SUMIFS('Other Costs'!$D:$D,'Other Costs'!$A:$A,Heron!$A113,'Other Costs'!$C:$C,"&lt;="&amp;Heron!W$9,'Other Costs'!$C:$C,"&gt;"&amp;Heron!V$9)</f>
        <v>0</v>
      </c>
      <c r="X113" s="102">
        <f>SUMIFS('Other Costs'!$D:$D,'Other Costs'!$A:$A,Heron!$A113,'Other Costs'!$C:$C,"&lt;="&amp;Heron!X$9,'Other Costs'!$C:$C,"&gt;"&amp;Heron!W$9)</f>
        <v>0</v>
      </c>
      <c r="Y113" s="102">
        <f>SUMIFS('Other Costs'!$D:$D,'Other Costs'!$A:$A,Heron!$A113,'Other Costs'!$C:$C,"&lt;="&amp;Heron!Y$9,'Other Costs'!$C:$C,"&gt;"&amp;Heron!X$9)</f>
        <v>0</v>
      </c>
      <c r="Z113" s="102">
        <f>SUMIFS('Other Costs'!$D:$D,'Other Costs'!$A:$A,Heron!$A113,'Other Costs'!$C:$C,"&lt;="&amp;Heron!Z$9,'Other Costs'!$C:$C,"&gt;"&amp;Heron!Y$9)</f>
        <v>0</v>
      </c>
      <c r="AA113" s="102">
        <f>SUMIFS('Other Costs'!$D:$D,'Other Costs'!$A:$A,Heron!$A113,'Other Costs'!$C:$C,"&lt;="&amp;Heron!AA$9,'Other Costs'!$C:$C,"&gt;"&amp;Heron!Z$9)</f>
        <v>0</v>
      </c>
      <c r="AB113" s="102">
        <f>SUMIFS('Other Costs'!$D:$D,'Other Costs'!$A:$A,Heron!$A113,'Other Costs'!$C:$C,"&lt;="&amp;Heron!AB$9,'Other Costs'!$C:$C,"&gt;"&amp;Heron!AA$9)</f>
        <v>0</v>
      </c>
      <c r="AC113" s="102">
        <f>SUMIFS('Other Costs'!$D:$D,'Other Costs'!$A:$A,Heron!$A113,'Other Costs'!$C:$C,"&lt;="&amp;Heron!AC$9,'Other Costs'!$C:$C,"&gt;"&amp;Heron!AB$9)</f>
        <v>0</v>
      </c>
      <c r="AD113" s="102">
        <f>SUMIFS('Other Costs'!$D:$D,'Other Costs'!$A:$A,Heron!$A113,'Other Costs'!$C:$C,"&lt;="&amp;Heron!AD$9,'Other Costs'!$C:$C,"&gt;"&amp;Heron!AC$9)</f>
        <v>0</v>
      </c>
      <c r="AE113" s="102">
        <f>SUMIFS('Other Costs'!$D:$D,'Other Costs'!$A:$A,Heron!$A113,'Other Costs'!$C:$C,"&lt;="&amp;Heron!AE$9,'Other Costs'!$C:$C,"&gt;"&amp;Heron!AD$9)</f>
        <v>0</v>
      </c>
      <c r="AF113" s="102">
        <f>SUMIFS('Other Costs'!$D:$D,'Other Costs'!$A:$A,Heron!$A113,'Other Costs'!$C:$C,"&lt;="&amp;Heron!AF$9,'Other Costs'!$C:$C,"&gt;"&amp;Heron!AE$9)</f>
        <v>0</v>
      </c>
      <c r="AG113" s="102">
        <f>SUMIFS('Other Costs'!$D:$D,'Other Costs'!$A:$A,Heron!$A113,'Other Costs'!$C:$C,"&lt;="&amp;Heron!AG$9,'Other Costs'!$C:$C,"&gt;"&amp;Heron!AF$9)</f>
        <v>0</v>
      </c>
      <c r="AH113" s="102">
        <f>SUMIFS('Other Costs'!$D:$D,'Other Costs'!$A:$A,Heron!$A113,'Other Costs'!$C:$C,"&lt;="&amp;Heron!AH$9,'Other Costs'!$C:$C,"&gt;"&amp;Heron!AG$9)</f>
        <v>0</v>
      </c>
      <c r="AI113" s="102">
        <f>SUMIFS('Other Costs'!$D:$D,'Other Costs'!$A:$A,Heron!$A113,'Other Costs'!$C:$C,"&lt;="&amp;Heron!AI$9,'Other Costs'!$C:$C,"&gt;"&amp;Heron!AH$9)</f>
        <v>5676905</v>
      </c>
      <c r="AJ113" s="102">
        <f>SUMIFS('Other Costs'!$D:$D,'Other Costs'!$A:$A,Heron!$A113,'Other Costs'!$C:$C,"&lt;="&amp;Heron!AJ$9,'Other Costs'!$C:$C,"&gt;"&amp;Heron!AI$9)</f>
        <v>392914.30200000003</v>
      </c>
      <c r="AK113" s="102">
        <f>SUMIFS('Other Costs'!$D:$D,'Other Costs'!$A:$A,Heron!$A113,'Other Costs'!$C:$C,"&lt;="&amp;Heron!AK$9,'Other Costs'!$C:$C,"&gt;"&amp;Heron!AJ$9)</f>
        <v>392914.30200000003</v>
      </c>
      <c r="AL113" s="102">
        <f>SUMIFS('Other Costs'!$D:$D,'Other Costs'!$A:$A,Heron!$A113,'Other Costs'!$C:$C,"&lt;="&amp;Heron!AL$9,'Other Costs'!$C:$C,"&gt;"&amp;Heron!AK$9)</f>
        <v>392914.30200000003</v>
      </c>
      <c r="AM113" s="102">
        <f>SUMIFS('Other Costs'!$D:$D,'Other Costs'!$A:$A,Heron!$A113,'Other Costs'!$C:$C,"&lt;="&amp;Heron!AM$9,'Other Costs'!$C:$C,"&gt;"&amp;Heron!AL$9)</f>
        <v>0</v>
      </c>
      <c r="AN113" s="102">
        <f>SUMIFS('Other Costs'!$D:$D,'Other Costs'!$A:$A,Heron!$A113,'Other Costs'!$C:$C,"&lt;="&amp;Heron!AN$9,'Other Costs'!$C:$C,"&gt;"&amp;Heron!AM$9)</f>
        <v>392914.30200000003</v>
      </c>
      <c r="AO113" s="102">
        <f>SUMIFS('Other Costs'!$D:$D,'Other Costs'!$A:$A,Heron!$A113,'Other Costs'!$C:$C,"&lt;="&amp;Heron!AO$9,'Other Costs'!$C:$C,"&gt;"&amp;Heron!AN$9)</f>
        <v>0</v>
      </c>
      <c r="AP113" s="102">
        <f>SUMIFS('Other Costs'!$D:$D,'Other Costs'!$A:$A,Heron!$A113,'Other Costs'!$C:$C,"&lt;="&amp;Heron!AP$9,'Other Costs'!$C:$C,"&gt;"&amp;Heron!AO$9)</f>
        <v>392914.30200000003</v>
      </c>
      <c r="AQ113" s="102">
        <f>SUMIFS('Other Costs'!$D:$D,'Other Costs'!$A:$A,Heron!$A113,'Other Costs'!$C:$C,"&lt;="&amp;Heron!AQ$9,'Other Costs'!$C:$C,"&gt;"&amp;Heron!AP$9)</f>
        <v>392914.30200000003</v>
      </c>
      <c r="AR113" s="102">
        <f>SUMIFS('Other Costs'!$D:$D,'Other Costs'!$A:$A,Heron!$A113,'Other Costs'!$C:$C,"&lt;="&amp;Heron!AR$9,'Other Costs'!$C:$C,"&gt;"&amp;Heron!AQ$9)</f>
        <v>392914.30200000003</v>
      </c>
      <c r="AS113" s="102">
        <f>SUMIFS('Other Costs'!$D:$D,'Other Costs'!$A:$A,Heron!$A113,'Other Costs'!$C:$C,"&lt;="&amp;Heron!AS$9,'Other Costs'!$C:$C,"&gt;"&amp;Heron!AR$9)</f>
        <v>392914.30200000003</v>
      </c>
      <c r="AT113" s="102">
        <f>SUMIFS('Other Costs'!$D:$D,'Other Costs'!$A:$A,Heron!$A113,'Other Costs'!$C:$C,"&lt;="&amp;Heron!AT$9,'Other Costs'!$C:$C,"&gt;"&amp;Heron!AS$9)</f>
        <v>392914.30200000003</v>
      </c>
      <c r="AU113" s="102">
        <f>SUMIFS('Other Costs'!$D:$D,'Other Costs'!$A:$A,Heron!$A113,'Other Costs'!$C:$C,"&lt;="&amp;Heron!AU$9,'Other Costs'!$C:$C,"&gt;"&amp;Heron!AT$9)</f>
        <v>392914.30200000003</v>
      </c>
      <c r="AV113" s="102">
        <f>SUMIFS('Other Costs'!$D:$D,'Other Costs'!$A:$A,Heron!$A113,'Other Costs'!$C:$C,"&lt;="&amp;Heron!AV$9,'Other Costs'!$C:$C,"&gt;"&amp;Heron!AU$9)</f>
        <v>0</v>
      </c>
      <c r="AW113" s="102">
        <f>SUMIFS('Other Costs'!$D:$D,'Other Costs'!$A:$A,Heron!$A113,'Other Costs'!$C:$C,"&lt;="&amp;Heron!AW$9,'Other Costs'!$C:$C,"&gt;"&amp;Heron!AV$9)</f>
        <v>0</v>
      </c>
      <c r="AX113" s="102">
        <f>SUMIFS('Other Costs'!$D:$D,'Other Costs'!$A:$A,Heron!$A113,'Other Costs'!$C:$C,"&lt;="&amp;Heron!AX$9,'Other Costs'!$C:$C,"&gt;"&amp;Heron!AW$9)</f>
        <v>0</v>
      </c>
      <c r="AY113" s="102">
        <f>SUMIFS('Other Costs'!$D:$D,'Other Costs'!$A:$A,Heron!$A113,'Other Costs'!$C:$C,"&lt;="&amp;Heron!AY$9,'Other Costs'!$C:$C,"&gt;"&amp;Heron!AX$9)</f>
        <v>0</v>
      </c>
      <c r="AZ113" s="102">
        <f>SUMIFS('Other Costs'!$D:$D,'Other Costs'!$A:$A,Heron!$A113,'Other Costs'!$C:$C,"&lt;="&amp;Heron!AZ$9,'Other Costs'!$C:$C,"&gt;"&amp;Heron!AY$9)</f>
        <v>0</v>
      </c>
      <c r="BA113" s="102">
        <f>SUMIFS('Other Costs'!$D:$D,'Other Costs'!$A:$A,Heron!$A113,'Other Costs'!$C:$C,"&lt;="&amp;Heron!BA$9,'Other Costs'!$C:$C,"&gt;"&amp;Heron!AZ$9)</f>
        <v>0</v>
      </c>
      <c r="BB113" s="102">
        <f>SUMIFS('Other Costs'!$D:$D,'Other Costs'!$A:$A,Heron!$A113,'Other Costs'!$C:$C,"&lt;="&amp;Heron!BB$9,'Other Costs'!$C:$C,"&gt;"&amp;Heron!BA$9)</f>
        <v>0</v>
      </c>
      <c r="BC113" s="102">
        <f>SUMIFS('Other Costs'!$D:$D,'Other Costs'!$A:$A,Heron!$A113,'Other Costs'!$C:$C,"&lt;="&amp;Heron!BC$9,'Other Costs'!$C:$C,"&gt;"&amp;Heron!BB$9)</f>
        <v>0</v>
      </c>
      <c r="BD113" s="102">
        <f>SUMIFS('Other Costs'!$D:$D,'Other Costs'!$A:$A,Heron!$A113,'Other Costs'!$C:$C,"&lt;="&amp;Heron!BD$9,'Other Costs'!$C:$C,"&gt;"&amp;Heron!BC$9)</f>
        <v>0</v>
      </c>
      <c r="BE113" s="102">
        <f>SUMIFS('Other Costs'!$D:$D,'Other Costs'!$A:$A,Heron!$A113,'Other Costs'!$C:$C,"&lt;="&amp;Heron!BE$9,'Other Costs'!$C:$C,"&gt;"&amp;Heron!BD$9)</f>
        <v>0</v>
      </c>
      <c r="BF113" s="102">
        <f>SUMIFS('Other Costs'!$D:$D,'Other Costs'!$A:$A,Heron!$A113,'Other Costs'!$C:$C,"&lt;="&amp;Heron!BF$9,'Other Costs'!$C:$C,"&gt;"&amp;Heron!BE$9)</f>
        <v>0</v>
      </c>
      <c r="BG113" s="102">
        <f>SUMIFS('Other Costs'!$D:$D,'Other Costs'!$A:$A,Heron!$A113,'Other Costs'!$C:$C,"&lt;="&amp;Heron!BG$9,'Other Costs'!$C:$C,"&gt;"&amp;Heron!BF$9)</f>
        <v>0</v>
      </c>
      <c r="BH113" s="102">
        <f>SUMIFS('Other Costs'!$D:$D,'Other Costs'!$A:$A,Heron!$A113,'Other Costs'!$C:$C,"&lt;="&amp;Heron!BH$9,'Other Costs'!$C:$C,"&gt;"&amp;Heron!BG$9)</f>
        <v>0</v>
      </c>
      <c r="BI113" s="102">
        <f>SUMIFS('Other Costs'!$D:$D,'Other Costs'!$A:$A,Heron!$A113,'Other Costs'!$C:$C,"&lt;="&amp;Heron!BI$9,'Other Costs'!$C:$C,"&gt;"&amp;Heron!BH$9)</f>
        <v>0</v>
      </c>
      <c r="BJ113" s="102">
        <f>SUMIFS('Other Costs'!$D:$D,'Other Costs'!$A:$A,Heron!$A113,'Other Costs'!$C:$C,"&lt;="&amp;Heron!BJ$9,'Other Costs'!$C:$C,"&gt;"&amp;Heron!BI$9)</f>
        <v>0</v>
      </c>
      <c r="BK113" s="99">
        <f t="shared" si="6"/>
        <v>9606048.0199999977</v>
      </c>
    </row>
    <row r="114" spans="1:64" ht="16" x14ac:dyDescent="0.2">
      <c r="A114" s="98" t="s">
        <v>1831</v>
      </c>
      <c r="D114" s="102">
        <f>SUMIFS('Other Costs'!$D:$D,'Other Costs'!$A:$A,Heron!$A114,'Other Costs'!$C:$C,"&lt;="&amp;Heron!D$9,'Other Costs'!$C:$C,"&gt;"&amp;Heron!C$9)</f>
        <v>0</v>
      </c>
      <c r="E114" s="102">
        <f>SUMIFS('Other Costs'!$D:$D,'Other Costs'!$A:$A,Heron!$A114,'Other Costs'!$C:$C,"&lt;="&amp;Heron!E$9,'Other Costs'!$C:$C,"&gt;"&amp;Heron!D$9)</f>
        <v>0</v>
      </c>
      <c r="F114" s="102">
        <f>SUMIFS('Other Costs'!$D:$D,'Other Costs'!$A:$A,Heron!$A114,'Other Costs'!$C:$C,"&lt;="&amp;Heron!F$9,'Other Costs'!$C:$C,"&gt;"&amp;Heron!E$9)</f>
        <v>0</v>
      </c>
      <c r="G114" s="102">
        <f>SUMIFS('Other Costs'!$D:$D,'Other Costs'!$A:$A,Heron!$A114,'Other Costs'!$C:$C,"&lt;="&amp;Heron!G$9,'Other Costs'!$C:$C,"&gt;"&amp;Heron!F$9)</f>
        <v>0</v>
      </c>
      <c r="H114" s="102">
        <f>SUMIFS('Other Costs'!$D:$D,'Other Costs'!$A:$A,Heron!$A114,'Other Costs'!$C:$C,"&lt;="&amp;Heron!H$9,'Other Costs'!$C:$C,"&gt;"&amp;Heron!G$9)</f>
        <v>0</v>
      </c>
      <c r="I114" s="102">
        <f>SUMIFS('Other Costs'!$D:$D,'Other Costs'!$A:$A,Heron!$A114,'Other Costs'!$C:$C,"&lt;="&amp;Heron!I$9,'Other Costs'!$C:$C,"&gt;"&amp;Heron!H$9)</f>
        <v>0</v>
      </c>
      <c r="J114" s="102">
        <f>SUMIFS('Other Costs'!$D:$D,'Other Costs'!$A:$A,Heron!$A114,'Other Costs'!$C:$C,"&lt;="&amp;Heron!J$9,'Other Costs'!$C:$C,"&gt;"&amp;Heron!I$9)</f>
        <v>0</v>
      </c>
      <c r="K114" s="102">
        <f>SUMIFS('Other Costs'!$D:$D,'Other Costs'!$A:$A,Heron!$A114,'Other Costs'!$C:$C,"&lt;="&amp;Heron!K$9,'Other Costs'!$C:$C,"&gt;"&amp;Heron!J$9)</f>
        <v>0</v>
      </c>
      <c r="L114" s="102">
        <f>SUMIFS('Other Costs'!$D:$D,'Other Costs'!$A:$A,Heron!$A114,'Other Costs'!$C:$C,"&lt;="&amp;Heron!L$9,'Other Costs'!$C:$C,"&gt;"&amp;Heron!K$9)</f>
        <v>0</v>
      </c>
      <c r="M114" s="102">
        <f>SUMIFS('Other Costs'!$D:$D,'Other Costs'!$A:$A,Heron!$A114,'Other Costs'!$C:$C,"&lt;="&amp;Heron!M$9,'Other Costs'!$C:$C,"&gt;"&amp;Heron!L$9)</f>
        <v>0</v>
      </c>
      <c r="N114" s="102">
        <f>SUMIFS('Other Costs'!$D:$D,'Other Costs'!$A:$A,Heron!$A114,'Other Costs'!$C:$C,"&lt;="&amp;Heron!N$9,'Other Costs'!$C:$C,"&gt;"&amp;Heron!M$9)</f>
        <v>0</v>
      </c>
      <c r="O114" s="102">
        <f>SUMIFS('Other Costs'!$D:$D,'Other Costs'!$A:$A,Heron!$A114,'Other Costs'!$C:$C,"&lt;="&amp;Heron!O$9,'Other Costs'!$C:$C,"&gt;"&amp;Heron!N$9)</f>
        <v>0</v>
      </c>
      <c r="P114" s="102">
        <f>SUMIFS('Other Costs'!$D:$D,'Other Costs'!$A:$A,Heron!$A114,'Other Costs'!$C:$C,"&lt;="&amp;Heron!P$9,'Other Costs'!$C:$C,"&gt;"&amp;Heron!O$9)</f>
        <v>0</v>
      </c>
      <c r="Q114" s="102">
        <f>SUMIFS('Other Costs'!$D:$D,'Other Costs'!$A:$A,Heron!$A114,'Other Costs'!$C:$C,"&lt;="&amp;Heron!Q$9,'Other Costs'!$C:$C,"&gt;"&amp;Heron!P$9)</f>
        <v>0</v>
      </c>
      <c r="R114" s="102">
        <f>SUMIFS('Other Costs'!$D:$D,'Other Costs'!$A:$A,Heron!$A114,'Other Costs'!$C:$C,"&lt;="&amp;Heron!R$9,'Other Costs'!$C:$C,"&gt;"&amp;Heron!Q$9)</f>
        <v>0</v>
      </c>
      <c r="S114" s="102">
        <f>SUMIFS('Other Costs'!$D:$D,'Other Costs'!$A:$A,Heron!$A114,'Other Costs'!$C:$C,"&lt;="&amp;Heron!S$9,'Other Costs'!$C:$C,"&gt;"&amp;Heron!R$9)</f>
        <v>0</v>
      </c>
      <c r="T114" s="102">
        <f>SUMIFS('Other Costs'!$D:$D,'Other Costs'!$A:$A,Heron!$A114,'Other Costs'!$C:$C,"&lt;="&amp;Heron!T$9,'Other Costs'!$C:$C,"&gt;"&amp;Heron!S$9)</f>
        <v>0</v>
      </c>
      <c r="U114" s="102">
        <f>SUMIFS('Other Costs'!$D:$D,'Other Costs'!$A:$A,Heron!$A114,'Other Costs'!$C:$C,"&lt;="&amp;Heron!U$9,'Other Costs'!$C:$C,"&gt;"&amp;Heron!T$9)</f>
        <v>0</v>
      </c>
      <c r="V114" s="102">
        <f>SUMIFS('Other Costs'!$D:$D,'Other Costs'!$A:$A,Heron!$A114,'Other Costs'!$C:$C,"&lt;="&amp;Heron!V$9,'Other Costs'!$C:$C,"&gt;"&amp;Heron!U$9)</f>
        <v>0</v>
      </c>
      <c r="W114" s="102">
        <f>SUMIFS('Other Costs'!$D:$D,'Other Costs'!$A:$A,Heron!$A114,'Other Costs'!$C:$C,"&lt;="&amp;Heron!W$9,'Other Costs'!$C:$C,"&gt;"&amp;Heron!V$9)</f>
        <v>0</v>
      </c>
      <c r="X114" s="102">
        <f>SUMIFS('Other Costs'!$D:$D,'Other Costs'!$A:$A,Heron!$A114,'Other Costs'!$C:$C,"&lt;="&amp;Heron!X$9,'Other Costs'!$C:$C,"&gt;"&amp;Heron!W$9)</f>
        <v>0</v>
      </c>
      <c r="Y114" s="102">
        <f>SUMIFS('Other Costs'!$D:$D,'Other Costs'!$A:$A,Heron!$A114,'Other Costs'!$C:$C,"&lt;="&amp;Heron!Y$9,'Other Costs'!$C:$C,"&gt;"&amp;Heron!X$9)</f>
        <v>0</v>
      </c>
      <c r="Z114" s="102">
        <f>SUMIFS('Other Costs'!$D:$D,'Other Costs'!$A:$A,Heron!$A114,'Other Costs'!$C:$C,"&lt;="&amp;Heron!Z$9,'Other Costs'!$C:$C,"&gt;"&amp;Heron!Y$9)</f>
        <v>0</v>
      </c>
      <c r="AA114" s="102">
        <f>SUMIFS('Other Costs'!$D:$D,'Other Costs'!$A:$A,Heron!$A114,'Other Costs'!$C:$C,"&lt;="&amp;Heron!AA$9,'Other Costs'!$C:$C,"&gt;"&amp;Heron!Z$9)</f>
        <v>0</v>
      </c>
      <c r="AB114" s="102">
        <f>SUMIFS('Other Costs'!$D:$D,'Other Costs'!$A:$A,Heron!$A114,'Other Costs'!$C:$C,"&lt;="&amp;Heron!AB$9,'Other Costs'!$C:$C,"&gt;"&amp;Heron!AA$9)</f>
        <v>0</v>
      </c>
      <c r="AC114" s="102">
        <f>SUMIFS('Other Costs'!$D:$D,'Other Costs'!$A:$A,Heron!$A114,'Other Costs'!$C:$C,"&lt;="&amp;Heron!AC$9,'Other Costs'!$C:$C,"&gt;"&amp;Heron!AB$9)</f>
        <v>0</v>
      </c>
      <c r="AD114" s="102">
        <f>SUMIFS('Other Costs'!$D:$D,'Other Costs'!$A:$A,Heron!$A114,'Other Costs'!$C:$C,"&lt;="&amp;Heron!AD$9,'Other Costs'!$C:$C,"&gt;"&amp;Heron!AC$9)</f>
        <v>0</v>
      </c>
      <c r="AE114" s="102">
        <f>SUMIFS('Other Costs'!$D:$D,'Other Costs'!$A:$A,Heron!$A114,'Other Costs'!$C:$C,"&lt;="&amp;Heron!AE$9,'Other Costs'!$C:$C,"&gt;"&amp;Heron!AD$9)</f>
        <v>0</v>
      </c>
      <c r="AF114" s="102">
        <f>SUMIFS('Other Costs'!$D:$D,'Other Costs'!$A:$A,Heron!$A114,'Other Costs'!$C:$C,"&lt;="&amp;Heron!AF$9,'Other Costs'!$C:$C,"&gt;"&amp;Heron!AE$9)</f>
        <v>0</v>
      </c>
      <c r="AG114" s="102">
        <f>SUMIFS('Other Costs'!$D:$D,'Other Costs'!$A:$A,Heron!$A114,'Other Costs'!$C:$C,"&lt;="&amp;Heron!AG$9,'Other Costs'!$C:$C,"&gt;"&amp;Heron!AF$9)</f>
        <v>0</v>
      </c>
      <c r="AH114" s="102">
        <f>SUMIFS('Other Costs'!$D:$D,'Other Costs'!$A:$A,Heron!$A114,'Other Costs'!$C:$C,"&lt;="&amp;Heron!AH$9,'Other Costs'!$C:$C,"&gt;"&amp;Heron!AG$9)</f>
        <v>0</v>
      </c>
      <c r="AI114" s="102">
        <f>SUMIFS('Other Costs'!$D:$D,'Other Costs'!$A:$A,Heron!$A114,'Other Costs'!$C:$C,"&lt;="&amp;Heron!AI$9,'Other Costs'!$C:$C,"&gt;"&amp;Heron!AH$9)</f>
        <v>5361342.92</v>
      </c>
      <c r="AJ114" s="102">
        <f>SUMIFS('Other Costs'!$D:$D,'Other Costs'!$A:$A,Heron!$A114,'Other Costs'!$C:$C,"&lt;="&amp;Heron!AJ$9,'Other Costs'!$C:$C,"&gt;"&amp;Heron!AI$9)</f>
        <v>0</v>
      </c>
      <c r="AK114" s="102">
        <f>SUMIFS('Other Costs'!$D:$D,'Other Costs'!$A:$A,Heron!$A114,'Other Costs'!$C:$C,"&lt;="&amp;Heron!AK$9,'Other Costs'!$C:$C,"&gt;"&amp;Heron!AJ$9)</f>
        <v>0</v>
      </c>
      <c r="AL114" s="102">
        <f>SUMIFS('Other Costs'!$D:$D,'Other Costs'!$A:$A,Heron!$A114,'Other Costs'!$C:$C,"&lt;="&amp;Heron!AL$9,'Other Costs'!$C:$C,"&gt;"&amp;Heron!AK$9)</f>
        <v>0</v>
      </c>
      <c r="AM114" s="102">
        <f>SUMIFS('Other Costs'!$D:$D,'Other Costs'!$A:$A,Heron!$A114,'Other Costs'!$C:$C,"&lt;="&amp;Heron!AM$9,'Other Costs'!$C:$C,"&gt;"&amp;Heron!AL$9)</f>
        <v>0</v>
      </c>
      <c r="AN114" s="102">
        <f>SUMIFS('Other Costs'!$D:$D,'Other Costs'!$A:$A,Heron!$A114,'Other Costs'!$C:$C,"&lt;="&amp;Heron!AN$9,'Other Costs'!$C:$C,"&gt;"&amp;Heron!AM$9)</f>
        <v>0</v>
      </c>
      <c r="AO114" s="102">
        <f>SUMIFS('Other Costs'!$D:$D,'Other Costs'!$A:$A,Heron!$A114,'Other Costs'!$C:$C,"&lt;="&amp;Heron!AO$9,'Other Costs'!$C:$C,"&gt;"&amp;Heron!AN$9)</f>
        <v>0</v>
      </c>
      <c r="AP114" s="102">
        <f>SUMIFS('Other Costs'!$D:$D,'Other Costs'!$A:$A,Heron!$A114,'Other Costs'!$C:$C,"&lt;="&amp;Heron!AP$9,'Other Costs'!$C:$C,"&gt;"&amp;Heron!AO$9)</f>
        <v>0</v>
      </c>
      <c r="AQ114" s="102">
        <f>SUMIFS('Other Costs'!$D:$D,'Other Costs'!$A:$A,Heron!$A114,'Other Costs'!$C:$C,"&lt;="&amp;Heron!AQ$9,'Other Costs'!$C:$C,"&gt;"&amp;Heron!AP$9)</f>
        <v>0</v>
      </c>
      <c r="AR114" s="102">
        <f>SUMIFS('Other Costs'!$D:$D,'Other Costs'!$A:$A,Heron!$A114,'Other Costs'!$C:$C,"&lt;="&amp;Heron!AR$9,'Other Costs'!$C:$C,"&gt;"&amp;Heron!AQ$9)</f>
        <v>0</v>
      </c>
      <c r="AS114" s="102">
        <f>SUMIFS('Other Costs'!$D:$D,'Other Costs'!$A:$A,Heron!$A114,'Other Costs'!$C:$C,"&lt;="&amp;Heron!AS$9,'Other Costs'!$C:$C,"&gt;"&amp;Heron!AR$9)</f>
        <v>0</v>
      </c>
      <c r="AT114" s="102">
        <f>SUMIFS('Other Costs'!$D:$D,'Other Costs'!$A:$A,Heron!$A114,'Other Costs'!$C:$C,"&lt;="&amp;Heron!AT$9,'Other Costs'!$C:$C,"&gt;"&amp;Heron!AS$9)</f>
        <v>0</v>
      </c>
      <c r="AU114" s="102">
        <f>SUMIFS('Other Costs'!$D:$D,'Other Costs'!$A:$A,Heron!$A114,'Other Costs'!$C:$C,"&lt;="&amp;Heron!AU$9,'Other Costs'!$C:$C,"&gt;"&amp;Heron!AT$9)</f>
        <v>0</v>
      </c>
      <c r="AV114" s="102">
        <f>SUMIFS('Other Costs'!$D:$D,'Other Costs'!$A:$A,Heron!$A114,'Other Costs'!$C:$C,"&lt;="&amp;Heron!AV$9,'Other Costs'!$C:$C,"&gt;"&amp;Heron!AU$9)</f>
        <v>0</v>
      </c>
      <c r="AW114" s="102">
        <f>SUMIFS('Other Costs'!$D:$D,'Other Costs'!$A:$A,Heron!$A114,'Other Costs'!$C:$C,"&lt;="&amp;Heron!AW$9,'Other Costs'!$C:$C,"&gt;"&amp;Heron!AV$9)</f>
        <v>0</v>
      </c>
      <c r="AX114" s="102">
        <f>SUMIFS('Other Costs'!$D:$D,'Other Costs'!$A:$A,Heron!$A114,'Other Costs'!$C:$C,"&lt;="&amp;Heron!AX$9,'Other Costs'!$C:$C,"&gt;"&amp;Heron!AW$9)</f>
        <v>0</v>
      </c>
      <c r="AY114" s="102">
        <f>SUMIFS('Other Costs'!$D:$D,'Other Costs'!$A:$A,Heron!$A114,'Other Costs'!$C:$C,"&lt;="&amp;Heron!AY$9,'Other Costs'!$C:$C,"&gt;"&amp;Heron!AX$9)</f>
        <v>0</v>
      </c>
      <c r="AZ114" s="102">
        <f>SUMIFS('Other Costs'!$D:$D,'Other Costs'!$A:$A,Heron!$A114,'Other Costs'!$C:$C,"&lt;="&amp;Heron!AZ$9,'Other Costs'!$C:$C,"&gt;"&amp;Heron!AY$9)</f>
        <v>0</v>
      </c>
      <c r="BA114" s="102">
        <f>SUMIFS('Other Costs'!$D:$D,'Other Costs'!$A:$A,Heron!$A114,'Other Costs'!$C:$C,"&lt;="&amp;Heron!BA$9,'Other Costs'!$C:$C,"&gt;"&amp;Heron!AZ$9)</f>
        <v>0</v>
      </c>
      <c r="BB114" s="102">
        <f>SUMIFS('Other Costs'!$D:$D,'Other Costs'!$A:$A,Heron!$A114,'Other Costs'!$C:$C,"&lt;="&amp;Heron!BB$9,'Other Costs'!$C:$C,"&gt;"&amp;Heron!BA$9)</f>
        <v>0</v>
      </c>
      <c r="BC114" s="102">
        <f>SUMIFS('Other Costs'!$D:$D,'Other Costs'!$A:$A,Heron!$A114,'Other Costs'!$C:$C,"&lt;="&amp;Heron!BC$9,'Other Costs'!$C:$C,"&gt;"&amp;Heron!BB$9)</f>
        <v>0</v>
      </c>
      <c r="BD114" s="102">
        <f>SUMIFS('Other Costs'!$D:$D,'Other Costs'!$A:$A,Heron!$A114,'Other Costs'!$C:$C,"&lt;="&amp;Heron!BD$9,'Other Costs'!$C:$C,"&gt;"&amp;Heron!BC$9)</f>
        <v>0</v>
      </c>
      <c r="BE114" s="102">
        <f>SUMIFS('Other Costs'!$D:$D,'Other Costs'!$A:$A,Heron!$A114,'Other Costs'!$C:$C,"&lt;="&amp;Heron!BE$9,'Other Costs'!$C:$C,"&gt;"&amp;Heron!BD$9)</f>
        <v>0</v>
      </c>
      <c r="BF114" s="102">
        <f>SUMIFS('Other Costs'!$D:$D,'Other Costs'!$A:$A,Heron!$A114,'Other Costs'!$C:$C,"&lt;="&amp;Heron!BF$9,'Other Costs'!$C:$C,"&gt;"&amp;Heron!BE$9)</f>
        <v>0</v>
      </c>
      <c r="BG114" s="102">
        <f>SUMIFS('Other Costs'!$D:$D,'Other Costs'!$A:$A,Heron!$A114,'Other Costs'!$C:$C,"&lt;="&amp;Heron!BG$9,'Other Costs'!$C:$C,"&gt;"&amp;Heron!BF$9)</f>
        <v>0</v>
      </c>
      <c r="BH114" s="102">
        <f>SUMIFS('Other Costs'!$D:$D,'Other Costs'!$A:$A,Heron!$A114,'Other Costs'!$C:$C,"&lt;="&amp;Heron!BH$9,'Other Costs'!$C:$C,"&gt;"&amp;Heron!BG$9)</f>
        <v>0</v>
      </c>
      <c r="BI114" s="102">
        <f>SUMIFS('Other Costs'!$D:$D,'Other Costs'!$A:$A,Heron!$A114,'Other Costs'!$C:$C,"&lt;="&amp;Heron!BI$9,'Other Costs'!$C:$C,"&gt;"&amp;Heron!BH$9)</f>
        <v>0</v>
      </c>
      <c r="BJ114" s="102">
        <f>SUMIFS('Other Costs'!$D:$D,'Other Costs'!$A:$A,Heron!$A114,'Other Costs'!$C:$C,"&lt;="&amp;Heron!BJ$9,'Other Costs'!$C:$C,"&gt;"&amp;Heron!BI$9)</f>
        <v>0</v>
      </c>
      <c r="BK114" s="99">
        <f t="shared" si="6"/>
        <v>5361342.92</v>
      </c>
    </row>
    <row r="115" spans="1:64" ht="16" x14ac:dyDescent="0.2">
      <c r="A115" s="98" t="s">
        <v>1830</v>
      </c>
      <c r="D115" s="102">
        <f>SUMIFS('Other Costs'!$D:$D,'Other Costs'!$A:$A,Heron!$A115,'Other Costs'!$C:$C,"&lt;="&amp;Heron!D$9,'Other Costs'!$C:$C,"&gt;"&amp;Heron!C$9)</f>
        <v>0</v>
      </c>
      <c r="E115" s="102">
        <f>SUMIFS('Other Costs'!$D:$D,'Other Costs'!$A:$A,Heron!$A115,'Other Costs'!$C:$C,"&lt;="&amp;Heron!E$9,'Other Costs'!$C:$C,"&gt;"&amp;Heron!D$9)</f>
        <v>0</v>
      </c>
      <c r="F115" s="102">
        <f>SUMIFS('Other Costs'!$D:$D,'Other Costs'!$A:$A,Heron!$A115,'Other Costs'!$C:$C,"&lt;="&amp;Heron!F$9,'Other Costs'!$C:$C,"&gt;"&amp;Heron!E$9)</f>
        <v>0</v>
      </c>
      <c r="G115" s="102">
        <f>SUMIFS('Other Costs'!$D:$D,'Other Costs'!$A:$A,Heron!$A115,'Other Costs'!$C:$C,"&lt;="&amp;Heron!G$9,'Other Costs'!$C:$C,"&gt;"&amp;Heron!F$9)</f>
        <v>0</v>
      </c>
      <c r="H115" s="102">
        <f>SUMIFS('Other Costs'!$D:$D,'Other Costs'!$A:$A,Heron!$A115,'Other Costs'!$C:$C,"&lt;="&amp;Heron!H$9,'Other Costs'!$C:$C,"&gt;"&amp;Heron!G$9)</f>
        <v>0</v>
      </c>
      <c r="I115" s="102">
        <f>SUMIFS('Other Costs'!$D:$D,'Other Costs'!$A:$A,Heron!$A115,'Other Costs'!$C:$C,"&lt;="&amp;Heron!I$9,'Other Costs'!$C:$C,"&gt;"&amp;Heron!H$9)</f>
        <v>0</v>
      </c>
      <c r="J115" s="102">
        <f>SUMIFS('Other Costs'!$D:$D,'Other Costs'!$A:$A,Heron!$A115,'Other Costs'!$C:$C,"&lt;="&amp;Heron!J$9,'Other Costs'!$C:$C,"&gt;"&amp;Heron!I$9)</f>
        <v>0</v>
      </c>
      <c r="K115" s="102">
        <f>SUMIFS('Other Costs'!$D:$D,'Other Costs'!$A:$A,Heron!$A115,'Other Costs'!$C:$C,"&lt;="&amp;Heron!K$9,'Other Costs'!$C:$C,"&gt;"&amp;Heron!J$9)</f>
        <v>0</v>
      </c>
      <c r="L115" s="102">
        <f>SUMIFS('Other Costs'!$D:$D,'Other Costs'!$A:$A,Heron!$A115,'Other Costs'!$C:$C,"&lt;="&amp;Heron!L$9,'Other Costs'!$C:$C,"&gt;"&amp;Heron!K$9)</f>
        <v>0</v>
      </c>
      <c r="M115" s="102">
        <f>SUMIFS('Other Costs'!$D:$D,'Other Costs'!$A:$A,Heron!$A115,'Other Costs'!$C:$C,"&lt;="&amp;Heron!M$9,'Other Costs'!$C:$C,"&gt;"&amp;Heron!L$9)</f>
        <v>0</v>
      </c>
      <c r="N115" s="102">
        <f>SUMIFS('Other Costs'!$D:$D,'Other Costs'!$A:$A,Heron!$A115,'Other Costs'!$C:$C,"&lt;="&amp;Heron!N$9,'Other Costs'!$C:$C,"&gt;"&amp;Heron!M$9)</f>
        <v>0</v>
      </c>
      <c r="O115" s="102">
        <f>SUMIFS('Other Costs'!$D:$D,'Other Costs'!$A:$A,Heron!$A115,'Other Costs'!$C:$C,"&lt;="&amp;Heron!O$9,'Other Costs'!$C:$C,"&gt;"&amp;Heron!N$9)</f>
        <v>0</v>
      </c>
      <c r="P115" s="102">
        <f>SUMIFS('Other Costs'!$D:$D,'Other Costs'!$A:$A,Heron!$A115,'Other Costs'!$C:$C,"&lt;="&amp;Heron!P$9,'Other Costs'!$C:$C,"&gt;"&amp;Heron!O$9)</f>
        <v>0</v>
      </c>
      <c r="Q115" s="102">
        <f>SUMIFS('Other Costs'!$D:$D,'Other Costs'!$A:$A,Heron!$A115,'Other Costs'!$C:$C,"&lt;="&amp;Heron!Q$9,'Other Costs'!$C:$C,"&gt;"&amp;Heron!P$9)</f>
        <v>0</v>
      </c>
      <c r="R115" s="102">
        <f>SUMIFS('Other Costs'!$D:$D,'Other Costs'!$A:$A,Heron!$A115,'Other Costs'!$C:$C,"&lt;="&amp;Heron!R$9,'Other Costs'!$C:$C,"&gt;"&amp;Heron!Q$9)</f>
        <v>0</v>
      </c>
      <c r="S115" s="102">
        <f>SUMIFS('Other Costs'!$D:$D,'Other Costs'!$A:$A,Heron!$A115,'Other Costs'!$C:$C,"&lt;="&amp;Heron!S$9,'Other Costs'!$C:$C,"&gt;"&amp;Heron!R$9)</f>
        <v>0</v>
      </c>
      <c r="T115" s="102">
        <f>SUMIFS('Other Costs'!$D:$D,'Other Costs'!$A:$A,Heron!$A115,'Other Costs'!$C:$C,"&lt;="&amp;Heron!T$9,'Other Costs'!$C:$C,"&gt;"&amp;Heron!S$9)</f>
        <v>0</v>
      </c>
      <c r="U115" s="102">
        <f>SUMIFS('Other Costs'!$D:$D,'Other Costs'!$A:$A,Heron!$A115,'Other Costs'!$C:$C,"&lt;="&amp;Heron!U$9,'Other Costs'!$C:$C,"&gt;"&amp;Heron!T$9)</f>
        <v>0</v>
      </c>
      <c r="V115" s="102">
        <f>SUMIFS('Other Costs'!$D:$D,'Other Costs'!$A:$A,Heron!$A115,'Other Costs'!$C:$C,"&lt;="&amp;Heron!V$9,'Other Costs'!$C:$C,"&gt;"&amp;Heron!U$9)</f>
        <v>0</v>
      </c>
      <c r="W115" s="102">
        <f>SUMIFS('Other Costs'!$D:$D,'Other Costs'!$A:$A,Heron!$A115,'Other Costs'!$C:$C,"&lt;="&amp;Heron!W$9,'Other Costs'!$C:$C,"&gt;"&amp;Heron!V$9)</f>
        <v>0</v>
      </c>
      <c r="X115" s="102">
        <f>SUMIFS('Other Costs'!$D:$D,'Other Costs'!$A:$A,Heron!$A115,'Other Costs'!$C:$C,"&lt;="&amp;Heron!X$9,'Other Costs'!$C:$C,"&gt;"&amp;Heron!W$9)</f>
        <v>0</v>
      </c>
      <c r="Y115" s="102">
        <f>SUMIFS('Other Costs'!$D:$D,'Other Costs'!$A:$A,Heron!$A115,'Other Costs'!$C:$C,"&lt;="&amp;Heron!Y$9,'Other Costs'!$C:$C,"&gt;"&amp;Heron!X$9)</f>
        <v>0</v>
      </c>
      <c r="Z115" s="102">
        <f>SUMIFS('Other Costs'!$D:$D,'Other Costs'!$A:$A,Heron!$A115,'Other Costs'!$C:$C,"&lt;="&amp;Heron!Z$9,'Other Costs'!$C:$C,"&gt;"&amp;Heron!Y$9)</f>
        <v>0</v>
      </c>
      <c r="AA115" s="102">
        <f>SUMIFS('Other Costs'!$D:$D,'Other Costs'!$A:$A,Heron!$A115,'Other Costs'!$C:$C,"&lt;="&amp;Heron!AA$9,'Other Costs'!$C:$C,"&gt;"&amp;Heron!Z$9)</f>
        <v>0</v>
      </c>
      <c r="AB115" s="102">
        <f>SUMIFS('Other Costs'!$D:$D,'Other Costs'!$A:$A,Heron!$A115,'Other Costs'!$C:$C,"&lt;="&amp;Heron!AB$9,'Other Costs'!$C:$C,"&gt;"&amp;Heron!AA$9)</f>
        <v>0</v>
      </c>
      <c r="AC115" s="102">
        <f>SUMIFS('Other Costs'!$D:$D,'Other Costs'!$A:$A,Heron!$A115,'Other Costs'!$C:$C,"&lt;="&amp;Heron!AC$9,'Other Costs'!$C:$C,"&gt;"&amp;Heron!AB$9)</f>
        <v>0</v>
      </c>
      <c r="AD115" s="102">
        <f>SUMIFS('Other Costs'!$D:$D,'Other Costs'!$A:$A,Heron!$A115,'Other Costs'!$C:$C,"&lt;="&amp;Heron!AD$9,'Other Costs'!$C:$C,"&gt;"&amp;Heron!AC$9)</f>
        <v>0</v>
      </c>
      <c r="AE115" s="102">
        <f>SUMIFS('Other Costs'!$D:$D,'Other Costs'!$A:$A,Heron!$A115,'Other Costs'!$C:$C,"&lt;="&amp;Heron!AE$9,'Other Costs'!$C:$C,"&gt;"&amp;Heron!AD$9)</f>
        <v>0</v>
      </c>
      <c r="AF115" s="102">
        <f>SUMIFS('Other Costs'!$D:$D,'Other Costs'!$A:$A,Heron!$A115,'Other Costs'!$C:$C,"&lt;="&amp;Heron!AF$9,'Other Costs'!$C:$C,"&gt;"&amp;Heron!AE$9)</f>
        <v>0</v>
      </c>
      <c r="AG115" s="102">
        <f>SUMIFS('Other Costs'!$D:$D,'Other Costs'!$A:$A,Heron!$A115,'Other Costs'!$C:$C,"&lt;="&amp;Heron!AG$9,'Other Costs'!$C:$C,"&gt;"&amp;Heron!AF$9)</f>
        <v>0</v>
      </c>
      <c r="AH115" s="102">
        <f>SUMIFS('Other Costs'!$D:$D,'Other Costs'!$A:$A,Heron!$A115,'Other Costs'!$C:$C,"&lt;="&amp;Heron!AH$9,'Other Costs'!$C:$C,"&gt;"&amp;Heron!AG$9)</f>
        <v>0</v>
      </c>
      <c r="AI115" s="102">
        <f>SUMIFS('Other Costs'!$D:$D,'Other Costs'!$A:$A,Heron!$A115,'Other Costs'!$C:$C,"&lt;="&amp;Heron!AI$9,'Other Costs'!$C:$C,"&gt;"&amp;Heron!AH$9)</f>
        <v>17272544</v>
      </c>
      <c r="AJ115" s="102">
        <f>SUMIFS('Other Costs'!$D:$D,'Other Costs'!$A:$A,Heron!$A115,'Other Costs'!$C:$C,"&lt;="&amp;Heron!AJ$9,'Other Costs'!$C:$C,"&gt;"&amp;Heron!AI$9)</f>
        <v>800000</v>
      </c>
      <c r="AK115" s="102">
        <f>SUMIFS('Other Costs'!$D:$D,'Other Costs'!$A:$A,Heron!$A115,'Other Costs'!$C:$C,"&lt;="&amp;Heron!AK$9,'Other Costs'!$C:$C,"&gt;"&amp;Heron!AJ$9)</f>
        <v>800000</v>
      </c>
      <c r="AL115" s="102">
        <f>SUMIFS('Other Costs'!$D:$D,'Other Costs'!$A:$A,Heron!$A115,'Other Costs'!$C:$C,"&lt;="&amp;Heron!AL$9,'Other Costs'!$C:$C,"&gt;"&amp;Heron!AK$9)</f>
        <v>800000</v>
      </c>
      <c r="AM115" s="102">
        <f>SUMIFS('Other Costs'!$D:$D,'Other Costs'!$A:$A,Heron!$A115,'Other Costs'!$C:$C,"&lt;="&amp;Heron!AM$9,'Other Costs'!$C:$C,"&gt;"&amp;Heron!AL$9)</f>
        <v>0</v>
      </c>
      <c r="AN115" s="102">
        <f>SUMIFS('Other Costs'!$D:$D,'Other Costs'!$A:$A,Heron!$A115,'Other Costs'!$C:$C,"&lt;="&amp;Heron!AN$9,'Other Costs'!$C:$C,"&gt;"&amp;Heron!AM$9)</f>
        <v>800000</v>
      </c>
      <c r="AO115" s="102">
        <f>SUMIFS('Other Costs'!$D:$D,'Other Costs'!$A:$A,Heron!$A115,'Other Costs'!$C:$C,"&lt;="&amp;Heron!AO$9,'Other Costs'!$C:$C,"&gt;"&amp;Heron!AN$9)</f>
        <v>0</v>
      </c>
      <c r="AP115" s="102">
        <f>SUMIFS('Other Costs'!$D:$D,'Other Costs'!$A:$A,Heron!$A115,'Other Costs'!$C:$C,"&lt;="&amp;Heron!AP$9,'Other Costs'!$C:$C,"&gt;"&amp;Heron!AO$9)</f>
        <v>800000</v>
      </c>
      <c r="AQ115" s="102">
        <f>SUMIFS('Other Costs'!$D:$D,'Other Costs'!$A:$A,Heron!$A115,'Other Costs'!$C:$C,"&lt;="&amp;Heron!AQ$9,'Other Costs'!$C:$C,"&gt;"&amp;Heron!AP$9)</f>
        <v>800000</v>
      </c>
      <c r="AR115" s="102">
        <f>SUMIFS('Other Costs'!$D:$D,'Other Costs'!$A:$A,Heron!$A115,'Other Costs'!$C:$C,"&lt;="&amp;Heron!AR$9,'Other Costs'!$C:$C,"&gt;"&amp;Heron!AQ$9)</f>
        <v>800000</v>
      </c>
      <c r="AS115" s="102">
        <f>SUMIFS('Other Costs'!$D:$D,'Other Costs'!$A:$A,Heron!$A115,'Other Costs'!$C:$C,"&lt;="&amp;Heron!AS$9,'Other Costs'!$C:$C,"&gt;"&amp;Heron!AR$9)</f>
        <v>800000</v>
      </c>
      <c r="AT115" s="102">
        <f>SUMIFS('Other Costs'!$D:$D,'Other Costs'!$A:$A,Heron!$A115,'Other Costs'!$C:$C,"&lt;="&amp;Heron!AT$9,'Other Costs'!$C:$C,"&gt;"&amp;Heron!AS$9)</f>
        <v>800000</v>
      </c>
      <c r="AU115" s="102">
        <f>SUMIFS('Other Costs'!$D:$D,'Other Costs'!$A:$A,Heron!$A115,'Other Costs'!$C:$C,"&lt;="&amp;Heron!AU$9,'Other Costs'!$C:$C,"&gt;"&amp;Heron!AT$9)</f>
        <v>800000</v>
      </c>
      <c r="AV115" s="102">
        <f>SUMIFS('Other Costs'!$D:$D,'Other Costs'!$A:$A,Heron!$A115,'Other Costs'!$C:$C,"&lt;="&amp;Heron!AV$9,'Other Costs'!$C:$C,"&gt;"&amp;Heron!AU$9)</f>
        <v>0</v>
      </c>
      <c r="AW115" s="102">
        <f>SUMIFS('Other Costs'!$D:$D,'Other Costs'!$A:$A,Heron!$A115,'Other Costs'!$C:$C,"&lt;="&amp;Heron!AW$9,'Other Costs'!$C:$C,"&gt;"&amp;Heron!AV$9)</f>
        <v>0</v>
      </c>
      <c r="AX115" s="102">
        <f>SUMIFS('Other Costs'!$D:$D,'Other Costs'!$A:$A,Heron!$A115,'Other Costs'!$C:$C,"&lt;="&amp;Heron!AX$9,'Other Costs'!$C:$C,"&gt;"&amp;Heron!AW$9)</f>
        <v>0</v>
      </c>
      <c r="AY115" s="102">
        <f>SUMIFS('Other Costs'!$D:$D,'Other Costs'!$A:$A,Heron!$A115,'Other Costs'!$C:$C,"&lt;="&amp;Heron!AY$9,'Other Costs'!$C:$C,"&gt;"&amp;Heron!AX$9)</f>
        <v>0</v>
      </c>
      <c r="AZ115" s="102">
        <f>SUMIFS('Other Costs'!$D:$D,'Other Costs'!$A:$A,Heron!$A115,'Other Costs'!$C:$C,"&lt;="&amp;Heron!AZ$9,'Other Costs'!$C:$C,"&gt;"&amp;Heron!AY$9)</f>
        <v>0</v>
      </c>
      <c r="BA115" s="102">
        <f>SUMIFS('Other Costs'!$D:$D,'Other Costs'!$A:$A,Heron!$A115,'Other Costs'!$C:$C,"&lt;="&amp;Heron!BA$9,'Other Costs'!$C:$C,"&gt;"&amp;Heron!AZ$9)</f>
        <v>0</v>
      </c>
      <c r="BB115" s="102">
        <f>SUMIFS('Other Costs'!$D:$D,'Other Costs'!$A:$A,Heron!$A115,'Other Costs'!$C:$C,"&lt;="&amp;Heron!BB$9,'Other Costs'!$C:$C,"&gt;"&amp;Heron!BA$9)</f>
        <v>0</v>
      </c>
      <c r="BC115" s="102">
        <f>SUMIFS('Other Costs'!$D:$D,'Other Costs'!$A:$A,Heron!$A115,'Other Costs'!$C:$C,"&lt;="&amp;Heron!BC$9,'Other Costs'!$C:$C,"&gt;"&amp;Heron!BB$9)</f>
        <v>0</v>
      </c>
      <c r="BD115" s="102">
        <f>SUMIFS('Other Costs'!$D:$D,'Other Costs'!$A:$A,Heron!$A115,'Other Costs'!$C:$C,"&lt;="&amp;Heron!BD$9,'Other Costs'!$C:$C,"&gt;"&amp;Heron!BC$9)</f>
        <v>0</v>
      </c>
      <c r="BE115" s="102">
        <f>SUMIFS('Other Costs'!$D:$D,'Other Costs'!$A:$A,Heron!$A115,'Other Costs'!$C:$C,"&lt;="&amp;Heron!BE$9,'Other Costs'!$C:$C,"&gt;"&amp;Heron!BD$9)</f>
        <v>0</v>
      </c>
      <c r="BF115" s="102">
        <f>SUMIFS('Other Costs'!$D:$D,'Other Costs'!$A:$A,Heron!$A115,'Other Costs'!$C:$C,"&lt;="&amp;Heron!BF$9,'Other Costs'!$C:$C,"&gt;"&amp;Heron!BE$9)</f>
        <v>0</v>
      </c>
      <c r="BG115" s="102">
        <f>SUMIFS('Other Costs'!$D:$D,'Other Costs'!$A:$A,Heron!$A115,'Other Costs'!$C:$C,"&lt;="&amp;Heron!BG$9,'Other Costs'!$C:$C,"&gt;"&amp;Heron!BF$9)</f>
        <v>0</v>
      </c>
      <c r="BH115" s="102">
        <f>SUMIFS('Other Costs'!$D:$D,'Other Costs'!$A:$A,Heron!$A115,'Other Costs'!$C:$C,"&lt;="&amp;Heron!BH$9,'Other Costs'!$C:$C,"&gt;"&amp;Heron!BG$9)</f>
        <v>0</v>
      </c>
      <c r="BI115" s="102">
        <f>SUMIFS('Other Costs'!$D:$D,'Other Costs'!$A:$A,Heron!$A115,'Other Costs'!$C:$C,"&lt;="&amp;Heron!BI$9,'Other Costs'!$C:$C,"&gt;"&amp;Heron!BH$9)</f>
        <v>0</v>
      </c>
      <c r="BJ115" s="102">
        <f>SUMIFS('Other Costs'!$D:$D,'Other Costs'!$A:$A,Heron!$A115,'Other Costs'!$C:$C,"&lt;="&amp;Heron!BJ$9,'Other Costs'!$C:$C,"&gt;"&amp;Heron!BI$9)</f>
        <v>0</v>
      </c>
      <c r="BK115" s="99">
        <f t="shared" si="6"/>
        <v>25272544</v>
      </c>
    </row>
    <row r="117" spans="1:64" ht="19" x14ac:dyDescent="0.25">
      <c r="A117" s="97" t="s">
        <v>1930</v>
      </c>
      <c r="D117" s="100">
        <f t="shared" ref="D117:AI117" si="7">SUM(D33:D115)</f>
        <v>5850</v>
      </c>
      <c r="E117" s="100">
        <f t="shared" si="7"/>
        <v>390.21000000000004</v>
      </c>
      <c r="F117" s="100">
        <f t="shared" si="7"/>
        <v>881.5</v>
      </c>
      <c r="G117" s="100">
        <f t="shared" si="7"/>
        <v>26203837.010000002</v>
      </c>
      <c r="H117" s="100">
        <f t="shared" si="7"/>
        <v>13180.93</v>
      </c>
      <c r="I117" s="100">
        <f t="shared" si="7"/>
        <v>7827.67</v>
      </c>
      <c r="J117" s="100">
        <f t="shared" si="7"/>
        <v>120255.42999999998</v>
      </c>
      <c r="K117" s="100">
        <f t="shared" si="7"/>
        <v>178617.94999999998</v>
      </c>
      <c r="L117" s="100">
        <f t="shared" si="7"/>
        <v>142578.49999999997</v>
      </c>
      <c r="M117" s="100">
        <f t="shared" si="7"/>
        <v>120587.93000000001</v>
      </c>
      <c r="N117" s="100">
        <f t="shared" si="7"/>
        <v>147580.71999999997</v>
      </c>
      <c r="O117" s="100">
        <f t="shared" si="7"/>
        <v>274566.64999999997</v>
      </c>
      <c r="P117" s="100">
        <f t="shared" si="7"/>
        <v>1151559.04</v>
      </c>
      <c r="Q117" s="100">
        <f t="shared" si="7"/>
        <v>2560881.27</v>
      </c>
      <c r="R117" s="100">
        <f t="shared" si="7"/>
        <v>4055188.2199999997</v>
      </c>
      <c r="S117" s="100">
        <f t="shared" si="7"/>
        <v>2848742.72</v>
      </c>
      <c r="T117" s="100">
        <f t="shared" si="7"/>
        <v>4196361.6900000004</v>
      </c>
      <c r="U117" s="100">
        <f t="shared" si="7"/>
        <v>4841328.9399999995</v>
      </c>
      <c r="V117" s="100">
        <f t="shared" si="7"/>
        <v>6385763.9400000004</v>
      </c>
      <c r="W117" s="100">
        <f t="shared" si="7"/>
        <v>5221437.59</v>
      </c>
      <c r="X117" s="100">
        <f t="shared" si="7"/>
        <v>6981332.54</v>
      </c>
      <c r="Y117" s="100">
        <f t="shared" si="7"/>
        <v>6669171.7599999988</v>
      </c>
      <c r="Z117" s="100">
        <f t="shared" si="7"/>
        <v>4345771.84</v>
      </c>
      <c r="AA117" s="100">
        <f t="shared" si="7"/>
        <v>28595965.310000006</v>
      </c>
      <c r="AB117" s="100">
        <f t="shared" si="7"/>
        <v>5854665.0700000003</v>
      </c>
      <c r="AC117" s="100">
        <f t="shared" si="7"/>
        <v>5911385.8799999999</v>
      </c>
      <c r="AD117" s="100">
        <f t="shared" si="7"/>
        <v>5651182.1700000009</v>
      </c>
      <c r="AE117" s="100">
        <f t="shared" si="7"/>
        <v>3980706.37</v>
      </c>
      <c r="AF117" s="100">
        <f t="shared" si="7"/>
        <v>4374124.5</v>
      </c>
      <c r="AG117" s="100">
        <f t="shared" si="7"/>
        <v>3891288.9199999995</v>
      </c>
      <c r="AH117" s="100">
        <f t="shared" si="7"/>
        <v>7221969.46</v>
      </c>
      <c r="AI117" s="100">
        <f t="shared" si="7"/>
        <v>39211981.359999999</v>
      </c>
      <c r="AJ117" s="100">
        <f t="shared" ref="AJ117:BL117" si="8">SUM(AJ33:AJ115)</f>
        <v>12852983.392000001</v>
      </c>
      <c r="AK117" s="100">
        <f t="shared" si="8"/>
        <v>5088249.1319999993</v>
      </c>
      <c r="AL117" s="100">
        <f t="shared" si="8"/>
        <v>6500914.3820000002</v>
      </c>
      <c r="AM117" s="100">
        <f t="shared" si="8"/>
        <v>462564.71000000008</v>
      </c>
      <c r="AN117" s="100">
        <f t="shared" si="8"/>
        <v>9134648.2320000008</v>
      </c>
      <c r="AO117" s="100">
        <f t="shared" si="8"/>
        <v>1349251.35</v>
      </c>
      <c r="AP117" s="100">
        <f t="shared" si="8"/>
        <v>7376682.5419999994</v>
      </c>
      <c r="AQ117" s="100">
        <f t="shared" si="8"/>
        <v>12708782.411999999</v>
      </c>
      <c r="AR117" s="100">
        <f t="shared" si="8"/>
        <v>10161331.005778629</v>
      </c>
      <c r="AS117" s="100">
        <f t="shared" si="8"/>
        <v>7343780.0752341524</v>
      </c>
      <c r="AT117" s="100">
        <f t="shared" si="8"/>
        <v>6862175.3329091333</v>
      </c>
      <c r="AU117" s="100">
        <f t="shared" si="8"/>
        <v>12843257.588022264</v>
      </c>
      <c r="AV117" s="100">
        <f t="shared" si="8"/>
        <v>7263622.1153603401</v>
      </c>
      <c r="AW117" s="100">
        <f t="shared" si="8"/>
        <v>3357422.5526204114</v>
      </c>
      <c r="AX117" s="100">
        <f t="shared" si="8"/>
        <v>2747564.7759010964</v>
      </c>
      <c r="AY117" s="100">
        <f t="shared" si="8"/>
        <v>1934872.9954055869</v>
      </c>
      <c r="AZ117" s="100">
        <f t="shared" si="8"/>
        <v>4168062.2694002739</v>
      </c>
      <c r="BA117" s="100">
        <f t="shared" si="8"/>
        <v>0</v>
      </c>
      <c r="BB117" s="100">
        <f t="shared" si="8"/>
        <v>0</v>
      </c>
      <c r="BC117" s="100">
        <f t="shared" si="8"/>
        <v>0</v>
      </c>
      <c r="BD117" s="100">
        <f t="shared" si="8"/>
        <v>0</v>
      </c>
      <c r="BE117" s="100">
        <f t="shared" si="8"/>
        <v>0</v>
      </c>
      <c r="BF117" s="100">
        <f t="shared" si="8"/>
        <v>0</v>
      </c>
      <c r="BG117" s="100">
        <f t="shared" si="8"/>
        <v>0</v>
      </c>
      <c r="BH117" s="100">
        <f t="shared" si="8"/>
        <v>0</v>
      </c>
      <c r="BI117" s="100">
        <f t="shared" si="8"/>
        <v>0</v>
      </c>
      <c r="BJ117" s="100">
        <f t="shared" si="8"/>
        <v>0</v>
      </c>
      <c r="BK117" s="100">
        <f t="shared" si="8"/>
        <v>293323127.95263195</v>
      </c>
      <c r="BL117" s="100">
        <f t="shared" si="8"/>
        <v>0</v>
      </c>
    </row>
    <row r="120" spans="1:64" ht="19" x14ac:dyDescent="0.25">
      <c r="A120" s="97" t="s">
        <v>1931</v>
      </c>
      <c r="D120" s="100">
        <f t="shared" ref="D120:AI120" si="9">D29-D117</f>
        <v>-5850</v>
      </c>
      <c r="E120" s="100">
        <f t="shared" si="9"/>
        <v>-390.21000000000004</v>
      </c>
      <c r="F120" s="100">
        <f t="shared" si="9"/>
        <v>-881.5</v>
      </c>
      <c r="G120" s="100">
        <f t="shared" si="9"/>
        <v>-26202592.010000002</v>
      </c>
      <c r="H120" s="100">
        <f t="shared" si="9"/>
        <v>135968.47</v>
      </c>
      <c r="I120" s="100">
        <f t="shared" si="9"/>
        <v>992172.33</v>
      </c>
      <c r="J120" s="100">
        <f t="shared" si="9"/>
        <v>20862675.859999999</v>
      </c>
      <c r="K120" s="100">
        <f t="shared" si="9"/>
        <v>-2407671.4500000002</v>
      </c>
      <c r="L120" s="100">
        <f t="shared" si="9"/>
        <v>-103088.01999999996</v>
      </c>
      <c r="M120" s="100">
        <f t="shared" si="9"/>
        <v>-85587.13</v>
      </c>
      <c r="N120" s="100">
        <f t="shared" si="9"/>
        <v>-121843.27999999997</v>
      </c>
      <c r="O120" s="100">
        <f t="shared" si="9"/>
        <v>-2407319.87</v>
      </c>
      <c r="P120" s="100">
        <f t="shared" si="9"/>
        <v>-1143860.97</v>
      </c>
      <c r="Q120" s="100">
        <f t="shared" si="9"/>
        <v>-2527313.11</v>
      </c>
      <c r="R120" s="100">
        <f t="shared" si="9"/>
        <v>-4035273.6799999997</v>
      </c>
      <c r="S120" s="100">
        <f t="shared" si="9"/>
        <v>-2788788.3800000004</v>
      </c>
      <c r="T120" s="100">
        <f t="shared" si="9"/>
        <v>-4146360.5800000005</v>
      </c>
      <c r="U120" s="100">
        <f t="shared" si="9"/>
        <v>-4792315.2399999993</v>
      </c>
      <c r="V120" s="100">
        <f t="shared" si="9"/>
        <v>-6354825.1700000009</v>
      </c>
      <c r="W120" s="100">
        <f t="shared" si="9"/>
        <v>-5189573.72</v>
      </c>
      <c r="X120" s="100">
        <f t="shared" si="9"/>
        <v>6968391.9899999993</v>
      </c>
      <c r="Y120" s="100">
        <f t="shared" si="9"/>
        <v>2294540.0300000021</v>
      </c>
      <c r="Z120" s="100">
        <f t="shared" si="9"/>
        <v>6724159.5099999998</v>
      </c>
      <c r="AA120" s="100">
        <f t="shared" si="9"/>
        <v>-25749992.910000008</v>
      </c>
      <c r="AB120" s="100">
        <f t="shared" si="9"/>
        <v>3578158.0399999991</v>
      </c>
      <c r="AC120" s="100">
        <f t="shared" si="9"/>
        <v>4521273.3400000008</v>
      </c>
      <c r="AD120" s="100">
        <f t="shared" si="9"/>
        <v>-511497.78000000119</v>
      </c>
      <c r="AE120" s="100">
        <f t="shared" si="9"/>
        <v>-2343413</v>
      </c>
      <c r="AF120" s="100">
        <f t="shared" si="9"/>
        <v>-2754600.3200000003</v>
      </c>
      <c r="AG120" s="100">
        <f t="shared" si="9"/>
        <v>3157074.1500000008</v>
      </c>
      <c r="AH120" s="100">
        <f t="shared" si="9"/>
        <v>6157196.71</v>
      </c>
      <c r="AI120" s="100">
        <f t="shared" si="9"/>
        <v>-37580477.030000001</v>
      </c>
      <c r="AJ120" s="100">
        <f t="shared" ref="AJ120:BL120" si="10">AJ29-AJ117</f>
        <v>-11011895.162</v>
      </c>
      <c r="AK120" s="100">
        <f t="shared" si="10"/>
        <v>-3324935.9919999996</v>
      </c>
      <c r="AL120" s="100">
        <f t="shared" si="10"/>
        <v>742235.87799999956</v>
      </c>
      <c r="AM120" s="100">
        <f t="shared" si="10"/>
        <v>1034526.59</v>
      </c>
      <c r="AN120" s="100">
        <f t="shared" si="10"/>
        <v>2213602.7579999994</v>
      </c>
      <c r="AO120" s="100">
        <f t="shared" si="10"/>
        <v>-1328501.3500000001</v>
      </c>
      <c r="AP120" s="100">
        <f t="shared" si="10"/>
        <v>-4449695.3719999995</v>
      </c>
      <c r="AQ120" s="100">
        <f t="shared" si="10"/>
        <v>-9879417.0319999978</v>
      </c>
      <c r="AR120" s="100">
        <f t="shared" si="10"/>
        <v>-8523136.0957786292</v>
      </c>
      <c r="AS120" s="100">
        <f t="shared" si="10"/>
        <v>8046480.7943310663</v>
      </c>
      <c r="AT120" s="100">
        <f t="shared" si="10"/>
        <v>8972339.4496995658</v>
      </c>
      <c r="AU120" s="100">
        <f t="shared" si="10"/>
        <v>-12843257.588022264</v>
      </c>
      <c r="AV120" s="100">
        <f t="shared" si="10"/>
        <v>-7263622.1153603401</v>
      </c>
      <c r="AW120" s="100">
        <f t="shared" si="10"/>
        <v>-3357422.5526204114</v>
      </c>
      <c r="AX120" s="100">
        <f t="shared" si="10"/>
        <v>-2747564.7759010964</v>
      </c>
      <c r="AY120" s="100">
        <f t="shared" si="10"/>
        <v>11612083.526333548</v>
      </c>
      <c r="AZ120" s="100">
        <f t="shared" si="10"/>
        <v>-4168062.2694002739</v>
      </c>
      <c r="BA120" s="100">
        <f t="shared" si="10"/>
        <v>0</v>
      </c>
      <c r="BB120" s="100">
        <f t="shared" si="10"/>
        <v>0</v>
      </c>
      <c r="BC120" s="100">
        <f t="shared" si="10"/>
        <v>0</v>
      </c>
      <c r="BD120" s="100">
        <f t="shared" si="10"/>
        <v>0</v>
      </c>
      <c r="BE120" s="100">
        <f t="shared" si="10"/>
        <v>0</v>
      </c>
      <c r="BF120" s="100">
        <f t="shared" si="10"/>
        <v>0</v>
      </c>
      <c r="BG120" s="100">
        <f t="shared" si="10"/>
        <v>0</v>
      </c>
      <c r="BH120" s="100">
        <f t="shared" si="10"/>
        <v>0</v>
      </c>
      <c r="BI120" s="100">
        <f t="shared" si="10"/>
        <v>0</v>
      </c>
      <c r="BJ120" s="100">
        <f t="shared" si="10"/>
        <v>0</v>
      </c>
      <c r="BK120" s="100">
        <f t="shared" si="10"/>
        <v>-112138146.23871893</v>
      </c>
      <c r="BL120" s="100">
        <f t="shared" si="10"/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204E"/>
  </sheetPr>
  <dimension ref="A1:E78"/>
  <sheetViews>
    <sheetView workbookViewId="0"/>
  </sheetViews>
  <sheetFormatPr baseColWidth="10" defaultColWidth="8.83203125" defaultRowHeight="15" x14ac:dyDescent="0.2"/>
  <cols>
    <col min="1" max="1" width="60" customWidth="1"/>
    <col min="2" max="5" width="25" customWidth="1"/>
  </cols>
  <sheetData>
    <row r="1" spans="1:5" ht="29" x14ac:dyDescent="0.3">
      <c r="A1" s="142"/>
      <c r="B1" s="142"/>
      <c r="C1" s="142"/>
      <c r="D1" s="142"/>
      <c r="E1" s="104" t="s">
        <v>1932</v>
      </c>
    </row>
    <row r="2" spans="1:5" ht="34" x14ac:dyDescent="0.2">
      <c r="A2" s="143" t="s">
        <v>1933</v>
      </c>
      <c r="B2" s="144"/>
      <c r="C2" s="144"/>
      <c r="D2" s="144"/>
      <c r="E2" s="145"/>
    </row>
    <row r="3" spans="1:5" ht="24" x14ac:dyDescent="0.3">
      <c r="A3" s="105" t="s">
        <v>1934</v>
      </c>
      <c r="B3" s="147">
        <v>45443</v>
      </c>
      <c r="C3" s="144"/>
      <c r="D3" s="144"/>
      <c r="E3" s="145"/>
    </row>
    <row r="4" spans="1:5" ht="24" x14ac:dyDescent="0.3">
      <c r="A4" s="105" t="s">
        <v>1935</v>
      </c>
      <c r="B4" s="148" t="s">
        <v>1936</v>
      </c>
      <c r="C4" s="144"/>
      <c r="D4" s="144"/>
      <c r="E4" s="145"/>
    </row>
    <row r="5" spans="1:5" ht="24" x14ac:dyDescent="0.2">
      <c r="A5" s="146" t="s">
        <v>1937</v>
      </c>
      <c r="B5" s="144"/>
      <c r="C5" s="144"/>
      <c r="D5" s="144"/>
      <c r="E5" s="145"/>
    </row>
    <row r="6" spans="1:5" ht="24" x14ac:dyDescent="0.3">
      <c r="A6" s="105" t="s">
        <v>1938</v>
      </c>
      <c r="B6" s="149">
        <v>236217976.38999999</v>
      </c>
      <c r="C6" s="144"/>
      <c r="D6" s="144"/>
      <c r="E6" s="145"/>
    </row>
    <row r="7" spans="1:5" ht="24" x14ac:dyDescent="0.3">
      <c r="A7" s="105" t="s">
        <v>1939</v>
      </c>
      <c r="B7" s="149">
        <f>SUMIFS(Investors!$M:$M,Investors!$P:$P,FALSE,Investors!$I:$I,"&lt;="&amp;'NSST Print'!B3)</f>
        <v>230226640.64999983</v>
      </c>
      <c r="C7" s="144"/>
      <c r="D7" s="144"/>
      <c r="E7" s="145"/>
    </row>
    <row r="8" spans="1:5" ht="24" x14ac:dyDescent="0.3">
      <c r="A8" s="105" t="s">
        <v>1940</v>
      </c>
      <c r="B8" s="149">
        <f>SUMIFS(Investors!$M:$M,Investors!$J:$J,"&lt;="&amp;'NSST Print'!B3)</f>
        <v>230226640.64999983</v>
      </c>
      <c r="C8" s="144"/>
      <c r="D8" s="144"/>
      <c r="E8" s="145"/>
    </row>
    <row r="9" spans="1:5" ht="24" x14ac:dyDescent="0.3">
      <c r="A9" s="105" t="s">
        <v>1941</v>
      </c>
      <c r="B9" s="149">
        <f>Dashboard!B13</f>
        <v>159799.14000000001</v>
      </c>
      <c r="C9" s="144"/>
      <c r="D9" s="144"/>
      <c r="E9" s="145"/>
    </row>
    <row r="10" spans="1:5" ht="24" hidden="1" x14ac:dyDescent="0.3">
      <c r="A10" s="105" t="s">
        <v>1942</v>
      </c>
      <c r="B10" s="149">
        <f>B6-B7-B11</f>
        <v>12252329.180000126</v>
      </c>
      <c r="C10" s="144"/>
      <c r="D10" s="144"/>
      <c r="E10" s="145"/>
    </row>
    <row r="11" spans="1:5" ht="24" x14ac:dyDescent="0.3">
      <c r="A11" s="105" t="s">
        <v>1943</v>
      </c>
      <c r="B11" s="149">
        <f>SUMIFS(Opportunities!$E:$E,Opportunities!$D:$D,FALSE,Opportunities!$C:$C,FALSE)-SUMIFS(Opportunities!$H:$H,Opportunities!$D:$D,FALSE,Opportunities!$C:$C,FALSE)</f>
        <v>-6260993.4399999678</v>
      </c>
      <c r="C11" s="144"/>
      <c r="D11" s="144"/>
      <c r="E11" s="145"/>
    </row>
    <row r="12" spans="1:5" ht="24" x14ac:dyDescent="0.3">
      <c r="A12" s="105" t="s">
        <v>1944</v>
      </c>
      <c r="B12" s="149">
        <f>SUMIFS(Investors!$M:$M,Investors!$G:$G,TRUE,Investors!$K:$K,"&lt;="&amp;'NSST Print'!B3)-(SUMIFS(Investors!$M:$M,Investors!$G:$G,FALSE,Investors!$O:$O,TRUE,Investors!$K:$K,"&lt;="&amp;'NSST Print'!B3)-(SUMIFS(Investors!$M:$M,Investors!$I:$I,"&lt;="&amp;'NSST Print'!B3,Investors!$J:$J,"&gt;"&amp;'NSST Print'!B3)+SUMIFS(Investors!$M:$M,Investors!$I:$I,"&lt;="&amp;'NSST Print'!B3,Investors!$J:$J,"")))</f>
        <v>68785362.340000004</v>
      </c>
      <c r="C12" s="144"/>
      <c r="D12" s="144"/>
      <c r="E12" s="145"/>
    </row>
    <row r="13" spans="1:5" ht="24" x14ac:dyDescent="0.3">
      <c r="A13" s="105" t="s">
        <v>1945</v>
      </c>
      <c r="B13" s="149">
        <f>SUMIFS(Investors!$M:$M,Investors!$O:$O,FALSE,Investors!$P:$P,FALSE,Investors!$K:$K,"&gt;"&amp;'NSST Print'!$B$3,Investors!$I:$I,"&lt;="&amp;'NSST Print'!$B$3)-(SUMIFS(Investors!$M:$M,Investors!$I:$I,"&lt;="&amp;'NSST Print'!B3,Investors!$J:$J,"&gt;"&amp;'NSST Print'!B3)+SUMIFS(Investors!$M:$M,Investors!$I:$I,"&lt;="&amp;'NSST Print'!B3,Investors!$J:$J,""))</f>
        <v>139828016.41999993</v>
      </c>
      <c r="C13" s="144"/>
      <c r="D13" s="144"/>
      <c r="E13" s="145"/>
    </row>
    <row r="14" spans="1:5" ht="24" x14ac:dyDescent="0.2">
      <c r="A14" s="146" t="s">
        <v>1946</v>
      </c>
      <c r="B14" s="144"/>
      <c r="C14" s="144"/>
      <c r="D14" s="144"/>
      <c r="E14" s="145"/>
    </row>
    <row r="15" spans="1:5" ht="24" x14ac:dyDescent="0.3">
      <c r="A15" s="105" t="s">
        <v>1947</v>
      </c>
      <c r="B15" s="148">
        <f>COUNTIFS(Investors!$G:$G,FALSE)+COUNTIFS(Investors!$G:$G,TRUE)</f>
        <v>564</v>
      </c>
      <c r="C15" s="144"/>
      <c r="D15" s="144"/>
      <c r="E15" s="145"/>
    </row>
    <row r="16" spans="1:5" ht="24" x14ac:dyDescent="0.3">
      <c r="A16" s="105" t="s">
        <v>1948</v>
      </c>
      <c r="B16" s="148">
        <f>COUNTIFS(Investors!$G:$G,TRUE)+COUNTIFS(Investors!$G:$G,FALSE,Investors!$O:$O,TRUE,Investors!$P:$P,FALSE)</f>
        <v>231</v>
      </c>
      <c r="C16" s="144"/>
      <c r="D16" s="144"/>
      <c r="E16" s="145"/>
    </row>
    <row r="17" spans="1:5" ht="24" x14ac:dyDescent="0.3">
      <c r="A17" s="105" t="s">
        <v>1949</v>
      </c>
      <c r="B17" s="148">
        <f>B15-B16</f>
        <v>333</v>
      </c>
      <c r="C17" s="144"/>
      <c r="D17" s="144"/>
      <c r="E17" s="145"/>
    </row>
    <row r="18" spans="1:5" ht="24" x14ac:dyDescent="0.2">
      <c r="A18" s="146" t="s">
        <v>1950</v>
      </c>
      <c r="B18" s="144"/>
      <c r="C18" s="144"/>
      <c r="D18" s="144"/>
      <c r="E18" s="145"/>
    </row>
    <row r="19" spans="1:5" ht="24" x14ac:dyDescent="0.3">
      <c r="A19" s="105"/>
      <c r="B19" s="107" t="s">
        <v>1882</v>
      </c>
      <c r="C19" s="107" t="s">
        <v>923</v>
      </c>
      <c r="D19" s="107" t="s">
        <v>6</v>
      </c>
      <c r="E19" s="107" t="s">
        <v>1951</v>
      </c>
    </row>
    <row r="20" spans="1:5" ht="24" x14ac:dyDescent="0.3">
      <c r="A20" s="105" t="s">
        <v>1952</v>
      </c>
      <c r="B20" s="106">
        <f>COUNTIFS(Sales!$E:$E,TRUE,Sales!$A:$A,"&lt;&gt;"&amp;"Endulini")+COUNTIFS(Sales!$E:$E,FALSE,Sales!$A:$A,"&lt;&gt;"&amp;"Endulini")</f>
        <v>225</v>
      </c>
      <c r="C20" s="106">
        <f>COUNTIFS(Sales!$E:$E,TRUE,Sales!$A:$A,"&lt;&gt;"&amp;"Endulini")</f>
        <v>85</v>
      </c>
      <c r="D20" s="106">
        <f>COUNTIFS(Sales!$E:$E,FALSE,Sales!$D:$D,TRUE,Sales!$A:$A,"&lt;&gt;"&amp;"Endulini")</f>
        <v>30</v>
      </c>
      <c r="E20" s="106">
        <f>COUNTIFS(Sales!$E:$E,FALSE,Sales!$D:$D,FALSE,Sales!$A:$A,"&lt;&gt;"&amp;"Endulini")</f>
        <v>110</v>
      </c>
    </row>
    <row r="21" spans="1:5" ht="24" x14ac:dyDescent="0.3">
      <c r="A21" s="105" t="s">
        <v>1846</v>
      </c>
      <c r="B21" s="108">
        <f>SUMIFS(Sales!$K:$K,Sales!$A:$A,"&lt;&gt;"&amp;"Endulini",Sales!$D:$D,TRUE)+SUMIFS(Sales!$K:$K,Sales!$A:$A,"&lt;&gt;"&amp;"Endulini",Sales!$D:$D,FALSE)+C46</f>
        <v>306860253.9130435</v>
      </c>
      <c r="C21" s="108">
        <f>SUMIFS(Sales!$K:$K,Sales!$E:$E,TRUE,Sales!$A:$A,"&lt;&gt;"&amp;"Endulini")</f>
        <v>112463043.47826093</v>
      </c>
      <c r="D21" s="108">
        <f>SUMIFS(Sales!$K:$K,Sales!$E:$E,FALSE,Sales!$D:$D,TRUE,Sales!$A:$A,"&lt;&gt;"&amp;"Endulini")</f>
        <v>42928514.782608695</v>
      </c>
      <c r="E21" s="108">
        <f>SUMIFS(Sales!$K:$K,Sales!$E:$E,FALSE,Sales!$D:$D,FALSE,Sales!$A:$A,"&lt;&gt;"&amp;"Endulini")+C46</f>
        <v>151468695.65217394</v>
      </c>
    </row>
    <row r="22" spans="1:5" ht="24" x14ac:dyDescent="0.3">
      <c r="A22" s="105" t="s">
        <v>1953</v>
      </c>
      <c r="B22" s="108">
        <f>(SUMIFS(Sales!$O:$O,Sales!$A:$A,"&lt;&gt;"&amp;"Endulini",Sales!$D:$D,TRUE)+SUMIFS(Sales!$O:$O,Sales!$A:$A,"&lt;&gt;"&amp;"Endulini",Sales!$D:$D,FALSE))/1.15-C52</f>
        <v>15343012.695652176</v>
      </c>
      <c r="C22" s="108">
        <f>SUMIFS(Sales!$O:$O,Sales!$E:$E,TRUE,Sales!$A:$A,"&lt;&gt;"&amp;"Endulini")/1.15</f>
        <v>5623152.1739130439</v>
      </c>
      <c r="D22" s="108">
        <f>SUMIFS(Sales!$O:$O,Sales!$E:$E,FALSE,Sales!$D:$D,TRUE,Sales!$A:$A,"&lt;&gt;"&amp;"Endulini")/1.15</f>
        <v>2146425.7391304346</v>
      </c>
      <c r="E22" s="108">
        <f>SUMIFS(Sales!$O:$O,Sales!$E:$E,FALSE,Sales!$D:$D,FALSE,Sales!$A:$A,"&lt;&gt;"&amp;"Endulini")/1.15-C52</f>
        <v>7573434.7826086963</v>
      </c>
    </row>
    <row r="23" spans="1:5" ht="24" x14ac:dyDescent="0.3">
      <c r="A23" s="105" t="s">
        <v>1954</v>
      </c>
      <c r="B23" s="108">
        <f>SUMIFS(Sales!$L:$L,Sales!$A:$A,"&lt;&gt;"&amp;"Endulini",Sales!$D:$D,TRUE)+SUMIFS(Sales!$L:$L,Sales!$A:$A,"&lt;&gt;"&amp;"Endulini",Sales!$D:$D,FALSE)</f>
        <v>4162968.0000000065</v>
      </c>
      <c r="C23" s="108">
        <f>SUMIFS(Sales!$L:$L,Sales!$E:$E,TRUE,Sales!$A:$A,"&lt;&gt;"&amp;"Endulini")</f>
        <v>1572676.8000000012</v>
      </c>
      <c r="D23" s="108">
        <f>SUMIFS(Sales!$L:$L,Sales!$E:$E,FALSE,Sales!$D:$D,TRUE,Sales!$A:$A,"&lt;&gt;"&amp;"Endulini")</f>
        <v>555062.40000000026</v>
      </c>
      <c r="E23" s="108">
        <f>SUMIFS(Sales!$L:$L,Sales!$E:$E,FALSE,Sales!$D:$D,FALSE,Sales!$A:$A,"&lt;&gt;"&amp;"Endulini")</f>
        <v>2035228.8000000031</v>
      </c>
    </row>
    <row r="24" spans="1:5" ht="24" x14ac:dyDescent="0.3">
      <c r="A24" s="105" t="s">
        <v>1955</v>
      </c>
      <c r="B24" s="108">
        <f>SUMIFS(Sales!$P:$P,Sales!$A:$A,"&lt;&gt;"&amp;"Endulini",Sales!$D:$D,TRUE)+SUMIFS(Sales!$P:$P,Sales!$A:$A,"&lt;&gt;"&amp;"Endulini",Sales!$D:$D,FALSE)</f>
        <v>4325483.2500000121</v>
      </c>
      <c r="C24" s="108">
        <f>SUMIFS(Sales!$P:$P,Sales!$E:$E,TRUE,Sales!$A:$A,"&lt;&gt;"&amp;"Endulini")</f>
        <v>1634071.4500000032</v>
      </c>
      <c r="D24" s="108">
        <f>SUMIFS(Sales!$P:$P,Sales!$E:$E,FALSE,Sales!$D:$D,TRUE,Sales!$A:$A,"&lt;&gt;"&amp;"Endulini")</f>
        <v>576731.1</v>
      </c>
      <c r="E24" s="108">
        <f>SUMIFS(Sales!$P:$P,Sales!$E:$E,FALSE,Sales!$D:$D,FALSE,Sales!$A:$A,"&lt;&gt;"&amp;"Endulini")</f>
        <v>2114680.7000000058</v>
      </c>
    </row>
    <row r="25" spans="1:5" ht="24" x14ac:dyDescent="0.3">
      <c r="A25" s="105" t="s">
        <v>1956</v>
      </c>
      <c r="B25" s="108">
        <f>SUMIFS(Sales!$M:$M,Sales!$A:$A,"&lt;&gt;"&amp;"Endulini",Sales!$D:$D,TRUE)+SUMIFS(Sales!$M:$M,Sales!$A:$A,"&lt;&gt;"&amp;"Endulini",Sales!$D:$D,FALSE)</f>
        <v>402525</v>
      </c>
      <c r="C25" s="108">
        <f>SUMIFS(Sales!$M:$M,Sales!$E:$E,TRUE,Sales!$A:$A,"&lt;&gt;"&amp;"Endulini")</f>
        <v>152065</v>
      </c>
      <c r="D25" s="108">
        <f>SUMIFS(Sales!$M:$M,Sales!$E:$E,FALSE,Sales!$D:$D,TRUE,Sales!$A:$A,"&lt;&gt;"&amp;"Endulini")</f>
        <v>53670</v>
      </c>
      <c r="E25" s="108">
        <f>SUMIFS(Sales!$M:$M,Sales!$E:$E,FALSE,Sales!$D:$D,FALSE,Sales!$A:$A,"&lt;&gt;"&amp;"Endulini")</f>
        <v>196790</v>
      </c>
    </row>
    <row r="26" spans="1:5" ht="24" x14ac:dyDescent="0.3">
      <c r="A26" s="105" t="s">
        <v>1957</v>
      </c>
      <c r="B26" s="108">
        <f>SUMIFS(Sales!$N:$N,Sales!$A:$A,"&lt;&gt;"&amp;"Endulini",Sales!$D:$D,TRUE)+SUMIFS(Sales!$N:$N,Sales!$A:$A,"&lt;&gt;"&amp;"Endulini",Sales!$D:$D,FALSE)-C53</f>
        <v>1764446.46</v>
      </c>
      <c r="C26" s="108">
        <f>SUMIFS(Sales!$N:$N,Sales!$E:$E,TRUE,Sales!$A:$A,"&lt;&gt;"&amp;"Endulini")</f>
        <v>646662.5</v>
      </c>
      <c r="D26" s="108">
        <f>SUMIFS(Sales!$N:$N,Sales!$E:$E,FALSE,Sales!$D:$D,TRUE,Sales!$A:$A,"&lt;&gt;"&amp;"Endulini")</f>
        <v>246838.95999999996</v>
      </c>
      <c r="E26" s="108">
        <f>SUMIFS(Sales!$N:$N,Sales!$E:$E,FALSE,Sales!$D:$D,FALSE,Sales!$A:$A,"&lt;&gt;"&amp;"Endulini")-C53</f>
        <v>870945</v>
      </c>
    </row>
    <row r="27" spans="1:5" ht="24" x14ac:dyDescent="0.3">
      <c r="A27" s="105" t="s">
        <v>982</v>
      </c>
      <c r="B27" s="108">
        <f>B21-SUM(B22:B26)</f>
        <v>280861818.50739133</v>
      </c>
      <c r="C27" s="108">
        <f>C21-SUM(C22:C26)</f>
        <v>102834415.55434789</v>
      </c>
      <c r="D27" s="108">
        <f>D21-SUM(D22:D26)</f>
        <v>39349786.583478257</v>
      </c>
      <c r="E27" s="108">
        <f>E21-SUM(E22:E26)</f>
        <v>138677616.36956522</v>
      </c>
    </row>
    <row r="28" spans="1:5" ht="24" x14ac:dyDescent="0.2">
      <c r="A28" s="146" t="s">
        <v>1958</v>
      </c>
      <c r="B28" s="144"/>
      <c r="C28" s="144"/>
      <c r="D28" s="144"/>
      <c r="E28" s="145"/>
    </row>
    <row r="29" spans="1:5" ht="24" x14ac:dyDescent="0.3">
      <c r="A29" s="105" t="s">
        <v>1959</v>
      </c>
      <c r="B29" s="149">
        <f>SUMIFS(Investors!$S:$S,Investors!$G:$G,FALSE)+SUMIFS(Investors!$S:$S,Investors!$G:$G,TRUE)</f>
        <v>55719771.717766076</v>
      </c>
      <c r="C29" s="144"/>
      <c r="D29" s="144"/>
      <c r="E29" s="145"/>
    </row>
    <row r="30" spans="1:5" ht="24" x14ac:dyDescent="0.3">
      <c r="A30" s="105" t="s">
        <v>1960</v>
      </c>
      <c r="B30" s="149">
        <f>SUMIFS(Investors!$S:$S,Investors!$G:$G,TRUE)+SUMIFS(Investors!$S:$S,Investors!$G:$G,FALSE,Investors!$O:$O,TRUE)</f>
        <v>22244431.854920812</v>
      </c>
      <c r="C30" s="144"/>
      <c r="D30" s="144"/>
      <c r="E30" s="145"/>
    </row>
    <row r="31" spans="1:5" ht="24" hidden="1" x14ac:dyDescent="0.3">
      <c r="A31" s="105" t="s">
        <v>1961</v>
      </c>
      <c r="B31" s="149">
        <f>B29-B30</f>
        <v>33475339.862845264</v>
      </c>
      <c r="C31" s="144"/>
      <c r="D31" s="144"/>
      <c r="E31" s="145"/>
    </row>
    <row r="32" spans="1:5" ht="24" hidden="1" x14ac:dyDescent="0.3">
      <c r="A32" s="105" t="s">
        <v>1962</v>
      </c>
      <c r="B32" s="149">
        <f>SUMIFS(Investors!$T:$T,Investors!$G:$G,FALSE,Investors!$O:$O,FALSE)+SUMIFS(Investors!$Q:$Q,Investors!$G:$G,FALSE,Investors!$O:$O,FALSE)</f>
        <v>25677581.102225557</v>
      </c>
      <c r="C32" s="144"/>
      <c r="D32" s="144"/>
      <c r="E32" s="145"/>
    </row>
    <row r="33" spans="1:5" ht="24" hidden="1" x14ac:dyDescent="0.3">
      <c r="A33" s="105" t="s">
        <v>1963</v>
      </c>
      <c r="B33" s="149">
        <f>B31-B32</f>
        <v>7797758.7606197074</v>
      </c>
      <c r="C33" s="144"/>
      <c r="D33" s="144"/>
      <c r="E33" s="145"/>
    </row>
    <row r="34" spans="1:5" ht="24" x14ac:dyDescent="0.2">
      <c r="A34" s="146" t="s">
        <v>1964</v>
      </c>
      <c r="B34" s="144"/>
      <c r="C34" s="144"/>
      <c r="D34" s="144"/>
      <c r="E34" s="145"/>
    </row>
    <row r="35" spans="1:5" ht="24" x14ac:dyDescent="0.3">
      <c r="A35" s="105" t="s">
        <v>1965</v>
      </c>
      <c r="B35" s="149">
        <f>Dashboard!B20</f>
        <v>16851824.25</v>
      </c>
      <c r="C35" s="144"/>
      <c r="D35" s="144"/>
      <c r="E35" s="145"/>
    </row>
    <row r="36" spans="1:5" ht="24" x14ac:dyDescent="0.3">
      <c r="A36" s="105" t="s">
        <v>1966</v>
      </c>
      <c r="B36" s="149">
        <f>Dashboard!B11+C46</f>
        <v>20753341.245582536</v>
      </c>
      <c r="C36" s="144"/>
      <c r="D36" s="144"/>
      <c r="E36" s="145"/>
    </row>
    <row r="37" spans="1:5" ht="24" x14ac:dyDescent="0.3">
      <c r="A37" s="105" t="s">
        <v>1967</v>
      </c>
      <c r="B37" s="149">
        <f>B35+B36</f>
        <v>37605165.495582536</v>
      </c>
      <c r="C37" s="144"/>
      <c r="D37" s="144"/>
      <c r="E37" s="145"/>
    </row>
    <row r="38" spans="1:5" ht="24" x14ac:dyDescent="0.3">
      <c r="A38" s="105" t="s">
        <v>1968</v>
      </c>
      <c r="B38" s="149">
        <f>-Dashboard!B28+C47+C48+C49+C50+C51</f>
        <v>7628840.0019174553</v>
      </c>
      <c r="C38" s="144"/>
      <c r="D38" s="144"/>
      <c r="E38" s="145"/>
    </row>
    <row r="39" spans="1:5" ht="24" x14ac:dyDescent="0.3">
      <c r="A39" s="105" t="s">
        <v>1969</v>
      </c>
      <c r="B39" s="149">
        <f>B37-B38</f>
        <v>29976325.493665081</v>
      </c>
      <c r="C39" s="144"/>
      <c r="D39" s="144"/>
      <c r="E39" s="145"/>
    </row>
    <row r="40" spans="1:5" ht="24" x14ac:dyDescent="0.2">
      <c r="A40" s="146" t="s">
        <v>1970</v>
      </c>
      <c r="B40" s="144"/>
      <c r="C40" s="144"/>
      <c r="D40" s="144"/>
      <c r="E40" s="145"/>
    </row>
    <row r="41" spans="1:5" ht="24" x14ac:dyDescent="0.3">
      <c r="A41" s="105" t="s">
        <v>1971</v>
      </c>
      <c r="B41" s="149">
        <f>+B21+SUM(B56:B63)</f>
        <v>308094433.62304348</v>
      </c>
      <c r="C41" s="144"/>
      <c r="D41" s="144"/>
      <c r="E41" s="145"/>
    </row>
    <row r="42" spans="1:5" ht="24" x14ac:dyDescent="0.3">
      <c r="A42" s="105" t="s">
        <v>1972</v>
      </c>
      <c r="B42" s="149">
        <f>-SUMIFS(Xero!$F:$F,Xero!$E:$E,"Interest Received - Momentum")</f>
        <v>3597553.0399999991</v>
      </c>
      <c r="C42" s="144"/>
      <c r="D42" s="144"/>
      <c r="E42" s="145"/>
    </row>
    <row r="43" spans="1:5" ht="24" x14ac:dyDescent="0.3">
      <c r="A43" s="105" t="s">
        <v>1973</v>
      </c>
      <c r="B43" s="149">
        <f>+B78-C47-C48-C49-C50+SUM(D22:E26)</f>
        <v>311300422.74173921</v>
      </c>
      <c r="C43" s="144"/>
      <c r="D43" s="144"/>
      <c r="E43" s="145"/>
    </row>
    <row r="44" spans="1:5" ht="24" x14ac:dyDescent="0.3">
      <c r="A44" s="105" t="s">
        <v>1974</v>
      </c>
      <c r="B44" s="149">
        <f>B29-B30-C51</f>
        <v>33475339.862845264</v>
      </c>
      <c r="C44" s="144"/>
      <c r="D44" s="144"/>
      <c r="E44" s="145"/>
    </row>
    <row r="45" spans="1:5" ht="24" x14ac:dyDescent="0.3">
      <c r="A45" s="105" t="s">
        <v>1975</v>
      </c>
      <c r="B45" s="149">
        <f>B41+B42-B43-B44</f>
        <v>-33083775.941540979</v>
      </c>
      <c r="C45" s="144"/>
      <c r="D45" s="144"/>
      <c r="E45" s="145"/>
    </row>
    <row r="46" spans="1:5" ht="24" x14ac:dyDescent="0.3">
      <c r="A46" s="103" t="s">
        <v>1976</v>
      </c>
      <c r="B46" s="109">
        <v>0</v>
      </c>
      <c r="C46" s="110">
        <f>SUMIFS(Sales!$K:$K,Sales!$E:$E,FALSE,Sales!$D:$D,FALSE,Sales!$A:$A,"&lt;&gt;"&amp;"Endulini")*B46</f>
        <v>0</v>
      </c>
      <c r="D46" s="110"/>
      <c r="E46" s="110">
        <f t="shared" ref="E46:E53" si="0">C46/$E$20</f>
        <v>0</v>
      </c>
    </row>
    <row r="47" spans="1:5" ht="24" x14ac:dyDescent="0.3">
      <c r="A47" s="103" t="s">
        <v>1977</v>
      </c>
      <c r="B47" s="109">
        <v>0</v>
      </c>
      <c r="C47" s="110">
        <f>SUMIFS('Updated Construction'!$F:$F,'Updated Construction'!$D:$D,FALSE)*B47</f>
        <v>0</v>
      </c>
      <c r="D47" s="110">
        <f>SUMIFS('Updated Construction'!$F:$F,'Updated Construction'!$D:$D,FALSE)-C47</f>
        <v>55220766.350000001</v>
      </c>
      <c r="E47" s="110">
        <f t="shared" si="0"/>
        <v>0</v>
      </c>
    </row>
    <row r="48" spans="1:5" ht="24" x14ac:dyDescent="0.3">
      <c r="A48" s="103" t="s">
        <v>1978</v>
      </c>
      <c r="B48" s="111">
        <v>0</v>
      </c>
      <c r="C48" s="110">
        <f>400000*B48</f>
        <v>0</v>
      </c>
      <c r="D48" s="110">
        <f>SUMIFS('Other Costs'!$D:$D,'Other Costs'!$A:$A,'NSST Print'!$A48,'Other Costs'!$C:$C,"&gt;"&amp;'NSST Print'!$B$3)-C48</f>
        <v>2400000</v>
      </c>
      <c r="E48" s="110">
        <f t="shared" si="0"/>
        <v>0</v>
      </c>
    </row>
    <row r="49" spans="1:5" ht="24" x14ac:dyDescent="0.3">
      <c r="A49" s="103" t="s">
        <v>1151</v>
      </c>
      <c r="B49" s="109">
        <v>0</v>
      </c>
      <c r="C49" s="110">
        <f>SUMIFS('Other Costs'!$D:$D,'Other Costs'!$A:$A,'NSST Print'!$A49,'Other Costs'!$C:$C,"&gt;"&amp;'NSST Print'!$B$3)*B49</f>
        <v>0</v>
      </c>
      <c r="D49" s="110">
        <f>SUMIFS('Other Costs'!$D:$D,'Other Costs'!$A:$A,'NSST Print'!$A49,'Other Costs'!$C:$C,"&gt;"&amp;'NSST Print'!$B$3)-C49</f>
        <v>942113.64</v>
      </c>
      <c r="E49" s="110">
        <f t="shared" si="0"/>
        <v>0</v>
      </c>
    </row>
    <row r="50" spans="1:5" ht="24" x14ac:dyDescent="0.3">
      <c r="A50" s="103" t="s">
        <v>1829</v>
      </c>
      <c r="B50" s="109">
        <v>0</v>
      </c>
      <c r="C50" s="110">
        <f>SUMIFS('Other Costs'!$D:$D,'Other Costs'!$A:$A,'NSST Print'!$A75,'Other Costs'!$C:$C,"&gt;"&amp;'NSST Print'!$B$3)*B50</f>
        <v>0</v>
      </c>
      <c r="D50" s="110">
        <f>SUMIFS('Other Costs'!$D:$D,'Other Costs'!$A:$A,'NSST Print'!$A75,'Other Costs'!$C:$C,"&gt;"&amp;'NSST Print'!$B$3)-C50</f>
        <v>1178742.906</v>
      </c>
      <c r="E50" s="110">
        <f t="shared" si="0"/>
        <v>0</v>
      </c>
    </row>
    <row r="51" spans="1:5" ht="24" x14ac:dyDescent="0.3">
      <c r="A51" s="103" t="s">
        <v>1979</v>
      </c>
      <c r="B51" s="109">
        <v>0</v>
      </c>
      <c r="C51" s="110">
        <f>(B29-B30)*B51</f>
        <v>0</v>
      </c>
      <c r="D51" s="110">
        <f>(B29-B30)-C51</f>
        <v>33475339.862845264</v>
      </c>
      <c r="E51" s="110">
        <f t="shared" si="0"/>
        <v>0</v>
      </c>
    </row>
    <row r="52" spans="1:5" ht="24" x14ac:dyDescent="0.3">
      <c r="A52" s="103" t="s">
        <v>1980</v>
      </c>
      <c r="B52" s="109">
        <v>0</v>
      </c>
      <c r="C52" s="110">
        <f>SUMIFS(Sales!$O:$O,Sales!$E:$E,FALSE,Sales!$D:$D,FALSE,Sales!$A:$A,"&lt;&gt;"&amp;"Endulini")/1.15*B52</f>
        <v>0</v>
      </c>
      <c r="D52" s="110">
        <f>SUMIFS(Sales!$O:$O,Sales!$E:$E,FALSE,Sales!$D:$D,FALSE,Sales!$A:$A,"&lt;&gt;"&amp;"Endulini")/1.15-C52</f>
        <v>7573434.7826086963</v>
      </c>
      <c r="E52" s="110">
        <f t="shared" si="0"/>
        <v>0</v>
      </c>
    </row>
    <row r="53" spans="1:5" ht="24" x14ac:dyDescent="0.3">
      <c r="A53" s="103" t="s">
        <v>1981</v>
      </c>
      <c r="B53" s="109">
        <v>0</v>
      </c>
      <c r="C53" s="110">
        <f>SUMIFS(Sales!$N:$N,Sales!$E:$E,FALSE,Sales!$D:$D,FALSE,Sales!$A:$A,"&lt;&gt;"&amp;"Endulini")*B53</f>
        <v>0</v>
      </c>
      <c r="D53" s="110">
        <f>SUMIFS(Sales!$N:$N,Sales!$E:$E,FALSE,Sales!$D:$D,FALSE,Sales!$A:$A,"&lt;&gt;"&amp;"Endulini")-C53</f>
        <v>870945</v>
      </c>
      <c r="E53" s="110">
        <f t="shared" si="0"/>
        <v>0</v>
      </c>
    </row>
    <row r="54" spans="1:5" ht="24" x14ac:dyDescent="0.3">
      <c r="A54" s="103"/>
      <c r="B54" s="110"/>
      <c r="C54" s="110"/>
      <c r="D54" s="110"/>
      <c r="E54" s="110"/>
    </row>
    <row r="55" spans="1:5" ht="24" x14ac:dyDescent="0.3">
      <c r="A55" s="103"/>
      <c r="B55" s="110"/>
      <c r="C55" s="110"/>
      <c r="D55" s="110"/>
      <c r="E55" s="110"/>
    </row>
    <row r="56" spans="1:5" ht="24" x14ac:dyDescent="0.3">
      <c r="A56" s="103" t="s">
        <v>1686</v>
      </c>
      <c r="B56" s="110">
        <f>-SUMIFS(Xero!$F:$F,Xero!$E:$E,'NSST Print'!$A56)</f>
        <v>758058.91999999993</v>
      </c>
      <c r="C56" s="110"/>
      <c r="D56" s="110"/>
      <c r="E56" s="110"/>
    </row>
    <row r="57" spans="1:5" ht="24" x14ac:dyDescent="0.3">
      <c r="A57" s="103" t="s">
        <v>1555</v>
      </c>
      <c r="B57" s="110">
        <f>-SUMIFS(Xero!$F:$F,Xero!$E:$E,'NSST Print'!$A57)</f>
        <v>215222.18000000002</v>
      </c>
      <c r="C57" s="110"/>
      <c r="D57" s="110"/>
      <c r="E57" s="110"/>
    </row>
    <row r="58" spans="1:5" ht="24" x14ac:dyDescent="0.3">
      <c r="A58" s="103" t="s">
        <v>1701</v>
      </c>
      <c r="B58" s="110">
        <f>-SUMIFS(Xero!$F:$F,Xero!$E:$E,'NSST Print'!$A58)</f>
        <v>104958.05</v>
      </c>
      <c r="C58" s="110"/>
      <c r="D58" s="110"/>
      <c r="E58" s="110"/>
    </row>
    <row r="59" spans="1:5" ht="24" x14ac:dyDescent="0.3">
      <c r="A59" s="103" t="s">
        <v>1619</v>
      </c>
      <c r="B59" s="110">
        <f>-SUMIFS(Xero!$F:$F,Xero!$E:$E,'NSST Print'!$A59)</f>
        <v>0</v>
      </c>
      <c r="C59" s="110"/>
      <c r="D59" s="110"/>
      <c r="E59" s="110"/>
    </row>
    <row r="60" spans="1:5" ht="24" x14ac:dyDescent="0.3">
      <c r="A60" s="103" t="s">
        <v>1212</v>
      </c>
      <c r="B60" s="110">
        <f>-SUMIFS(Xero!$F:$F,Xero!$E:$E,'NSST Print'!$A60)</f>
        <v>1245</v>
      </c>
      <c r="C60" s="110"/>
      <c r="D60" s="110"/>
      <c r="E60" s="110"/>
    </row>
    <row r="61" spans="1:5" ht="24" x14ac:dyDescent="0.3">
      <c r="A61" s="103" t="s">
        <v>1745</v>
      </c>
      <c r="B61" s="110">
        <f>-SUMIFS(Xero!$F:$F,Xero!$E:$E,'NSST Print'!$A61)</f>
        <v>5546.16</v>
      </c>
      <c r="C61" s="110"/>
      <c r="D61" s="110"/>
      <c r="E61" s="110"/>
    </row>
    <row r="62" spans="1:5" ht="24" x14ac:dyDescent="0.3">
      <c r="A62" s="103" t="s">
        <v>1225</v>
      </c>
      <c r="B62" s="110">
        <f>-SUMIFS(Xero!$F:$F,Xero!$E:$E,'NSST Print'!$A62)</f>
        <v>149149.4</v>
      </c>
      <c r="C62" s="110"/>
      <c r="D62" s="110"/>
      <c r="E62" s="110"/>
    </row>
    <row r="63" spans="1:5" ht="24" x14ac:dyDescent="0.3">
      <c r="A63" s="103" t="s">
        <v>1982</v>
      </c>
      <c r="B63" s="110">
        <f>-SUMIFS(Xero!$F:$F,Xero!$E:$E,'NSST Print'!$A63)</f>
        <v>0</v>
      </c>
      <c r="C63" s="110"/>
      <c r="D63" s="110"/>
      <c r="E63" s="110"/>
    </row>
    <row r="64" spans="1:5" ht="24" x14ac:dyDescent="0.3">
      <c r="A64" s="103"/>
      <c r="B64" s="110"/>
      <c r="C64" s="110"/>
      <c r="D64" s="110"/>
      <c r="E64" s="110"/>
    </row>
    <row r="65" spans="1:5" ht="24" x14ac:dyDescent="0.3">
      <c r="A65" s="103"/>
      <c r="B65" s="110"/>
      <c r="C65" s="110"/>
      <c r="D65" s="110"/>
      <c r="E65" s="110"/>
    </row>
    <row r="66" spans="1:5" ht="24" x14ac:dyDescent="0.3">
      <c r="A66" s="103" t="s">
        <v>1983</v>
      </c>
      <c r="B66" s="110">
        <f>SUMIFS(Xero!$F:$F,Xero!$C:$C,"Expenses",Xero!$A:$A,"&lt;&gt;"&amp;Heron!$A$6)</f>
        <v>59001129.280000038</v>
      </c>
      <c r="C66" s="110"/>
      <c r="D66" s="110"/>
      <c r="E66" s="110"/>
    </row>
    <row r="67" spans="1:5" ht="24" x14ac:dyDescent="0.3">
      <c r="A67" s="103" t="s">
        <v>1215</v>
      </c>
      <c r="B67" s="110">
        <f>SUMIFS(Xero!$F:$F,Xero!$E:$E,'NSST Print'!$A67)</f>
        <v>26200000</v>
      </c>
      <c r="C67" s="110"/>
      <c r="D67" s="110"/>
      <c r="E67" s="110"/>
    </row>
    <row r="68" spans="1:5" ht="24" x14ac:dyDescent="0.3">
      <c r="A68" s="103" t="s">
        <v>1451</v>
      </c>
      <c r="B68" s="110">
        <f>SUMIFS(Xero!$F:$F,Xero!$E:$E,'NSST Print'!$A68)</f>
        <v>33451374.170000002</v>
      </c>
      <c r="C68" s="110"/>
      <c r="D68" s="110"/>
      <c r="E68" s="110"/>
    </row>
    <row r="69" spans="1:5" ht="24" x14ac:dyDescent="0.3">
      <c r="A69" s="103" t="s">
        <v>1453</v>
      </c>
      <c r="B69" s="110">
        <f>SUMIFS(Xero!$F:$F,Xero!$E:$E,'NSST Print'!$A69)</f>
        <v>3338285.24</v>
      </c>
      <c r="C69" s="110"/>
      <c r="D69" s="110"/>
      <c r="E69" s="110"/>
    </row>
    <row r="70" spans="1:5" ht="24" x14ac:dyDescent="0.3">
      <c r="A70" s="103" t="s">
        <v>1316</v>
      </c>
      <c r="B70" s="110">
        <f>SUMIFS(Xero!$F:$F,Xero!$E:$E,'NSST Print'!$A70)</f>
        <v>7231.9099999999989</v>
      </c>
      <c r="C70" s="110"/>
      <c r="D70" s="110"/>
      <c r="E70" s="110"/>
    </row>
    <row r="71" spans="1:5" ht="24" x14ac:dyDescent="0.3">
      <c r="A71" s="103" t="s">
        <v>1543</v>
      </c>
      <c r="B71" s="110">
        <f>SUMIFS(Xero!$F:$F,Xero!$E:$E,'NSST Print'!$A71)+SUMIFS('Updated Construction'!$F:$F,'Updated Construction'!$D:$D,FALSE)</f>
        <v>123506079.53</v>
      </c>
      <c r="C71" s="110"/>
      <c r="D71" s="110"/>
      <c r="E71" s="110"/>
    </row>
    <row r="72" spans="1:5" ht="24" x14ac:dyDescent="0.3">
      <c r="A72" s="103" t="s">
        <v>1528</v>
      </c>
      <c r="B72" s="110">
        <f>SUMIFS(Xero!$F:$F,Xero!$E:$E,'NSST Print'!$A72)</f>
        <v>880490.73</v>
      </c>
      <c r="C72" s="110"/>
      <c r="D72" s="110"/>
      <c r="E72" s="110"/>
    </row>
    <row r="73" spans="1:5" ht="24" x14ac:dyDescent="0.3">
      <c r="A73" s="103" t="s">
        <v>1621</v>
      </c>
      <c r="B73" s="110">
        <f>SUMIFS(Xero!$F:$F,Xero!$E:$E,'NSST Print'!$A73)</f>
        <v>40205.80999999999</v>
      </c>
      <c r="C73" s="110"/>
      <c r="D73" s="110"/>
      <c r="E73" s="110"/>
    </row>
    <row r="74" spans="1:5" ht="24" x14ac:dyDescent="0.3">
      <c r="A74" s="103" t="s">
        <v>1151</v>
      </c>
      <c r="B74" s="110">
        <f>SUMIFS('Other Costs'!$D:$D,'Other Costs'!$A:$A,'NSST Print'!$A74)</f>
        <v>8265883.6499999985</v>
      </c>
      <c r="C74" s="110"/>
      <c r="D74" s="110"/>
      <c r="E74" s="110"/>
    </row>
    <row r="75" spans="1:5" ht="24" x14ac:dyDescent="0.3">
      <c r="A75" s="103" t="s">
        <v>1829</v>
      </c>
      <c r="B75" s="110">
        <f>SUMIFS('Other Costs'!$D:$D,'Other Costs'!$A:$A,'NSST Print'!$A75)</f>
        <v>9606048.0199999977</v>
      </c>
      <c r="C75" s="110"/>
      <c r="D75" s="110"/>
      <c r="E75" s="110"/>
    </row>
    <row r="76" spans="1:5" ht="24" x14ac:dyDescent="0.3">
      <c r="A76" s="103" t="s">
        <v>1831</v>
      </c>
      <c r="B76" s="110">
        <f>SUMIFS('Other Costs'!$D:$D,'Other Costs'!$A:$A,'NSST Print'!$A76)</f>
        <v>5361342.92</v>
      </c>
      <c r="C76" s="110"/>
      <c r="D76" s="110"/>
      <c r="E76" s="110"/>
    </row>
    <row r="77" spans="1:5" ht="24" x14ac:dyDescent="0.3">
      <c r="A77" s="103" t="s">
        <v>1830</v>
      </c>
      <c r="B77" s="110">
        <f>SUMIFS('Other Costs'!$D:$D,'Other Costs'!$A:$A,'NSST Print'!$A77)</f>
        <v>25272544</v>
      </c>
      <c r="C77" s="110"/>
      <c r="D77" s="110"/>
      <c r="E77" s="110"/>
    </row>
    <row r="78" spans="1:5" ht="24" x14ac:dyDescent="0.3">
      <c r="A78" s="103" t="s">
        <v>1984</v>
      </c>
      <c r="B78" s="110">
        <f>SUM(B66:B77)</f>
        <v>294930615.26000005</v>
      </c>
      <c r="C78" s="110"/>
      <c r="D78" s="110"/>
      <c r="E78" s="110"/>
    </row>
  </sheetData>
  <mergeCells count="36">
    <mergeCell ref="B41:E41"/>
    <mergeCell ref="B42:E42"/>
    <mergeCell ref="B43:E43"/>
    <mergeCell ref="B44:E44"/>
    <mergeCell ref="B45:E45"/>
    <mergeCell ref="B35:E35"/>
    <mergeCell ref="B36:E36"/>
    <mergeCell ref="B37:E37"/>
    <mergeCell ref="B38:E38"/>
    <mergeCell ref="B39:E39"/>
    <mergeCell ref="B29:E29"/>
    <mergeCell ref="B30:E30"/>
    <mergeCell ref="B31:E31"/>
    <mergeCell ref="B32:E32"/>
    <mergeCell ref="B33:E33"/>
    <mergeCell ref="A28:E28"/>
    <mergeCell ref="A34:E34"/>
    <mergeCell ref="A40:E40"/>
    <mergeCell ref="B3:E3"/>
    <mergeCell ref="B4:E4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7:E17"/>
    <mergeCell ref="A1:D1"/>
    <mergeCell ref="A2:E2"/>
    <mergeCell ref="A5:E5"/>
    <mergeCell ref="A14:E14"/>
    <mergeCell ref="A18:E1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204E"/>
  </sheetPr>
  <dimension ref="A1:AC568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15" customWidth="1"/>
    <col min="2" max="2" width="15" hidden="1" customWidth="1"/>
    <col min="3" max="4" width="15" customWidth="1"/>
    <col min="5" max="5" width="33" customWidth="1"/>
    <col min="6" max="6" width="15" customWidth="1"/>
    <col min="7" max="13" width="15" hidden="1" customWidth="1"/>
    <col min="14" max="14" width="15" customWidth="1"/>
    <col min="15" max="15" width="15" hidden="1" customWidth="1"/>
    <col min="16" max="19" width="15" customWidth="1"/>
    <col min="20" max="21" width="15" hidden="1" customWidth="1"/>
    <col min="22" max="23" width="15" customWidth="1"/>
    <col min="24" max="24" width="15" hidden="1" customWidth="1"/>
  </cols>
  <sheetData>
    <row r="1" spans="1:29" ht="29" x14ac:dyDescent="0.2">
      <c r="A1" s="150" t="s">
        <v>1985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7"/>
    </row>
    <row r="2" spans="1:29" ht="55" customHeight="1" x14ac:dyDescent="0.2">
      <c r="A2" s="112" t="s">
        <v>1986</v>
      </c>
      <c r="B2" s="112" t="s">
        <v>12</v>
      </c>
      <c r="C2" s="112" t="s">
        <v>1987</v>
      </c>
      <c r="D2" s="112" t="s">
        <v>8</v>
      </c>
      <c r="E2" s="112" t="s">
        <v>1988</v>
      </c>
      <c r="F2" s="112" t="s">
        <v>1989</v>
      </c>
      <c r="G2" s="112" t="s">
        <v>1990</v>
      </c>
      <c r="H2" s="112" t="s">
        <v>1991</v>
      </c>
      <c r="I2" s="112" t="s">
        <v>1992</v>
      </c>
      <c r="J2" s="112" t="s">
        <v>1993</v>
      </c>
      <c r="K2" s="112" t="s">
        <v>1994</v>
      </c>
      <c r="L2" s="112" t="s">
        <v>1995</v>
      </c>
      <c r="M2" s="112" t="s">
        <v>1996</v>
      </c>
      <c r="N2" s="112" t="s">
        <v>1997</v>
      </c>
      <c r="O2" s="112" t="s">
        <v>1998</v>
      </c>
      <c r="P2" s="112" t="s">
        <v>1999</v>
      </c>
      <c r="Q2" s="112" t="s">
        <v>2000</v>
      </c>
      <c r="R2" s="112" t="s">
        <v>2001</v>
      </c>
      <c r="S2" s="112" t="s">
        <v>2002</v>
      </c>
      <c r="T2" s="112" t="s">
        <v>2003</v>
      </c>
      <c r="U2" s="112" t="s">
        <v>15</v>
      </c>
      <c r="V2" s="112" t="s">
        <v>2004</v>
      </c>
      <c r="W2" s="112" t="s">
        <v>2005</v>
      </c>
      <c r="X2" s="112" t="s">
        <v>16</v>
      </c>
      <c r="Y2" t="s">
        <v>2006</v>
      </c>
      <c r="Z2" t="s">
        <v>2007</v>
      </c>
      <c r="AA2" t="s">
        <v>10</v>
      </c>
      <c r="AB2" t="s">
        <v>2008</v>
      </c>
    </row>
    <row r="3" spans="1:29" ht="30" customHeight="1" x14ac:dyDescent="0.2">
      <c r="A3" s="113">
        <f>COUNTIFS(Sales!$E:$E,FALSE,Sales!$A:$A,"&lt;&gt;"&amp;"Endulini",Sales!$D:$D,TRUE)+COUNTIFS(Sales!$E:$E,FALSE,Sales!$A:$A,"&lt;&gt;"&amp;"Endulini",Sales!$D:$D,FALSE)</f>
        <v>140</v>
      </c>
      <c r="B3" s="114"/>
      <c r="C3" s="113">
        <f>COUNTIFS(Investors!$G:$G,FALSE)+COUNTIFS(Investors!$G:$G,TRUE)-(COUNTIFS(Investors!$G:$G,TRUE)+COUNTIFS(Investors!$G:$G,FALSE,Investors!$O:$O,TRUE,Investors!$P:$P,FALSE))</f>
        <v>333</v>
      </c>
      <c r="D3" s="114"/>
      <c r="E3" s="114"/>
      <c r="F3" s="115">
        <f>SUM(F4:F570)</f>
        <v>139828016.41999993</v>
      </c>
      <c r="G3" s="114"/>
      <c r="H3" s="114"/>
      <c r="I3" s="114"/>
      <c r="J3" s="114"/>
      <c r="K3" s="114"/>
      <c r="L3" s="114"/>
      <c r="M3" s="114"/>
      <c r="N3" s="114"/>
      <c r="O3" s="114"/>
      <c r="P3" s="115">
        <f>SUM(P4:P570)</f>
        <v>16772618.321354659</v>
      </c>
      <c r="Q3" s="115">
        <f>SUM(Q4:Q570)</f>
        <v>172365388.42179087</v>
      </c>
      <c r="R3" s="115">
        <f>SUM(R4:R570)</f>
        <v>35786860.268298917</v>
      </c>
      <c r="S3" s="115">
        <f>SUBTOTAL(109,S4:S570)</f>
        <v>34476949.481907949</v>
      </c>
      <c r="T3" s="114"/>
      <c r="U3" s="114"/>
      <c r="V3" s="115">
        <f>SUM(V4:V570)</f>
        <v>19679026.459447742</v>
      </c>
      <c r="W3" s="115">
        <f>SUM(W4:W570)</f>
        <v>1330640.05</v>
      </c>
      <c r="X3" s="114"/>
    </row>
    <row r="4" spans="1:29" ht="16" x14ac:dyDescent="0.2">
      <c r="A4" s="116" t="s">
        <v>21</v>
      </c>
      <c r="B4" s="116">
        <v>2</v>
      </c>
      <c r="C4" s="116" t="s">
        <v>25</v>
      </c>
      <c r="D4" s="116" t="s">
        <v>26</v>
      </c>
      <c r="E4" s="116" t="s">
        <v>2009</v>
      </c>
      <c r="F4" s="117">
        <f>SUMIFS(Investors!$M:$M,Investors!$O:$O,FALSE,Investors!$P:$P,FALSE,Investors!$K:$K,"&gt;"&amp;'NSST Print'!$B$3,Investors!$I:$I,"&lt;="&amp;'NSST Print'!$B$3,Investors!$A:$A,'Investor Exit List'!$A4,Investors!$E:$E,'Investor Exit List'!$C4,Investors!$L:$L,'Investor Exit List'!$B4)-(SUMIFS(Investors!$M:$M,Investors!$I:$I,"&lt;="&amp;'NSST Print'!$B$3,Investors!$J:$J,"&gt;"&amp;'NSST Print'!$B$3,Investors!$A:$A,'Investor Exit List'!$A4,Investors!$E:$E,'Investor Exit List'!$C4,Investors!$L:$L,'Investor Exit List'!$B4)+SUMIFS(Investors!$M:$M,Investors!$I:$I,"&lt;="&amp;'NSST Print'!$B$3,Investors!$J:$J,"",Investors!$A:$A,'Investor Exit List'!$A4,Investors!$E:$E,'Investor Exit List'!$C4,Investors!$L:$L,'Investor Exit List'!$B4))</f>
        <v>0</v>
      </c>
      <c r="G4" s="118">
        <v>44610</v>
      </c>
      <c r="H4" s="116" t="b">
        <f>VLOOKUP($C4,Sales!$C:$E,2,FALSE)</f>
        <v>1</v>
      </c>
      <c r="I4" s="116" t="b">
        <f>VLOOKUP($C4,Sales!$C:$E,3,FALSE)</f>
        <v>1</v>
      </c>
      <c r="J4" s="118">
        <f>SUMIFS(Sales!$H:$H,Sales!$C:$C,'Investor Exit List'!$C4)</f>
        <v>45688</v>
      </c>
      <c r="K4" s="118">
        <f t="shared" ref="K4:K67" si="0">IF(I4=TRUE,J4,"")</f>
        <v>45688</v>
      </c>
      <c r="L4" s="118">
        <f t="shared" ref="L4:L67" si="1">G4+730</f>
        <v>45340</v>
      </c>
      <c r="M4" s="118">
        <v>45443</v>
      </c>
      <c r="N4" s="119">
        <f t="shared" ref="N4:N67" si="2">IFERROR(IF(G4&lt;&gt;"",IF(I4=TRUE,0,IF(U4=TRUE,0,L4-M4)),0),0)</f>
        <v>0</v>
      </c>
      <c r="O4" s="119">
        <f t="shared" ref="O4:O67" si="3">IF(N4&gt;0,IF(N4&lt;=180,N4,0),0)</f>
        <v>0</v>
      </c>
      <c r="P4" s="117">
        <f t="shared" ref="P4:P67" si="4">IF(AND(N4&lt;90,N4&gt;0),Q4,0)</f>
        <v>0</v>
      </c>
      <c r="Q4" s="117">
        <f>SUMIFS(Investors!$M:$M,Investors!$O:$O,FALSE,Investors!$P:$P,FALSE,Investors!$K:$K,"&gt;"&amp;'NSST Print'!$B$3,Investors!$I:$I,"&lt;="&amp;'NSST Print'!$B$3,Investors!$A:$A,'Investor Exit List'!$A4,Investors!$E:$E,'Investor Exit List'!$C4,Investors!$L:$L,'Investor Exit List'!$B4)-(SUMIFS(Investors!$M:$M,Investors!$I:$I,"&lt;="&amp;'NSST Print'!$B$3,Investors!$J:$J,"&gt;"&amp;'NSST Print'!$B$3,Investors!$A:$A,'Investor Exit List'!$A4,Investors!$E:$E,'Investor Exit List'!$C4,Investors!$L:$L,'Investor Exit List'!$B4)+SUMIFS(Investors!$M:$M,Investors!$I:$I,"&lt;="&amp;'NSST Print'!$B$3,Investors!$J:$J,"",Investors!$A:$A,'Investor Exit List'!$A4,Investors!$E:$E,'Investor Exit List'!$C4,Investors!$L:$L,'Investor Exit List'!$B4))+SUMIFS(Investors!$S:$S,Investors!$O:$O,FALSE,Investors!$P:$P,FALSE,Investors!$K:$K,"&gt;"&amp;'NSST Print'!$B$3,Investors!$I:$I,"&lt;="&amp;'NSST Print'!$B$3,Investors!$A:$A,'Investor Exit List'!$A4,Investors!$E:$E,'Investor Exit List'!$C4,Investors!$L:$L,'Investor Exit List'!$B4)-(SUMIFS(Investors!$S:$S,Investors!$I:$I,"&lt;="&amp;'NSST Print'!$B$3,Investors!$J:$J,"&gt;"&amp;'NSST Print'!$B$3,Investors!$A:$A,'Investor Exit List'!$A4,Investors!$E:$E,'Investor Exit List'!$C4,Investors!$L:$L,'Investor Exit List'!$B4)+SUMIFS(Investors!$S:$S,Investors!$I:$I,"&lt;="&amp;'NSST Print'!$B$3,Investors!$J:$J,"",Investors!$A:$A,'Investor Exit List'!$A4,Investors!$E:$E,'Investor Exit List'!$C4,Investors!$L:$L,'Investor Exit List'!$B4))</f>
        <v>0</v>
      </c>
      <c r="R4" s="117">
        <f t="shared" ref="R4:R67" si="5">IF(AND(H4=TRUE,I4=FALSE),Q4,0)</f>
        <v>0</v>
      </c>
      <c r="S4" s="117">
        <f>SUMIFS(Investors!$M:$M,Investors!$O:$O,TRUE,Investors!$A:$A,'Investor Exit List'!$A4,Investors!$E:$E,'Investor Exit List'!$C4,Investors!$L:$L,'Investor Exit List'!$B4)+SUMIFS(Investors!$S:$S,Investors!$O:$O,TRUE,Investors!$A:$A,'Investor Exit List'!$A4,Investors!$E:$E,'Investor Exit List'!$C4,Investors!$L:$L,'Investor Exit List'!$B4)</f>
        <v>0</v>
      </c>
      <c r="T4" s="118" t="str">
        <f t="shared" ref="T4:T67" si="6">IF(U4=TRUE,$J4,"")</f>
        <v/>
      </c>
      <c r="U4" s="116" t="b">
        <v>0</v>
      </c>
      <c r="V4" s="117">
        <f t="shared" ref="V4:V67" si="7">IF(AND(H4=TRUE,OR(K4="",K4&gt;M4)),S4,0)</f>
        <v>0</v>
      </c>
      <c r="W4" s="116">
        <v>0</v>
      </c>
      <c r="X4" s="116" t="b">
        <v>0</v>
      </c>
      <c r="Y4" s="119">
        <f>IF(H4=FALSE,VLOOKUP($C4,Sales!$C:$F,4,FALSE),1)</f>
        <v>1</v>
      </c>
      <c r="Z4" s="116" t="str">
        <f t="shared" ref="Z4:Z67" si="8">IF(Y4=0,"Release",IF(AND(L4&lt;J4,Y4=1,H4=FALSE,U4=FALSE,MONTH(L4)&amp;"/"&amp;YEAR(L4)&lt;&gt;MONTH(J4)&amp;"/"&amp;YEAR(J4)),"Release",""))</f>
        <v/>
      </c>
      <c r="AA4" s="118">
        <f t="shared" ref="AA4:AA67" si="9">_xlfn.MINIFS($L:$L,$C:$C,$C4,$F:$F,"&lt;&gt;0")</f>
        <v>0</v>
      </c>
      <c r="AB4" s="118" t="str">
        <f t="shared" ref="AB4:AB67" si="10">C4&amp;"-"&amp;A4</f>
        <v>HFA101-ZCAM01</v>
      </c>
      <c r="AC4" s="118">
        <f t="shared" ref="AC4:AC67" si="11">L4</f>
        <v>45340</v>
      </c>
    </row>
    <row r="5" spans="1:29" ht="16" x14ac:dyDescent="0.2">
      <c r="A5" s="116" t="s">
        <v>27</v>
      </c>
      <c r="B5" s="116">
        <v>10</v>
      </c>
      <c r="C5" s="116" t="s">
        <v>25</v>
      </c>
      <c r="D5" s="116" t="s">
        <v>26</v>
      </c>
      <c r="E5" s="116" t="s">
        <v>2010</v>
      </c>
      <c r="F5" s="117">
        <f>SUMIFS(Investors!$M:$M,Investors!$O:$O,FALSE,Investors!$P:$P,FALSE,Investors!$K:$K,"&gt;"&amp;'NSST Print'!$B$3,Investors!$I:$I,"&lt;="&amp;'NSST Print'!$B$3,Investors!$A:$A,'Investor Exit List'!$A5,Investors!$E:$E,'Investor Exit List'!$C5,Investors!$L:$L,'Investor Exit List'!$B5)-(SUMIFS(Investors!$M:$M,Investors!$I:$I,"&lt;="&amp;'NSST Print'!$B$3,Investors!$J:$J,"&gt;"&amp;'NSST Print'!$B$3,Investors!$A:$A,'Investor Exit List'!$A5,Investors!$E:$E,'Investor Exit List'!$C5,Investors!$L:$L,'Investor Exit List'!$B5)+SUMIFS(Investors!$M:$M,Investors!$I:$I,"&lt;="&amp;'NSST Print'!$B$3,Investors!$J:$J,"",Investors!$A:$A,'Investor Exit List'!$A5,Investors!$E:$E,'Investor Exit List'!$C5,Investors!$L:$L,'Investor Exit List'!$B5))</f>
        <v>0</v>
      </c>
      <c r="G5" s="118">
        <v>44316</v>
      </c>
      <c r="H5" s="116" t="b">
        <f>VLOOKUP($C5,Sales!$C:$E,2,FALSE)</f>
        <v>1</v>
      </c>
      <c r="I5" s="116" t="b">
        <f>VLOOKUP($C5,Sales!$C:$E,3,FALSE)</f>
        <v>1</v>
      </c>
      <c r="J5" s="118">
        <f>SUMIFS(Sales!$H:$H,Sales!$C:$C,'Investor Exit List'!$C5)</f>
        <v>45688</v>
      </c>
      <c r="K5" s="118">
        <f t="shared" si="0"/>
        <v>45688</v>
      </c>
      <c r="L5" s="118">
        <f t="shared" si="1"/>
        <v>45046</v>
      </c>
      <c r="M5" s="118">
        <v>45443</v>
      </c>
      <c r="N5" s="119">
        <f t="shared" si="2"/>
        <v>0</v>
      </c>
      <c r="O5" s="119">
        <f t="shared" si="3"/>
        <v>0</v>
      </c>
      <c r="P5" s="117">
        <f t="shared" si="4"/>
        <v>0</v>
      </c>
      <c r="Q5" s="117">
        <f>SUMIFS(Investors!$M:$M,Investors!$O:$O,FALSE,Investors!$P:$P,FALSE,Investors!$K:$K,"&gt;"&amp;'NSST Print'!$B$3,Investors!$I:$I,"&lt;="&amp;'NSST Print'!$B$3,Investors!$A:$A,'Investor Exit List'!$A5,Investors!$E:$E,'Investor Exit List'!$C5,Investors!$L:$L,'Investor Exit List'!$B5)-(SUMIFS(Investors!$M:$M,Investors!$I:$I,"&lt;="&amp;'NSST Print'!$B$3,Investors!$J:$J,"&gt;"&amp;'NSST Print'!$B$3,Investors!$A:$A,'Investor Exit List'!$A5,Investors!$E:$E,'Investor Exit List'!$C5,Investors!$L:$L,'Investor Exit List'!$B5)+SUMIFS(Investors!$M:$M,Investors!$I:$I,"&lt;="&amp;'NSST Print'!$B$3,Investors!$J:$J,"",Investors!$A:$A,'Investor Exit List'!$A5,Investors!$E:$E,'Investor Exit List'!$C5,Investors!$L:$L,'Investor Exit List'!$B5))+SUMIFS(Investors!$S:$S,Investors!$O:$O,FALSE,Investors!$P:$P,FALSE,Investors!$K:$K,"&gt;"&amp;'NSST Print'!$B$3,Investors!$I:$I,"&lt;="&amp;'NSST Print'!$B$3,Investors!$A:$A,'Investor Exit List'!$A5,Investors!$E:$E,'Investor Exit List'!$C5,Investors!$L:$L,'Investor Exit List'!$B5)-(SUMIFS(Investors!$S:$S,Investors!$I:$I,"&lt;="&amp;'NSST Print'!$B$3,Investors!$J:$J,"&gt;"&amp;'NSST Print'!$B$3,Investors!$A:$A,'Investor Exit List'!$A5,Investors!$E:$E,'Investor Exit List'!$C5,Investors!$L:$L,'Investor Exit List'!$B5)+SUMIFS(Investors!$S:$S,Investors!$I:$I,"&lt;="&amp;'NSST Print'!$B$3,Investors!$J:$J,"",Investors!$A:$A,'Investor Exit List'!$A5,Investors!$E:$E,'Investor Exit List'!$C5,Investors!$L:$L,'Investor Exit List'!$B5))</f>
        <v>0</v>
      </c>
      <c r="R5" s="117">
        <f t="shared" si="5"/>
        <v>0</v>
      </c>
      <c r="S5" s="117">
        <f>SUMIFS(Investors!$M:$M,Investors!$O:$O,TRUE,Investors!$A:$A,'Investor Exit List'!$A5,Investors!$E:$E,'Investor Exit List'!$C5,Investors!$L:$L,'Investor Exit List'!$B5)+SUMIFS(Investors!$S:$S,Investors!$O:$O,TRUE,Investors!$A:$A,'Investor Exit List'!$A5,Investors!$E:$E,'Investor Exit List'!$C5,Investors!$L:$L,'Investor Exit List'!$B5)</f>
        <v>0</v>
      </c>
      <c r="T5" s="118" t="str">
        <f t="shared" si="6"/>
        <v/>
      </c>
      <c r="U5" s="116" t="b">
        <v>0</v>
      </c>
      <c r="V5" s="117">
        <f t="shared" si="7"/>
        <v>0</v>
      </c>
      <c r="W5" s="116">
        <v>0</v>
      </c>
      <c r="X5" s="116" t="b">
        <v>0</v>
      </c>
      <c r="Y5" s="119">
        <f>IF(H5=FALSE,VLOOKUP($C5,Sales!$C:$F,4,FALSE),1)</f>
        <v>1</v>
      </c>
      <c r="Z5" s="116" t="str">
        <f t="shared" si="8"/>
        <v/>
      </c>
      <c r="AA5" s="118">
        <f t="shared" si="9"/>
        <v>0</v>
      </c>
      <c r="AB5" s="118" t="str">
        <f t="shared" si="10"/>
        <v>HFA101-ZSCH01</v>
      </c>
      <c r="AC5" s="118">
        <f t="shared" si="11"/>
        <v>45046</v>
      </c>
    </row>
    <row r="6" spans="1:29" ht="16" x14ac:dyDescent="0.2">
      <c r="A6" s="116" t="s">
        <v>30</v>
      </c>
      <c r="B6" s="116">
        <v>1</v>
      </c>
      <c r="C6" s="116" t="s">
        <v>33</v>
      </c>
      <c r="D6" s="116" t="s">
        <v>26</v>
      </c>
      <c r="E6" s="116" t="s">
        <v>2011</v>
      </c>
      <c r="F6" s="117">
        <f>SUMIFS(Investors!$M:$M,Investors!$O:$O,FALSE,Investors!$P:$P,FALSE,Investors!$K:$K,"&gt;"&amp;'NSST Print'!$B$3,Investors!$I:$I,"&lt;="&amp;'NSST Print'!$B$3,Investors!$A:$A,'Investor Exit List'!$A6,Investors!$E:$E,'Investor Exit List'!$C6,Investors!$L:$L,'Investor Exit List'!$B6)-(SUMIFS(Investors!$M:$M,Investors!$I:$I,"&lt;="&amp;'NSST Print'!$B$3,Investors!$J:$J,"&gt;"&amp;'NSST Print'!$B$3,Investors!$A:$A,'Investor Exit List'!$A6,Investors!$E:$E,'Investor Exit List'!$C6,Investors!$L:$L,'Investor Exit List'!$B6)+SUMIFS(Investors!$M:$M,Investors!$I:$I,"&lt;="&amp;'NSST Print'!$B$3,Investors!$J:$J,"",Investors!$A:$A,'Investor Exit List'!$A6,Investors!$E:$E,'Investor Exit List'!$C6,Investors!$L:$L,'Investor Exit List'!$B6))</f>
        <v>0</v>
      </c>
      <c r="G6" s="118">
        <v>44352</v>
      </c>
      <c r="H6" s="116" t="b">
        <f>VLOOKUP($C6,Sales!$C:$E,2,FALSE)</f>
        <v>1</v>
      </c>
      <c r="I6" s="116" t="b">
        <f>VLOOKUP($C6,Sales!$C:$E,3,FALSE)</f>
        <v>1</v>
      </c>
      <c r="J6" s="118">
        <f>SUMIFS(Sales!$H:$H,Sales!$C:$C,'Investor Exit List'!$C6)</f>
        <v>45688</v>
      </c>
      <c r="K6" s="118">
        <f t="shared" si="0"/>
        <v>45688</v>
      </c>
      <c r="L6" s="118">
        <f t="shared" si="1"/>
        <v>45082</v>
      </c>
      <c r="M6" s="118">
        <v>45443</v>
      </c>
      <c r="N6" s="119">
        <f t="shared" si="2"/>
        <v>0</v>
      </c>
      <c r="O6" s="119">
        <f t="shared" si="3"/>
        <v>0</v>
      </c>
      <c r="P6" s="117">
        <f t="shared" si="4"/>
        <v>0</v>
      </c>
      <c r="Q6" s="117">
        <f>SUMIFS(Investors!$M:$M,Investors!$O:$O,FALSE,Investors!$P:$P,FALSE,Investors!$K:$K,"&gt;"&amp;'NSST Print'!$B$3,Investors!$I:$I,"&lt;="&amp;'NSST Print'!$B$3,Investors!$A:$A,'Investor Exit List'!$A6,Investors!$E:$E,'Investor Exit List'!$C6,Investors!$L:$L,'Investor Exit List'!$B6)-(SUMIFS(Investors!$M:$M,Investors!$I:$I,"&lt;="&amp;'NSST Print'!$B$3,Investors!$J:$J,"&gt;"&amp;'NSST Print'!$B$3,Investors!$A:$A,'Investor Exit List'!$A6,Investors!$E:$E,'Investor Exit List'!$C6,Investors!$L:$L,'Investor Exit List'!$B6)+SUMIFS(Investors!$M:$M,Investors!$I:$I,"&lt;="&amp;'NSST Print'!$B$3,Investors!$J:$J,"",Investors!$A:$A,'Investor Exit List'!$A6,Investors!$E:$E,'Investor Exit List'!$C6,Investors!$L:$L,'Investor Exit List'!$B6))+SUMIFS(Investors!$S:$S,Investors!$O:$O,FALSE,Investors!$P:$P,FALSE,Investors!$K:$K,"&gt;"&amp;'NSST Print'!$B$3,Investors!$I:$I,"&lt;="&amp;'NSST Print'!$B$3,Investors!$A:$A,'Investor Exit List'!$A6,Investors!$E:$E,'Investor Exit List'!$C6,Investors!$L:$L,'Investor Exit List'!$B6)-(SUMIFS(Investors!$S:$S,Investors!$I:$I,"&lt;="&amp;'NSST Print'!$B$3,Investors!$J:$J,"&gt;"&amp;'NSST Print'!$B$3,Investors!$A:$A,'Investor Exit List'!$A6,Investors!$E:$E,'Investor Exit List'!$C6,Investors!$L:$L,'Investor Exit List'!$B6)+SUMIFS(Investors!$S:$S,Investors!$I:$I,"&lt;="&amp;'NSST Print'!$B$3,Investors!$J:$J,"",Investors!$A:$A,'Investor Exit List'!$A6,Investors!$E:$E,'Investor Exit List'!$C6,Investors!$L:$L,'Investor Exit List'!$B6))</f>
        <v>0</v>
      </c>
      <c r="R6" s="117">
        <f t="shared" si="5"/>
        <v>0</v>
      </c>
      <c r="S6" s="117">
        <f>SUMIFS(Investors!$M:$M,Investors!$O:$O,TRUE,Investors!$A:$A,'Investor Exit List'!$A6,Investors!$E:$E,'Investor Exit List'!$C6,Investors!$L:$L,'Investor Exit List'!$B6)+SUMIFS(Investors!$S:$S,Investors!$O:$O,TRUE,Investors!$A:$A,'Investor Exit List'!$A6,Investors!$E:$E,'Investor Exit List'!$C6,Investors!$L:$L,'Investor Exit List'!$B6)</f>
        <v>0</v>
      </c>
      <c r="T6" s="118" t="str">
        <f t="shared" si="6"/>
        <v/>
      </c>
      <c r="U6" s="116" t="b">
        <v>0</v>
      </c>
      <c r="V6" s="117">
        <f t="shared" si="7"/>
        <v>0</v>
      </c>
      <c r="W6" s="116">
        <v>0</v>
      </c>
      <c r="X6" s="116" t="b">
        <v>0</v>
      </c>
      <c r="Y6" s="119">
        <f>IF(H6=FALSE,VLOOKUP($C6,Sales!$C:$F,4,FALSE),1)</f>
        <v>1</v>
      </c>
      <c r="Z6" s="116" t="str">
        <f t="shared" si="8"/>
        <v/>
      </c>
      <c r="AA6" s="118">
        <f t="shared" si="9"/>
        <v>0</v>
      </c>
      <c r="AB6" s="118" t="str">
        <f t="shared" si="10"/>
        <v>HFA102-ZZYL03</v>
      </c>
      <c r="AC6" s="118">
        <f t="shared" si="11"/>
        <v>45082</v>
      </c>
    </row>
    <row r="7" spans="1:29" ht="16" x14ac:dyDescent="0.2">
      <c r="A7" s="116" t="s">
        <v>34</v>
      </c>
      <c r="B7" s="116">
        <v>1</v>
      </c>
      <c r="C7" s="116" t="s">
        <v>37</v>
      </c>
      <c r="D7" s="116" t="s">
        <v>26</v>
      </c>
      <c r="E7" s="116" t="s">
        <v>2012</v>
      </c>
      <c r="F7" s="117">
        <f>SUMIFS(Investors!$M:$M,Investors!$O:$O,FALSE,Investors!$P:$P,FALSE,Investors!$K:$K,"&gt;"&amp;'NSST Print'!$B$3,Investors!$I:$I,"&lt;="&amp;'NSST Print'!$B$3,Investors!$A:$A,'Investor Exit List'!$A7,Investors!$E:$E,'Investor Exit List'!$C7,Investors!$L:$L,'Investor Exit List'!$B7)-(SUMIFS(Investors!$M:$M,Investors!$I:$I,"&lt;="&amp;'NSST Print'!$B$3,Investors!$J:$J,"&gt;"&amp;'NSST Print'!$B$3,Investors!$A:$A,'Investor Exit List'!$A7,Investors!$E:$E,'Investor Exit List'!$C7,Investors!$L:$L,'Investor Exit List'!$B7)+SUMIFS(Investors!$M:$M,Investors!$I:$I,"&lt;="&amp;'NSST Print'!$B$3,Investors!$J:$J,"",Investors!$A:$A,'Investor Exit List'!$A7,Investors!$E:$E,'Investor Exit List'!$C7,Investors!$L:$L,'Investor Exit List'!$B7))</f>
        <v>0</v>
      </c>
      <c r="G7" s="118">
        <v>44316</v>
      </c>
      <c r="H7" s="116" t="b">
        <f>VLOOKUP($C7,Sales!$C:$E,2,FALSE)</f>
        <v>1</v>
      </c>
      <c r="I7" s="116" t="b">
        <f>VLOOKUP($C7,Sales!$C:$E,3,FALSE)</f>
        <v>1</v>
      </c>
      <c r="J7" s="118">
        <f>SUMIFS(Sales!$H:$H,Sales!$C:$C,'Investor Exit List'!$C7)</f>
        <v>45688</v>
      </c>
      <c r="K7" s="118">
        <f t="shared" si="0"/>
        <v>45688</v>
      </c>
      <c r="L7" s="118">
        <f t="shared" si="1"/>
        <v>45046</v>
      </c>
      <c r="M7" s="118">
        <v>45443</v>
      </c>
      <c r="N7" s="119">
        <f t="shared" si="2"/>
        <v>0</v>
      </c>
      <c r="O7" s="119">
        <f t="shared" si="3"/>
        <v>0</v>
      </c>
      <c r="P7" s="117">
        <f t="shared" si="4"/>
        <v>0</v>
      </c>
      <c r="Q7" s="117">
        <f>SUMIFS(Investors!$M:$M,Investors!$O:$O,FALSE,Investors!$P:$P,FALSE,Investors!$K:$K,"&gt;"&amp;'NSST Print'!$B$3,Investors!$I:$I,"&lt;="&amp;'NSST Print'!$B$3,Investors!$A:$A,'Investor Exit List'!$A7,Investors!$E:$E,'Investor Exit List'!$C7,Investors!$L:$L,'Investor Exit List'!$B7)-(SUMIFS(Investors!$M:$M,Investors!$I:$I,"&lt;="&amp;'NSST Print'!$B$3,Investors!$J:$J,"&gt;"&amp;'NSST Print'!$B$3,Investors!$A:$A,'Investor Exit List'!$A7,Investors!$E:$E,'Investor Exit List'!$C7,Investors!$L:$L,'Investor Exit List'!$B7)+SUMIFS(Investors!$M:$M,Investors!$I:$I,"&lt;="&amp;'NSST Print'!$B$3,Investors!$J:$J,"",Investors!$A:$A,'Investor Exit List'!$A7,Investors!$E:$E,'Investor Exit List'!$C7,Investors!$L:$L,'Investor Exit List'!$B7))+SUMIFS(Investors!$S:$S,Investors!$O:$O,FALSE,Investors!$P:$P,FALSE,Investors!$K:$K,"&gt;"&amp;'NSST Print'!$B$3,Investors!$I:$I,"&lt;="&amp;'NSST Print'!$B$3,Investors!$A:$A,'Investor Exit List'!$A7,Investors!$E:$E,'Investor Exit List'!$C7,Investors!$L:$L,'Investor Exit List'!$B7)-(SUMIFS(Investors!$S:$S,Investors!$I:$I,"&lt;="&amp;'NSST Print'!$B$3,Investors!$J:$J,"&gt;"&amp;'NSST Print'!$B$3,Investors!$A:$A,'Investor Exit List'!$A7,Investors!$E:$E,'Investor Exit List'!$C7,Investors!$L:$L,'Investor Exit List'!$B7)+SUMIFS(Investors!$S:$S,Investors!$I:$I,"&lt;="&amp;'NSST Print'!$B$3,Investors!$J:$J,"",Investors!$A:$A,'Investor Exit List'!$A7,Investors!$E:$E,'Investor Exit List'!$C7,Investors!$L:$L,'Investor Exit List'!$B7))</f>
        <v>0</v>
      </c>
      <c r="R7" s="117">
        <f t="shared" si="5"/>
        <v>0</v>
      </c>
      <c r="S7" s="117">
        <f>SUMIFS(Investors!$M:$M,Investors!$O:$O,TRUE,Investors!$A:$A,'Investor Exit List'!$A7,Investors!$E:$E,'Investor Exit List'!$C7,Investors!$L:$L,'Investor Exit List'!$B7)+SUMIFS(Investors!$S:$S,Investors!$O:$O,TRUE,Investors!$A:$A,'Investor Exit List'!$A7,Investors!$E:$E,'Investor Exit List'!$C7,Investors!$L:$L,'Investor Exit List'!$B7)</f>
        <v>0</v>
      </c>
      <c r="T7" s="118" t="str">
        <f t="shared" si="6"/>
        <v/>
      </c>
      <c r="U7" s="116" t="b">
        <v>0</v>
      </c>
      <c r="V7" s="117">
        <f t="shared" si="7"/>
        <v>0</v>
      </c>
      <c r="W7" s="116">
        <v>0</v>
      </c>
      <c r="X7" s="116" t="b">
        <v>0</v>
      </c>
      <c r="Y7" s="119">
        <f>IF(H7=FALSE,VLOOKUP($C7,Sales!$C:$F,4,FALSE),1)</f>
        <v>1</v>
      </c>
      <c r="Z7" s="116" t="str">
        <f t="shared" si="8"/>
        <v/>
      </c>
      <c r="AA7" s="118">
        <f t="shared" si="9"/>
        <v>0</v>
      </c>
      <c r="AB7" s="118" t="str">
        <f t="shared" si="10"/>
        <v>HFA103-ZELE01</v>
      </c>
      <c r="AC7" s="118">
        <f t="shared" si="11"/>
        <v>45046</v>
      </c>
    </row>
    <row r="8" spans="1:29" ht="16" x14ac:dyDescent="0.2">
      <c r="A8" s="116" t="s">
        <v>38</v>
      </c>
      <c r="B8" s="116">
        <v>1</v>
      </c>
      <c r="C8" s="116" t="s">
        <v>37</v>
      </c>
      <c r="D8" s="116" t="s">
        <v>26</v>
      </c>
      <c r="E8" s="116" t="s">
        <v>2013</v>
      </c>
      <c r="F8" s="117">
        <f>SUMIFS(Investors!$M:$M,Investors!$O:$O,FALSE,Investors!$P:$P,FALSE,Investors!$K:$K,"&gt;"&amp;'NSST Print'!$B$3,Investors!$I:$I,"&lt;="&amp;'NSST Print'!$B$3,Investors!$A:$A,'Investor Exit List'!$A8,Investors!$E:$E,'Investor Exit List'!$C8,Investors!$L:$L,'Investor Exit List'!$B8)-(SUMIFS(Investors!$M:$M,Investors!$I:$I,"&lt;="&amp;'NSST Print'!$B$3,Investors!$J:$J,"&gt;"&amp;'NSST Print'!$B$3,Investors!$A:$A,'Investor Exit List'!$A8,Investors!$E:$E,'Investor Exit List'!$C8,Investors!$L:$L,'Investor Exit List'!$B8)+SUMIFS(Investors!$M:$M,Investors!$I:$I,"&lt;="&amp;'NSST Print'!$B$3,Investors!$J:$J,"",Investors!$A:$A,'Investor Exit List'!$A8,Investors!$E:$E,'Investor Exit List'!$C8,Investors!$L:$L,'Investor Exit List'!$B8))</f>
        <v>0</v>
      </c>
      <c r="G8" s="118">
        <v>44352</v>
      </c>
      <c r="H8" s="116" t="b">
        <f>VLOOKUP($C8,Sales!$C:$E,2,FALSE)</f>
        <v>1</v>
      </c>
      <c r="I8" s="116" t="b">
        <f>VLOOKUP($C8,Sales!$C:$E,3,FALSE)</f>
        <v>1</v>
      </c>
      <c r="J8" s="118">
        <f>SUMIFS(Sales!$H:$H,Sales!$C:$C,'Investor Exit List'!$C8)</f>
        <v>45688</v>
      </c>
      <c r="K8" s="118">
        <f t="shared" si="0"/>
        <v>45688</v>
      </c>
      <c r="L8" s="118">
        <f t="shared" si="1"/>
        <v>45082</v>
      </c>
      <c r="M8" s="118">
        <v>45443</v>
      </c>
      <c r="N8" s="119">
        <f t="shared" si="2"/>
        <v>0</v>
      </c>
      <c r="O8" s="119">
        <f t="shared" si="3"/>
        <v>0</v>
      </c>
      <c r="P8" s="117">
        <f t="shared" si="4"/>
        <v>0</v>
      </c>
      <c r="Q8" s="117">
        <f>SUMIFS(Investors!$M:$M,Investors!$O:$O,FALSE,Investors!$P:$P,FALSE,Investors!$K:$K,"&gt;"&amp;'NSST Print'!$B$3,Investors!$I:$I,"&lt;="&amp;'NSST Print'!$B$3,Investors!$A:$A,'Investor Exit List'!$A8,Investors!$E:$E,'Investor Exit List'!$C8,Investors!$L:$L,'Investor Exit List'!$B8)-(SUMIFS(Investors!$M:$M,Investors!$I:$I,"&lt;="&amp;'NSST Print'!$B$3,Investors!$J:$J,"&gt;"&amp;'NSST Print'!$B$3,Investors!$A:$A,'Investor Exit List'!$A8,Investors!$E:$E,'Investor Exit List'!$C8,Investors!$L:$L,'Investor Exit List'!$B8)+SUMIFS(Investors!$M:$M,Investors!$I:$I,"&lt;="&amp;'NSST Print'!$B$3,Investors!$J:$J,"",Investors!$A:$A,'Investor Exit List'!$A8,Investors!$E:$E,'Investor Exit List'!$C8,Investors!$L:$L,'Investor Exit List'!$B8))+SUMIFS(Investors!$S:$S,Investors!$O:$O,FALSE,Investors!$P:$P,FALSE,Investors!$K:$K,"&gt;"&amp;'NSST Print'!$B$3,Investors!$I:$I,"&lt;="&amp;'NSST Print'!$B$3,Investors!$A:$A,'Investor Exit List'!$A8,Investors!$E:$E,'Investor Exit List'!$C8,Investors!$L:$L,'Investor Exit List'!$B8)-(SUMIFS(Investors!$S:$S,Investors!$I:$I,"&lt;="&amp;'NSST Print'!$B$3,Investors!$J:$J,"&gt;"&amp;'NSST Print'!$B$3,Investors!$A:$A,'Investor Exit List'!$A8,Investors!$E:$E,'Investor Exit List'!$C8,Investors!$L:$L,'Investor Exit List'!$B8)+SUMIFS(Investors!$S:$S,Investors!$I:$I,"&lt;="&amp;'NSST Print'!$B$3,Investors!$J:$J,"",Investors!$A:$A,'Investor Exit List'!$A8,Investors!$E:$E,'Investor Exit List'!$C8,Investors!$L:$L,'Investor Exit List'!$B8))</f>
        <v>0</v>
      </c>
      <c r="R8" s="117">
        <f t="shared" si="5"/>
        <v>0</v>
      </c>
      <c r="S8" s="117">
        <f>SUMIFS(Investors!$M:$M,Investors!$O:$O,TRUE,Investors!$A:$A,'Investor Exit List'!$A8,Investors!$E:$E,'Investor Exit List'!$C8,Investors!$L:$L,'Investor Exit List'!$B8)+SUMIFS(Investors!$S:$S,Investors!$O:$O,TRUE,Investors!$A:$A,'Investor Exit List'!$A8,Investors!$E:$E,'Investor Exit List'!$C8,Investors!$L:$L,'Investor Exit List'!$B8)</f>
        <v>0</v>
      </c>
      <c r="T8" s="118" t="str">
        <f t="shared" si="6"/>
        <v/>
      </c>
      <c r="U8" s="116" t="b">
        <v>0</v>
      </c>
      <c r="V8" s="117">
        <f t="shared" si="7"/>
        <v>0</v>
      </c>
      <c r="W8" s="116">
        <v>0</v>
      </c>
      <c r="X8" s="116" t="b">
        <v>0</v>
      </c>
      <c r="Y8" s="119">
        <f>IF(H8=FALSE,VLOOKUP($C8,Sales!$C:$F,4,FALSE),1)</f>
        <v>1</v>
      </c>
      <c r="Z8" s="116" t="str">
        <f t="shared" si="8"/>
        <v/>
      </c>
      <c r="AA8" s="118">
        <f t="shared" si="9"/>
        <v>0</v>
      </c>
      <c r="AB8" s="118" t="str">
        <f t="shared" si="10"/>
        <v>HFA103-ZHIL01</v>
      </c>
      <c r="AC8" s="118">
        <f t="shared" si="11"/>
        <v>45082</v>
      </c>
    </row>
    <row r="9" spans="1:29" ht="16" x14ac:dyDescent="0.2">
      <c r="A9" s="116" t="s">
        <v>41</v>
      </c>
      <c r="B9" s="116">
        <v>1</v>
      </c>
      <c r="C9" s="116" t="s">
        <v>37</v>
      </c>
      <c r="D9" s="116" t="s">
        <v>26</v>
      </c>
      <c r="E9" s="116" t="s">
        <v>2014</v>
      </c>
      <c r="F9" s="117">
        <f>SUMIFS(Investors!$M:$M,Investors!$O:$O,FALSE,Investors!$P:$P,FALSE,Investors!$K:$K,"&gt;"&amp;'NSST Print'!$B$3,Investors!$I:$I,"&lt;="&amp;'NSST Print'!$B$3,Investors!$A:$A,'Investor Exit List'!$A9,Investors!$E:$E,'Investor Exit List'!$C9,Investors!$L:$L,'Investor Exit List'!$B9)-(SUMIFS(Investors!$M:$M,Investors!$I:$I,"&lt;="&amp;'NSST Print'!$B$3,Investors!$J:$J,"&gt;"&amp;'NSST Print'!$B$3,Investors!$A:$A,'Investor Exit List'!$A9,Investors!$E:$E,'Investor Exit List'!$C9,Investors!$L:$L,'Investor Exit List'!$B9)+SUMIFS(Investors!$M:$M,Investors!$I:$I,"&lt;="&amp;'NSST Print'!$B$3,Investors!$J:$J,"",Investors!$A:$A,'Investor Exit List'!$A9,Investors!$E:$E,'Investor Exit List'!$C9,Investors!$L:$L,'Investor Exit List'!$B9))</f>
        <v>0</v>
      </c>
      <c r="G9" s="118">
        <v>44352</v>
      </c>
      <c r="H9" s="116" t="b">
        <f>VLOOKUP($C9,Sales!$C:$E,2,FALSE)</f>
        <v>1</v>
      </c>
      <c r="I9" s="116" t="b">
        <f>VLOOKUP($C9,Sales!$C:$E,3,FALSE)</f>
        <v>1</v>
      </c>
      <c r="J9" s="118">
        <f>SUMIFS(Sales!$H:$H,Sales!$C:$C,'Investor Exit List'!$C9)</f>
        <v>45688</v>
      </c>
      <c r="K9" s="118">
        <f t="shared" si="0"/>
        <v>45688</v>
      </c>
      <c r="L9" s="118">
        <f t="shared" si="1"/>
        <v>45082</v>
      </c>
      <c r="M9" s="118">
        <v>45443</v>
      </c>
      <c r="N9" s="119">
        <f t="shared" si="2"/>
        <v>0</v>
      </c>
      <c r="O9" s="119">
        <f t="shared" si="3"/>
        <v>0</v>
      </c>
      <c r="P9" s="117">
        <f t="shared" si="4"/>
        <v>0</v>
      </c>
      <c r="Q9" s="117">
        <f>SUMIFS(Investors!$M:$M,Investors!$O:$O,FALSE,Investors!$P:$P,FALSE,Investors!$K:$K,"&gt;"&amp;'NSST Print'!$B$3,Investors!$I:$I,"&lt;="&amp;'NSST Print'!$B$3,Investors!$A:$A,'Investor Exit List'!$A9,Investors!$E:$E,'Investor Exit List'!$C9,Investors!$L:$L,'Investor Exit List'!$B9)-(SUMIFS(Investors!$M:$M,Investors!$I:$I,"&lt;="&amp;'NSST Print'!$B$3,Investors!$J:$J,"&gt;"&amp;'NSST Print'!$B$3,Investors!$A:$A,'Investor Exit List'!$A9,Investors!$E:$E,'Investor Exit List'!$C9,Investors!$L:$L,'Investor Exit List'!$B9)+SUMIFS(Investors!$M:$M,Investors!$I:$I,"&lt;="&amp;'NSST Print'!$B$3,Investors!$J:$J,"",Investors!$A:$A,'Investor Exit List'!$A9,Investors!$E:$E,'Investor Exit List'!$C9,Investors!$L:$L,'Investor Exit List'!$B9))+SUMIFS(Investors!$S:$S,Investors!$O:$O,FALSE,Investors!$P:$P,FALSE,Investors!$K:$K,"&gt;"&amp;'NSST Print'!$B$3,Investors!$I:$I,"&lt;="&amp;'NSST Print'!$B$3,Investors!$A:$A,'Investor Exit List'!$A9,Investors!$E:$E,'Investor Exit List'!$C9,Investors!$L:$L,'Investor Exit List'!$B9)-(SUMIFS(Investors!$S:$S,Investors!$I:$I,"&lt;="&amp;'NSST Print'!$B$3,Investors!$J:$J,"&gt;"&amp;'NSST Print'!$B$3,Investors!$A:$A,'Investor Exit List'!$A9,Investors!$E:$E,'Investor Exit List'!$C9,Investors!$L:$L,'Investor Exit List'!$B9)+SUMIFS(Investors!$S:$S,Investors!$I:$I,"&lt;="&amp;'NSST Print'!$B$3,Investors!$J:$J,"",Investors!$A:$A,'Investor Exit List'!$A9,Investors!$E:$E,'Investor Exit List'!$C9,Investors!$L:$L,'Investor Exit List'!$B9))</f>
        <v>0</v>
      </c>
      <c r="R9" s="117">
        <f t="shared" si="5"/>
        <v>0</v>
      </c>
      <c r="S9" s="117">
        <f>SUMIFS(Investors!$M:$M,Investors!$O:$O,TRUE,Investors!$A:$A,'Investor Exit List'!$A9,Investors!$E:$E,'Investor Exit List'!$C9,Investors!$L:$L,'Investor Exit List'!$B9)+SUMIFS(Investors!$S:$S,Investors!$O:$O,TRUE,Investors!$A:$A,'Investor Exit List'!$A9,Investors!$E:$E,'Investor Exit List'!$C9,Investors!$L:$L,'Investor Exit List'!$B9)</f>
        <v>0</v>
      </c>
      <c r="T9" s="118" t="str">
        <f t="shared" si="6"/>
        <v/>
      </c>
      <c r="U9" s="116" t="b">
        <v>0</v>
      </c>
      <c r="V9" s="117">
        <f t="shared" si="7"/>
        <v>0</v>
      </c>
      <c r="W9" s="116">
        <v>0</v>
      </c>
      <c r="X9" s="116" t="b">
        <v>0</v>
      </c>
      <c r="Y9" s="119">
        <f>IF(H9=FALSE,VLOOKUP($C9,Sales!$C:$F,4,FALSE),1)</f>
        <v>1</v>
      </c>
      <c r="Z9" s="116" t="str">
        <f t="shared" si="8"/>
        <v/>
      </c>
      <c r="AA9" s="118">
        <f t="shared" si="9"/>
        <v>0</v>
      </c>
      <c r="AB9" s="118" t="str">
        <f t="shared" si="10"/>
        <v>HFA103-ZVAN02</v>
      </c>
      <c r="AC9" s="118">
        <f t="shared" si="11"/>
        <v>45082</v>
      </c>
    </row>
    <row r="10" spans="1:29" ht="16" x14ac:dyDescent="0.2">
      <c r="A10" s="116" t="s">
        <v>30</v>
      </c>
      <c r="B10" s="116">
        <v>2</v>
      </c>
      <c r="C10" s="116" t="s">
        <v>37</v>
      </c>
      <c r="D10" s="116" t="s">
        <v>26</v>
      </c>
      <c r="E10" s="116" t="s">
        <v>2011</v>
      </c>
      <c r="F10" s="117">
        <f>SUMIFS(Investors!$M:$M,Investors!$O:$O,FALSE,Investors!$P:$P,FALSE,Investors!$K:$K,"&gt;"&amp;'NSST Print'!$B$3,Investors!$I:$I,"&lt;="&amp;'NSST Print'!$B$3,Investors!$A:$A,'Investor Exit List'!$A10,Investors!$E:$E,'Investor Exit List'!$C10,Investors!$L:$L,'Investor Exit List'!$B10)-(SUMIFS(Investors!$M:$M,Investors!$I:$I,"&lt;="&amp;'NSST Print'!$B$3,Investors!$J:$J,"&gt;"&amp;'NSST Print'!$B$3,Investors!$A:$A,'Investor Exit List'!$A10,Investors!$E:$E,'Investor Exit List'!$C10,Investors!$L:$L,'Investor Exit List'!$B10)+SUMIFS(Investors!$M:$M,Investors!$I:$I,"&lt;="&amp;'NSST Print'!$B$3,Investors!$J:$J,"",Investors!$A:$A,'Investor Exit List'!$A10,Investors!$E:$E,'Investor Exit List'!$C10,Investors!$L:$L,'Investor Exit List'!$B10))</f>
        <v>0</v>
      </c>
      <c r="G10" s="118">
        <v>44352</v>
      </c>
      <c r="H10" s="116" t="b">
        <f>VLOOKUP($C10,Sales!$C:$E,2,FALSE)</f>
        <v>1</v>
      </c>
      <c r="I10" s="116" t="b">
        <f>VLOOKUP($C10,Sales!$C:$E,3,FALSE)</f>
        <v>1</v>
      </c>
      <c r="J10" s="118">
        <f>SUMIFS(Sales!$H:$H,Sales!$C:$C,'Investor Exit List'!$C10)</f>
        <v>45688</v>
      </c>
      <c r="K10" s="118">
        <f t="shared" si="0"/>
        <v>45688</v>
      </c>
      <c r="L10" s="118">
        <f t="shared" si="1"/>
        <v>45082</v>
      </c>
      <c r="M10" s="118">
        <v>45443</v>
      </c>
      <c r="N10" s="119">
        <f t="shared" si="2"/>
        <v>0</v>
      </c>
      <c r="O10" s="119">
        <f t="shared" si="3"/>
        <v>0</v>
      </c>
      <c r="P10" s="117">
        <f t="shared" si="4"/>
        <v>0</v>
      </c>
      <c r="Q10" s="117">
        <f>SUMIFS(Investors!$M:$M,Investors!$O:$O,FALSE,Investors!$P:$P,FALSE,Investors!$K:$K,"&gt;"&amp;'NSST Print'!$B$3,Investors!$I:$I,"&lt;="&amp;'NSST Print'!$B$3,Investors!$A:$A,'Investor Exit List'!$A10,Investors!$E:$E,'Investor Exit List'!$C10,Investors!$L:$L,'Investor Exit List'!$B10)-(SUMIFS(Investors!$M:$M,Investors!$I:$I,"&lt;="&amp;'NSST Print'!$B$3,Investors!$J:$J,"&gt;"&amp;'NSST Print'!$B$3,Investors!$A:$A,'Investor Exit List'!$A10,Investors!$E:$E,'Investor Exit List'!$C10,Investors!$L:$L,'Investor Exit List'!$B10)+SUMIFS(Investors!$M:$M,Investors!$I:$I,"&lt;="&amp;'NSST Print'!$B$3,Investors!$J:$J,"",Investors!$A:$A,'Investor Exit List'!$A10,Investors!$E:$E,'Investor Exit List'!$C10,Investors!$L:$L,'Investor Exit List'!$B10))+SUMIFS(Investors!$S:$S,Investors!$O:$O,FALSE,Investors!$P:$P,FALSE,Investors!$K:$K,"&gt;"&amp;'NSST Print'!$B$3,Investors!$I:$I,"&lt;="&amp;'NSST Print'!$B$3,Investors!$A:$A,'Investor Exit List'!$A10,Investors!$E:$E,'Investor Exit List'!$C10,Investors!$L:$L,'Investor Exit List'!$B10)-(SUMIFS(Investors!$S:$S,Investors!$I:$I,"&lt;="&amp;'NSST Print'!$B$3,Investors!$J:$J,"&gt;"&amp;'NSST Print'!$B$3,Investors!$A:$A,'Investor Exit List'!$A10,Investors!$E:$E,'Investor Exit List'!$C10,Investors!$L:$L,'Investor Exit List'!$B10)+SUMIFS(Investors!$S:$S,Investors!$I:$I,"&lt;="&amp;'NSST Print'!$B$3,Investors!$J:$J,"",Investors!$A:$A,'Investor Exit List'!$A10,Investors!$E:$E,'Investor Exit List'!$C10,Investors!$L:$L,'Investor Exit List'!$B10))</f>
        <v>0</v>
      </c>
      <c r="R10" s="117">
        <f t="shared" si="5"/>
        <v>0</v>
      </c>
      <c r="S10" s="117">
        <f>SUMIFS(Investors!$M:$M,Investors!$O:$O,TRUE,Investors!$A:$A,'Investor Exit List'!$A10,Investors!$E:$E,'Investor Exit List'!$C10,Investors!$L:$L,'Investor Exit List'!$B10)+SUMIFS(Investors!$S:$S,Investors!$O:$O,TRUE,Investors!$A:$A,'Investor Exit List'!$A10,Investors!$E:$E,'Investor Exit List'!$C10,Investors!$L:$L,'Investor Exit List'!$B10)</f>
        <v>0</v>
      </c>
      <c r="T10" s="118" t="str">
        <f t="shared" si="6"/>
        <v/>
      </c>
      <c r="U10" s="116" t="b">
        <v>0</v>
      </c>
      <c r="V10" s="117">
        <f t="shared" si="7"/>
        <v>0</v>
      </c>
      <c r="W10" s="116">
        <v>0</v>
      </c>
      <c r="X10" s="116" t="b">
        <v>0</v>
      </c>
      <c r="Y10" s="119">
        <f>IF(H10=FALSE,VLOOKUP($C10,Sales!$C:$F,4,FALSE),1)</f>
        <v>1</v>
      </c>
      <c r="Z10" s="116" t="str">
        <f t="shared" si="8"/>
        <v/>
      </c>
      <c r="AA10" s="118">
        <f t="shared" si="9"/>
        <v>0</v>
      </c>
      <c r="AB10" s="118" t="str">
        <f t="shared" si="10"/>
        <v>HFA103-ZZYL03</v>
      </c>
      <c r="AC10" s="118">
        <f t="shared" si="11"/>
        <v>45082</v>
      </c>
    </row>
    <row r="11" spans="1:29" ht="16" x14ac:dyDescent="0.2">
      <c r="A11" s="116" t="s">
        <v>44</v>
      </c>
      <c r="B11" s="116">
        <v>5</v>
      </c>
      <c r="C11" s="116" t="s">
        <v>47</v>
      </c>
      <c r="D11" s="116" t="s">
        <v>26</v>
      </c>
      <c r="E11" s="116" t="s">
        <v>2015</v>
      </c>
      <c r="F11" s="117">
        <f>SUMIFS(Investors!$M:$M,Investors!$O:$O,FALSE,Investors!$P:$P,FALSE,Investors!$K:$K,"&gt;"&amp;'NSST Print'!$B$3,Investors!$I:$I,"&lt;="&amp;'NSST Print'!$B$3,Investors!$A:$A,'Investor Exit List'!$A11,Investors!$E:$E,'Investor Exit List'!$C11,Investors!$L:$L,'Investor Exit List'!$B11)-(SUMIFS(Investors!$M:$M,Investors!$I:$I,"&lt;="&amp;'NSST Print'!$B$3,Investors!$J:$J,"&gt;"&amp;'NSST Print'!$B$3,Investors!$A:$A,'Investor Exit List'!$A11,Investors!$E:$E,'Investor Exit List'!$C11,Investors!$L:$L,'Investor Exit List'!$B11)+SUMIFS(Investors!$M:$M,Investors!$I:$I,"&lt;="&amp;'NSST Print'!$B$3,Investors!$J:$J,"",Investors!$A:$A,'Investor Exit List'!$A11,Investors!$E:$E,'Investor Exit List'!$C11,Investors!$L:$L,'Investor Exit List'!$B11))</f>
        <v>0</v>
      </c>
      <c r="G11" s="118">
        <v>44352</v>
      </c>
      <c r="H11" s="116" t="b">
        <f>VLOOKUP($C11,Sales!$C:$E,2,FALSE)</f>
        <v>1</v>
      </c>
      <c r="I11" s="116" t="b">
        <f>VLOOKUP($C11,Sales!$C:$E,3,FALSE)</f>
        <v>1</v>
      </c>
      <c r="J11" s="118">
        <f>SUMIFS(Sales!$H:$H,Sales!$C:$C,'Investor Exit List'!$C11)</f>
        <v>45688</v>
      </c>
      <c r="K11" s="118">
        <f t="shared" si="0"/>
        <v>45688</v>
      </c>
      <c r="L11" s="118">
        <f t="shared" si="1"/>
        <v>45082</v>
      </c>
      <c r="M11" s="118">
        <v>45443</v>
      </c>
      <c r="N11" s="119">
        <f t="shared" si="2"/>
        <v>0</v>
      </c>
      <c r="O11" s="119">
        <f t="shared" si="3"/>
        <v>0</v>
      </c>
      <c r="P11" s="117">
        <f t="shared" si="4"/>
        <v>0</v>
      </c>
      <c r="Q11" s="117">
        <f>SUMIFS(Investors!$M:$M,Investors!$O:$O,FALSE,Investors!$P:$P,FALSE,Investors!$K:$K,"&gt;"&amp;'NSST Print'!$B$3,Investors!$I:$I,"&lt;="&amp;'NSST Print'!$B$3,Investors!$A:$A,'Investor Exit List'!$A11,Investors!$E:$E,'Investor Exit List'!$C11,Investors!$L:$L,'Investor Exit List'!$B11)-(SUMIFS(Investors!$M:$M,Investors!$I:$I,"&lt;="&amp;'NSST Print'!$B$3,Investors!$J:$J,"&gt;"&amp;'NSST Print'!$B$3,Investors!$A:$A,'Investor Exit List'!$A11,Investors!$E:$E,'Investor Exit List'!$C11,Investors!$L:$L,'Investor Exit List'!$B11)+SUMIFS(Investors!$M:$M,Investors!$I:$I,"&lt;="&amp;'NSST Print'!$B$3,Investors!$J:$J,"",Investors!$A:$A,'Investor Exit List'!$A11,Investors!$E:$E,'Investor Exit List'!$C11,Investors!$L:$L,'Investor Exit List'!$B11))+SUMIFS(Investors!$S:$S,Investors!$O:$O,FALSE,Investors!$P:$P,FALSE,Investors!$K:$K,"&gt;"&amp;'NSST Print'!$B$3,Investors!$I:$I,"&lt;="&amp;'NSST Print'!$B$3,Investors!$A:$A,'Investor Exit List'!$A11,Investors!$E:$E,'Investor Exit List'!$C11,Investors!$L:$L,'Investor Exit List'!$B11)-(SUMIFS(Investors!$S:$S,Investors!$I:$I,"&lt;="&amp;'NSST Print'!$B$3,Investors!$J:$J,"&gt;"&amp;'NSST Print'!$B$3,Investors!$A:$A,'Investor Exit List'!$A11,Investors!$E:$E,'Investor Exit List'!$C11,Investors!$L:$L,'Investor Exit List'!$B11)+SUMIFS(Investors!$S:$S,Investors!$I:$I,"&lt;="&amp;'NSST Print'!$B$3,Investors!$J:$J,"",Investors!$A:$A,'Investor Exit List'!$A11,Investors!$E:$E,'Investor Exit List'!$C11,Investors!$L:$L,'Investor Exit List'!$B11))</f>
        <v>0</v>
      </c>
      <c r="R11" s="117">
        <f t="shared" si="5"/>
        <v>0</v>
      </c>
      <c r="S11" s="117">
        <f>SUMIFS(Investors!$M:$M,Investors!$O:$O,TRUE,Investors!$A:$A,'Investor Exit List'!$A11,Investors!$E:$E,'Investor Exit List'!$C11,Investors!$L:$L,'Investor Exit List'!$B11)+SUMIFS(Investors!$S:$S,Investors!$O:$O,TRUE,Investors!$A:$A,'Investor Exit List'!$A11,Investors!$E:$E,'Investor Exit List'!$C11,Investors!$L:$L,'Investor Exit List'!$B11)</f>
        <v>0</v>
      </c>
      <c r="T11" s="118" t="str">
        <f t="shared" si="6"/>
        <v/>
      </c>
      <c r="U11" s="116" t="b">
        <v>0</v>
      </c>
      <c r="V11" s="117">
        <f t="shared" si="7"/>
        <v>0</v>
      </c>
      <c r="W11" s="116">
        <v>0</v>
      </c>
      <c r="X11" s="116" t="b">
        <v>0</v>
      </c>
      <c r="Y11" s="119">
        <f>IF(H11=FALSE,VLOOKUP($C11,Sales!$C:$F,4,FALSE),1)</f>
        <v>1</v>
      </c>
      <c r="Z11" s="116" t="str">
        <f t="shared" si="8"/>
        <v/>
      </c>
      <c r="AA11" s="118">
        <f t="shared" si="9"/>
        <v>0</v>
      </c>
      <c r="AB11" s="118" t="str">
        <f t="shared" si="10"/>
        <v>HFA104-ZDEB01</v>
      </c>
      <c r="AC11" s="118">
        <f t="shared" si="11"/>
        <v>45082</v>
      </c>
    </row>
    <row r="12" spans="1:29" ht="16" x14ac:dyDescent="0.2">
      <c r="A12" s="116" t="s">
        <v>48</v>
      </c>
      <c r="B12" s="116">
        <v>1</v>
      </c>
      <c r="C12" s="116" t="s">
        <v>51</v>
      </c>
      <c r="D12" s="116" t="s">
        <v>26</v>
      </c>
      <c r="E12" s="116" t="s">
        <v>2016</v>
      </c>
      <c r="F12" s="117">
        <f>SUMIFS(Investors!$M:$M,Investors!$O:$O,FALSE,Investors!$P:$P,FALSE,Investors!$K:$K,"&gt;"&amp;'NSST Print'!$B$3,Investors!$I:$I,"&lt;="&amp;'NSST Print'!$B$3,Investors!$A:$A,'Investor Exit List'!$A12,Investors!$E:$E,'Investor Exit List'!$C12,Investors!$L:$L,'Investor Exit List'!$B12)-(SUMIFS(Investors!$M:$M,Investors!$I:$I,"&lt;="&amp;'NSST Print'!$B$3,Investors!$J:$J,"&gt;"&amp;'NSST Print'!$B$3,Investors!$A:$A,'Investor Exit List'!$A12,Investors!$E:$E,'Investor Exit List'!$C12,Investors!$L:$L,'Investor Exit List'!$B12)+SUMIFS(Investors!$M:$M,Investors!$I:$I,"&lt;="&amp;'NSST Print'!$B$3,Investors!$J:$J,"",Investors!$A:$A,'Investor Exit List'!$A12,Investors!$E:$E,'Investor Exit List'!$C12,Investors!$L:$L,'Investor Exit List'!$B12))</f>
        <v>0</v>
      </c>
      <c r="G12" s="118">
        <v>44352</v>
      </c>
      <c r="H12" s="116" t="b">
        <f>VLOOKUP($C12,Sales!$C:$E,2,FALSE)</f>
        <v>1</v>
      </c>
      <c r="I12" s="116" t="b">
        <f>VLOOKUP($C12,Sales!$C:$E,3,FALSE)</f>
        <v>1</v>
      </c>
      <c r="J12" s="118">
        <f>SUMIFS(Sales!$H:$H,Sales!$C:$C,'Investor Exit List'!$C12)</f>
        <v>45688</v>
      </c>
      <c r="K12" s="118">
        <f t="shared" si="0"/>
        <v>45688</v>
      </c>
      <c r="L12" s="118">
        <f t="shared" si="1"/>
        <v>45082</v>
      </c>
      <c r="M12" s="118">
        <v>45443</v>
      </c>
      <c r="N12" s="119">
        <f t="shared" si="2"/>
        <v>0</v>
      </c>
      <c r="O12" s="119">
        <f t="shared" si="3"/>
        <v>0</v>
      </c>
      <c r="P12" s="117">
        <f t="shared" si="4"/>
        <v>0</v>
      </c>
      <c r="Q12" s="117">
        <f>SUMIFS(Investors!$M:$M,Investors!$O:$O,FALSE,Investors!$P:$P,FALSE,Investors!$K:$K,"&gt;"&amp;'NSST Print'!$B$3,Investors!$I:$I,"&lt;="&amp;'NSST Print'!$B$3,Investors!$A:$A,'Investor Exit List'!$A12,Investors!$E:$E,'Investor Exit List'!$C12,Investors!$L:$L,'Investor Exit List'!$B12)-(SUMIFS(Investors!$M:$M,Investors!$I:$I,"&lt;="&amp;'NSST Print'!$B$3,Investors!$J:$J,"&gt;"&amp;'NSST Print'!$B$3,Investors!$A:$A,'Investor Exit List'!$A12,Investors!$E:$E,'Investor Exit List'!$C12,Investors!$L:$L,'Investor Exit List'!$B12)+SUMIFS(Investors!$M:$M,Investors!$I:$I,"&lt;="&amp;'NSST Print'!$B$3,Investors!$J:$J,"",Investors!$A:$A,'Investor Exit List'!$A12,Investors!$E:$E,'Investor Exit List'!$C12,Investors!$L:$L,'Investor Exit List'!$B12))+SUMIFS(Investors!$S:$S,Investors!$O:$O,FALSE,Investors!$P:$P,FALSE,Investors!$K:$K,"&gt;"&amp;'NSST Print'!$B$3,Investors!$I:$I,"&lt;="&amp;'NSST Print'!$B$3,Investors!$A:$A,'Investor Exit List'!$A12,Investors!$E:$E,'Investor Exit List'!$C12,Investors!$L:$L,'Investor Exit List'!$B12)-(SUMIFS(Investors!$S:$S,Investors!$I:$I,"&lt;="&amp;'NSST Print'!$B$3,Investors!$J:$J,"&gt;"&amp;'NSST Print'!$B$3,Investors!$A:$A,'Investor Exit List'!$A12,Investors!$E:$E,'Investor Exit List'!$C12,Investors!$L:$L,'Investor Exit List'!$B12)+SUMIFS(Investors!$S:$S,Investors!$I:$I,"&lt;="&amp;'NSST Print'!$B$3,Investors!$J:$J,"",Investors!$A:$A,'Investor Exit List'!$A12,Investors!$E:$E,'Investor Exit List'!$C12,Investors!$L:$L,'Investor Exit List'!$B12))</f>
        <v>0</v>
      </c>
      <c r="R12" s="117">
        <f t="shared" si="5"/>
        <v>0</v>
      </c>
      <c r="S12" s="117">
        <f>SUMIFS(Investors!$M:$M,Investors!$O:$O,TRUE,Investors!$A:$A,'Investor Exit List'!$A12,Investors!$E:$E,'Investor Exit List'!$C12,Investors!$L:$L,'Investor Exit List'!$B12)+SUMIFS(Investors!$S:$S,Investors!$O:$O,TRUE,Investors!$A:$A,'Investor Exit List'!$A12,Investors!$E:$E,'Investor Exit List'!$C12,Investors!$L:$L,'Investor Exit List'!$B12)</f>
        <v>0</v>
      </c>
      <c r="T12" s="118" t="str">
        <f t="shared" si="6"/>
        <v/>
      </c>
      <c r="U12" s="116" t="b">
        <v>0</v>
      </c>
      <c r="V12" s="117">
        <f t="shared" si="7"/>
        <v>0</v>
      </c>
      <c r="W12" s="116">
        <v>0</v>
      </c>
      <c r="X12" s="116" t="b">
        <v>0</v>
      </c>
      <c r="Y12" s="119">
        <f>IF(H12=FALSE,VLOOKUP($C12,Sales!$C:$F,4,FALSE),1)</f>
        <v>1</v>
      </c>
      <c r="Z12" s="116" t="str">
        <f t="shared" si="8"/>
        <v/>
      </c>
      <c r="AA12" s="118">
        <f t="shared" si="9"/>
        <v>0</v>
      </c>
      <c r="AB12" s="118" t="str">
        <f t="shared" si="10"/>
        <v>HFA105-ZBLO01</v>
      </c>
      <c r="AC12" s="118">
        <f t="shared" si="11"/>
        <v>45082</v>
      </c>
    </row>
    <row r="13" spans="1:29" ht="16" x14ac:dyDescent="0.2">
      <c r="A13" s="116" t="s">
        <v>52</v>
      </c>
      <c r="B13" s="116">
        <v>1</v>
      </c>
      <c r="C13" s="116" t="s">
        <v>51</v>
      </c>
      <c r="D13" s="116" t="s">
        <v>26</v>
      </c>
      <c r="E13" s="116" t="s">
        <v>2017</v>
      </c>
      <c r="F13" s="117">
        <f>SUMIFS(Investors!$M:$M,Investors!$O:$O,FALSE,Investors!$P:$P,FALSE,Investors!$K:$K,"&gt;"&amp;'NSST Print'!$B$3,Investors!$I:$I,"&lt;="&amp;'NSST Print'!$B$3,Investors!$A:$A,'Investor Exit List'!$A13,Investors!$E:$E,'Investor Exit List'!$C13,Investors!$L:$L,'Investor Exit List'!$B13)-(SUMIFS(Investors!$M:$M,Investors!$I:$I,"&lt;="&amp;'NSST Print'!$B$3,Investors!$J:$J,"&gt;"&amp;'NSST Print'!$B$3,Investors!$A:$A,'Investor Exit List'!$A13,Investors!$E:$E,'Investor Exit List'!$C13,Investors!$L:$L,'Investor Exit List'!$B13)+SUMIFS(Investors!$M:$M,Investors!$I:$I,"&lt;="&amp;'NSST Print'!$B$3,Investors!$J:$J,"",Investors!$A:$A,'Investor Exit List'!$A13,Investors!$E:$E,'Investor Exit List'!$C13,Investors!$L:$L,'Investor Exit List'!$B13))</f>
        <v>0</v>
      </c>
      <c r="G13" s="118">
        <v>44352</v>
      </c>
      <c r="H13" s="116" t="b">
        <f>VLOOKUP($C13,Sales!$C:$E,2,FALSE)</f>
        <v>1</v>
      </c>
      <c r="I13" s="116" t="b">
        <f>VLOOKUP($C13,Sales!$C:$E,3,FALSE)</f>
        <v>1</v>
      </c>
      <c r="J13" s="118">
        <f>SUMIFS(Sales!$H:$H,Sales!$C:$C,'Investor Exit List'!$C13)</f>
        <v>45688</v>
      </c>
      <c r="K13" s="118">
        <f t="shared" si="0"/>
        <v>45688</v>
      </c>
      <c r="L13" s="118">
        <f t="shared" si="1"/>
        <v>45082</v>
      </c>
      <c r="M13" s="118">
        <v>45443</v>
      </c>
      <c r="N13" s="119">
        <f t="shared" si="2"/>
        <v>0</v>
      </c>
      <c r="O13" s="119">
        <f t="shared" si="3"/>
        <v>0</v>
      </c>
      <c r="P13" s="117">
        <f t="shared" si="4"/>
        <v>0</v>
      </c>
      <c r="Q13" s="117">
        <f>SUMIFS(Investors!$M:$M,Investors!$O:$O,FALSE,Investors!$P:$P,FALSE,Investors!$K:$K,"&gt;"&amp;'NSST Print'!$B$3,Investors!$I:$I,"&lt;="&amp;'NSST Print'!$B$3,Investors!$A:$A,'Investor Exit List'!$A13,Investors!$E:$E,'Investor Exit List'!$C13,Investors!$L:$L,'Investor Exit List'!$B13)-(SUMIFS(Investors!$M:$M,Investors!$I:$I,"&lt;="&amp;'NSST Print'!$B$3,Investors!$J:$J,"&gt;"&amp;'NSST Print'!$B$3,Investors!$A:$A,'Investor Exit List'!$A13,Investors!$E:$E,'Investor Exit List'!$C13,Investors!$L:$L,'Investor Exit List'!$B13)+SUMIFS(Investors!$M:$M,Investors!$I:$I,"&lt;="&amp;'NSST Print'!$B$3,Investors!$J:$J,"",Investors!$A:$A,'Investor Exit List'!$A13,Investors!$E:$E,'Investor Exit List'!$C13,Investors!$L:$L,'Investor Exit List'!$B13))+SUMIFS(Investors!$S:$S,Investors!$O:$O,FALSE,Investors!$P:$P,FALSE,Investors!$K:$K,"&gt;"&amp;'NSST Print'!$B$3,Investors!$I:$I,"&lt;="&amp;'NSST Print'!$B$3,Investors!$A:$A,'Investor Exit List'!$A13,Investors!$E:$E,'Investor Exit List'!$C13,Investors!$L:$L,'Investor Exit List'!$B13)-(SUMIFS(Investors!$S:$S,Investors!$I:$I,"&lt;="&amp;'NSST Print'!$B$3,Investors!$J:$J,"&gt;"&amp;'NSST Print'!$B$3,Investors!$A:$A,'Investor Exit List'!$A13,Investors!$E:$E,'Investor Exit List'!$C13,Investors!$L:$L,'Investor Exit List'!$B13)+SUMIFS(Investors!$S:$S,Investors!$I:$I,"&lt;="&amp;'NSST Print'!$B$3,Investors!$J:$J,"",Investors!$A:$A,'Investor Exit List'!$A13,Investors!$E:$E,'Investor Exit List'!$C13,Investors!$L:$L,'Investor Exit List'!$B13))</f>
        <v>0</v>
      </c>
      <c r="R13" s="117">
        <f t="shared" si="5"/>
        <v>0</v>
      </c>
      <c r="S13" s="117">
        <f>SUMIFS(Investors!$M:$M,Investors!$O:$O,TRUE,Investors!$A:$A,'Investor Exit List'!$A13,Investors!$E:$E,'Investor Exit List'!$C13,Investors!$L:$L,'Investor Exit List'!$B13)+SUMIFS(Investors!$S:$S,Investors!$O:$O,TRUE,Investors!$A:$A,'Investor Exit List'!$A13,Investors!$E:$E,'Investor Exit List'!$C13,Investors!$L:$L,'Investor Exit List'!$B13)</f>
        <v>0</v>
      </c>
      <c r="T13" s="118" t="str">
        <f t="shared" si="6"/>
        <v/>
      </c>
      <c r="U13" s="116" t="b">
        <v>0</v>
      </c>
      <c r="V13" s="117">
        <f t="shared" si="7"/>
        <v>0</v>
      </c>
      <c r="W13" s="116">
        <v>0</v>
      </c>
      <c r="X13" s="116" t="b">
        <v>0</v>
      </c>
      <c r="Y13" s="119">
        <f>IF(H13=FALSE,VLOOKUP($C13,Sales!$C:$F,4,FALSE),1)</f>
        <v>1</v>
      </c>
      <c r="Z13" s="116" t="str">
        <f t="shared" si="8"/>
        <v/>
      </c>
      <c r="AA13" s="118">
        <f t="shared" si="9"/>
        <v>0</v>
      </c>
      <c r="AB13" s="118" t="str">
        <f t="shared" si="10"/>
        <v>HFA105-ZCRO01</v>
      </c>
      <c r="AC13" s="118">
        <f t="shared" si="11"/>
        <v>45082</v>
      </c>
    </row>
    <row r="14" spans="1:29" ht="16" x14ac:dyDescent="0.2">
      <c r="A14" s="116" t="s">
        <v>44</v>
      </c>
      <c r="B14" s="116">
        <v>6</v>
      </c>
      <c r="C14" s="116" t="s">
        <v>51</v>
      </c>
      <c r="D14" s="116" t="s">
        <v>26</v>
      </c>
      <c r="E14" s="116" t="s">
        <v>2015</v>
      </c>
      <c r="F14" s="117">
        <f>SUMIFS(Investors!$M:$M,Investors!$O:$O,FALSE,Investors!$P:$P,FALSE,Investors!$K:$K,"&gt;"&amp;'NSST Print'!$B$3,Investors!$I:$I,"&lt;="&amp;'NSST Print'!$B$3,Investors!$A:$A,'Investor Exit List'!$A14,Investors!$E:$E,'Investor Exit List'!$C14,Investors!$L:$L,'Investor Exit List'!$B14)-(SUMIFS(Investors!$M:$M,Investors!$I:$I,"&lt;="&amp;'NSST Print'!$B$3,Investors!$J:$J,"&gt;"&amp;'NSST Print'!$B$3,Investors!$A:$A,'Investor Exit List'!$A14,Investors!$E:$E,'Investor Exit List'!$C14,Investors!$L:$L,'Investor Exit List'!$B14)+SUMIFS(Investors!$M:$M,Investors!$I:$I,"&lt;="&amp;'NSST Print'!$B$3,Investors!$J:$J,"",Investors!$A:$A,'Investor Exit List'!$A14,Investors!$E:$E,'Investor Exit List'!$C14,Investors!$L:$L,'Investor Exit List'!$B14))</f>
        <v>0</v>
      </c>
      <c r="G14" s="118">
        <v>44352</v>
      </c>
      <c r="H14" s="116" t="b">
        <f>VLOOKUP($C14,Sales!$C:$E,2,FALSE)</f>
        <v>1</v>
      </c>
      <c r="I14" s="116" t="b">
        <f>VLOOKUP($C14,Sales!$C:$E,3,FALSE)</f>
        <v>1</v>
      </c>
      <c r="J14" s="118">
        <f>SUMIFS(Sales!$H:$H,Sales!$C:$C,'Investor Exit List'!$C14)</f>
        <v>45688</v>
      </c>
      <c r="K14" s="118">
        <f t="shared" si="0"/>
        <v>45688</v>
      </c>
      <c r="L14" s="118">
        <f t="shared" si="1"/>
        <v>45082</v>
      </c>
      <c r="M14" s="118">
        <v>45443</v>
      </c>
      <c r="N14" s="119">
        <f t="shared" si="2"/>
        <v>0</v>
      </c>
      <c r="O14" s="119">
        <f t="shared" si="3"/>
        <v>0</v>
      </c>
      <c r="P14" s="117">
        <f t="shared" si="4"/>
        <v>0</v>
      </c>
      <c r="Q14" s="117">
        <f>SUMIFS(Investors!$M:$M,Investors!$O:$O,FALSE,Investors!$P:$P,FALSE,Investors!$K:$K,"&gt;"&amp;'NSST Print'!$B$3,Investors!$I:$I,"&lt;="&amp;'NSST Print'!$B$3,Investors!$A:$A,'Investor Exit List'!$A14,Investors!$E:$E,'Investor Exit List'!$C14,Investors!$L:$L,'Investor Exit List'!$B14)-(SUMIFS(Investors!$M:$M,Investors!$I:$I,"&lt;="&amp;'NSST Print'!$B$3,Investors!$J:$J,"&gt;"&amp;'NSST Print'!$B$3,Investors!$A:$A,'Investor Exit List'!$A14,Investors!$E:$E,'Investor Exit List'!$C14,Investors!$L:$L,'Investor Exit List'!$B14)+SUMIFS(Investors!$M:$M,Investors!$I:$I,"&lt;="&amp;'NSST Print'!$B$3,Investors!$J:$J,"",Investors!$A:$A,'Investor Exit List'!$A14,Investors!$E:$E,'Investor Exit List'!$C14,Investors!$L:$L,'Investor Exit List'!$B14))+SUMIFS(Investors!$S:$S,Investors!$O:$O,FALSE,Investors!$P:$P,FALSE,Investors!$K:$K,"&gt;"&amp;'NSST Print'!$B$3,Investors!$I:$I,"&lt;="&amp;'NSST Print'!$B$3,Investors!$A:$A,'Investor Exit List'!$A14,Investors!$E:$E,'Investor Exit List'!$C14,Investors!$L:$L,'Investor Exit List'!$B14)-(SUMIFS(Investors!$S:$S,Investors!$I:$I,"&lt;="&amp;'NSST Print'!$B$3,Investors!$J:$J,"&gt;"&amp;'NSST Print'!$B$3,Investors!$A:$A,'Investor Exit List'!$A14,Investors!$E:$E,'Investor Exit List'!$C14,Investors!$L:$L,'Investor Exit List'!$B14)+SUMIFS(Investors!$S:$S,Investors!$I:$I,"&lt;="&amp;'NSST Print'!$B$3,Investors!$J:$J,"",Investors!$A:$A,'Investor Exit List'!$A14,Investors!$E:$E,'Investor Exit List'!$C14,Investors!$L:$L,'Investor Exit List'!$B14))</f>
        <v>0</v>
      </c>
      <c r="R14" s="117">
        <f t="shared" si="5"/>
        <v>0</v>
      </c>
      <c r="S14" s="117">
        <f>SUMIFS(Investors!$M:$M,Investors!$O:$O,TRUE,Investors!$A:$A,'Investor Exit List'!$A14,Investors!$E:$E,'Investor Exit List'!$C14,Investors!$L:$L,'Investor Exit List'!$B14)+SUMIFS(Investors!$S:$S,Investors!$O:$O,TRUE,Investors!$A:$A,'Investor Exit List'!$A14,Investors!$E:$E,'Investor Exit List'!$C14,Investors!$L:$L,'Investor Exit List'!$B14)</f>
        <v>0</v>
      </c>
      <c r="T14" s="118" t="str">
        <f t="shared" si="6"/>
        <v/>
      </c>
      <c r="U14" s="116" t="b">
        <v>0</v>
      </c>
      <c r="V14" s="117">
        <f t="shared" si="7"/>
        <v>0</v>
      </c>
      <c r="W14" s="116">
        <v>0</v>
      </c>
      <c r="X14" s="116" t="b">
        <v>0</v>
      </c>
      <c r="Y14" s="119">
        <f>IF(H14=FALSE,VLOOKUP($C14,Sales!$C:$F,4,FALSE),1)</f>
        <v>1</v>
      </c>
      <c r="Z14" s="116" t="str">
        <f t="shared" si="8"/>
        <v/>
      </c>
      <c r="AA14" s="118">
        <f t="shared" si="9"/>
        <v>0</v>
      </c>
      <c r="AB14" s="118" t="str">
        <f t="shared" si="10"/>
        <v>HFA105-ZDEB01</v>
      </c>
      <c r="AC14" s="118">
        <f t="shared" si="11"/>
        <v>45082</v>
      </c>
    </row>
    <row r="15" spans="1:29" ht="16" x14ac:dyDescent="0.2">
      <c r="A15" s="116" t="s">
        <v>55</v>
      </c>
      <c r="B15" s="116">
        <v>1</v>
      </c>
      <c r="C15" s="116" t="s">
        <v>51</v>
      </c>
      <c r="D15" s="116" t="s">
        <v>26</v>
      </c>
      <c r="E15" s="116" t="s">
        <v>2018</v>
      </c>
      <c r="F15" s="117">
        <f>SUMIFS(Investors!$M:$M,Investors!$O:$O,FALSE,Investors!$P:$P,FALSE,Investors!$K:$K,"&gt;"&amp;'NSST Print'!$B$3,Investors!$I:$I,"&lt;="&amp;'NSST Print'!$B$3,Investors!$A:$A,'Investor Exit List'!$A15,Investors!$E:$E,'Investor Exit List'!$C15,Investors!$L:$L,'Investor Exit List'!$B15)-(SUMIFS(Investors!$M:$M,Investors!$I:$I,"&lt;="&amp;'NSST Print'!$B$3,Investors!$J:$J,"&gt;"&amp;'NSST Print'!$B$3,Investors!$A:$A,'Investor Exit List'!$A15,Investors!$E:$E,'Investor Exit List'!$C15,Investors!$L:$L,'Investor Exit List'!$B15)+SUMIFS(Investors!$M:$M,Investors!$I:$I,"&lt;="&amp;'NSST Print'!$B$3,Investors!$J:$J,"",Investors!$A:$A,'Investor Exit List'!$A15,Investors!$E:$E,'Investor Exit List'!$C15,Investors!$L:$L,'Investor Exit List'!$B15))</f>
        <v>0</v>
      </c>
      <c r="G15" s="118">
        <v>44618</v>
      </c>
      <c r="H15" s="116" t="b">
        <f>VLOOKUP($C15,Sales!$C:$E,2,FALSE)</f>
        <v>1</v>
      </c>
      <c r="I15" s="116" t="b">
        <f>VLOOKUP($C15,Sales!$C:$E,3,FALSE)</f>
        <v>1</v>
      </c>
      <c r="J15" s="118">
        <f>SUMIFS(Sales!$H:$H,Sales!$C:$C,'Investor Exit List'!$C15)</f>
        <v>45688</v>
      </c>
      <c r="K15" s="118">
        <f t="shared" si="0"/>
        <v>45688</v>
      </c>
      <c r="L15" s="118">
        <f t="shared" si="1"/>
        <v>45348</v>
      </c>
      <c r="M15" s="118">
        <v>45443</v>
      </c>
      <c r="N15" s="119">
        <f t="shared" si="2"/>
        <v>0</v>
      </c>
      <c r="O15" s="119">
        <f t="shared" si="3"/>
        <v>0</v>
      </c>
      <c r="P15" s="117">
        <f t="shared" si="4"/>
        <v>0</v>
      </c>
      <c r="Q15" s="117">
        <f>SUMIFS(Investors!$M:$M,Investors!$O:$O,FALSE,Investors!$P:$P,FALSE,Investors!$K:$K,"&gt;"&amp;'NSST Print'!$B$3,Investors!$I:$I,"&lt;="&amp;'NSST Print'!$B$3,Investors!$A:$A,'Investor Exit List'!$A15,Investors!$E:$E,'Investor Exit List'!$C15,Investors!$L:$L,'Investor Exit List'!$B15)-(SUMIFS(Investors!$M:$M,Investors!$I:$I,"&lt;="&amp;'NSST Print'!$B$3,Investors!$J:$J,"&gt;"&amp;'NSST Print'!$B$3,Investors!$A:$A,'Investor Exit List'!$A15,Investors!$E:$E,'Investor Exit List'!$C15,Investors!$L:$L,'Investor Exit List'!$B15)+SUMIFS(Investors!$M:$M,Investors!$I:$I,"&lt;="&amp;'NSST Print'!$B$3,Investors!$J:$J,"",Investors!$A:$A,'Investor Exit List'!$A15,Investors!$E:$E,'Investor Exit List'!$C15,Investors!$L:$L,'Investor Exit List'!$B15))+SUMIFS(Investors!$S:$S,Investors!$O:$O,FALSE,Investors!$P:$P,FALSE,Investors!$K:$K,"&gt;"&amp;'NSST Print'!$B$3,Investors!$I:$I,"&lt;="&amp;'NSST Print'!$B$3,Investors!$A:$A,'Investor Exit List'!$A15,Investors!$E:$E,'Investor Exit List'!$C15,Investors!$L:$L,'Investor Exit List'!$B15)-(SUMIFS(Investors!$S:$S,Investors!$I:$I,"&lt;="&amp;'NSST Print'!$B$3,Investors!$J:$J,"&gt;"&amp;'NSST Print'!$B$3,Investors!$A:$A,'Investor Exit List'!$A15,Investors!$E:$E,'Investor Exit List'!$C15,Investors!$L:$L,'Investor Exit List'!$B15)+SUMIFS(Investors!$S:$S,Investors!$I:$I,"&lt;="&amp;'NSST Print'!$B$3,Investors!$J:$J,"",Investors!$A:$A,'Investor Exit List'!$A15,Investors!$E:$E,'Investor Exit List'!$C15,Investors!$L:$L,'Investor Exit List'!$B15))</f>
        <v>0</v>
      </c>
      <c r="R15" s="117">
        <f t="shared" si="5"/>
        <v>0</v>
      </c>
      <c r="S15" s="117">
        <f>SUMIFS(Investors!$M:$M,Investors!$O:$O,TRUE,Investors!$A:$A,'Investor Exit List'!$A15,Investors!$E:$E,'Investor Exit List'!$C15,Investors!$L:$L,'Investor Exit List'!$B15)+SUMIFS(Investors!$S:$S,Investors!$O:$O,TRUE,Investors!$A:$A,'Investor Exit List'!$A15,Investors!$E:$E,'Investor Exit List'!$C15,Investors!$L:$L,'Investor Exit List'!$B15)</f>
        <v>0</v>
      </c>
      <c r="T15" s="118" t="str">
        <f t="shared" si="6"/>
        <v/>
      </c>
      <c r="U15" s="116" t="b">
        <v>0</v>
      </c>
      <c r="V15" s="117">
        <f t="shared" si="7"/>
        <v>0</v>
      </c>
      <c r="W15" s="116">
        <v>0</v>
      </c>
      <c r="X15" s="116" t="b">
        <v>0</v>
      </c>
      <c r="Y15" s="119">
        <f>IF(H15=FALSE,VLOOKUP($C15,Sales!$C:$F,4,FALSE),1)</f>
        <v>1</v>
      </c>
      <c r="Z15" s="116" t="str">
        <f t="shared" si="8"/>
        <v/>
      </c>
      <c r="AA15" s="118">
        <f t="shared" si="9"/>
        <v>0</v>
      </c>
      <c r="AB15" s="118" t="str">
        <f t="shared" si="10"/>
        <v>HFA105-ZLAB02</v>
      </c>
      <c r="AC15" s="118">
        <f t="shared" si="11"/>
        <v>45348</v>
      </c>
    </row>
    <row r="16" spans="1:29" ht="16" x14ac:dyDescent="0.2">
      <c r="A16" s="116" t="s">
        <v>58</v>
      </c>
      <c r="B16" s="116">
        <v>2</v>
      </c>
      <c r="C16" s="116" t="s">
        <v>51</v>
      </c>
      <c r="D16" s="116" t="s">
        <v>26</v>
      </c>
      <c r="E16" s="116" t="s">
        <v>2017</v>
      </c>
      <c r="F16" s="117">
        <f>SUMIFS(Investors!$M:$M,Investors!$O:$O,FALSE,Investors!$P:$P,FALSE,Investors!$K:$K,"&gt;"&amp;'NSST Print'!$B$3,Investors!$I:$I,"&lt;="&amp;'NSST Print'!$B$3,Investors!$A:$A,'Investor Exit List'!$A16,Investors!$E:$E,'Investor Exit List'!$C16,Investors!$L:$L,'Investor Exit List'!$B16)-(SUMIFS(Investors!$M:$M,Investors!$I:$I,"&lt;="&amp;'NSST Print'!$B$3,Investors!$J:$J,"&gt;"&amp;'NSST Print'!$B$3,Investors!$A:$A,'Investor Exit List'!$A16,Investors!$E:$E,'Investor Exit List'!$C16,Investors!$L:$L,'Investor Exit List'!$B16)+SUMIFS(Investors!$M:$M,Investors!$I:$I,"&lt;="&amp;'NSST Print'!$B$3,Investors!$J:$J,"",Investors!$A:$A,'Investor Exit List'!$A16,Investors!$E:$E,'Investor Exit List'!$C16,Investors!$L:$L,'Investor Exit List'!$B16))</f>
        <v>0</v>
      </c>
      <c r="G16" s="118">
        <v>44352</v>
      </c>
      <c r="H16" s="116" t="b">
        <f>VLOOKUP($C16,Sales!$C:$E,2,FALSE)</f>
        <v>1</v>
      </c>
      <c r="I16" s="116" t="b">
        <f>VLOOKUP($C16,Sales!$C:$E,3,FALSE)</f>
        <v>1</v>
      </c>
      <c r="J16" s="118">
        <f>SUMIFS(Sales!$H:$H,Sales!$C:$C,'Investor Exit List'!$C16)</f>
        <v>45688</v>
      </c>
      <c r="K16" s="118">
        <f t="shared" si="0"/>
        <v>45688</v>
      </c>
      <c r="L16" s="118">
        <f t="shared" si="1"/>
        <v>45082</v>
      </c>
      <c r="M16" s="118">
        <v>45443</v>
      </c>
      <c r="N16" s="119">
        <f t="shared" si="2"/>
        <v>0</v>
      </c>
      <c r="O16" s="119">
        <f t="shared" si="3"/>
        <v>0</v>
      </c>
      <c r="P16" s="117">
        <f t="shared" si="4"/>
        <v>0</v>
      </c>
      <c r="Q16" s="117">
        <f>SUMIFS(Investors!$M:$M,Investors!$O:$O,FALSE,Investors!$P:$P,FALSE,Investors!$K:$K,"&gt;"&amp;'NSST Print'!$B$3,Investors!$I:$I,"&lt;="&amp;'NSST Print'!$B$3,Investors!$A:$A,'Investor Exit List'!$A16,Investors!$E:$E,'Investor Exit List'!$C16,Investors!$L:$L,'Investor Exit List'!$B16)-(SUMIFS(Investors!$M:$M,Investors!$I:$I,"&lt;="&amp;'NSST Print'!$B$3,Investors!$J:$J,"&gt;"&amp;'NSST Print'!$B$3,Investors!$A:$A,'Investor Exit List'!$A16,Investors!$E:$E,'Investor Exit List'!$C16,Investors!$L:$L,'Investor Exit List'!$B16)+SUMIFS(Investors!$M:$M,Investors!$I:$I,"&lt;="&amp;'NSST Print'!$B$3,Investors!$J:$J,"",Investors!$A:$A,'Investor Exit List'!$A16,Investors!$E:$E,'Investor Exit List'!$C16,Investors!$L:$L,'Investor Exit List'!$B16))+SUMIFS(Investors!$S:$S,Investors!$O:$O,FALSE,Investors!$P:$P,FALSE,Investors!$K:$K,"&gt;"&amp;'NSST Print'!$B$3,Investors!$I:$I,"&lt;="&amp;'NSST Print'!$B$3,Investors!$A:$A,'Investor Exit List'!$A16,Investors!$E:$E,'Investor Exit List'!$C16,Investors!$L:$L,'Investor Exit List'!$B16)-(SUMIFS(Investors!$S:$S,Investors!$I:$I,"&lt;="&amp;'NSST Print'!$B$3,Investors!$J:$J,"&gt;"&amp;'NSST Print'!$B$3,Investors!$A:$A,'Investor Exit List'!$A16,Investors!$E:$E,'Investor Exit List'!$C16,Investors!$L:$L,'Investor Exit List'!$B16)+SUMIFS(Investors!$S:$S,Investors!$I:$I,"&lt;="&amp;'NSST Print'!$B$3,Investors!$J:$J,"",Investors!$A:$A,'Investor Exit List'!$A16,Investors!$E:$E,'Investor Exit List'!$C16,Investors!$L:$L,'Investor Exit List'!$B16))</f>
        <v>0</v>
      </c>
      <c r="R16" s="117">
        <f t="shared" si="5"/>
        <v>0</v>
      </c>
      <c r="S16" s="117">
        <f>SUMIFS(Investors!$M:$M,Investors!$O:$O,TRUE,Investors!$A:$A,'Investor Exit List'!$A16,Investors!$E:$E,'Investor Exit List'!$C16,Investors!$L:$L,'Investor Exit List'!$B16)+SUMIFS(Investors!$S:$S,Investors!$O:$O,TRUE,Investors!$A:$A,'Investor Exit List'!$A16,Investors!$E:$E,'Investor Exit List'!$C16,Investors!$L:$L,'Investor Exit List'!$B16)</f>
        <v>0</v>
      </c>
      <c r="T16" s="118" t="str">
        <f t="shared" si="6"/>
        <v/>
      </c>
      <c r="U16" s="116" t="b">
        <v>0</v>
      </c>
      <c r="V16" s="117">
        <f t="shared" si="7"/>
        <v>0</v>
      </c>
      <c r="W16" s="116">
        <v>0</v>
      </c>
      <c r="X16" s="116" t="b">
        <v>0</v>
      </c>
      <c r="Y16" s="119">
        <f>IF(H16=FALSE,VLOOKUP($C16,Sales!$C:$F,4,FALSE),1)</f>
        <v>1</v>
      </c>
      <c r="Z16" s="116" t="str">
        <f t="shared" si="8"/>
        <v/>
      </c>
      <c r="AA16" s="118">
        <f t="shared" si="9"/>
        <v>0</v>
      </c>
      <c r="AB16" s="118" t="str">
        <f t="shared" si="10"/>
        <v>HFA105-ZLUN01</v>
      </c>
      <c r="AC16" s="118">
        <f t="shared" si="11"/>
        <v>45082</v>
      </c>
    </row>
    <row r="17" spans="1:29" ht="16" x14ac:dyDescent="0.2">
      <c r="A17" s="116" t="s">
        <v>59</v>
      </c>
      <c r="B17" s="116">
        <v>19</v>
      </c>
      <c r="C17" s="116" t="s">
        <v>51</v>
      </c>
      <c r="D17" s="116" t="s">
        <v>26</v>
      </c>
      <c r="E17" s="116" t="s">
        <v>2019</v>
      </c>
      <c r="F17" s="117">
        <f>SUMIFS(Investors!$M:$M,Investors!$O:$O,FALSE,Investors!$P:$P,FALSE,Investors!$K:$K,"&gt;"&amp;'NSST Print'!$B$3,Investors!$I:$I,"&lt;="&amp;'NSST Print'!$B$3,Investors!$A:$A,'Investor Exit List'!$A17,Investors!$E:$E,'Investor Exit List'!$C17,Investors!$L:$L,'Investor Exit List'!$B17)-(SUMIFS(Investors!$M:$M,Investors!$I:$I,"&lt;="&amp;'NSST Print'!$B$3,Investors!$J:$J,"&gt;"&amp;'NSST Print'!$B$3,Investors!$A:$A,'Investor Exit List'!$A17,Investors!$E:$E,'Investor Exit List'!$C17,Investors!$L:$L,'Investor Exit List'!$B17)+SUMIFS(Investors!$M:$M,Investors!$I:$I,"&lt;="&amp;'NSST Print'!$B$3,Investors!$J:$J,"",Investors!$A:$A,'Investor Exit List'!$A17,Investors!$E:$E,'Investor Exit List'!$C17,Investors!$L:$L,'Investor Exit List'!$B17))</f>
        <v>0</v>
      </c>
      <c r="G17" s="118">
        <v>44378</v>
      </c>
      <c r="H17" s="116" t="b">
        <f>VLOOKUP($C17,Sales!$C:$E,2,FALSE)</f>
        <v>1</v>
      </c>
      <c r="I17" s="116" t="b">
        <f>VLOOKUP($C17,Sales!$C:$E,3,FALSE)</f>
        <v>1</v>
      </c>
      <c r="J17" s="118">
        <f>SUMIFS(Sales!$H:$H,Sales!$C:$C,'Investor Exit List'!$C17)</f>
        <v>45688</v>
      </c>
      <c r="K17" s="118">
        <f t="shared" si="0"/>
        <v>45688</v>
      </c>
      <c r="L17" s="118">
        <f t="shared" si="1"/>
        <v>45108</v>
      </c>
      <c r="M17" s="118">
        <v>45443</v>
      </c>
      <c r="N17" s="119">
        <f t="shared" si="2"/>
        <v>0</v>
      </c>
      <c r="O17" s="119">
        <f t="shared" si="3"/>
        <v>0</v>
      </c>
      <c r="P17" s="117">
        <f t="shared" si="4"/>
        <v>0</v>
      </c>
      <c r="Q17" s="117">
        <f>SUMIFS(Investors!$M:$M,Investors!$O:$O,FALSE,Investors!$P:$P,FALSE,Investors!$K:$K,"&gt;"&amp;'NSST Print'!$B$3,Investors!$I:$I,"&lt;="&amp;'NSST Print'!$B$3,Investors!$A:$A,'Investor Exit List'!$A17,Investors!$E:$E,'Investor Exit List'!$C17,Investors!$L:$L,'Investor Exit List'!$B17)-(SUMIFS(Investors!$M:$M,Investors!$I:$I,"&lt;="&amp;'NSST Print'!$B$3,Investors!$J:$J,"&gt;"&amp;'NSST Print'!$B$3,Investors!$A:$A,'Investor Exit List'!$A17,Investors!$E:$E,'Investor Exit List'!$C17,Investors!$L:$L,'Investor Exit List'!$B17)+SUMIFS(Investors!$M:$M,Investors!$I:$I,"&lt;="&amp;'NSST Print'!$B$3,Investors!$J:$J,"",Investors!$A:$A,'Investor Exit List'!$A17,Investors!$E:$E,'Investor Exit List'!$C17,Investors!$L:$L,'Investor Exit List'!$B17))+SUMIFS(Investors!$S:$S,Investors!$O:$O,FALSE,Investors!$P:$P,FALSE,Investors!$K:$K,"&gt;"&amp;'NSST Print'!$B$3,Investors!$I:$I,"&lt;="&amp;'NSST Print'!$B$3,Investors!$A:$A,'Investor Exit List'!$A17,Investors!$E:$E,'Investor Exit List'!$C17,Investors!$L:$L,'Investor Exit List'!$B17)-(SUMIFS(Investors!$S:$S,Investors!$I:$I,"&lt;="&amp;'NSST Print'!$B$3,Investors!$J:$J,"&gt;"&amp;'NSST Print'!$B$3,Investors!$A:$A,'Investor Exit List'!$A17,Investors!$E:$E,'Investor Exit List'!$C17,Investors!$L:$L,'Investor Exit List'!$B17)+SUMIFS(Investors!$S:$S,Investors!$I:$I,"&lt;="&amp;'NSST Print'!$B$3,Investors!$J:$J,"",Investors!$A:$A,'Investor Exit List'!$A17,Investors!$E:$E,'Investor Exit List'!$C17,Investors!$L:$L,'Investor Exit List'!$B17))</f>
        <v>0</v>
      </c>
      <c r="R17" s="117">
        <f t="shared" si="5"/>
        <v>0</v>
      </c>
      <c r="S17" s="117">
        <f>SUMIFS(Investors!$M:$M,Investors!$O:$O,TRUE,Investors!$A:$A,'Investor Exit List'!$A17,Investors!$E:$E,'Investor Exit List'!$C17,Investors!$L:$L,'Investor Exit List'!$B17)+SUMIFS(Investors!$S:$S,Investors!$O:$O,TRUE,Investors!$A:$A,'Investor Exit List'!$A17,Investors!$E:$E,'Investor Exit List'!$C17,Investors!$L:$L,'Investor Exit List'!$B17)</f>
        <v>0</v>
      </c>
      <c r="T17" s="118" t="str">
        <f t="shared" si="6"/>
        <v/>
      </c>
      <c r="U17" s="116" t="b">
        <v>0</v>
      </c>
      <c r="V17" s="117">
        <f t="shared" si="7"/>
        <v>0</v>
      </c>
      <c r="W17" s="116">
        <v>0</v>
      </c>
      <c r="X17" s="116" t="b">
        <v>0</v>
      </c>
      <c r="Y17" s="119">
        <f>IF(H17=FALSE,VLOOKUP($C17,Sales!$C:$F,4,FALSE),1)</f>
        <v>1</v>
      </c>
      <c r="Z17" s="116" t="str">
        <f t="shared" si="8"/>
        <v/>
      </c>
      <c r="AA17" s="118">
        <f t="shared" si="9"/>
        <v>0</v>
      </c>
      <c r="AB17" s="118" t="str">
        <f t="shared" si="10"/>
        <v>HFA105-ZRAN01</v>
      </c>
      <c r="AC17" s="118">
        <f t="shared" si="11"/>
        <v>45108</v>
      </c>
    </row>
    <row r="18" spans="1:29" ht="16" x14ac:dyDescent="0.2">
      <c r="A18" s="116" t="s">
        <v>62</v>
      </c>
      <c r="B18" s="116">
        <v>3</v>
      </c>
      <c r="C18" s="116" t="s">
        <v>51</v>
      </c>
      <c r="D18" s="116" t="s">
        <v>26</v>
      </c>
      <c r="E18" s="116" t="s">
        <v>2020</v>
      </c>
      <c r="F18" s="117">
        <f>SUMIFS(Investors!$M:$M,Investors!$O:$O,FALSE,Investors!$P:$P,FALSE,Investors!$K:$K,"&gt;"&amp;'NSST Print'!$B$3,Investors!$I:$I,"&lt;="&amp;'NSST Print'!$B$3,Investors!$A:$A,'Investor Exit List'!$A18,Investors!$E:$E,'Investor Exit List'!$C18,Investors!$L:$L,'Investor Exit List'!$B18)-(SUMIFS(Investors!$M:$M,Investors!$I:$I,"&lt;="&amp;'NSST Print'!$B$3,Investors!$J:$J,"&gt;"&amp;'NSST Print'!$B$3,Investors!$A:$A,'Investor Exit List'!$A18,Investors!$E:$E,'Investor Exit List'!$C18,Investors!$L:$L,'Investor Exit List'!$B18)+SUMIFS(Investors!$M:$M,Investors!$I:$I,"&lt;="&amp;'NSST Print'!$B$3,Investors!$J:$J,"",Investors!$A:$A,'Investor Exit List'!$A18,Investors!$E:$E,'Investor Exit List'!$C18,Investors!$L:$L,'Investor Exit List'!$B18))</f>
        <v>0</v>
      </c>
      <c r="G18" s="118">
        <v>44378</v>
      </c>
      <c r="H18" s="116" t="b">
        <f>VLOOKUP($C18,Sales!$C:$E,2,FALSE)</f>
        <v>1</v>
      </c>
      <c r="I18" s="116" t="b">
        <f>VLOOKUP($C18,Sales!$C:$E,3,FALSE)</f>
        <v>1</v>
      </c>
      <c r="J18" s="118">
        <f>SUMIFS(Sales!$H:$H,Sales!$C:$C,'Investor Exit List'!$C18)</f>
        <v>45688</v>
      </c>
      <c r="K18" s="118">
        <f t="shared" si="0"/>
        <v>45688</v>
      </c>
      <c r="L18" s="118">
        <f t="shared" si="1"/>
        <v>45108</v>
      </c>
      <c r="M18" s="118">
        <v>45443</v>
      </c>
      <c r="N18" s="119">
        <f t="shared" si="2"/>
        <v>0</v>
      </c>
      <c r="O18" s="119">
        <f t="shared" si="3"/>
        <v>0</v>
      </c>
      <c r="P18" s="117">
        <f t="shared" si="4"/>
        <v>0</v>
      </c>
      <c r="Q18" s="117">
        <f>SUMIFS(Investors!$M:$M,Investors!$O:$O,FALSE,Investors!$P:$P,FALSE,Investors!$K:$K,"&gt;"&amp;'NSST Print'!$B$3,Investors!$I:$I,"&lt;="&amp;'NSST Print'!$B$3,Investors!$A:$A,'Investor Exit List'!$A18,Investors!$E:$E,'Investor Exit List'!$C18,Investors!$L:$L,'Investor Exit List'!$B18)-(SUMIFS(Investors!$M:$M,Investors!$I:$I,"&lt;="&amp;'NSST Print'!$B$3,Investors!$J:$J,"&gt;"&amp;'NSST Print'!$B$3,Investors!$A:$A,'Investor Exit List'!$A18,Investors!$E:$E,'Investor Exit List'!$C18,Investors!$L:$L,'Investor Exit List'!$B18)+SUMIFS(Investors!$M:$M,Investors!$I:$I,"&lt;="&amp;'NSST Print'!$B$3,Investors!$J:$J,"",Investors!$A:$A,'Investor Exit List'!$A18,Investors!$E:$E,'Investor Exit List'!$C18,Investors!$L:$L,'Investor Exit List'!$B18))+SUMIFS(Investors!$S:$S,Investors!$O:$O,FALSE,Investors!$P:$P,FALSE,Investors!$K:$K,"&gt;"&amp;'NSST Print'!$B$3,Investors!$I:$I,"&lt;="&amp;'NSST Print'!$B$3,Investors!$A:$A,'Investor Exit List'!$A18,Investors!$E:$E,'Investor Exit List'!$C18,Investors!$L:$L,'Investor Exit List'!$B18)-(SUMIFS(Investors!$S:$S,Investors!$I:$I,"&lt;="&amp;'NSST Print'!$B$3,Investors!$J:$J,"&gt;"&amp;'NSST Print'!$B$3,Investors!$A:$A,'Investor Exit List'!$A18,Investors!$E:$E,'Investor Exit List'!$C18,Investors!$L:$L,'Investor Exit List'!$B18)+SUMIFS(Investors!$S:$S,Investors!$I:$I,"&lt;="&amp;'NSST Print'!$B$3,Investors!$J:$J,"",Investors!$A:$A,'Investor Exit List'!$A18,Investors!$E:$E,'Investor Exit List'!$C18,Investors!$L:$L,'Investor Exit List'!$B18))</f>
        <v>0</v>
      </c>
      <c r="R18" s="117">
        <f t="shared" si="5"/>
        <v>0</v>
      </c>
      <c r="S18" s="117">
        <f>SUMIFS(Investors!$M:$M,Investors!$O:$O,TRUE,Investors!$A:$A,'Investor Exit List'!$A18,Investors!$E:$E,'Investor Exit List'!$C18,Investors!$L:$L,'Investor Exit List'!$B18)+SUMIFS(Investors!$S:$S,Investors!$O:$O,TRUE,Investors!$A:$A,'Investor Exit List'!$A18,Investors!$E:$E,'Investor Exit List'!$C18,Investors!$L:$L,'Investor Exit List'!$B18)</f>
        <v>0</v>
      </c>
      <c r="T18" s="118" t="str">
        <f t="shared" si="6"/>
        <v/>
      </c>
      <c r="U18" s="116" t="b">
        <v>0</v>
      </c>
      <c r="V18" s="117">
        <f t="shared" si="7"/>
        <v>0</v>
      </c>
      <c r="W18" s="116">
        <v>0</v>
      </c>
      <c r="X18" s="116" t="b">
        <v>0</v>
      </c>
      <c r="Y18" s="119">
        <f>IF(H18=FALSE,VLOOKUP($C18,Sales!$C:$F,4,FALSE),1)</f>
        <v>1</v>
      </c>
      <c r="Z18" s="116" t="str">
        <f t="shared" si="8"/>
        <v/>
      </c>
      <c r="AA18" s="118">
        <f t="shared" si="9"/>
        <v>0</v>
      </c>
      <c r="AB18" s="118" t="str">
        <f t="shared" si="10"/>
        <v>HFA105-ZSPE01</v>
      </c>
      <c r="AC18" s="118">
        <f t="shared" si="11"/>
        <v>45108</v>
      </c>
    </row>
    <row r="19" spans="1:29" ht="16" x14ac:dyDescent="0.2">
      <c r="A19" s="116" t="s">
        <v>65</v>
      </c>
      <c r="B19" s="116">
        <v>2</v>
      </c>
      <c r="C19" s="116" t="s">
        <v>68</v>
      </c>
      <c r="D19" s="116" t="s">
        <v>26</v>
      </c>
      <c r="E19" s="116" t="s">
        <v>2021</v>
      </c>
      <c r="F19" s="117">
        <f>SUMIFS(Investors!$M:$M,Investors!$O:$O,FALSE,Investors!$P:$P,FALSE,Investors!$K:$K,"&gt;"&amp;'NSST Print'!$B$3,Investors!$I:$I,"&lt;="&amp;'NSST Print'!$B$3,Investors!$A:$A,'Investor Exit List'!$A19,Investors!$E:$E,'Investor Exit List'!$C19,Investors!$L:$L,'Investor Exit List'!$B19)-(SUMIFS(Investors!$M:$M,Investors!$I:$I,"&lt;="&amp;'NSST Print'!$B$3,Investors!$J:$J,"&gt;"&amp;'NSST Print'!$B$3,Investors!$A:$A,'Investor Exit List'!$A19,Investors!$E:$E,'Investor Exit List'!$C19,Investors!$L:$L,'Investor Exit List'!$B19)+SUMIFS(Investors!$M:$M,Investors!$I:$I,"&lt;="&amp;'NSST Print'!$B$3,Investors!$J:$J,"",Investors!$A:$A,'Investor Exit List'!$A19,Investors!$E:$E,'Investor Exit List'!$C19,Investors!$L:$L,'Investor Exit List'!$B19))</f>
        <v>0</v>
      </c>
      <c r="G19" s="118">
        <v>44352</v>
      </c>
      <c r="H19" s="116" t="b">
        <f>VLOOKUP($C19,Sales!$C:$E,2,FALSE)</f>
        <v>1</v>
      </c>
      <c r="I19" s="116" t="b">
        <f>VLOOKUP($C19,Sales!$C:$E,3,FALSE)</f>
        <v>1</v>
      </c>
      <c r="J19" s="118">
        <f>SUMIFS(Sales!$H:$H,Sales!$C:$C,'Investor Exit List'!$C19)</f>
        <v>45688</v>
      </c>
      <c r="K19" s="118">
        <f t="shared" si="0"/>
        <v>45688</v>
      </c>
      <c r="L19" s="118">
        <f t="shared" si="1"/>
        <v>45082</v>
      </c>
      <c r="M19" s="118">
        <v>45443</v>
      </c>
      <c r="N19" s="119">
        <f t="shared" si="2"/>
        <v>0</v>
      </c>
      <c r="O19" s="119">
        <f t="shared" si="3"/>
        <v>0</v>
      </c>
      <c r="P19" s="117">
        <f t="shared" si="4"/>
        <v>0</v>
      </c>
      <c r="Q19" s="117">
        <f>SUMIFS(Investors!$M:$M,Investors!$O:$O,FALSE,Investors!$P:$P,FALSE,Investors!$K:$K,"&gt;"&amp;'NSST Print'!$B$3,Investors!$I:$I,"&lt;="&amp;'NSST Print'!$B$3,Investors!$A:$A,'Investor Exit List'!$A19,Investors!$E:$E,'Investor Exit List'!$C19,Investors!$L:$L,'Investor Exit List'!$B19)-(SUMIFS(Investors!$M:$M,Investors!$I:$I,"&lt;="&amp;'NSST Print'!$B$3,Investors!$J:$J,"&gt;"&amp;'NSST Print'!$B$3,Investors!$A:$A,'Investor Exit List'!$A19,Investors!$E:$E,'Investor Exit List'!$C19,Investors!$L:$L,'Investor Exit List'!$B19)+SUMIFS(Investors!$M:$M,Investors!$I:$I,"&lt;="&amp;'NSST Print'!$B$3,Investors!$J:$J,"",Investors!$A:$A,'Investor Exit List'!$A19,Investors!$E:$E,'Investor Exit List'!$C19,Investors!$L:$L,'Investor Exit List'!$B19))+SUMIFS(Investors!$S:$S,Investors!$O:$O,FALSE,Investors!$P:$P,FALSE,Investors!$K:$K,"&gt;"&amp;'NSST Print'!$B$3,Investors!$I:$I,"&lt;="&amp;'NSST Print'!$B$3,Investors!$A:$A,'Investor Exit List'!$A19,Investors!$E:$E,'Investor Exit List'!$C19,Investors!$L:$L,'Investor Exit List'!$B19)-(SUMIFS(Investors!$S:$S,Investors!$I:$I,"&lt;="&amp;'NSST Print'!$B$3,Investors!$J:$J,"&gt;"&amp;'NSST Print'!$B$3,Investors!$A:$A,'Investor Exit List'!$A19,Investors!$E:$E,'Investor Exit List'!$C19,Investors!$L:$L,'Investor Exit List'!$B19)+SUMIFS(Investors!$S:$S,Investors!$I:$I,"&lt;="&amp;'NSST Print'!$B$3,Investors!$J:$J,"",Investors!$A:$A,'Investor Exit List'!$A19,Investors!$E:$E,'Investor Exit List'!$C19,Investors!$L:$L,'Investor Exit List'!$B19))</f>
        <v>0</v>
      </c>
      <c r="R19" s="117">
        <f t="shared" si="5"/>
        <v>0</v>
      </c>
      <c r="S19" s="117">
        <f>SUMIFS(Investors!$M:$M,Investors!$O:$O,TRUE,Investors!$A:$A,'Investor Exit List'!$A19,Investors!$E:$E,'Investor Exit List'!$C19,Investors!$L:$L,'Investor Exit List'!$B19)+SUMIFS(Investors!$S:$S,Investors!$O:$O,TRUE,Investors!$A:$A,'Investor Exit List'!$A19,Investors!$E:$E,'Investor Exit List'!$C19,Investors!$L:$L,'Investor Exit List'!$B19)</f>
        <v>0</v>
      </c>
      <c r="T19" s="118" t="str">
        <f t="shared" si="6"/>
        <v/>
      </c>
      <c r="U19" s="116" t="b">
        <v>0</v>
      </c>
      <c r="V19" s="117">
        <f t="shared" si="7"/>
        <v>0</v>
      </c>
      <c r="W19" s="116">
        <v>0</v>
      </c>
      <c r="X19" s="116" t="b">
        <v>0</v>
      </c>
      <c r="Y19" s="119">
        <f>IF(H19=FALSE,VLOOKUP($C19,Sales!$C:$F,4,FALSE),1)</f>
        <v>1</v>
      </c>
      <c r="Z19" s="116" t="str">
        <f t="shared" si="8"/>
        <v/>
      </c>
      <c r="AA19" s="118">
        <f t="shared" si="9"/>
        <v>0</v>
      </c>
      <c r="AB19" s="118" t="str">
        <f t="shared" si="10"/>
        <v>HFA106-ZCOL01</v>
      </c>
      <c r="AC19" s="118">
        <f t="shared" si="11"/>
        <v>45082</v>
      </c>
    </row>
    <row r="20" spans="1:29" ht="16" x14ac:dyDescent="0.2">
      <c r="A20" s="116" t="s">
        <v>65</v>
      </c>
      <c r="B20" s="116">
        <v>3</v>
      </c>
      <c r="C20" s="116" t="s">
        <v>68</v>
      </c>
      <c r="D20" s="116" t="s">
        <v>26</v>
      </c>
      <c r="E20" s="116" t="s">
        <v>2021</v>
      </c>
      <c r="F20" s="117">
        <f>SUMIFS(Investors!$M:$M,Investors!$O:$O,FALSE,Investors!$P:$P,FALSE,Investors!$K:$K,"&gt;"&amp;'NSST Print'!$B$3,Investors!$I:$I,"&lt;="&amp;'NSST Print'!$B$3,Investors!$A:$A,'Investor Exit List'!$A20,Investors!$E:$E,'Investor Exit List'!$C20,Investors!$L:$L,'Investor Exit List'!$B20)-(SUMIFS(Investors!$M:$M,Investors!$I:$I,"&lt;="&amp;'NSST Print'!$B$3,Investors!$J:$J,"&gt;"&amp;'NSST Print'!$B$3,Investors!$A:$A,'Investor Exit List'!$A20,Investors!$E:$E,'Investor Exit List'!$C20,Investors!$L:$L,'Investor Exit List'!$B20)+SUMIFS(Investors!$M:$M,Investors!$I:$I,"&lt;="&amp;'NSST Print'!$B$3,Investors!$J:$J,"",Investors!$A:$A,'Investor Exit List'!$A20,Investors!$E:$E,'Investor Exit List'!$C20,Investors!$L:$L,'Investor Exit List'!$B20))</f>
        <v>0</v>
      </c>
      <c r="G20" s="118">
        <v>44352</v>
      </c>
      <c r="H20" s="116" t="b">
        <f>VLOOKUP($C20,Sales!$C:$E,2,FALSE)</f>
        <v>1</v>
      </c>
      <c r="I20" s="116" t="b">
        <f>VLOOKUP($C20,Sales!$C:$E,3,FALSE)</f>
        <v>1</v>
      </c>
      <c r="J20" s="118">
        <f>SUMIFS(Sales!$H:$H,Sales!$C:$C,'Investor Exit List'!$C20)</f>
        <v>45688</v>
      </c>
      <c r="K20" s="118">
        <f t="shared" si="0"/>
        <v>45688</v>
      </c>
      <c r="L20" s="118">
        <f t="shared" si="1"/>
        <v>45082</v>
      </c>
      <c r="M20" s="118">
        <v>45443</v>
      </c>
      <c r="N20" s="119">
        <f t="shared" si="2"/>
        <v>0</v>
      </c>
      <c r="O20" s="119">
        <f t="shared" si="3"/>
        <v>0</v>
      </c>
      <c r="P20" s="117">
        <f t="shared" si="4"/>
        <v>0</v>
      </c>
      <c r="Q20" s="117">
        <f>SUMIFS(Investors!$M:$M,Investors!$O:$O,FALSE,Investors!$P:$P,FALSE,Investors!$K:$K,"&gt;"&amp;'NSST Print'!$B$3,Investors!$I:$I,"&lt;="&amp;'NSST Print'!$B$3,Investors!$A:$A,'Investor Exit List'!$A20,Investors!$E:$E,'Investor Exit List'!$C20,Investors!$L:$L,'Investor Exit List'!$B20)-(SUMIFS(Investors!$M:$M,Investors!$I:$I,"&lt;="&amp;'NSST Print'!$B$3,Investors!$J:$J,"&gt;"&amp;'NSST Print'!$B$3,Investors!$A:$A,'Investor Exit List'!$A20,Investors!$E:$E,'Investor Exit List'!$C20,Investors!$L:$L,'Investor Exit List'!$B20)+SUMIFS(Investors!$M:$M,Investors!$I:$I,"&lt;="&amp;'NSST Print'!$B$3,Investors!$J:$J,"",Investors!$A:$A,'Investor Exit List'!$A20,Investors!$E:$E,'Investor Exit List'!$C20,Investors!$L:$L,'Investor Exit List'!$B20))+SUMIFS(Investors!$S:$S,Investors!$O:$O,FALSE,Investors!$P:$P,FALSE,Investors!$K:$K,"&gt;"&amp;'NSST Print'!$B$3,Investors!$I:$I,"&lt;="&amp;'NSST Print'!$B$3,Investors!$A:$A,'Investor Exit List'!$A20,Investors!$E:$E,'Investor Exit List'!$C20,Investors!$L:$L,'Investor Exit List'!$B20)-(SUMIFS(Investors!$S:$S,Investors!$I:$I,"&lt;="&amp;'NSST Print'!$B$3,Investors!$J:$J,"&gt;"&amp;'NSST Print'!$B$3,Investors!$A:$A,'Investor Exit List'!$A20,Investors!$E:$E,'Investor Exit List'!$C20,Investors!$L:$L,'Investor Exit List'!$B20)+SUMIFS(Investors!$S:$S,Investors!$I:$I,"&lt;="&amp;'NSST Print'!$B$3,Investors!$J:$J,"",Investors!$A:$A,'Investor Exit List'!$A20,Investors!$E:$E,'Investor Exit List'!$C20,Investors!$L:$L,'Investor Exit List'!$B20))</f>
        <v>0</v>
      </c>
      <c r="R20" s="117">
        <f t="shared" si="5"/>
        <v>0</v>
      </c>
      <c r="S20" s="117">
        <f>SUMIFS(Investors!$M:$M,Investors!$O:$O,TRUE,Investors!$A:$A,'Investor Exit List'!$A20,Investors!$E:$E,'Investor Exit List'!$C20,Investors!$L:$L,'Investor Exit List'!$B20)+SUMIFS(Investors!$S:$S,Investors!$O:$O,TRUE,Investors!$A:$A,'Investor Exit List'!$A20,Investors!$E:$E,'Investor Exit List'!$C20,Investors!$L:$L,'Investor Exit List'!$B20)</f>
        <v>0</v>
      </c>
      <c r="T20" s="118" t="str">
        <f t="shared" si="6"/>
        <v/>
      </c>
      <c r="U20" s="116" t="b">
        <v>0</v>
      </c>
      <c r="V20" s="117">
        <f t="shared" si="7"/>
        <v>0</v>
      </c>
      <c r="W20" s="116">
        <v>0</v>
      </c>
      <c r="X20" s="116" t="b">
        <v>0</v>
      </c>
      <c r="Y20" s="119">
        <f>IF(H20=FALSE,VLOOKUP($C20,Sales!$C:$F,4,FALSE),1)</f>
        <v>1</v>
      </c>
      <c r="Z20" s="116" t="str">
        <f t="shared" si="8"/>
        <v/>
      </c>
      <c r="AA20" s="118">
        <f t="shared" si="9"/>
        <v>0</v>
      </c>
      <c r="AB20" s="118" t="str">
        <f t="shared" si="10"/>
        <v>HFA106-ZCOL01</v>
      </c>
      <c r="AC20" s="118">
        <f t="shared" si="11"/>
        <v>45082</v>
      </c>
    </row>
    <row r="21" spans="1:29" ht="16" x14ac:dyDescent="0.2">
      <c r="A21" s="116" t="s">
        <v>69</v>
      </c>
      <c r="B21" s="116">
        <v>1</v>
      </c>
      <c r="C21" s="116" t="s">
        <v>68</v>
      </c>
      <c r="D21" s="116" t="s">
        <v>26</v>
      </c>
      <c r="E21" s="116" t="s">
        <v>2022</v>
      </c>
      <c r="F21" s="117">
        <f>SUMIFS(Investors!$M:$M,Investors!$O:$O,FALSE,Investors!$P:$P,FALSE,Investors!$K:$K,"&gt;"&amp;'NSST Print'!$B$3,Investors!$I:$I,"&lt;="&amp;'NSST Print'!$B$3,Investors!$A:$A,'Investor Exit List'!$A21,Investors!$E:$E,'Investor Exit List'!$C21,Investors!$L:$L,'Investor Exit List'!$B21)-(SUMIFS(Investors!$M:$M,Investors!$I:$I,"&lt;="&amp;'NSST Print'!$B$3,Investors!$J:$J,"&gt;"&amp;'NSST Print'!$B$3,Investors!$A:$A,'Investor Exit List'!$A21,Investors!$E:$E,'Investor Exit List'!$C21,Investors!$L:$L,'Investor Exit List'!$B21)+SUMIFS(Investors!$M:$M,Investors!$I:$I,"&lt;="&amp;'NSST Print'!$B$3,Investors!$J:$J,"",Investors!$A:$A,'Investor Exit List'!$A21,Investors!$E:$E,'Investor Exit List'!$C21,Investors!$L:$L,'Investor Exit List'!$B21))</f>
        <v>0</v>
      </c>
      <c r="G21" s="118">
        <v>44316</v>
      </c>
      <c r="H21" s="116" t="b">
        <f>VLOOKUP($C21,Sales!$C:$E,2,FALSE)</f>
        <v>1</v>
      </c>
      <c r="I21" s="116" t="b">
        <f>VLOOKUP($C21,Sales!$C:$E,3,FALSE)</f>
        <v>1</v>
      </c>
      <c r="J21" s="118">
        <f>SUMIFS(Sales!$H:$H,Sales!$C:$C,'Investor Exit List'!$C21)</f>
        <v>45688</v>
      </c>
      <c r="K21" s="118">
        <f t="shared" si="0"/>
        <v>45688</v>
      </c>
      <c r="L21" s="118">
        <f t="shared" si="1"/>
        <v>45046</v>
      </c>
      <c r="M21" s="118">
        <v>45443</v>
      </c>
      <c r="N21" s="119">
        <f t="shared" si="2"/>
        <v>0</v>
      </c>
      <c r="O21" s="119">
        <f t="shared" si="3"/>
        <v>0</v>
      </c>
      <c r="P21" s="117">
        <f t="shared" si="4"/>
        <v>0</v>
      </c>
      <c r="Q21" s="117">
        <f>SUMIFS(Investors!$M:$M,Investors!$O:$O,FALSE,Investors!$P:$P,FALSE,Investors!$K:$K,"&gt;"&amp;'NSST Print'!$B$3,Investors!$I:$I,"&lt;="&amp;'NSST Print'!$B$3,Investors!$A:$A,'Investor Exit List'!$A21,Investors!$E:$E,'Investor Exit List'!$C21,Investors!$L:$L,'Investor Exit List'!$B21)-(SUMIFS(Investors!$M:$M,Investors!$I:$I,"&lt;="&amp;'NSST Print'!$B$3,Investors!$J:$J,"&gt;"&amp;'NSST Print'!$B$3,Investors!$A:$A,'Investor Exit List'!$A21,Investors!$E:$E,'Investor Exit List'!$C21,Investors!$L:$L,'Investor Exit List'!$B21)+SUMIFS(Investors!$M:$M,Investors!$I:$I,"&lt;="&amp;'NSST Print'!$B$3,Investors!$J:$J,"",Investors!$A:$A,'Investor Exit List'!$A21,Investors!$E:$E,'Investor Exit List'!$C21,Investors!$L:$L,'Investor Exit List'!$B21))+SUMIFS(Investors!$S:$S,Investors!$O:$O,FALSE,Investors!$P:$P,FALSE,Investors!$K:$K,"&gt;"&amp;'NSST Print'!$B$3,Investors!$I:$I,"&lt;="&amp;'NSST Print'!$B$3,Investors!$A:$A,'Investor Exit List'!$A21,Investors!$E:$E,'Investor Exit List'!$C21,Investors!$L:$L,'Investor Exit List'!$B21)-(SUMIFS(Investors!$S:$S,Investors!$I:$I,"&lt;="&amp;'NSST Print'!$B$3,Investors!$J:$J,"&gt;"&amp;'NSST Print'!$B$3,Investors!$A:$A,'Investor Exit List'!$A21,Investors!$E:$E,'Investor Exit List'!$C21,Investors!$L:$L,'Investor Exit List'!$B21)+SUMIFS(Investors!$S:$S,Investors!$I:$I,"&lt;="&amp;'NSST Print'!$B$3,Investors!$J:$J,"",Investors!$A:$A,'Investor Exit List'!$A21,Investors!$E:$E,'Investor Exit List'!$C21,Investors!$L:$L,'Investor Exit List'!$B21))</f>
        <v>0</v>
      </c>
      <c r="R21" s="117">
        <f t="shared" si="5"/>
        <v>0</v>
      </c>
      <c r="S21" s="117">
        <f>SUMIFS(Investors!$M:$M,Investors!$O:$O,TRUE,Investors!$A:$A,'Investor Exit List'!$A21,Investors!$E:$E,'Investor Exit List'!$C21,Investors!$L:$L,'Investor Exit List'!$B21)+SUMIFS(Investors!$S:$S,Investors!$O:$O,TRUE,Investors!$A:$A,'Investor Exit List'!$A21,Investors!$E:$E,'Investor Exit List'!$C21,Investors!$L:$L,'Investor Exit List'!$B21)</f>
        <v>0</v>
      </c>
      <c r="T21" s="118" t="str">
        <f t="shared" si="6"/>
        <v/>
      </c>
      <c r="U21" s="116" t="b">
        <v>0</v>
      </c>
      <c r="V21" s="117">
        <f t="shared" si="7"/>
        <v>0</v>
      </c>
      <c r="W21" s="116">
        <v>0</v>
      </c>
      <c r="X21" s="116" t="b">
        <v>0</v>
      </c>
      <c r="Y21" s="119">
        <f>IF(H21=FALSE,VLOOKUP($C21,Sales!$C:$F,4,FALSE),1)</f>
        <v>1</v>
      </c>
      <c r="Z21" s="116" t="str">
        <f t="shared" si="8"/>
        <v/>
      </c>
      <c r="AA21" s="118">
        <f t="shared" si="9"/>
        <v>0</v>
      </c>
      <c r="AB21" s="118" t="str">
        <f t="shared" si="10"/>
        <v>HFA106-ZJOH01</v>
      </c>
      <c r="AC21" s="118">
        <f t="shared" si="11"/>
        <v>45046</v>
      </c>
    </row>
    <row r="22" spans="1:29" ht="16" x14ac:dyDescent="0.2">
      <c r="A22" s="116" t="s">
        <v>72</v>
      </c>
      <c r="B22" s="116">
        <v>1</v>
      </c>
      <c r="C22" s="116" t="s">
        <v>68</v>
      </c>
      <c r="D22" s="116" t="s">
        <v>26</v>
      </c>
      <c r="E22" s="116" t="s">
        <v>2023</v>
      </c>
      <c r="F22" s="117">
        <f>SUMIFS(Investors!$M:$M,Investors!$O:$O,FALSE,Investors!$P:$P,FALSE,Investors!$K:$K,"&gt;"&amp;'NSST Print'!$B$3,Investors!$I:$I,"&lt;="&amp;'NSST Print'!$B$3,Investors!$A:$A,'Investor Exit List'!$A22,Investors!$E:$E,'Investor Exit List'!$C22,Investors!$L:$L,'Investor Exit List'!$B22)-(SUMIFS(Investors!$M:$M,Investors!$I:$I,"&lt;="&amp;'NSST Print'!$B$3,Investors!$J:$J,"&gt;"&amp;'NSST Print'!$B$3,Investors!$A:$A,'Investor Exit List'!$A22,Investors!$E:$E,'Investor Exit List'!$C22,Investors!$L:$L,'Investor Exit List'!$B22)+SUMIFS(Investors!$M:$M,Investors!$I:$I,"&lt;="&amp;'NSST Print'!$B$3,Investors!$J:$J,"",Investors!$A:$A,'Investor Exit List'!$A22,Investors!$E:$E,'Investor Exit List'!$C22,Investors!$L:$L,'Investor Exit List'!$B22))</f>
        <v>0</v>
      </c>
      <c r="G22" s="118">
        <v>44352</v>
      </c>
      <c r="H22" s="116" t="b">
        <f>VLOOKUP($C22,Sales!$C:$E,2,FALSE)</f>
        <v>1</v>
      </c>
      <c r="I22" s="116" t="b">
        <f>VLOOKUP($C22,Sales!$C:$E,3,FALSE)</f>
        <v>1</v>
      </c>
      <c r="J22" s="118">
        <f>SUMIFS(Sales!$H:$H,Sales!$C:$C,'Investor Exit List'!$C22)</f>
        <v>45688</v>
      </c>
      <c r="K22" s="118">
        <f t="shared" si="0"/>
        <v>45688</v>
      </c>
      <c r="L22" s="118">
        <f t="shared" si="1"/>
        <v>45082</v>
      </c>
      <c r="M22" s="118">
        <v>45443</v>
      </c>
      <c r="N22" s="119">
        <f t="shared" si="2"/>
        <v>0</v>
      </c>
      <c r="O22" s="119">
        <f t="shared" si="3"/>
        <v>0</v>
      </c>
      <c r="P22" s="117">
        <f t="shared" si="4"/>
        <v>0</v>
      </c>
      <c r="Q22" s="117">
        <f>SUMIFS(Investors!$M:$M,Investors!$O:$O,FALSE,Investors!$P:$P,FALSE,Investors!$K:$K,"&gt;"&amp;'NSST Print'!$B$3,Investors!$I:$I,"&lt;="&amp;'NSST Print'!$B$3,Investors!$A:$A,'Investor Exit List'!$A22,Investors!$E:$E,'Investor Exit List'!$C22,Investors!$L:$L,'Investor Exit List'!$B22)-(SUMIFS(Investors!$M:$M,Investors!$I:$I,"&lt;="&amp;'NSST Print'!$B$3,Investors!$J:$J,"&gt;"&amp;'NSST Print'!$B$3,Investors!$A:$A,'Investor Exit List'!$A22,Investors!$E:$E,'Investor Exit List'!$C22,Investors!$L:$L,'Investor Exit List'!$B22)+SUMIFS(Investors!$M:$M,Investors!$I:$I,"&lt;="&amp;'NSST Print'!$B$3,Investors!$J:$J,"",Investors!$A:$A,'Investor Exit List'!$A22,Investors!$E:$E,'Investor Exit List'!$C22,Investors!$L:$L,'Investor Exit List'!$B22))+SUMIFS(Investors!$S:$S,Investors!$O:$O,FALSE,Investors!$P:$P,FALSE,Investors!$K:$K,"&gt;"&amp;'NSST Print'!$B$3,Investors!$I:$I,"&lt;="&amp;'NSST Print'!$B$3,Investors!$A:$A,'Investor Exit List'!$A22,Investors!$E:$E,'Investor Exit List'!$C22,Investors!$L:$L,'Investor Exit List'!$B22)-(SUMIFS(Investors!$S:$S,Investors!$I:$I,"&lt;="&amp;'NSST Print'!$B$3,Investors!$J:$J,"&gt;"&amp;'NSST Print'!$B$3,Investors!$A:$A,'Investor Exit List'!$A22,Investors!$E:$E,'Investor Exit List'!$C22,Investors!$L:$L,'Investor Exit List'!$B22)+SUMIFS(Investors!$S:$S,Investors!$I:$I,"&lt;="&amp;'NSST Print'!$B$3,Investors!$J:$J,"",Investors!$A:$A,'Investor Exit List'!$A22,Investors!$E:$E,'Investor Exit List'!$C22,Investors!$L:$L,'Investor Exit List'!$B22))</f>
        <v>0</v>
      </c>
      <c r="R22" s="117">
        <f t="shared" si="5"/>
        <v>0</v>
      </c>
      <c r="S22" s="117">
        <f>SUMIFS(Investors!$M:$M,Investors!$O:$O,TRUE,Investors!$A:$A,'Investor Exit List'!$A22,Investors!$E:$E,'Investor Exit List'!$C22,Investors!$L:$L,'Investor Exit List'!$B22)+SUMIFS(Investors!$S:$S,Investors!$O:$O,TRUE,Investors!$A:$A,'Investor Exit List'!$A22,Investors!$E:$E,'Investor Exit List'!$C22,Investors!$L:$L,'Investor Exit List'!$B22)</f>
        <v>0</v>
      </c>
      <c r="T22" s="118" t="str">
        <f t="shared" si="6"/>
        <v/>
      </c>
      <c r="U22" s="116" t="b">
        <v>0</v>
      </c>
      <c r="V22" s="117">
        <f t="shared" si="7"/>
        <v>0</v>
      </c>
      <c r="W22" s="116">
        <v>0</v>
      </c>
      <c r="X22" s="116" t="b">
        <v>0</v>
      </c>
      <c r="Y22" s="119">
        <f>IF(H22=FALSE,VLOOKUP($C22,Sales!$C:$F,4,FALSE),1)</f>
        <v>1</v>
      </c>
      <c r="Z22" s="116" t="str">
        <f t="shared" si="8"/>
        <v/>
      </c>
      <c r="AA22" s="118">
        <f t="shared" si="9"/>
        <v>0</v>
      </c>
      <c r="AB22" s="118" t="str">
        <f t="shared" si="10"/>
        <v>HFA106-ZLOU01</v>
      </c>
      <c r="AC22" s="118">
        <f t="shared" si="11"/>
        <v>45082</v>
      </c>
    </row>
    <row r="23" spans="1:29" ht="16" x14ac:dyDescent="0.2">
      <c r="A23" s="116" t="s">
        <v>75</v>
      </c>
      <c r="B23" s="116">
        <v>1</v>
      </c>
      <c r="C23" s="116" t="s">
        <v>68</v>
      </c>
      <c r="D23" s="116" t="s">
        <v>26</v>
      </c>
      <c r="E23" s="116" t="s">
        <v>2024</v>
      </c>
      <c r="F23" s="117">
        <f>SUMIFS(Investors!$M:$M,Investors!$O:$O,FALSE,Investors!$P:$P,FALSE,Investors!$K:$K,"&gt;"&amp;'NSST Print'!$B$3,Investors!$I:$I,"&lt;="&amp;'NSST Print'!$B$3,Investors!$A:$A,'Investor Exit List'!$A23,Investors!$E:$E,'Investor Exit List'!$C23,Investors!$L:$L,'Investor Exit List'!$B23)-(SUMIFS(Investors!$M:$M,Investors!$I:$I,"&lt;="&amp;'NSST Print'!$B$3,Investors!$J:$J,"&gt;"&amp;'NSST Print'!$B$3,Investors!$A:$A,'Investor Exit List'!$A23,Investors!$E:$E,'Investor Exit List'!$C23,Investors!$L:$L,'Investor Exit List'!$B23)+SUMIFS(Investors!$M:$M,Investors!$I:$I,"&lt;="&amp;'NSST Print'!$B$3,Investors!$J:$J,"",Investors!$A:$A,'Investor Exit List'!$A23,Investors!$E:$E,'Investor Exit List'!$C23,Investors!$L:$L,'Investor Exit List'!$B23))</f>
        <v>0</v>
      </c>
      <c r="G23" s="118">
        <v>44352</v>
      </c>
      <c r="H23" s="116" t="b">
        <f>VLOOKUP($C23,Sales!$C:$E,2,FALSE)</f>
        <v>1</v>
      </c>
      <c r="I23" s="116" t="b">
        <f>VLOOKUP($C23,Sales!$C:$E,3,FALSE)</f>
        <v>1</v>
      </c>
      <c r="J23" s="118">
        <f>SUMIFS(Sales!$H:$H,Sales!$C:$C,'Investor Exit List'!$C23)</f>
        <v>45688</v>
      </c>
      <c r="K23" s="118">
        <f t="shared" si="0"/>
        <v>45688</v>
      </c>
      <c r="L23" s="118">
        <f t="shared" si="1"/>
        <v>45082</v>
      </c>
      <c r="M23" s="118">
        <v>45443</v>
      </c>
      <c r="N23" s="119">
        <f t="shared" si="2"/>
        <v>0</v>
      </c>
      <c r="O23" s="119">
        <f t="shared" si="3"/>
        <v>0</v>
      </c>
      <c r="P23" s="117">
        <f t="shared" si="4"/>
        <v>0</v>
      </c>
      <c r="Q23" s="117">
        <f>SUMIFS(Investors!$M:$M,Investors!$O:$O,FALSE,Investors!$P:$P,FALSE,Investors!$K:$K,"&gt;"&amp;'NSST Print'!$B$3,Investors!$I:$I,"&lt;="&amp;'NSST Print'!$B$3,Investors!$A:$A,'Investor Exit List'!$A23,Investors!$E:$E,'Investor Exit List'!$C23,Investors!$L:$L,'Investor Exit List'!$B23)-(SUMIFS(Investors!$M:$M,Investors!$I:$I,"&lt;="&amp;'NSST Print'!$B$3,Investors!$J:$J,"&gt;"&amp;'NSST Print'!$B$3,Investors!$A:$A,'Investor Exit List'!$A23,Investors!$E:$E,'Investor Exit List'!$C23,Investors!$L:$L,'Investor Exit List'!$B23)+SUMIFS(Investors!$M:$M,Investors!$I:$I,"&lt;="&amp;'NSST Print'!$B$3,Investors!$J:$J,"",Investors!$A:$A,'Investor Exit List'!$A23,Investors!$E:$E,'Investor Exit List'!$C23,Investors!$L:$L,'Investor Exit List'!$B23))+SUMIFS(Investors!$S:$S,Investors!$O:$O,FALSE,Investors!$P:$P,FALSE,Investors!$K:$K,"&gt;"&amp;'NSST Print'!$B$3,Investors!$I:$I,"&lt;="&amp;'NSST Print'!$B$3,Investors!$A:$A,'Investor Exit List'!$A23,Investors!$E:$E,'Investor Exit List'!$C23,Investors!$L:$L,'Investor Exit List'!$B23)-(SUMIFS(Investors!$S:$S,Investors!$I:$I,"&lt;="&amp;'NSST Print'!$B$3,Investors!$J:$J,"&gt;"&amp;'NSST Print'!$B$3,Investors!$A:$A,'Investor Exit List'!$A23,Investors!$E:$E,'Investor Exit List'!$C23,Investors!$L:$L,'Investor Exit List'!$B23)+SUMIFS(Investors!$S:$S,Investors!$I:$I,"&lt;="&amp;'NSST Print'!$B$3,Investors!$J:$J,"",Investors!$A:$A,'Investor Exit List'!$A23,Investors!$E:$E,'Investor Exit List'!$C23,Investors!$L:$L,'Investor Exit List'!$B23))</f>
        <v>0</v>
      </c>
      <c r="R23" s="117">
        <f t="shared" si="5"/>
        <v>0</v>
      </c>
      <c r="S23" s="117">
        <f>SUMIFS(Investors!$M:$M,Investors!$O:$O,TRUE,Investors!$A:$A,'Investor Exit List'!$A23,Investors!$E:$E,'Investor Exit List'!$C23,Investors!$L:$L,'Investor Exit List'!$B23)+SUMIFS(Investors!$S:$S,Investors!$O:$O,TRUE,Investors!$A:$A,'Investor Exit List'!$A23,Investors!$E:$E,'Investor Exit List'!$C23,Investors!$L:$L,'Investor Exit List'!$B23)</f>
        <v>0</v>
      </c>
      <c r="T23" s="118" t="str">
        <f t="shared" si="6"/>
        <v/>
      </c>
      <c r="U23" s="116" t="b">
        <v>0</v>
      </c>
      <c r="V23" s="117">
        <f t="shared" si="7"/>
        <v>0</v>
      </c>
      <c r="W23" s="116">
        <v>0</v>
      </c>
      <c r="X23" s="116" t="b">
        <v>0</v>
      </c>
      <c r="Y23" s="119">
        <f>IF(H23=FALSE,VLOOKUP($C23,Sales!$C:$F,4,FALSE),1)</f>
        <v>1</v>
      </c>
      <c r="Z23" s="116" t="str">
        <f t="shared" si="8"/>
        <v/>
      </c>
      <c r="AA23" s="118">
        <f t="shared" si="9"/>
        <v>0</v>
      </c>
      <c r="AB23" s="118" t="str">
        <f t="shared" si="10"/>
        <v>HFA106-ZVZY01</v>
      </c>
      <c r="AC23" s="118">
        <f t="shared" si="11"/>
        <v>45082</v>
      </c>
    </row>
    <row r="24" spans="1:29" ht="16" x14ac:dyDescent="0.2">
      <c r="A24" s="116" t="s">
        <v>78</v>
      </c>
      <c r="B24" s="116">
        <v>1</v>
      </c>
      <c r="C24" s="116" t="s">
        <v>81</v>
      </c>
      <c r="D24" s="116" t="s">
        <v>26</v>
      </c>
      <c r="E24" s="116" t="s">
        <v>2025</v>
      </c>
      <c r="F24" s="117">
        <f>SUMIFS(Investors!$M:$M,Investors!$O:$O,FALSE,Investors!$P:$P,FALSE,Investors!$K:$K,"&gt;"&amp;'NSST Print'!$B$3,Investors!$I:$I,"&lt;="&amp;'NSST Print'!$B$3,Investors!$A:$A,'Investor Exit List'!$A24,Investors!$E:$E,'Investor Exit List'!$C24,Investors!$L:$L,'Investor Exit List'!$B24)-(SUMIFS(Investors!$M:$M,Investors!$I:$I,"&lt;="&amp;'NSST Print'!$B$3,Investors!$J:$J,"&gt;"&amp;'NSST Print'!$B$3,Investors!$A:$A,'Investor Exit List'!$A24,Investors!$E:$E,'Investor Exit List'!$C24,Investors!$L:$L,'Investor Exit List'!$B24)+SUMIFS(Investors!$M:$M,Investors!$I:$I,"&lt;="&amp;'NSST Print'!$B$3,Investors!$J:$J,"",Investors!$A:$A,'Investor Exit List'!$A24,Investors!$E:$E,'Investor Exit List'!$C24,Investors!$L:$L,'Investor Exit List'!$B24))</f>
        <v>0</v>
      </c>
      <c r="G24" s="118">
        <v>44352</v>
      </c>
      <c r="H24" s="116" t="b">
        <f>VLOOKUP($C24,Sales!$C:$E,2,FALSE)</f>
        <v>1</v>
      </c>
      <c r="I24" s="116" t="b">
        <f>VLOOKUP($C24,Sales!$C:$E,3,FALSE)</f>
        <v>1</v>
      </c>
      <c r="J24" s="118">
        <f>SUMIFS(Sales!$H:$H,Sales!$C:$C,'Investor Exit List'!$C24)</f>
        <v>45688</v>
      </c>
      <c r="K24" s="118">
        <f t="shared" si="0"/>
        <v>45688</v>
      </c>
      <c r="L24" s="118">
        <f t="shared" si="1"/>
        <v>45082</v>
      </c>
      <c r="M24" s="118">
        <v>45443</v>
      </c>
      <c r="N24" s="119">
        <f t="shared" si="2"/>
        <v>0</v>
      </c>
      <c r="O24" s="119">
        <f t="shared" si="3"/>
        <v>0</v>
      </c>
      <c r="P24" s="117">
        <f t="shared" si="4"/>
        <v>0</v>
      </c>
      <c r="Q24" s="117">
        <f>SUMIFS(Investors!$M:$M,Investors!$O:$O,FALSE,Investors!$P:$P,FALSE,Investors!$K:$K,"&gt;"&amp;'NSST Print'!$B$3,Investors!$I:$I,"&lt;="&amp;'NSST Print'!$B$3,Investors!$A:$A,'Investor Exit List'!$A24,Investors!$E:$E,'Investor Exit List'!$C24,Investors!$L:$L,'Investor Exit List'!$B24)-(SUMIFS(Investors!$M:$M,Investors!$I:$I,"&lt;="&amp;'NSST Print'!$B$3,Investors!$J:$J,"&gt;"&amp;'NSST Print'!$B$3,Investors!$A:$A,'Investor Exit List'!$A24,Investors!$E:$E,'Investor Exit List'!$C24,Investors!$L:$L,'Investor Exit List'!$B24)+SUMIFS(Investors!$M:$M,Investors!$I:$I,"&lt;="&amp;'NSST Print'!$B$3,Investors!$J:$J,"",Investors!$A:$A,'Investor Exit List'!$A24,Investors!$E:$E,'Investor Exit List'!$C24,Investors!$L:$L,'Investor Exit List'!$B24))+SUMIFS(Investors!$S:$S,Investors!$O:$O,FALSE,Investors!$P:$P,FALSE,Investors!$K:$K,"&gt;"&amp;'NSST Print'!$B$3,Investors!$I:$I,"&lt;="&amp;'NSST Print'!$B$3,Investors!$A:$A,'Investor Exit List'!$A24,Investors!$E:$E,'Investor Exit List'!$C24,Investors!$L:$L,'Investor Exit List'!$B24)-(SUMIFS(Investors!$S:$S,Investors!$I:$I,"&lt;="&amp;'NSST Print'!$B$3,Investors!$J:$J,"&gt;"&amp;'NSST Print'!$B$3,Investors!$A:$A,'Investor Exit List'!$A24,Investors!$E:$E,'Investor Exit List'!$C24,Investors!$L:$L,'Investor Exit List'!$B24)+SUMIFS(Investors!$S:$S,Investors!$I:$I,"&lt;="&amp;'NSST Print'!$B$3,Investors!$J:$J,"",Investors!$A:$A,'Investor Exit List'!$A24,Investors!$E:$E,'Investor Exit List'!$C24,Investors!$L:$L,'Investor Exit List'!$B24))</f>
        <v>0</v>
      </c>
      <c r="R24" s="117">
        <f t="shared" si="5"/>
        <v>0</v>
      </c>
      <c r="S24" s="117">
        <f>SUMIFS(Investors!$M:$M,Investors!$O:$O,TRUE,Investors!$A:$A,'Investor Exit List'!$A24,Investors!$E:$E,'Investor Exit List'!$C24,Investors!$L:$L,'Investor Exit List'!$B24)+SUMIFS(Investors!$S:$S,Investors!$O:$O,TRUE,Investors!$A:$A,'Investor Exit List'!$A24,Investors!$E:$E,'Investor Exit List'!$C24,Investors!$L:$L,'Investor Exit List'!$B24)</f>
        <v>0</v>
      </c>
      <c r="T24" s="118" t="str">
        <f t="shared" si="6"/>
        <v/>
      </c>
      <c r="U24" s="116" t="b">
        <v>0</v>
      </c>
      <c r="V24" s="117">
        <f t="shared" si="7"/>
        <v>0</v>
      </c>
      <c r="W24" s="116">
        <v>0</v>
      </c>
      <c r="X24" s="116" t="b">
        <v>0</v>
      </c>
      <c r="Y24" s="119">
        <f>IF(H24=FALSE,VLOOKUP($C24,Sales!$C:$F,4,FALSE),1)</f>
        <v>1</v>
      </c>
      <c r="Z24" s="116" t="str">
        <f t="shared" si="8"/>
        <v/>
      </c>
      <c r="AA24" s="118">
        <f t="shared" si="9"/>
        <v>0</v>
      </c>
      <c r="AB24" s="118" t="str">
        <f t="shared" si="10"/>
        <v>HFA201-ZDAD01</v>
      </c>
      <c r="AC24" s="118">
        <f t="shared" si="11"/>
        <v>45082</v>
      </c>
    </row>
    <row r="25" spans="1:29" ht="16" x14ac:dyDescent="0.2">
      <c r="A25" s="116" t="s">
        <v>82</v>
      </c>
      <c r="B25" s="116">
        <v>2</v>
      </c>
      <c r="C25" s="116" t="s">
        <v>81</v>
      </c>
      <c r="D25" s="116" t="s">
        <v>26</v>
      </c>
      <c r="E25" s="116" t="s">
        <v>2026</v>
      </c>
      <c r="F25" s="117">
        <f>SUMIFS(Investors!$M:$M,Investors!$O:$O,FALSE,Investors!$P:$P,FALSE,Investors!$K:$K,"&gt;"&amp;'NSST Print'!$B$3,Investors!$I:$I,"&lt;="&amp;'NSST Print'!$B$3,Investors!$A:$A,'Investor Exit List'!$A25,Investors!$E:$E,'Investor Exit List'!$C25,Investors!$L:$L,'Investor Exit List'!$B25)-(SUMIFS(Investors!$M:$M,Investors!$I:$I,"&lt;="&amp;'NSST Print'!$B$3,Investors!$J:$J,"&gt;"&amp;'NSST Print'!$B$3,Investors!$A:$A,'Investor Exit List'!$A25,Investors!$E:$E,'Investor Exit List'!$C25,Investors!$L:$L,'Investor Exit List'!$B25)+SUMIFS(Investors!$M:$M,Investors!$I:$I,"&lt;="&amp;'NSST Print'!$B$3,Investors!$J:$J,"",Investors!$A:$A,'Investor Exit List'!$A25,Investors!$E:$E,'Investor Exit List'!$C25,Investors!$L:$L,'Investor Exit List'!$B25))</f>
        <v>0</v>
      </c>
      <c r="G25" s="118">
        <v>44316</v>
      </c>
      <c r="H25" s="116" t="b">
        <f>VLOOKUP($C25,Sales!$C:$E,2,FALSE)</f>
        <v>1</v>
      </c>
      <c r="I25" s="116" t="b">
        <f>VLOOKUP($C25,Sales!$C:$E,3,FALSE)</f>
        <v>1</v>
      </c>
      <c r="J25" s="118">
        <f>SUMIFS(Sales!$H:$H,Sales!$C:$C,'Investor Exit List'!$C25)</f>
        <v>45688</v>
      </c>
      <c r="K25" s="118">
        <f t="shared" si="0"/>
        <v>45688</v>
      </c>
      <c r="L25" s="118">
        <f t="shared" si="1"/>
        <v>45046</v>
      </c>
      <c r="M25" s="118">
        <v>45443</v>
      </c>
      <c r="N25" s="119">
        <f t="shared" si="2"/>
        <v>0</v>
      </c>
      <c r="O25" s="119">
        <f t="shared" si="3"/>
        <v>0</v>
      </c>
      <c r="P25" s="117">
        <f t="shared" si="4"/>
        <v>0</v>
      </c>
      <c r="Q25" s="117">
        <f>SUMIFS(Investors!$M:$M,Investors!$O:$O,FALSE,Investors!$P:$P,FALSE,Investors!$K:$K,"&gt;"&amp;'NSST Print'!$B$3,Investors!$I:$I,"&lt;="&amp;'NSST Print'!$B$3,Investors!$A:$A,'Investor Exit List'!$A25,Investors!$E:$E,'Investor Exit List'!$C25,Investors!$L:$L,'Investor Exit List'!$B25)-(SUMIFS(Investors!$M:$M,Investors!$I:$I,"&lt;="&amp;'NSST Print'!$B$3,Investors!$J:$J,"&gt;"&amp;'NSST Print'!$B$3,Investors!$A:$A,'Investor Exit List'!$A25,Investors!$E:$E,'Investor Exit List'!$C25,Investors!$L:$L,'Investor Exit List'!$B25)+SUMIFS(Investors!$M:$M,Investors!$I:$I,"&lt;="&amp;'NSST Print'!$B$3,Investors!$J:$J,"",Investors!$A:$A,'Investor Exit List'!$A25,Investors!$E:$E,'Investor Exit List'!$C25,Investors!$L:$L,'Investor Exit List'!$B25))+SUMIFS(Investors!$S:$S,Investors!$O:$O,FALSE,Investors!$P:$P,FALSE,Investors!$K:$K,"&gt;"&amp;'NSST Print'!$B$3,Investors!$I:$I,"&lt;="&amp;'NSST Print'!$B$3,Investors!$A:$A,'Investor Exit List'!$A25,Investors!$E:$E,'Investor Exit List'!$C25,Investors!$L:$L,'Investor Exit List'!$B25)-(SUMIFS(Investors!$S:$S,Investors!$I:$I,"&lt;="&amp;'NSST Print'!$B$3,Investors!$J:$J,"&gt;"&amp;'NSST Print'!$B$3,Investors!$A:$A,'Investor Exit List'!$A25,Investors!$E:$E,'Investor Exit List'!$C25,Investors!$L:$L,'Investor Exit List'!$B25)+SUMIFS(Investors!$S:$S,Investors!$I:$I,"&lt;="&amp;'NSST Print'!$B$3,Investors!$J:$J,"",Investors!$A:$A,'Investor Exit List'!$A25,Investors!$E:$E,'Investor Exit List'!$C25,Investors!$L:$L,'Investor Exit List'!$B25))</f>
        <v>0</v>
      </c>
      <c r="R25" s="117">
        <f t="shared" si="5"/>
        <v>0</v>
      </c>
      <c r="S25" s="117">
        <f>SUMIFS(Investors!$M:$M,Investors!$O:$O,TRUE,Investors!$A:$A,'Investor Exit List'!$A25,Investors!$E:$E,'Investor Exit List'!$C25,Investors!$L:$L,'Investor Exit List'!$B25)+SUMIFS(Investors!$S:$S,Investors!$O:$O,TRUE,Investors!$A:$A,'Investor Exit List'!$A25,Investors!$E:$E,'Investor Exit List'!$C25,Investors!$L:$L,'Investor Exit List'!$B25)</f>
        <v>0</v>
      </c>
      <c r="T25" s="118" t="str">
        <f t="shared" si="6"/>
        <v/>
      </c>
      <c r="U25" s="116" t="b">
        <v>0</v>
      </c>
      <c r="V25" s="117">
        <f t="shared" si="7"/>
        <v>0</v>
      </c>
      <c r="W25" s="116">
        <v>0</v>
      </c>
      <c r="X25" s="116" t="b">
        <v>0</v>
      </c>
      <c r="Y25" s="119">
        <f>IF(H25=FALSE,VLOOKUP($C25,Sales!$C:$F,4,FALSE),1)</f>
        <v>1</v>
      </c>
      <c r="Z25" s="116" t="str">
        <f t="shared" si="8"/>
        <v/>
      </c>
      <c r="AA25" s="118">
        <f t="shared" si="9"/>
        <v>0</v>
      </c>
      <c r="AB25" s="118" t="str">
        <f t="shared" si="10"/>
        <v>HFA201-ZDAM01</v>
      </c>
      <c r="AC25" s="118">
        <f t="shared" si="11"/>
        <v>45046</v>
      </c>
    </row>
    <row r="26" spans="1:29" ht="16" x14ac:dyDescent="0.2">
      <c r="A26" s="116" t="s">
        <v>85</v>
      </c>
      <c r="B26" s="116">
        <v>2</v>
      </c>
      <c r="C26" s="116" t="s">
        <v>88</v>
      </c>
      <c r="D26" s="116" t="s">
        <v>26</v>
      </c>
      <c r="E26" s="116" t="s">
        <v>2027</v>
      </c>
      <c r="F26" s="117">
        <f>SUMIFS(Investors!$M:$M,Investors!$O:$O,FALSE,Investors!$P:$P,FALSE,Investors!$K:$K,"&gt;"&amp;'NSST Print'!$B$3,Investors!$I:$I,"&lt;="&amp;'NSST Print'!$B$3,Investors!$A:$A,'Investor Exit List'!$A26,Investors!$E:$E,'Investor Exit List'!$C26,Investors!$L:$L,'Investor Exit List'!$B26)-(SUMIFS(Investors!$M:$M,Investors!$I:$I,"&lt;="&amp;'NSST Print'!$B$3,Investors!$J:$J,"&gt;"&amp;'NSST Print'!$B$3,Investors!$A:$A,'Investor Exit List'!$A26,Investors!$E:$E,'Investor Exit List'!$C26,Investors!$L:$L,'Investor Exit List'!$B26)+SUMIFS(Investors!$M:$M,Investors!$I:$I,"&lt;="&amp;'NSST Print'!$B$3,Investors!$J:$J,"",Investors!$A:$A,'Investor Exit List'!$A26,Investors!$E:$E,'Investor Exit List'!$C26,Investors!$L:$L,'Investor Exit List'!$B26))</f>
        <v>0</v>
      </c>
      <c r="G26" s="118">
        <v>44316</v>
      </c>
      <c r="H26" s="116" t="b">
        <f>VLOOKUP($C26,Sales!$C:$E,2,FALSE)</f>
        <v>1</v>
      </c>
      <c r="I26" s="116" t="b">
        <f>VLOOKUP($C26,Sales!$C:$E,3,FALSE)</f>
        <v>1</v>
      </c>
      <c r="J26" s="118">
        <f>SUMIFS(Sales!$H:$H,Sales!$C:$C,'Investor Exit List'!$C26)</f>
        <v>45688</v>
      </c>
      <c r="K26" s="118">
        <f t="shared" si="0"/>
        <v>45688</v>
      </c>
      <c r="L26" s="118">
        <f t="shared" si="1"/>
        <v>45046</v>
      </c>
      <c r="M26" s="118">
        <v>45443</v>
      </c>
      <c r="N26" s="119">
        <f t="shared" si="2"/>
        <v>0</v>
      </c>
      <c r="O26" s="119">
        <f t="shared" si="3"/>
        <v>0</v>
      </c>
      <c r="P26" s="117">
        <f t="shared" si="4"/>
        <v>0</v>
      </c>
      <c r="Q26" s="117">
        <f>SUMIFS(Investors!$M:$M,Investors!$O:$O,FALSE,Investors!$P:$P,FALSE,Investors!$K:$K,"&gt;"&amp;'NSST Print'!$B$3,Investors!$I:$I,"&lt;="&amp;'NSST Print'!$B$3,Investors!$A:$A,'Investor Exit List'!$A26,Investors!$E:$E,'Investor Exit List'!$C26,Investors!$L:$L,'Investor Exit List'!$B26)-(SUMIFS(Investors!$M:$M,Investors!$I:$I,"&lt;="&amp;'NSST Print'!$B$3,Investors!$J:$J,"&gt;"&amp;'NSST Print'!$B$3,Investors!$A:$A,'Investor Exit List'!$A26,Investors!$E:$E,'Investor Exit List'!$C26,Investors!$L:$L,'Investor Exit List'!$B26)+SUMIFS(Investors!$M:$M,Investors!$I:$I,"&lt;="&amp;'NSST Print'!$B$3,Investors!$J:$J,"",Investors!$A:$A,'Investor Exit List'!$A26,Investors!$E:$E,'Investor Exit List'!$C26,Investors!$L:$L,'Investor Exit List'!$B26))+SUMIFS(Investors!$S:$S,Investors!$O:$O,FALSE,Investors!$P:$P,FALSE,Investors!$K:$K,"&gt;"&amp;'NSST Print'!$B$3,Investors!$I:$I,"&lt;="&amp;'NSST Print'!$B$3,Investors!$A:$A,'Investor Exit List'!$A26,Investors!$E:$E,'Investor Exit List'!$C26,Investors!$L:$L,'Investor Exit List'!$B26)-(SUMIFS(Investors!$S:$S,Investors!$I:$I,"&lt;="&amp;'NSST Print'!$B$3,Investors!$J:$J,"&gt;"&amp;'NSST Print'!$B$3,Investors!$A:$A,'Investor Exit List'!$A26,Investors!$E:$E,'Investor Exit List'!$C26,Investors!$L:$L,'Investor Exit List'!$B26)+SUMIFS(Investors!$S:$S,Investors!$I:$I,"&lt;="&amp;'NSST Print'!$B$3,Investors!$J:$J,"",Investors!$A:$A,'Investor Exit List'!$A26,Investors!$E:$E,'Investor Exit List'!$C26,Investors!$L:$L,'Investor Exit List'!$B26))</f>
        <v>0</v>
      </c>
      <c r="R26" s="117">
        <f t="shared" si="5"/>
        <v>0</v>
      </c>
      <c r="S26" s="117">
        <f>SUMIFS(Investors!$M:$M,Investors!$O:$O,TRUE,Investors!$A:$A,'Investor Exit List'!$A26,Investors!$E:$E,'Investor Exit List'!$C26,Investors!$L:$L,'Investor Exit List'!$B26)+SUMIFS(Investors!$S:$S,Investors!$O:$O,TRUE,Investors!$A:$A,'Investor Exit List'!$A26,Investors!$E:$E,'Investor Exit List'!$C26,Investors!$L:$L,'Investor Exit List'!$B26)</f>
        <v>369059.17808219173</v>
      </c>
      <c r="T26" s="118">
        <f t="shared" si="6"/>
        <v>45688</v>
      </c>
      <c r="U26" s="116" t="b">
        <v>1</v>
      </c>
      <c r="V26" s="117">
        <f t="shared" si="7"/>
        <v>369059.17808219173</v>
      </c>
      <c r="W26" s="116">
        <v>0</v>
      </c>
      <c r="X26" s="116" t="b">
        <v>0</v>
      </c>
      <c r="Y26" s="119">
        <f>IF(H26=FALSE,VLOOKUP($C26,Sales!$C:$F,4,FALSE),1)</f>
        <v>1</v>
      </c>
      <c r="Z26" s="116" t="str">
        <f t="shared" si="8"/>
        <v/>
      </c>
      <c r="AA26" s="118">
        <f t="shared" si="9"/>
        <v>0</v>
      </c>
      <c r="AB26" s="118" t="str">
        <f t="shared" si="10"/>
        <v>HFA202-ZBEL01</v>
      </c>
      <c r="AC26" s="118">
        <f t="shared" si="11"/>
        <v>45046</v>
      </c>
    </row>
    <row r="27" spans="1:29" ht="16" x14ac:dyDescent="0.2">
      <c r="A27" s="116" t="s">
        <v>89</v>
      </c>
      <c r="B27" s="116">
        <v>2</v>
      </c>
      <c r="C27" s="116" t="s">
        <v>88</v>
      </c>
      <c r="D27" s="116" t="s">
        <v>26</v>
      </c>
      <c r="E27" s="116" t="s">
        <v>2028</v>
      </c>
      <c r="F27" s="117">
        <f>SUMIFS(Investors!$M:$M,Investors!$O:$O,FALSE,Investors!$P:$P,FALSE,Investors!$K:$K,"&gt;"&amp;'NSST Print'!$B$3,Investors!$I:$I,"&lt;="&amp;'NSST Print'!$B$3,Investors!$A:$A,'Investor Exit List'!$A27,Investors!$E:$E,'Investor Exit List'!$C27,Investors!$L:$L,'Investor Exit List'!$B27)-(SUMIFS(Investors!$M:$M,Investors!$I:$I,"&lt;="&amp;'NSST Print'!$B$3,Investors!$J:$J,"&gt;"&amp;'NSST Print'!$B$3,Investors!$A:$A,'Investor Exit List'!$A27,Investors!$E:$E,'Investor Exit List'!$C27,Investors!$L:$L,'Investor Exit List'!$B27)+SUMIFS(Investors!$M:$M,Investors!$I:$I,"&lt;="&amp;'NSST Print'!$B$3,Investors!$J:$J,"",Investors!$A:$A,'Investor Exit List'!$A27,Investors!$E:$E,'Investor Exit List'!$C27,Investors!$L:$L,'Investor Exit List'!$B27))</f>
        <v>0</v>
      </c>
      <c r="G27" s="118">
        <v>44316</v>
      </c>
      <c r="H27" s="116" t="b">
        <f>VLOOKUP($C27,Sales!$C:$E,2,FALSE)</f>
        <v>1</v>
      </c>
      <c r="I27" s="116" t="b">
        <f>VLOOKUP($C27,Sales!$C:$E,3,FALSE)</f>
        <v>1</v>
      </c>
      <c r="J27" s="118">
        <f>SUMIFS(Sales!$H:$H,Sales!$C:$C,'Investor Exit List'!$C27)</f>
        <v>45688</v>
      </c>
      <c r="K27" s="118">
        <f t="shared" si="0"/>
        <v>45688</v>
      </c>
      <c r="L27" s="118">
        <f t="shared" si="1"/>
        <v>45046</v>
      </c>
      <c r="M27" s="118">
        <v>45443</v>
      </c>
      <c r="N27" s="119">
        <f t="shared" si="2"/>
        <v>0</v>
      </c>
      <c r="O27" s="119">
        <f t="shared" si="3"/>
        <v>0</v>
      </c>
      <c r="P27" s="117">
        <f t="shared" si="4"/>
        <v>0</v>
      </c>
      <c r="Q27" s="117">
        <f>SUMIFS(Investors!$M:$M,Investors!$O:$O,FALSE,Investors!$P:$P,FALSE,Investors!$K:$K,"&gt;"&amp;'NSST Print'!$B$3,Investors!$I:$I,"&lt;="&amp;'NSST Print'!$B$3,Investors!$A:$A,'Investor Exit List'!$A27,Investors!$E:$E,'Investor Exit List'!$C27,Investors!$L:$L,'Investor Exit List'!$B27)-(SUMIFS(Investors!$M:$M,Investors!$I:$I,"&lt;="&amp;'NSST Print'!$B$3,Investors!$J:$J,"&gt;"&amp;'NSST Print'!$B$3,Investors!$A:$A,'Investor Exit List'!$A27,Investors!$E:$E,'Investor Exit List'!$C27,Investors!$L:$L,'Investor Exit List'!$B27)+SUMIFS(Investors!$M:$M,Investors!$I:$I,"&lt;="&amp;'NSST Print'!$B$3,Investors!$J:$J,"",Investors!$A:$A,'Investor Exit List'!$A27,Investors!$E:$E,'Investor Exit List'!$C27,Investors!$L:$L,'Investor Exit List'!$B27))+SUMIFS(Investors!$S:$S,Investors!$O:$O,FALSE,Investors!$P:$P,FALSE,Investors!$K:$K,"&gt;"&amp;'NSST Print'!$B$3,Investors!$I:$I,"&lt;="&amp;'NSST Print'!$B$3,Investors!$A:$A,'Investor Exit List'!$A27,Investors!$E:$E,'Investor Exit List'!$C27,Investors!$L:$L,'Investor Exit List'!$B27)-(SUMIFS(Investors!$S:$S,Investors!$I:$I,"&lt;="&amp;'NSST Print'!$B$3,Investors!$J:$J,"&gt;"&amp;'NSST Print'!$B$3,Investors!$A:$A,'Investor Exit List'!$A27,Investors!$E:$E,'Investor Exit List'!$C27,Investors!$L:$L,'Investor Exit List'!$B27)+SUMIFS(Investors!$S:$S,Investors!$I:$I,"&lt;="&amp;'NSST Print'!$B$3,Investors!$J:$J,"",Investors!$A:$A,'Investor Exit List'!$A27,Investors!$E:$E,'Investor Exit List'!$C27,Investors!$L:$L,'Investor Exit List'!$B27))</f>
        <v>0</v>
      </c>
      <c r="R27" s="117">
        <f t="shared" si="5"/>
        <v>0</v>
      </c>
      <c r="S27" s="117">
        <f>SUMIFS(Investors!$M:$M,Investors!$O:$O,TRUE,Investors!$A:$A,'Investor Exit List'!$A27,Investors!$E:$E,'Investor Exit List'!$C27,Investors!$L:$L,'Investor Exit List'!$B27)+SUMIFS(Investors!$S:$S,Investors!$O:$O,TRUE,Investors!$A:$A,'Investor Exit List'!$A27,Investors!$E:$E,'Investor Exit List'!$C27,Investors!$L:$L,'Investor Exit List'!$B27)</f>
        <v>80133.00346020548</v>
      </c>
      <c r="T27" s="118">
        <f t="shared" si="6"/>
        <v>45688</v>
      </c>
      <c r="U27" s="116" t="b">
        <v>1</v>
      </c>
      <c r="V27" s="117">
        <f t="shared" si="7"/>
        <v>80133.00346020548</v>
      </c>
      <c r="W27" s="116">
        <v>0</v>
      </c>
      <c r="X27" s="116" t="b">
        <v>0</v>
      </c>
      <c r="Y27" s="119">
        <f>IF(H27=FALSE,VLOOKUP($C27,Sales!$C:$F,4,FALSE),1)</f>
        <v>1</v>
      </c>
      <c r="Z27" s="116" t="str">
        <f t="shared" si="8"/>
        <v/>
      </c>
      <c r="AA27" s="118">
        <f t="shared" si="9"/>
        <v>0</v>
      </c>
      <c r="AB27" s="118" t="str">
        <f t="shared" si="10"/>
        <v>HFA202-ZHUN01</v>
      </c>
      <c r="AC27" s="118">
        <f t="shared" si="11"/>
        <v>45046</v>
      </c>
    </row>
    <row r="28" spans="1:29" ht="16" x14ac:dyDescent="0.2">
      <c r="A28" s="116" t="s">
        <v>89</v>
      </c>
      <c r="B28" s="116">
        <v>3</v>
      </c>
      <c r="C28" s="116" t="s">
        <v>88</v>
      </c>
      <c r="D28" s="116" t="s">
        <v>26</v>
      </c>
      <c r="E28" s="116" t="s">
        <v>2028</v>
      </c>
      <c r="F28" s="117">
        <f>SUMIFS(Investors!$M:$M,Investors!$O:$O,FALSE,Investors!$P:$P,FALSE,Investors!$K:$K,"&gt;"&amp;'NSST Print'!$B$3,Investors!$I:$I,"&lt;="&amp;'NSST Print'!$B$3,Investors!$A:$A,'Investor Exit List'!$A28,Investors!$E:$E,'Investor Exit List'!$C28,Investors!$L:$L,'Investor Exit List'!$B28)-(SUMIFS(Investors!$M:$M,Investors!$I:$I,"&lt;="&amp;'NSST Print'!$B$3,Investors!$J:$J,"&gt;"&amp;'NSST Print'!$B$3,Investors!$A:$A,'Investor Exit List'!$A28,Investors!$E:$E,'Investor Exit List'!$C28,Investors!$L:$L,'Investor Exit List'!$B28)+SUMIFS(Investors!$M:$M,Investors!$I:$I,"&lt;="&amp;'NSST Print'!$B$3,Investors!$J:$J,"",Investors!$A:$A,'Investor Exit List'!$A28,Investors!$E:$E,'Investor Exit List'!$C28,Investors!$L:$L,'Investor Exit List'!$B28))</f>
        <v>0</v>
      </c>
      <c r="G28" s="118">
        <v>44316</v>
      </c>
      <c r="H28" s="116" t="b">
        <f>VLOOKUP($C28,Sales!$C:$E,2,FALSE)</f>
        <v>1</v>
      </c>
      <c r="I28" s="116" t="b">
        <f>VLOOKUP($C28,Sales!$C:$E,3,FALSE)</f>
        <v>1</v>
      </c>
      <c r="J28" s="118">
        <f>SUMIFS(Sales!$H:$H,Sales!$C:$C,'Investor Exit List'!$C28)</f>
        <v>45688</v>
      </c>
      <c r="K28" s="118">
        <f t="shared" si="0"/>
        <v>45688</v>
      </c>
      <c r="L28" s="118">
        <f t="shared" si="1"/>
        <v>45046</v>
      </c>
      <c r="M28" s="118">
        <v>45443</v>
      </c>
      <c r="N28" s="119">
        <f t="shared" si="2"/>
        <v>0</v>
      </c>
      <c r="O28" s="119">
        <f t="shared" si="3"/>
        <v>0</v>
      </c>
      <c r="P28" s="117">
        <f t="shared" si="4"/>
        <v>0</v>
      </c>
      <c r="Q28" s="117">
        <f>SUMIFS(Investors!$M:$M,Investors!$O:$O,FALSE,Investors!$P:$P,FALSE,Investors!$K:$K,"&gt;"&amp;'NSST Print'!$B$3,Investors!$I:$I,"&lt;="&amp;'NSST Print'!$B$3,Investors!$A:$A,'Investor Exit List'!$A28,Investors!$E:$E,'Investor Exit List'!$C28,Investors!$L:$L,'Investor Exit List'!$B28)-(SUMIFS(Investors!$M:$M,Investors!$I:$I,"&lt;="&amp;'NSST Print'!$B$3,Investors!$J:$J,"&gt;"&amp;'NSST Print'!$B$3,Investors!$A:$A,'Investor Exit List'!$A28,Investors!$E:$E,'Investor Exit List'!$C28,Investors!$L:$L,'Investor Exit List'!$B28)+SUMIFS(Investors!$M:$M,Investors!$I:$I,"&lt;="&amp;'NSST Print'!$B$3,Investors!$J:$J,"",Investors!$A:$A,'Investor Exit List'!$A28,Investors!$E:$E,'Investor Exit List'!$C28,Investors!$L:$L,'Investor Exit List'!$B28))+SUMIFS(Investors!$S:$S,Investors!$O:$O,FALSE,Investors!$P:$P,FALSE,Investors!$K:$K,"&gt;"&amp;'NSST Print'!$B$3,Investors!$I:$I,"&lt;="&amp;'NSST Print'!$B$3,Investors!$A:$A,'Investor Exit List'!$A28,Investors!$E:$E,'Investor Exit List'!$C28,Investors!$L:$L,'Investor Exit List'!$B28)-(SUMIFS(Investors!$S:$S,Investors!$I:$I,"&lt;="&amp;'NSST Print'!$B$3,Investors!$J:$J,"&gt;"&amp;'NSST Print'!$B$3,Investors!$A:$A,'Investor Exit List'!$A28,Investors!$E:$E,'Investor Exit List'!$C28,Investors!$L:$L,'Investor Exit List'!$B28)+SUMIFS(Investors!$S:$S,Investors!$I:$I,"&lt;="&amp;'NSST Print'!$B$3,Investors!$J:$J,"",Investors!$A:$A,'Investor Exit List'!$A28,Investors!$E:$E,'Investor Exit List'!$C28,Investors!$L:$L,'Investor Exit List'!$B28))</f>
        <v>0</v>
      </c>
      <c r="R28" s="117">
        <f t="shared" si="5"/>
        <v>0</v>
      </c>
      <c r="S28" s="117">
        <f>SUMIFS(Investors!$M:$M,Investors!$O:$O,TRUE,Investors!$A:$A,'Investor Exit List'!$A28,Investors!$E:$E,'Investor Exit List'!$C28,Investors!$L:$L,'Investor Exit List'!$B28)+SUMIFS(Investors!$S:$S,Investors!$O:$O,TRUE,Investors!$A:$A,'Investor Exit List'!$A28,Investors!$E:$E,'Investor Exit List'!$C28,Investors!$L:$L,'Investor Exit List'!$B28)</f>
        <v>51451.243115136982</v>
      </c>
      <c r="T28" s="118">
        <f t="shared" si="6"/>
        <v>45688</v>
      </c>
      <c r="U28" s="116" t="b">
        <v>1</v>
      </c>
      <c r="V28" s="117">
        <f t="shared" si="7"/>
        <v>51451.243115136982</v>
      </c>
      <c r="W28" s="116">
        <v>0</v>
      </c>
      <c r="X28" s="116" t="b">
        <v>0</v>
      </c>
      <c r="Y28" s="119">
        <f>IF(H28=FALSE,VLOOKUP($C28,Sales!$C:$F,4,FALSE),1)</f>
        <v>1</v>
      </c>
      <c r="Z28" s="116" t="str">
        <f t="shared" si="8"/>
        <v/>
      </c>
      <c r="AA28" s="118">
        <f t="shared" si="9"/>
        <v>0</v>
      </c>
      <c r="AB28" s="118" t="str">
        <f t="shared" si="10"/>
        <v>HFA202-ZHUN01</v>
      </c>
      <c r="AC28" s="118">
        <f t="shared" si="11"/>
        <v>45046</v>
      </c>
    </row>
    <row r="29" spans="1:29" ht="16" x14ac:dyDescent="0.2">
      <c r="A29" s="116" t="s">
        <v>92</v>
      </c>
      <c r="B29" s="116">
        <v>4</v>
      </c>
      <c r="C29" s="116" t="s">
        <v>88</v>
      </c>
      <c r="D29" s="116" t="s">
        <v>26</v>
      </c>
      <c r="E29" s="116" t="s">
        <v>2029</v>
      </c>
      <c r="F29" s="117">
        <f>SUMIFS(Investors!$M:$M,Investors!$O:$O,FALSE,Investors!$P:$P,FALSE,Investors!$K:$K,"&gt;"&amp;'NSST Print'!$B$3,Investors!$I:$I,"&lt;="&amp;'NSST Print'!$B$3,Investors!$A:$A,'Investor Exit List'!$A29,Investors!$E:$E,'Investor Exit List'!$C29,Investors!$L:$L,'Investor Exit List'!$B29)-(SUMIFS(Investors!$M:$M,Investors!$I:$I,"&lt;="&amp;'NSST Print'!$B$3,Investors!$J:$J,"&gt;"&amp;'NSST Print'!$B$3,Investors!$A:$A,'Investor Exit List'!$A29,Investors!$E:$E,'Investor Exit List'!$C29,Investors!$L:$L,'Investor Exit List'!$B29)+SUMIFS(Investors!$M:$M,Investors!$I:$I,"&lt;="&amp;'NSST Print'!$B$3,Investors!$J:$J,"",Investors!$A:$A,'Investor Exit List'!$A29,Investors!$E:$E,'Investor Exit List'!$C29,Investors!$L:$L,'Investor Exit List'!$B29))</f>
        <v>0</v>
      </c>
      <c r="G29" s="118">
        <v>44352</v>
      </c>
      <c r="H29" s="116" t="b">
        <f>VLOOKUP($C29,Sales!$C:$E,2,FALSE)</f>
        <v>1</v>
      </c>
      <c r="I29" s="116" t="b">
        <f>VLOOKUP($C29,Sales!$C:$E,3,FALSE)</f>
        <v>1</v>
      </c>
      <c r="J29" s="118">
        <f>SUMIFS(Sales!$H:$H,Sales!$C:$C,'Investor Exit List'!$C29)</f>
        <v>45688</v>
      </c>
      <c r="K29" s="118">
        <f t="shared" si="0"/>
        <v>45688</v>
      </c>
      <c r="L29" s="118">
        <f t="shared" si="1"/>
        <v>45082</v>
      </c>
      <c r="M29" s="118">
        <v>45443</v>
      </c>
      <c r="N29" s="119">
        <f t="shared" si="2"/>
        <v>0</v>
      </c>
      <c r="O29" s="119">
        <f t="shared" si="3"/>
        <v>0</v>
      </c>
      <c r="P29" s="117">
        <f t="shared" si="4"/>
        <v>0</v>
      </c>
      <c r="Q29" s="117">
        <f>SUMIFS(Investors!$M:$M,Investors!$O:$O,FALSE,Investors!$P:$P,FALSE,Investors!$K:$K,"&gt;"&amp;'NSST Print'!$B$3,Investors!$I:$I,"&lt;="&amp;'NSST Print'!$B$3,Investors!$A:$A,'Investor Exit List'!$A29,Investors!$E:$E,'Investor Exit List'!$C29,Investors!$L:$L,'Investor Exit List'!$B29)-(SUMIFS(Investors!$M:$M,Investors!$I:$I,"&lt;="&amp;'NSST Print'!$B$3,Investors!$J:$J,"&gt;"&amp;'NSST Print'!$B$3,Investors!$A:$A,'Investor Exit List'!$A29,Investors!$E:$E,'Investor Exit List'!$C29,Investors!$L:$L,'Investor Exit List'!$B29)+SUMIFS(Investors!$M:$M,Investors!$I:$I,"&lt;="&amp;'NSST Print'!$B$3,Investors!$J:$J,"",Investors!$A:$A,'Investor Exit List'!$A29,Investors!$E:$E,'Investor Exit List'!$C29,Investors!$L:$L,'Investor Exit List'!$B29))+SUMIFS(Investors!$S:$S,Investors!$O:$O,FALSE,Investors!$P:$P,FALSE,Investors!$K:$K,"&gt;"&amp;'NSST Print'!$B$3,Investors!$I:$I,"&lt;="&amp;'NSST Print'!$B$3,Investors!$A:$A,'Investor Exit List'!$A29,Investors!$E:$E,'Investor Exit List'!$C29,Investors!$L:$L,'Investor Exit List'!$B29)-(SUMIFS(Investors!$S:$S,Investors!$I:$I,"&lt;="&amp;'NSST Print'!$B$3,Investors!$J:$J,"&gt;"&amp;'NSST Print'!$B$3,Investors!$A:$A,'Investor Exit List'!$A29,Investors!$E:$E,'Investor Exit List'!$C29,Investors!$L:$L,'Investor Exit List'!$B29)+SUMIFS(Investors!$S:$S,Investors!$I:$I,"&lt;="&amp;'NSST Print'!$B$3,Investors!$J:$J,"",Investors!$A:$A,'Investor Exit List'!$A29,Investors!$E:$E,'Investor Exit List'!$C29,Investors!$L:$L,'Investor Exit List'!$B29))</f>
        <v>0</v>
      </c>
      <c r="R29" s="117">
        <f t="shared" si="5"/>
        <v>0</v>
      </c>
      <c r="S29" s="117">
        <f>SUMIFS(Investors!$M:$M,Investors!$O:$O,TRUE,Investors!$A:$A,'Investor Exit List'!$A29,Investors!$E:$E,'Investor Exit List'!$C29,Investors!$L:$L,'Investor Exit List'!$B29)+SUMIFS(Investors!$S:$S,Investors!$O:$O,TRUE,Investors!$A:$A,'Investor Exit List'!$A29,Investors!$E:$E,'Investor Exit List'!$C29,Investors!$L:$L,'Investor Exit List'!$B29)</f>
        <v>446473.54460178089</v>
      </c>
      <c r="T29" s="118">
        <f t="shared" si="6"/>
        <v>45688</v>
      </c>
      <c r="U29" s="116" t="b">
        <v>1</v>
      </c>
      <c r="V29" s="117">
        <f t="shared" si="7"/>
        <v>446473.54460178089</v>
      </c>
      <c r="W29" s="116">
        <v>0</v>
      </c>
      <c r="X29" s="116" t="b">
        <v>0</v>
      </c>
      <c r="Y29" s="119">
        <f>IF(H29=FALSE,VLOOKUP($C29,Sales!$C:$F,4,FALSE),1)</f>
        <v>1</v>
      </c>
      <c r="Z29" s="116" t="str">
        <f t="shared" si="8"/>
        <v/>
      </c>
      <c r="AA29" s="118">
        <f t="shared" si="9"/>
        <v>0</v>
      </c>
      <c r="AB29" s="118" t="str">
        <f t="shared" si="10"/>
        <v>HFA202-ZLEW01</v>
      </c>
      <c r="AC29" s="118">
        <f t="shared" si="11"/>
        <v>45082</v>
      </c>
    </row>
    <row r="30" spans="1:29" ht="16" x14ac:dyDescent="0.2">
      <c r="A30" s="116" t="s">
        <v>95</v>
      </c>
      <c r="B30" s="116">
        <v>2</v>
      </c>
      <c r="C30" s="116" t="s">
        <v>88</v>
      </c>
      <c r="D30" s="116" t="s">
        <v>26</v>
      </c>
      <c r="E30" s="116" t="s">
        <v>2030</v>
      </c>
      <c r="F30" s="117">
        <f>SUMIFS(Investors!$M:$M,Investors!$O:$O,FALSE,Investors!$P:$P,FALSE,Investors!$K:$K,"&gt;"&amp;'NSST Print'!$B$3,Investors!$I:$I,"&lt;="&amp;'NSST Print'!$B$3,Investors!$A:$A,'Investor Exit List'!$A30,Investors!$E:$E,'Investor Exit List'!$C30,Investors!$L:$L,'Investor Exit List'!$B30)-(SUMIFS(Investors!$M:$M,Investors!$I:$I,"&lt;="&amp;'NSST Print'!$B$3,Investors!$J:$J,"&gt;"&amp;'NSST Print'!$B$3,Investors!$A:$A,'Investor Exit List'!$A30,Investors!$E:$E,'Investor Exit List'!$C30,Investors!$L:$L,'Investor Exit List'!$B30)+SUMIFS(Investors!$M:$M,Investors!$I:$I,"&lt;="&amp;'NSST Print'!$B$3,Investors!$J:$J,"",Investors!$A:$A,'Investor Exit List'!$A30,Investors!$E:$E,'Investor Exit List'!$C30,Investors!$L:$L,'Investor Exit List'!$B30))</f>
        <v>0</v>
      </c>
      <c r="G30" s="118">
        <v>44316</v>
      </c>
      <c r="H30" s="116" t="b">
        <f>VLOOKUP($C30,Sales!$C:$E,2,FALSE)</f>
        <v>1</v>
      </c>
      <c r="I30" s="116" t="b">
        <f>VLOOKUP($C30,Sales!$C:$E,3,FALSE)</f>
        <v>1</v>
      </c>
      <c r="J30" s="118">
        <f>SUMIFS(Sales!$H:$H,Sales!$C:$C,'Investor Exit List'!$C30)</f>
        <v>45688</v>
      </c>
      <c r="K30" s="118">
        <f t="shared" si="0"/>
        <v>45688</v>
      </c>
      <c r="L30" s="118">
        <f t="shared" si="1"/>
        <v>45046</v>
      </c>
      <c r="M30" s="118">
        <v>45443</v>
      </c>
      <c r="N30" s="119">
        <f t="shared" si="2"/>
        <v>0</v>
      </c>
      <c r="O30" s="119">
        <f t="shared" si="3"/>
        <v>0</v>
      </c>
      <c r="P30" s="117">
        <f t="shared" si="4"/>
        <v>0</v>
      </c>
      <c r="Q30" s="117">
        <f>SUMIFS(Investors!$M:$M,Investors!$O:$O,FALSE,Investors!$P:$P,FALSE,Investors!$K:$K,"&gt;"&amp;'NSST Print'!$B$3,Investors!$I:$I,"&lt;="&amp;'NSST Print'!$B$3,Investors!$A:$A,'Investor Exit List'!$A30,Investors!$E:$E,'Investor Exit List'!$C30,Investors!$L:$L,'Investor Exit List'!$B30)-(SUMIFS(Investors!$M:$M,Investors!$I:$I,"&lt;="&amp;'NSST Print'!$B$3,Investors!$J:$J,"&gt;"&amp;'NSST Print'!$B$3,Investors!$A:$A,'Investor Exit List'!$A30,Investors!$E:$E,'Investor Exit List'!$C30,Investors!$L:$L,'Investor Exit List'!$B30)+SUMIFS(Investors!$M:$M,Investors!$I:$I,"&lt;="&amp;'NSST Print'!$B$3,Investors!$J:$J,"",Investors!$A:$A,'Investor Exit List'!$A30,Investors!$E:$E,'Investor Exit List'!$C30,Investors!$L:$L,'Investor Exit List'!$B30))+SUMIFS(Investors!$S:$S,Investors!$O:$O,FALSE,Investors!$P:$P,FALSE,Investors!$K:$K,"&gt;"&amp;'NSST Print'!$B$3,Investors!$I:$I,"&lt;="&amp;'NSST Print'!$B$3,Investors!$A:$A,'Investor Exit List'!$A30,Investors!$E:$E,'Investor Exit List'!$C30,Investors!$L:$L,'Investor Exit List'!$B30)-(SUMIFS(Investors!$S:$S,Investors!$I:$I,"&lt;="&amp;'NSST Print'!$B$3,Investors!$J:$J,"&gt;"&amp;'NSST Print'!$B$3,Investors!$A:$A,'Investor Exit List'!$A30,Investors!$E:$E,'Investor Exit List'!$C30,Investors!$L:$L,'Investor Exit List'!$B30)+SUMIFS(Investors!$S:$S,Investors!$I:$I,"&lt;="&amp;'NSST Print'!$B$3,Investors!$J:$J,"",Investors!$A:$A,'Investor Exit List'!$A30,Investors!$E:$E,'Investor Exit List'!$C30,Investors!$L:$L,'Investor Exit List'!$B30))</f>
        <v>0</v>
      </c>
      <c r="R30" s="117">
        <f t="shared" si="5"/>
        <v>0</v>
      </c>
      <c r="S30" s="117">
        <f>SUMIFS(Investors!$M:$M,Investors!$O:$O,TRUE,Investors!$A:$A,'Investor Exit List'!$A30,Investors!$E:$E,'Investor Exit List'!$C30,Investors!$L:$L,'Investor Exit List'!$B30)+SUMIFS(Investors!$S:$S,Investors!$O:$O,TRUE,Investors!$A:$A,'Investor Exit List'!$A30,Investors!$E:$E,'Investor Exit List'!$C30,Investors!$L:$L,'Investor Exit List'!$B30)</f>
        <v>263202.73972602742</v>
      </c>
      <c r="T30" s="118">
        <f t="shared" si="6"/>
        <v>45688</v>
      </c>
      <c r="U30" s="116" t="b">
        <v>1</v>
      </c>
      <c r="V30" s="117">
        <f t="shared" si="7"/>
        <v>263202.73972602742</v>
      </c>
      <c r="W30" s="116">
        <v>0</v>
      </c>
      <c r="X30" s="116" t="b">
        <v>0</v>
      </c>
      <c r="Y30" s="119">
        <f>IF(H30=FALSE,VLOOKUP($C30,Sales!$C:$F,4,FALSE),1)</f>
        <v>1</v>
      </c>
      <c r="Z30" s="116" t="str">
        <f t="shared" si="8"/>
        <v/>
      </c>
      <c r="AA30" s="118">
        <f t="shared" si="9"/>
        <v>0</v>
      </c>
      <c r="AB30" s="118" t="str">
        <f t="shared" si="10"/>
        <v>HFA202-ZMAR01</v>
      </c>
      <c r="AC30" s="118">
        <f t="shared" si="11"/>
        <v>45046</v>
      </c>
    </row>
    <row r="31" spans="1:29" ht="16" x14ac:dyDescent="0.2">
      <c r="A31" s="116" t="s">
        <v>98</v>
      </c>
      <c r="B31" s="116">
        <v>1</v>
      </c>
      <c r="C31" s="116" t="s">
        <v>101</v>
      </c>
      <c r="D31" s="116" t="s">
        <v>26</v>
      </c>
      <c r="E31" s="116" t="s">
        <v>2031</v>
      </c>
      <c r="F31" s="117">
        <f>SUMIFS(Investors!$M:$M,Investors!$O:$O,FALSE,Investors!$P:$P,FALSE,Investors!$K:$K,"&gt;"&amp;'NSST Print'!$B$3,Investors!$I:$I,"&lt;="&amp;'NSST Print'!$B$3,Investors!$A:$A,'Investor Exit List'!$A31,Investors!$E:$E,'Investor Exit List'!$C31,Investors!$L:$L,'Investor Exit List'!$B31)-(SUMIFS(Investors!$M:$M,Investors!$I:$I,"&lt;="&amp;'NSST Print'!$B$3,Investors!$J:$J,"&gt;"&amp;'NSST Print'!$B$3,Investors!$A:$A,'Investor Exit List'!$A31,Investors!$E:$E,'Investor Exit List'!$C31,Investors!$L:$L,'Investor Exit List'!$B31)+SUMIFS(Investors!$M:$M,Investors!$I:$I,"&lt;="&amp;'NSST Print'!$B$3,Investors!$J:$J,"",Investors!$A:$A,'Investor Exit List'!$A31,Investors!$E:$E,'Investor Exit List'!$C31,Investors!$L:$L,'Investor Exit List'!$B31))</f>
        <v>0</v>
      </c>
      <c r="G31" s="118">
        <v>44352</v>
      </c>
      <c r="H31" s="116" t="b">
        <f>VLOOKUP($C31,Sales!$C:$E,2,FALSE)</f>
        <v>1</v>
      </c>
      <c r="I31" s="116" t="b">
        <f>VLOOKUP($C31,Sales!$C:$E,3,FALSE)</f>
        <v>1</v>
      </c>
      <c r="J31" s="118">
        <f>SUMIFS(Sales!$H:$H,Sales!$C:$C,'Investor Exit List'!$C31)</f>
        <v>45688</v>
      </c>
      <c r="K31" s="118">
        <f t="shared" si="0"/>
        <v>45688</v>
      </c>
      <c r="L31" s="118">
        <f t="shared" si="1"/>
        <v>45082</v>
      </c>
      <c r="M31" s="118">
        <v>45443</v>
      </c>
      <c r="N31" s="119">
        <f t="shared" si="2"/>
        <v>0</v>
      </c>
      <c r="O31" s="119">
        <f t="shared" si="3"/>
        <v>0</v>
      </c>
      <c r="P31" s="117">
        <f t="shared" si="4"/>
        <v>0</v>
      </c>
      <c r="Q31" s="117">
        <f>SUMIFS(Investors!$M:$M,Investors!$O:$O,FALSE,Investors!$P:$P,FALSE,Investors!$K:$K,"&gt;"&amp;'NSST Print'!$B$3,Investors!$I:$I,"&lt;="&amp;'NSST Print'!$B$3,Investors!$A:$A,'Investor Exit List'!$A31,Investors!$E:$E,'Investor Exit List'!$C31,Investors!$L:$L,'Investor Exit List'!$B31)-(SUMIFS(Investors!$M:$M,Investors!$I:$I,"&lt;="&amp;'NSST Print'!$B$3,Investors!$J:$J,"&gt;"&amp;'NSST Print'!$B$3,Investors!$A:$A,'Investor Exit List'!$A31,Investors!$E:$E,'Investor Exit List'!$C31,Investors!$L:$L,'Investor Exit List'!$B31)+SUMIFS(Investors!$M:$M,Investors!$I:$I,"&lt;="&amp;'NSST Print'!$B$3,Investors!$J:$J,"",Investors!$A:$A,'Investor Exit List'!$A31,Investors!$E:$E,'Investor Exit List'!$C31,Investors!$L:$L,'Investor Exit List'!$B31))+SUMIFS(Investors!$S:$S,Investors!$O:$O,FALSE,Investors!$P:$P,FALSE,Investors!$K:$K,"&gt;"&amp;'NSST Print'!$B$3,Investors!$I:$I,"&lt;="&amp;'NSST Print'!$B$3,Investors!$A:$A,'Investor Exit List'!$A31,Investors!$E:$E,'Investor Exit List'!$C31,Investors!$L:$L,'Investor Exit List'!$B31)-(SUMIFS(Investors!$S:$S,Investors!$I:$I,"&lt;="&amp;'NSST Print'!$B$3,Investors!$J:$J,"&gt;"&amp;'NSST Print'!$B$3,Investors!$A:$A,'Investor Exit List'!$A31,Investors!$E:$E,'Investor Exit List'!$C31,Investors!$L:$L,'Investor Exit List'!$B31)+SUMIFS(Investors!$S:$S,Investors!$I:$I,"&lt;="&amp;'NSST Print'!$B$3,Investors!$J:$J,"",Investors!$A:$A,'Investor Exit List'!$A31,Investors!$E:$E,'Investor Exit List'!$C31,Investors!$L:$L,'Investor Exit List'!$B31))</f>
        <v>0</v>
      </c>
      <c r="R31" s="117">
        <f t="shared" si="5"/>
        <v>0</v>
      </c>
      <c r="S31" s="117">
        <f>SUMIFS(Investors!$M:$M,Investors!$O:$O,TRUE,Investors!$A:$A,'Investor Exit List'!$A31,Investors!$E:$E,'Investor Exit List'!$C31,Investors!$L:$L,'Investor Exit List'!$B31)+SUMIFS(Investors!$S:$S,Investors!$O:$O,TRUE,Investors!$A:$A,'Investor Exit List'!$A31,Investors!$E:$E,'Investor Exit List'!$C31,Investors!$L:$L,'Investor Exit List'!$B31)</f>
        <v>0</v>
      </c>
      <c r="T31" s="118" t="str">
        <f t="shared" si="6"/>
        <v/>
      </c>
      <c r="U31" s="116" t="b">
        <v>0</v>
      </c>
      <c r="V31" s="117">
        <f t="shared" si="7"/>
        <v>0</v>
      </c>
      <c r="W31" s="116">
        <v>0</v>
      </c>
      <c r="X31" s="116" t="b">
        <v>0</v>
      </c>
      <c r="Y31" s="119">
        <f>IF(H31=FALSE,VLOOKUP($C31,Sales!$C:$F,4,FALSE),1)</f>
        <v>1</v>
      </c>
      <c r="Z31" s="116" t="str">
        <f t="shared" si="8"/>
        <v/>
      </c>
      <c r="AA31" s="118">
        <f t="shared" si="9"/>
        <v>0</v>
      </c>
      <c r="AB31" s="118" t="str">
        <f t="shared" si="10"/>
        <v>HFA203-ZBAR01</v>
      </c>
      <c r="AC31" s="118">
        <f t="shared" si="11"/>
        <v>45082</v>
      </c>
    </row>
    <row r="32" spans="1:29" ht="16" x14ac:dyDescent="0.2">
      <c r="A32" s="116" t="s">
        <v>102</v>
      </c>
      <c r="B32" s="116">
        <v>2</v>
      </c>
      <c r="C32" s="116" t="s">
        <v>101</v>
      </c>
      <c r="D32" s="116" t="s">
        <v>26</v>
      </c>
      <c r="E32" s="116" t="s">
        <v>2032</v>
      </c>
      <c r="F32" s="117">
        <f>SUMIFS(Investors!$M:$M,Investors!$O:$O,FALSE,Investors!$P:$P,FALSE,Investors!$K:$K,"&gt;"&amp;'NSST Print'!$B$3,Investors!$I:$I,"&lt;="&amp;'NSST Print'!$B$3,Investors!$A:$A,'Investor Exit List'!$A32,Investors!$E:$E,'Investor Exit List'!$C32,Investors!$L:$L,'Investor Exit List'!$B32)-(SUMIFS(Investors!$M:$M,Investors!$I:$I,"&lt;="&amp;'NSST Print'!$B$3,Investors!$J:$J,"&gt;"&amp;'NSST Print'!$B$3,Investors!$A:$A,'Investor Exit List'!$A32,Investors!$E:$E,'Investor Exit List'!$C32,Investors!$L:$L,'Investor Exit List'!$B32)+SUMIFS(Investors!$M:$M,Investors!$I:$I,"&lt;="&amp;'NSST Print'!$B$3,Investors!$J:$J,"",Investors!$A:$A,'Investor Exit List'!$A32,Investors!$E:$E,'Investor Exit List'!$C32,Investors!$L:$L,'Investor Exit List'!$B32))</f>
        <v>0</v>
      </c>
      <c r="G32" s="118">
        <v>44352</v>
      </c>
      <c r="H32" s="116" t="b">
        <f>VLOOKUP($C32,Sales!$C:$E,2,FALSE)</f>
        <v>1</v>
      </c>
      <c r="I32" s="116" t="b">
        <f>VLOOKUP($C32,Sales!$C:$E,3,FALSE)</f>
        <v>1</v>
      </c>
      <c r="J32" s="118">
        <f>SUMIFS(Sales!$H:$H,Sales!$C:$C,'Investor Exit List'!$C32)</f>
        <v>45688</v>
      </c>
      <c r="K32" s="118">
        <f t="shared" si="0"/>
        <v>45688</v>
      </c>
      <c r="L32" s="118">
        <f t="shared" si="1"/>
        <v>45082</v>
      </c>
      <c r="M32" s="118">
        <v>45443</v>
      </c>
      <c r="N32" s="119">
        <f t="shared" si="2"/>
        <v>0</v>
      </c>
      <c r="O32" s="119">
        <f t="shared" si="3"/>
        <v>0</v>
      </c>
      <c r="P32" s="117">
        <f t="shared" si="4"/>
        <v>0</v>
      </c>
      <c r="Q32" s="117">
        <f>SUMIFS(Investors!$M:$M,Investors!$O:$O,FALSE,Investors!$P:$P,FALSE,Investors!$K:$K,"&gt;"&amp;'NSST Print'!$B$3,Investors!$I:$I,"&lt;="&amp;'NSST Print'!$B$3,Investors!$A:$A,'Investor Exit List'!$A32,Investors!$E:$E,'Investor Exit List'!$C32,Investors!$L:$L,'Investor Exit List'!$B32)-(SUMIFS(Investors!$M:$M,Investors!$I:$I,"&lt;="&amp;'NSST Print'!$B$3,Investors!$J:$J,"&gt;"&amp;'NSST Print'!$B$3,Investors!$A:$A,'Investor Exit List'!$A32,Investors!$E:$E,'Investor Exit List'!$C32,Investors!$L:$L,'Investor Exit List'!$B32)+SUMIFS(Investors!$M:$M,Investors!$I:$I,"&lt;="&amp;'NSST Print'!$B$3,Investors!$J:$J,"",Investors!$A:$A,'Investor Exit List'!$A32,Investors!$E:$E,'Investor Exit List'!$C32,Investors!$L:$L,'Investor Exit List'!$B32))+SUMIFS(Investors!$S:$S,Investors!$O:$O,FALSE,Investors!$P:$P,FALSE,Investors!$K:$K,"&gt;"&amp;'NSST Print'!$B$3,Investors!$I:$I,"&lt;="&amp;'NSST Print'!$B$3,Investors!$A:$A,'Investor Exit List'!$A32,Investors!$E:$E,'Investor Exit List'!$C32,Investors!$L:$L,'Investor Exit List'!$B32)-(SUMIFS(Investors!$S:$S,Investors!$I:$I,"&lt;="&amp;'NSST Print'!$B$3,Investors!$J:$J,"&gt;"&amp;'NSST Print'!$B$3,Investors!$A:$A,'Investor Exit List'!$A32,Investors!$E:$E,'Investor Exit List'!$C32,Investors!$L:$L,'Investor Exit List'!$B32)+SUMIFS(Investors!$S:$S,Investors!$I:$I,"&lt;="&amp;'NSST Print'!$B$3,Investors!$J:$J,"",Investors!$A:$A,'Investor Exit List'!$A32,Investors!$E:$E,'Investor Exit List'!$C32,Investors!$L:$L,'Investor Exit List'!$B32))</f>
        <v>0</v>
      </c>
      <c r="R32" s="117">
        <f t="shared" si="5"/>
        <v>0</v>
      </c>
      <c r="S32" s="117">
        <f>SUMIFS(Investors!$M:$M,Investors!$O:$O,TRUE,Investors!$A:$A,'Investor Exit List'!$A32,Investors!$E:$E,'Investor Exit List'!$C32,Investors!$L:$L,'Investor Exit List'!$B32)+SUMIFS(Investors!$S:$S,Investors!$O:$O,TRUE,Investors!$A:$A,'Investor Exit List'!$A32,Investors!$E:$E,'Investor Exit List'!$C32,Investors!$L:$L,'Investor Exit List'!$B32)</f>
        <v>0</v>
      </c>
      <c r="T32" s="118" t="str">
        <f t="shared" si="6"/>
        <v/>
      </c>
      <c r="U32" s="116" t="b">
        <v>0</v>
      </c>
      <c r="V32" s="117">
        <f t="shared" si="7"/>
        <v>0</v>
      </c>
      <c r="W32" s="116">
        <v>0</v>
      </c>
      <c r="X32" s="116" t="b">
        <v>0</v>
      </c>
      <c r="Y32" s="119">
        <f>IF(H32=FALSE,VLOOKUP($C32,Sales!$C:$F,4,FALSE),1)</f>
        <v>1</v>
      </c>
      <c r="Z32" s="116" t="str">
        <f t="shared" si="8"/>
        <v/>
      </c>
      <c r="AA32" s="118">
        <f t="shared" si="9"/>
        <v>0</v>
      </c>
      <c r="AB32" s="118" t="str">
        <f t="shared" si="10"/>
        <v>HFA203-ZDAV01</v>
      </c>
      <c r="AC32" s="118">
        <f t="shared" si="11"/>
        <v>45082</v>
      </c>
    </row>
    <row r="33" spans="1:29" ht="16" x14ac:dyDescent="0.2">
      <c r="A33" s="116" t="s">
        <v>105</v>
      </c>
      <c r="B33" s="116">
        <v>2</v>
      </c>
      <c r="C33" s="116" t="s">
        <v>101</v>
      </c>
      <c r="D33" s="116" t="s">
        <v>26</v>
      </c>
      <c r="E33" s="116" t="s">
        <v>2033</v>
      </c>
      <c r="F33" s="117">
        <f>SUMIFS(Investors!$M:$M,Investors!$O:$O,FALSE,Investors!$P:$P,FALSE,Investors!$K:$K,"&gt;"&amp;'NSST Print'!$B$3,Investors!$I:$I,"&lt;="&amp;'NSST Print'!$B$3,Investors!$A:$A,'Investor Exit List'!$A33,Investors!$E:$E,'Investor Exit List'!$C33,Investors!$L:$L,'Investor Exit List'!$B33)-(SUMIFS(Investors!$M:$M,Investors!$I:$I,"&lt;="&amp;'NSST Print'!$B$3,Investors!$J:$J,"&gt;"&amp;'NSST Print'!$B$3,Investors!$A:$A,'Investor Exit List'!$A33,Investors!$E:$E,'Investor Exit List'!$C33,Investors!$L:$L,'Investor Exit List'!$B33)+SUMIFS(Investors!$M:$M,Investors!$I:$I,"&lt;="&amp;'NSST Print'!$B$3,Investors!$J:$J,"",Investors!$A:$A,'Investor Exit List'!$A33,Investors!$E:$E,'Investor Exit List'!$C33,Investors!$L:$L,'Investor Exit List'!$B33))</f>
        <v>0</v>
      </c>
      <c r="G33" s="118">
        <v>44352</v>
      </c>
      <c r="H33" s="116" t="b">
        <f>VLOOKUP($C33,Sales!$C:$E,2,FALSE)</f>
        <v>1</v>
      </c>
      <c r="I33" s="116" t="b">
        <f>VLOOKUP($C33,Sales!$C:$E,3,FALSE)</f>
        <v>1</v>
      </c>
      <c r="J33" s="118">
        <f>SUMIFS(Sales!$H:$H,Sales!$C:$C,'Investor Exit List'!$C33)</f>
        <v>45688</v>
      </c>
      <c r="K33" s="118">
        <f t="shared" si="0"/>
        <v>45688</v>
      </c>
      <c r="L33" s="118">
        <f t="shared" si="1"/>
        <v>45082</v>
      </c>
      <c r="M33" s="118">
        <v>45443</v>
      </c>
      <c r="N33" s="119">
        <f t="shared" si="2"/>
        <v>0</v>
      </c>
      <c r="O33" s="119">
        <f t="shared" si="3"/>
        <v>0</v>
      </c>
      <c r="P33" s="117">
        <f t="shared" si="4"/>
        <v>0</v>
      </c>
      <c r="Q33" s="117">
        <f>SUMIFS(Investors!$M:$M,Investors!$O:$O,FALSE,Investors!$P:$P,FALSE,Investors!$K:$K,"&gt;"&amp;'NSST Print'!$B$3,Investors!$I:$I,"&lt;="&amp;'NSST Print'!$B$3,Investors!$A:$A,'Investor Exit List'!$A33,Investors!$E:$E,'Investor Exit List'!$C33,Investors!$L:$L,'Investor Exit List'!$B33)-(SUMIFS(Investors!$M:$M,Investors!$I:$I,"&lt;="&amp;'NSST Print'!$B$3,Investors!$J:$J,"&gt;"&amp;'NSST Print'!$B$3,Investors!$A:$A,'Investor Exit List'!$A33,Investors!$E:$E,'Investor Exit List'!$C33,Investors!$L:$L,'Investor Exit List'!$B33)+SUMIFS(Investors!$M:$M,Investors!$I:$I,"&lt;="&amp;'NSST Print'!$B$3,Investors!$J:$J,"",Investors!$A:$A,'Investor Exit List'!$A33,Investors!$E:$E,'Investor Exit List'!$C33,Investors!$L:$L,'Investor Exit List'!$B33))+SUMIFS(Investors!$S:$S,Investors!$O:$O,FALSE,Investors!$P:$P,FALSE,Investors!$K:$K,"&gt;"&amp;'NSST Print'!$B$3,Investors!$I:$I,"&lt;="&amp;'NSST Print'!$B$3,Investors!$A:$A,'Investor Exit List'!$A33,Investors!$E:$E,'Investor Exit List'!$C33,Investors!$L:$L,'Investor Exit List'!$B33)-(SUMIFS(Investors!$S:$S,Investors!$I:$I,"&lt;="&amp;'NSST Print'!$B$3,Investors!$J:$J,"&gt;"&amp;'NSST Print'!$B$3,Investors!$A:$A,'Investor Exit List'!$A33,Investors!$E:$E,'Investor Exit List'!$C33,Investors!$L:$L,'Investor Exit List'!$B33)+SUMIFS(Investors!$S:$S,Investors!$I:$I,"&lt;="&amp;'NSST Print'!$B$3,Investors!$J:$J,"",Investors!$A:$A,'Investor Exit List'!$A33,Investors!$E:$E,'Investor Exit List'!$C33,Investors!$L:$L,'Investor Exit List'!$B33))</f>
        <v>0</v>
      </c>
      <c r="R33" s="117">
        <f t="shared" si="5"/>
        <v>0</v>
      </c>
      <c r="S33" s="117">
        <f>SUMIFS(Investors!$M:$M,Investors!$O:$O,TRUE,Investors!$A:$A,'Investor Exit List'!$A33,Investors!$E:$E,'Investor Exit List'!$C33,Investors!$L:$L,'Investor Exit List'!$B33)+SUMIFS(Investors!$S:$S,Investors!$O:$O,TRUE,Investors!$A:$A,'Investor Exit List'!$A33,Investors!$E:$E,'Investor Exit List'!$C33,Investors!$L:$L,'Investor Exit List'!$B33)</f>
        <v>0</v>
      </c>
      <c r="T33" s="118" t="str">
        <f t="shared" si="6"/>
        <v/>
      </c>
      <c r="U33" s="116" t="b">
        <v>0</v>
      </c>
      <c r="V33" s="117">
        <f t="shared" si="7"/>
        <v>0</v>
      </c>
      <c r="W33" s="116">
        <v>0</v>
      </c>
      <c r="X33" s="116" t="b">
        <v>0</v>
      </c>
      <c r="Y33" s="119">
        <f>IF(H33=FALSE,VLOOKUP($C33,Sales!$C:$F,4,FALSE),1)</f>
        <v>1</v>
      </c>
      <c r="Z33" s="116" t="str">
        <f t="shared" si="8"/>
        <v/>
      </c>
      <c r="AA33" s="118">
        <f t="shared" si="9"/>
        <v>0</v>
      </c>
      <c r="AB33" s="118" t="str">
        <f t="shared" si="10"/>
        <v>HFA203-ZNGO01</v>
      </c>
      <c r="AC33" s="118">
        <f t="shared" si="11"/>
        <v>45082</v>
      </c>
    </row>
    <row r="34" spans="1:29" ht="16" x14ac:dyDescent="0.2">
      <c r="A34" s="116" t="s">
        <v>59</v>
      </c>
      <c r="B34" s="116">
        <v>18</v>
      </c>
      <c r="C34" s="116" t="s">
        <v>101</v>
      </c>
      <c r="D34" s="116" t="s">
        <v>26</v>
      </c>
      <c r="E34" s="116" t="s">
        <v>2019</v>
      </c>
      <c r="F34" s="117">
        <f>SUMIFS(Investors!$M:$M,Investors!$O:$O,FALSE,Investors!$P:$P,FALSE,Investors!$K:$K,"&gt;"&amp;'NSST Print'!$B$3,Investors!$I:$I,"&lt;="&amp;'NSST Print'!$B$3,Investors!$A:$A,'Investor Exit List'!$A34,Investors!$E:$E,'Investor Exit List'!$C34,Investors!$L:$L,'Investor Exit List'!$B34)-(SUMIFS(Investors!$M:$M,Investors!$I:$I,"&lt;="&amp;'NSST Print'!$B$3,Investors!$J:$J,"&gt;"&amp;'NSST Print'!$B$3,Investors!$A:$A,'Investor Exit List'!$A34,Investors!$E:$E,'Investor Exit List'!$C34,Investors!$L:$L,'Investor Exit List'!$B34)+SUMIFS(Investors!$M:$M,Investors!$I:$I,"&lt;="&amp;'NSST Print'!$B$3,Investors!$J:$J,"",Investors!$A:$A,'Investor Exit List'!$A34,Investors!$E:$E,'Investor Exit List'!$C34,Investors!$L:$L,'Investor Exit List'!$B34))</f>
        <v>0</v>
      </c>
      <c r="G34" s="118">
        <v>44378</v>
      </c>
      <c r="H34" s="116" t="b">
        <f>VLOOKUP($C34,Sales!$C:$E,2,FALSE)</f>
        <v>1</v>
      </c>
      <c r="I34" s="116" t="b">
        <f>VLOOKUP($C34,Sales!$C:$E,3,FALSE)</f>
        <v>1</v>
      </c>
      <c r="J34" s="118">
        <f>SUMIFS(Sales!$H:$H,Sales!$C:$C,'Investor Exit List'!$C34)</f>
        <v>45688</v>
      </c>
      <c r="K34" s="118">
        <f t="shared" si="0"/>
        <v>45688</v>
      </c>
      <c r="L34" s="118">
        <f t="shared" si="1"/>
        <v>45108</v>
      </c>
      <c r="M34" s="118">
        <v>45443</v>
      </c>
      <c r="N34" s="119">
        <f t="shared" si="2"/>
        <v>0</v>
      </c>
      <c r="O34" s="119">
        <f t="shared" si="3"/>
        <v>0</v>
      </c>
      <c r="P34" s="117">
        <f t="shared" si="4"/>
        <v>0</v>
      </c>
      <c r="Q34" s="117">
        <f>SUMIFS(Investors!$M:$M,Investors!$O:$O,FALSE,Investors!$P:$P,FALSE,Investors!$K:$K,"&gt;"&amp;'NSST Print'!$B$3,Investors!$I:$I,"&lt;="&amp;'NSST Print'!$B$3,Investors!$A:$A,'Investor Exit List'!$A34,Investors!$E:$E,'Investor Exit List'!$C34,Investors!$L:$L,'Investor Exit List'!$B34)-(SUMIFS(Investors!$M:$M,Investors!$I:$I,"&lt;="&amp;'NSST Print'!$B$3,Investors!$J:$J,"&gt;"&amp;'NSST Print'!$B$3,Investors!$A:$A,'Investor Exit List'!$A34,Investors!$E:$E,'Investor Exit List'!$C34,Investors!$L:$L,'Investor Exit List'!$B34)+SUMIFS(Investors!$M:$M,Investors!$I:$I,"&lt;="&amp;'NSST Print'!$B$3,Investors!$J:$J,"",Investors!$A:$A,'Investor Exit List'!$A34,Investors!$E:$E,'Investor Exit List'!$C34,Investors!$L:$L,'Investor Exit List'!$B34))+SUMIFS(Investors!$S:$S,Investors!$O:$O,FALSE,Investors!$P:$P,FALSE,Investors!$K:$K,"&gt;"&amp;'NSST Print'!$B$3,Investors!$I:$I,"&lt;="&amp;'NSST Print'!$B$3,Investors!$A:$A,'Investor Exit List'!$A34,Investors!$E:$E,'Investor Exit List'!$C34,Investors!$L:$L,'Investor Exit List'!$B34)-(SUMIFS(Investors!$S:$S,Investors!$I:$I,"&lt;="&amp;'NSST Print'!$B$3,Investors!$J:$J,"&gt;"&amp;'NSST Print'!$B$3,Investors!$A:$A,'Investor Exit List'!$A34,Investors!$E:$E,'Investor Exit List'!$C34,Investors!$L:$L,'Investor Exit List'!$B34)+SUMIFS(Investors!$S:$S,Investors!$I:$I,"&lt;="&amp;'NSST Print'!$B$3,Investors!$J:$J,"",Investors!$A:$A,'Investor Exit List'!$A34,Investors!$E:$E,'Investor Exit List'!$C34,Investors!$L:$L,'Investor Exit List'!$B34))</f>
        <v>0</v>
      </c>
      <c r="R34" s="117">
        <f t="shared" si="5"/>
        <v>0</v>
      </c>
      <c r="S34" s="117">
        <f>SUMIFS(Investors!$M:$M,Investors!$O:$O,TRUE,Investors!$A:$A,'Investor Exit List'!$A34,Investors!$E:$E,'Investor Exit List'!$C34,Investors!$L:$L,'Investor Exit List'!$B34)+SUMIFS(Investors!$S:$S,Investors!$O:$O,TRUE,Investors!$A:$A,'Investor Exit List'!$A34,Investors!$E:$E,'Investor Exit List'!$C34,Investors!$L:$L,'Investor Exit List'!$B34)</f>
        <v>0</v>
      </c>
      <c r="T34" s="118" t="str">
        <f t="shared" si="6"/>
        <v/>
      </c>
      <c r="U34" s="116" t="b">
        <v>0</v>
      </c>
      <c r="V34" s="117">
        <f t="shared" si="7"/>
        <v>0</v>
      </c>
      <c r="W34" s="116">
        <v>0</v>
      </c>
      <c r="X34" s="116" t="b">
        <v>0</v>
      </c>
      <c r="Y34" s="119">
        <f>IF(H34=FALSE,VLOOKUP($C34,Sales!$C:$F,4,FALSE),1)</f>
        <v>1</v>
      </c>
      <c r="Z34" s="116" t="str">
        <f t="shared" si="8"/>
        <v/>
      </c>
      <c r="AA34" s="118">
        <f t="shared" si="9"/>
        <v>0</v>
      </c>
      <c r="AB34" s="118" t="str">
        <f t="shared" si="10"/>
        <v>HFA203-ZRAN01</v>
      </c>
      <c r="AC34" s="118">
        <f t="shared" si="11"/>
        <v>45108</v>
      </c>
    </row>
    <row r="35" spans="1:29" ht="16" x14ac:dyDescent="0.2">
      <c r="A35" s="116" t="s">
        <v>108</v>
      </c>
      <c r="B35" s="116">
        <v>1</v>
      </c>
      <c r="C35" s="116" t="s">
        <v>101</v>
      </c>
      <c r="D35" s="116" t="s">
        <v>26</v>
      </c>
      <c r="E35" s="116" t="s">
        <v>2034</v>
      </c>
      <c r="F35" s="117">
        <f>SUMIFS(Investors!$M:$M,Investors!$O:$O,FALSE,Investors!$P:$P,FALSE,Investors!$K:$K,"&gt;"&amp;'NSST Print'!$B$3,Investors!$I:$I,"&lt;="&amp;'NSST Print'!$B$3,Investors!$A:$A,'Investor Exit List'!$A35,Investors!$E:$E,'Investor Exit List'!$C35,Investors!$L:$L,'Investor Exit List'!$B35)-(SUMIFS(Investors!$M:$M,Investors!$I:$I,"&lt;="&amp;'NSST Print'!$B$3,Investors!$J:$J,"&gt;"&amp;'NSST Print'!$B$3,Investors!$A:$A,'Investor Exit List'!$A35,Investors!$E:$E,'Investor Exit List'!$C35,Investors!$L:$L,'Investor Exit List'!$B35)+SUMIFS(Investors!$M:$M,Investors!$I:$I,"&lt;="&amp;'NSST Print'!$B$3,Investors!$J:$J,"",Investors!$A:$A,'Investor Exit List'!$A35,Investors!$E:$E,'Investor Exit List'!$C35,Investors!$L:$L,'Investor Exit List'!$B35))</f>
        <v>0</v>
      </c>
      <c r="G35" s="118">
        <v>44352</v>
      </c>
      <c r="H35" s="116" t="b">
        <f>VLOOKUP($C35,Sales!$C:$E,2,FALSE)</f>
        <v>1</v>
      </c>
      <c r="I35" s="116" t="b">
        <f>VLOOKUP($C35,Sales!$C:$E,3,FALSE)</f>
        <v>1</v>
      </c>
      <c r="J35" s="118">
        <f>SUMIFS(Sales!$H:$H,Sales!$C:$C,'Investor Exit List'!$C35)</f>
        <v>45688</v>
      </c>
      <c r="K35" s="118">
        <f t="shared" si="0"/>
        <v>45688</v>
      </c>
      <c r="L35" s="118">
        <f t="shared" si="1"/>
        <v>45082</v>
      </c>
      <c r="M35" s="118">
        <v>45443</v>
      </c>
      <c r="N35" s="119">
        <f t="shared" si="2"/>
        <v>0</v>
      </c>
      <c r="O35" s="119">
        <f t="shared" si="3"/>
        <v>0</v>
      </c>
      <c r="P35" s="117">
        <f t="shared" si="4"/>
        <v>0</v>
      </c>
      <c r="Q35" s="117">
        <f>SUMIFS(Investors!$M:$M,Investors!$O:$O,FALSE,Investors!$P:$P,FALSE,Investors!$K:$K,"&gt;"&amp;'NSST Print'!$B$3,Investors!$I:$I,"&lt;="&amp;'NSST Print'!$B$3,Investors!$A:$A,'Investor Exit List'!$A35,Investors!$E:$E,'Investor Exit List'!$C35,Investors!$L:$L,'Investor Exit List'!$B35)-(SUMIFS(Investors!$M:$M,Investors!$I:$I,"&lt;="&amp;'NSST Print'!$B$3,Investors!$J:$J,"&gt;"&amp;'NSST Print'!$B$3,Investors!$A:$A,'Investor Exit List'!$A35,Investors!$E:$E,'Investor Exit List'!$C35,Investors!$L:$L,'Investor Exit List'!$B35)+SUMIFS(Investors!$M:$M,Investors!$I:$I,"&lt;="&amp;'NSST Print'!$B$3,Investors!$J:$J,"",Investors!$A:$A,'Investor Exit List'!$A35,Investors!$E:$E,'Investor Exit List'!$C35,Investors!$L:$L,'Investor Exit List'!$B35))+SUMIFS(Investors!$S:$S,Investors!$O:$O,FALSE,Investors!$P:$P,FALSE,Investors!$K:$K,"&gt;"&amp;'NSST Print'!$B$3,Investors!$I:$I,"&lt;="&amp;'NSST Print'!$B$3,Investors!$A:$A,'Investor Exit List'!$A35,Investors!$E:$E,'Investor Exit List'!$C35,Investors!$L:$L,'Investor Exit List'!$B35)-(SUMIFS(Investors!$S:$S,Investors!$I:$I,"&lt;="&amp;'NSST Print'!$B$3,Investors!$J:$J,"&gt;"&amp;'NSST Print'!$B$3,Investors!$A:$A,'Investor Exit List'!$A35,Investors!$E:$E,'Investor Exit List'!$C35,Investors!$L:$L,'Investor Exit List'!$B35)+SUMIFS(Investors!$S:$S,Investors!$I:$I,"&lt;="&amp;'NSST Print'!$B$3,Investors!$J:$J,"",Investors!$A:$A,'Investor Exit List'!$A35,Investors!$E:$E,'Investor Exit List'!$C35,Investors!$L:$L,'Investor Exit List'!$B35))</f>
        <v>0</v>
      </c>
      <c r="R35" s="117">
        <f t="shared" si="5"/>
        <v>0</v>
      </c>
      <c r="S35" s="117">
        <f>SUMIFS(Investors!$M:$M,Investors!$O:$O,TRUE,Investors!$A:$A,'Investor Exit List'!$A35,Investors!$E:$E,'Investor Exit List'!$C35,Investors!$L:$L,'Investor Exit List'!$B35)+SUMIFS(Investors!$S:$S,Investors!$O:$O,TRUE,Investors!$A:$A,'Investor Exit List'!$A35,Investors!$E:$E,'Investor Exit List'!$C35,Investors!$L:$L,'Investor Exit List'!$B35)</f>
        <v>0</v>
      </c>
      <c r="T35" s="118" t="str">
        <f t="shared" si="6"/>
        <v/>
      </c>
      <c r="U35" s="116" t="b">
        <v>0</v>
      </c>
      <c r="V35" s="117">
        <f t="shared" si="7"/>
        <v>0</v>
      </c>
      <c r="W35" s="116">
        <v>0</v>
      </c>
      <c r="X35" s="116" t="b">
        <v>0</v>
      </c>
      <c r="Y35" s="119">
        <f>IF(H35=FALSE,VLOOKUP($C35,Sales!$C:$F,4,FALSE),1)</f>
        <v>1</v>
      </c>
      <c r="Z35" s="116" t="str">
        <f t="shared" si="8"/>
        <v/>
      </c>
      <c r="AA35" s="118">
        <f t="shared" si="9"/>
        <v>0</v>
      </c>
      <c r="AB35" s="118" t="str">
        <f t="shared" si="10"/>
        <v>HFA203-ZVBL01</v>
      </c>
      <c r="AC35" s="118">
        <f t="shared" si="11"/>
        <v>45082</v>
      </c>
    </row>
    <row r="36" spans="1:29" ht="16" x14ac:dyDescent="0.2">
      <c r="A36" s="116" t="s">
        <v>111</v>
      </c>
      <c r="B36" s="116">
        <v>1</v>
      </c>
      <c r="C36" s="116" t="s">
        <v>114</v>
      </c>
      <c r="D36" s="116" t="s">
        <v>26</v>
      </c>
      <c r="E36" s="116" t="s">
        <v>2035</v>
      </c>
      <c r="F36" s="117">
        <f>SUMIFS(Investors!$M:$M,Investors!$O:$O,FALSE,Investors!$P:$P,FALSE,Investors!$K:$K,"&gt;"&amp;'NSST Print'!$B$3,Investors!$I:$I,"&lt;="&amp;'NSST Print'!$B$3,Investors!$A:$A,'Investor Exit List'!$A36,Investors!$E:$E,'Investor Exit List'!$C36,Investors!$L:$L,'Investor Exit List'!$B36)-(SUMIFS(Investors!$M:$M,Investors!$I:$I,"&lt;="&amp;'NSST Print'!$B$3,Investors!$J:$J,"&gt;"&amp;'NSST Print'!$B$3,Investors!$A:$A,'Investor Exit List'!$A36,Investors!$E:$E,'Investor Exit List'!$C36,Investors!$L:$L,'Investor Exit List'!$B36)+SUMIFS(Investors!$M:$M,Investors!$I:$I,"&lt;="&amp;'NSST Print'!$B$3,Investors!$J:$J,"",Investors!$A:$A,'Investor Exit List'!$A36,Investors!$E:$E,'Investor Exit List'!$C36,Investors!$L:$L,'Investor Exit List'!$B36))</f>
        <v>0</v>
      </c>
      <c r="G36" s="118">
        <v>44352</v>
      </c>
      <c r="H36" s="116" t="b">
        <f>VLOOKUP($C36,Sales!$C:$E,2,FALSE)</f>
        <v>1</v>
      </c>
      <c r="I36" s="116" t="b">
        <f>VLOOKUP($C36,Sales!$C:$E,3,FALSE)</f>
        <v>1</v>
      </c>
      <c r="J36" s="118">
        <f>SUMIFS(Sales!$H:$H,Sales!$C:$C,'Investor Exit List'!$C36)</f>
        <v>45688</v>
      </c>
      <c r="K36" s="118">
        <f t="shared" si="0"/>
        <v>45688</v>
      </c>
      <c r="L36" s="118">
        <f t="shared" si="1"/>
        <v>45082</v>
      </c>
      <c r="M36" s="118">
        <v>45443</v>
      </c>
      <c r="N36" s="119">
        <f t="shared" si="2"/>
        <v>0</v>
      </c>
      <c r="O36" s="119">
        <f t="shared" si="3"/>
        <v>0</v>
      </c>
      <c r="P36" s="117">
        <f t="shared" si="4"/>
        <v>0</v>
      </c>
      <c r="Q36" s="117">
        <f>SUMIFS(Investors!$M:$M,Investors!$O:$O,FALSE,Investors!$P:$P,FALSE,Investors!$K:$K,"&gt;"&amp;'NSST Print'!$B$3,Investors!$I:$I,"&lt;="&amp;'NSST Print'!$B$3,Investors!$A:$A,'Investor Exit List'!$A36,Investors!$E:$E,'Investor Exit List'!$C36,Investors!$L:$L,'Investor Exit List'!$B36)-(SUMIFS(Investors!$M:$M,Investors!$I:$I,"&lt;="&amp;'NSST Print'!$B$3,Investors!$J:$J,"&gt;"&amp;'NSST Print'!$B$3,Investors!$A:$A,'Investor Exit List'!$A36,Investors!$E:$E,'Investor Exit List'!$C36,Investors!$L:$L,'Investor Exit List'!$B36)+SUMIFS(Investors!$M:$M,Investors!$I:$I,"&lt;="&amp;'NSST Print'!$B$3,Investors!$J:$J,"",Investors!$A:$A,'Investor Exit List'!$A36,Investors!$E:$E,'Investor Exit List'!$C36,Investors!$L:$L,'Investor Exit List'!$B36))+SUMIFS(Investors!$S:$S,Investors!$O:$O,FALSE,Investors!$P:$P,FALSE,Investors!$K:$K,"&gt;"&amp;'NSST Print'!$B$3,Investors!$I:$I,"&lt;="&amp;'NSST Print'!$B$3,Investors!$A:$A,'Investor Exit List'!$A36,Investors!$E:$E,'Investor Exit List'!$C36,Investors!$L:$L,'Investor Exit List'!$B36)-(SUMIFS(Investors!$S:$S,Investors!$I:$I,"&lt;="&amp;'NSST Print'!$B$3,Investors!$J:$J,"&gt;"&amp;'NSST Print'!$B$3,Investors!$A:$A,'Investor Exit List'!$A36,Investors!$E:$E,'Investor Exit List'!$C36,Investors!$L:$L,'Investor Exit List'!$B36)+SUMIFS(Investors!$S:$S,Investors!$I:$I,"&lt;="&amp;'NSST Print'!$B$3,Investors!$J:$J,"",Investors!$A:$A,'Investor Exit List'!$A36,Investors!$E:$E,'Investor Exit List'!$C36,Investors!$L:$L,'Investor Exit List'!$B36))</f>
        <v>0</v>
      </c>
      <c r="R36" s="117">
        <f t="shared" si="5"/>
        <v>0</v>
      </c>
      <c r="S36" s="117">
        <f>SUMIFS(Investors!$M:$M,Investors!$O:$O,TRUE,Investors!$A:$A,'Investor Exit List'!$A36,Investors!$E:$E,'Investor Exit List'!$C36,Investors!$L:$L,'Investor Exit List'!$B36)+SUMIFS(Investors!$S:$S,Investors!$O:$O,TRUE,Investors!$A:$A,'Investor Exit List'!$A36,Investors!$E:$E,'Investor Exit List'!$C36,Investors!$L:$L,'Investor Exit List'!$B36)</f>
        <v>0</v>
      </c>
      <c r="T36" s="118" t="str">
        <f t="shared" si="6"/>
        <v/>
      </c>
      <c r="U36" s="116" t="b">
        <v>0</v>
      </c>
      <c r="V36" s="117">
        <f t="shared" si="7"/>
        <v>0</v>
      </c>
      <c r="W36" s="116">
        <v>0</v>
      </c>
      <c r="X36" s="116" t="b">
        <v>0</v>
      </c>
      <c r="Y36" s="119">
        <f>IF(H36=FALSE,VLOOKUP($C36,Sales!$C:$F,4,FALSE),1)</f>
        <v>1</v>
      </c>
      <c r="Z36" s="116" t="str">
        <f t="shared" si="8"/>
        <v/>
      </c>
      <c r="AA36" s="118">
        <f t="shared" si="9"/>
        <v>0</v>
      </c>
      <c r="AB36" s="118" t="str">
        <f t="shared" si="10"/>
        <v>HFA204-ZFEM01</v>
      </c>
      <c r="AC36" s="118">
        <f t="shared" si="11"/>
        <v>45082</v>
      </c>
    </row>
    <row r="37" spans="1:29" ht="16" x14ac:dyDescent="0.2">
      <c r="A37" s="116" t="s">
        <v>115</v>
      </c>
      <c r="B37" s="116">
        <v>1</v>
      </c>
      <c r="C37" s="116" t="s">
        <v>114</v>
      </c>
      <c r="D37" s="116" t="s">
        <v>26</v>
      </c>
      <c r="E37" s="116" t="s">
        <v>2036</v>
      </c>
      <c r="F37" s="117">
        <f>SUMIFS(Investors!$M:$M,Investors!$O:$O,FALSE,Investors!$P:$P,FALSE,Investors!$K:$K,"&gt;"&amp;'NSST Print'!$B$3,Investors!$I:$I,"&lt;="&amp;'NSST Print'!$B$3,Investors!$A:$A,'Investor Exit List'!$A37,Investors!$E:$E,'Investor Exit List'!$C37,Investors!$L:$L,'Investor Exit List'!$B37)-(SUMIFS(Investors!$M:$M,Investors!$I:$I,"&lt;="&amp;'NSST Print'!$B$3,Investors!$J:$J,"&gt;"&amp;'NSST Print'!$B$3,Investors!$A:$A,'Investor Exit List'!$A37,Investors!$E:$E,'Investor Exit List'!$C37,Investors!$L:$L,'Investor Exit List'!$B37)+SUMIFS(Investors!$M:$M,Investors!$I:$I,"&lt;="&amp;'NSST Print'!$B$3,Investors!$J:$J,"",Investors!$A:$A,'Investor Exit List'!$A37,Investors!$E:$E,'Investor Exit List'!$C37,Investors!$L:$L,'Investor Exit List'!$B37))</f>
        <v>0</v>
      </c>
      <c r="G37" s="118">
        <v>44352</v>
      </c>
      <c r="H37" s="116" t="b">
        <f>VLOOKUP($C37,Sales!$C:$E,2,FALSE)</f>
        <v>1</v>
      </c>
      <c r="I37" s="116" t="b">
        <f>VLOOKUP($C37,Sales!$C:$E,3,FALSE)</f>
        <v>1</v>
      </c>
      <c r="J37" s="118">
        <f>SUMIFS(Sales!$H:$H,Sales!$C:$C,'Investor Exit List'!$C37)</f>
        <v>45688</v>
      </c>
      <c r="K37" s="118">
        <f t="shared" si="0"/>
        <v>45688</v>
      </c>
      <c r="L37" s="118">
        <f t="shared" si="1"/>
        <v>45082</v>
      </c>
      <c r="M37" s="118">
        <v>45443</v>
      </c>
      <c r="N37" s="119">
        <f t="shared" si="2"/>
        <v>0</v>
      </c>
      <c r="O37" s="119">
        <f t="shared" si="3"/>
        <v>0</v>
      </c>
      <c r="P37" s="117">
        <f t="shared" si="4"/>
        <v>0</v>
      </c>
      <c r="Q37" s="117">
        <f>SUMIFS(Investors!$M:$M,Investors!$O:$O,FALSE,Investors!$P:$P,FALSE,Investors!$K:$K,"&gt;"&amp;'NSST Print'!$B$3,Investors!$I:$I,"&lt;="&amp;'NSST Print'!$B$3,Investors!$A:$A,'Investor Exit List'!$A37,Investors!$E:$E,'Investor Exit List'!$C37,Investors!$L:$L,'Investor Exit List'!$B37)-(SUMIFS(Investors!$M:$M,Investors!$I:$I,"&lt;="&amp;'NSST Print'!$B$3,Investors!$J:$J,"&gt;"&amp;'NSST Print'!$B$3,Investors!$A:$A,'Investor Exit List'!$A37,Investors!$E:$E,'Investor Exit List'!$C37,Investors!$L:$L,'Investor Exit List'!$B37)+SUMIFS(Investors!$M:$M,Investors!$I:$I,"&lt;="&amp;'NSST Print'!$B$3,Investors!$J:$J,"",Investors!$A:$A,'Investor Exit List'!$A37,Investors!$E:$E,'Investor Exit List'!$C37,Investors!$L:$L,'Investor Exit List'!$B37))+SUMIFS(Investors!$S:$S,Investors!$O:$O,FALSE,Investors!$P:$P,FALSE,Investors!$K:$K,"&gt;"&amp;'NSST Print'!$B$3,Investors!$I:$I,"&lt;="&amp;'NSST Print'!$B$3,Investors!$A:$A,'Investor Exit List'!$A37,Investors!$E:$E,'Investor Exit List'!$C37,Investors!$L:$L,'Investor Exit List'!$B37)-(SUMIFS(Investors!$S:$S,Investors!$I:$I,"&lt;="&amp;'NSST Print'!$B$3,Investors!$J:$J,"&gt;"&amp;'NSST Print'!$B$3,Investors!$A:$A,'Investor Exit List'!$A37,Investors!$E:$E,'Investor Exit List'!$C37,Investors!$L:$L,'Investor Exit List'!$B37)+SUMIFS(Investors!$S:$S,Investors!$I:$I,"&lt;="&amp;'NSST Print'!$B$3,Investors!$J:$J,"",Investors!$A:$A,'Investor Exit List'!$A37,Investors!$E:$E,'Investor Exit List'!$C37,Investors!$L:$L,'Investor Exit List'!$B37))</f>
        <v>0</v>
      </c>
      <c r="R37" s="117">
        <f t="shared" si="5"/>
        <v>0</v>
      </c>
      <c r="S37" s="117">
        <f>SUMIFS(Investors!$M:$M,Investors!$O:$O,TRUE,Investors!$A:$A,'Investor Exit List'!$A37,Investors!$E:$E,'Investor Exit List'!$C37,Investors!$L:$L,'Investor Exit List'!$B37)+SUMIFS(Investors!$S:$S,Investors!$O:$O,TRUE,Investors!$A:$A,'Investor Exit List'!$A37,Investors!$E:$E,'Investor Exit List'!$C37,Investors!$L:$L,'Investor Exit List'!$B37)</f>
        <v>0</v>
      </c>
      <c r="T37" s="118" t="str">
        <f t="shared" si="6"/>
        <v/>
      </c>
      <c r="U37" s="116" t="b">
        <v>0</v>
      </c>
      <c r="V37" s="117">
        <f t="shared" si="7"/>
        <v>0</v>
      </c>
      <c r="W37" s="116">
        <v>0</v>
      </c>
      <c r="X37" s="116" t="b">
        <v>0</v>
      </c>
      <c r="Y37" s="119">
        <f>IF(H37=FALSE,VLOOKUP($C37,Sales!$C:$F,4,FALSE),1)</f>
        <v>1</v>
      </c>
      <c r="Z37" s="116" t="str">
        <f t="shared" si="8"/>
        <v/>
      </c>
      <c r="AA37" s="118">
        <f t="shared" si="9"/>
        <v>0</v>
      </c>
      <c r="AB37" s="118" t="str">
        <f t="shared" si="10"/>
        <v>HFA204-ZJBM01</v>
      </c>
      <c r="AC37" s="118">
        <f t="shared" si="11"/>
        <v>45082</v>
      </c>
    </row>
    <row r="38" spans="1:29" ht="16" x14ac:dyDescent="0.2">
      <c r="A38" s="116" t="s">
        <v>117</v>
      </c>
      <c r="B38" s="116">
        <v>1</v>
      </c>
      <c r="C38" s="116" t="s">
        <v>114</v>
      </c>
      <c r="D38" s="116" t="s">
        <v>26</v>
      </c>
      <c r="E38" s="116" t="s">
        <v>2037</v>
      </c>
      <c r="F38" s="117">
        <f>SUMIFS(Investors!$M:$M,Investors!$O:$O,FALSE,Investors!$P:$P,FALSE,Investors!$K:$K,"&gt;"&amp;'NSST Print'!$B$3,Investors!$I:$I,"&lt;="&amp;'NSST Print'!$B$3,Investors!$A:$A,'Investor Exit List'!$A38,Investors!$E:$E,'Investor Exit List'!$C38,Investors!$L:$L,'Investor Exit List'!$B38)-(SUMIFS(Investors!$M:$M,Investors!$I:$I,"&lt;="&amp;'NSST Print'!$B$3,Investors!$J:$J,"&gt;"&amp;'NSST Print'!$B$3,Investors!$A:$A,'Investor Exit List'!$A38,Investors!$E:$E,'Investor Exit List'!$C38,Investors!$L:$L,'Investor Exit List'!$B38)+SUMIFS(Investors!$M:$M,Investors!$I:$I,"&lt;="&amp;'NSST Print'!$B$3,Investors!$J:$J,"",Investors!$A:$A,'Investor Exit List'!$A38,Investors!$E:$E,'Investor Exit List'!$C38,Investors!$L:$L,'Investor Exit List'!$B38))</f>
        <v>0</v>
      </c>
      <c r="G38" s="118">
        <v>44352</v>
      </c>
      <c r="H38" s="116" t="b">
        <f>VLOOKUP($C38,Sales!$C:$E,2,FALSE)</f>
        <v>1</v>
      </c>
      <c r="I38" s="116" t="b">
        <f>VLOOKUP($C38,Sales!$C:$E,3,FALSE)</f>
        <v>1</v>
      </c>
      <c r="J38" s="118">
        <f>SUMIFS(Sales!$H:$H,Sales!$C:$C,'Investor Exit List'!$C38)</f>
        <v>45688</v>
      </c>
      <c r="K38" s="118">
        <f t="shared" si="0"/>
        <v>45688</v>
      </c>
      <c r="L38" s="118">
        <f t="shared" si="1"/>
        <v>45082</v>
      </c>
      <c r="M38" s="118">
        <v>45443</v>
      </c>
      <c r="N38" s="119">
        <f t="shared" si="2"/>
        <v>0</v>
      </c>
      <c r="O38" s="119">
        <f t="shared" si="3"/>
        <v>0</v>
      </c>
      <c r="P38" s="117">
        <f t="shared" si="4"/>
        <v>0</v>
      </c>
      <c r="Q38" s="117">
        <f>SUMIFS(Investors!$M:$M,Investors!$O:$O,FALSE,Investors!$P:$P,FALSE,Investors!$K:$K,"&gt;"&amp;'NSST Print'!$B$3,Investors!$I:$I,"&lt;="&amp;'NSST Print'!$B$3,Investors!$A:$A,'Investor Exit List'!$A38,Investors!$E:$E,'Investor Exit List'!$C38,Investors!$L:$L,'Investor Exit List'!$B38)-(SUMIFS(Investors!$M:$M,Investors!$I:$I,"&lt;="&amp;'NSST Print'!$B$3,Investors!$J:$J,"&gt;"&amp;'NSST Print'!$B$3,Investors!$A:$A,'Investor Exit List'!$A38,Investors!$E:$E,'Investor Exit List'!$C38,Investors!$L:$L,'Investor Exit List'!$B38)+SUMIFS(Investors!$M:$M,Investors!$I:$I,"&lt;="&amp;'NSST Print'!$B$3,Investors!$J:$J,"",Investors!$A:$A,'Investor Exit List'!$A38,Investors!$E:$E,'Investor Exit List'!$C38,Investors!$L:$L,'Investor Exit List'!$B38))+SUMIFS(Investors!$S:$S,Investors!$O:$O,FALSE,Investors!$P:$P,FALSE,Investors!$K:$K,"&gt;"&amp;'NSST Print'!$B$3,Investors!$I:$I,"&lt;="&amp;'NSST Print'!$B$3,Investors!$A:$A,'Investor Exit List'!$A38,Investors!$E:$E,'Investor Exit List'!$C38,Investors!$L:$L,'Investor Exit List'!$B38)-(SUMIFS(Investors!$S:$S,Investors!$I:$I,"&lt;="&amp;'NSST Print'!$B$3,Investors!$J:$J,"&gt;"&amp;'NSST Print'!$B$3,Investors!$A:$A,'Investor Exit List'!$A38,Investors!$E:$E,'Investor Exit List'!$C38,Investors!$L:$L,'Investor Exit List'!$B38)+SUMIFS(Investors!$S:$S,Investors!$I:$I,"&lt;="&amp;'NSST Print'!$B$3,Investors!$J:$J,"",Investors!$A:$A,'Investor Exit List'!$A38,Investors!$E:$E,'Investor Exit List'!$C38,Investors!$L:$L,'Investor Exit List'!$B38))</f>
        <v>0</v>
      </c>
      <c r="R38" s="117">
        <f t="shared" si="5"/>
        <v>0</v>
      </c>
      <c r="S38" s="117">
        <f>SUMIFS(Investors!$M:$M,Investors!$O:$O,TRUE,Investors!$A:$A,'Investor Exit List'!$A38,Investors!$E:$E,'Investor Exit List'!$C38,Investors!$L:$L,'Investor Exit List'!$B38)+SUMIFS(Investors!$S:$S,Investors!$O:$O,TRUE,Investors!$A:$A,'Investor Exit List'!$A38,Investors!$E:$E,'Investor Exit List'!$C38,Investors!$L:$L,'Investor Exit List'!$B38)</f>
        <v>0</v>
      </c>
      <c r="T38" s="118" t="str">
        <f t="shared" si="6"/>
        <v/>
      </c>
      <c r="U38" s="116" t="b">
        <v>0</v>
      </c>
      <c r="V38" s="117">
        <f t="shared" si="7"/>
        <v>0</v>
      </c>
      <c r="W38" s="116">
        <v>0</v>
      </c>
      <c r="X38" s="116" t="b">
        <v>0</v>
      </c>
      <c r="Y38" s="119">
        <f>IF(H38=FALSE,VLOOKUP($C38,Sales!$C:$F,4,FALSE),1)</f>
        <v>1</v>
      </c>
      <c r="Z38" s="116" t="str">
        <f t="shared" si="8"/>
        <v/>
      </c>
      <c r="AA38" s="118">
        <f t="shared" si="9"/>
        <v>0</v>
      </c>
      <c r="AB38" s="118" t="str">
        <f t="shared" si="10"/>
        <v>HFA204-ZKOO01</v>
      </c>
      <c r="AC38" s="118">
        <f t="shared" si="11"/>
        <v>45082</v>
      </c>
    </row>
    <row r="39" spans="1:29" ht="16" x14ac:dyDescent="0.2">
      <c r="A39" s="116" t="s">
        <v>120</v>
      </c>
      <c r="B39" s="116">
        <v>1</v>
      </c>
      <c r="C39" s="116" t="s">
        <v>114</v>
      </c>
      <c r="D39" s="116" t="s">
        <v>26</v>
      </c>
      <c r="E39" s="116" t="s">
        <v>2038</v>
      </c>
      <c r="F39" s="117">
        <f>SUMIFS(Investors!$M:$M,Investors!$O:$O,FALSE,Investors!$P:$P,FALSE,Investors!$K:$K,"&gt;"&amp;'NSST Print'!$B$3,Investors!$I:$I,"&lt;="&amp;'NSST Print'!$B$3,Investors!$A:$A,'Investor Exit List'!$A39,Investors!$E:$E,'Investor Exit List'!$C39,Investors!$L:$L,'Investor Exit List'!$B39)-(SUMIFS(Investors!$M:$M,Investors!$I:$I,"&lt;="&amp;'NSST Print'!$B$3,Investors!$J:$J,"&gt;"&amp;'NSST Print'!$B$3,Investors!$A:$A,'Investor Exit List'!$A39,Investors!$E:$E,'Investor Exit List'!$C39,Investors!$L:$L,'Investor Exit List'!$B39)+SUMIFS(Investors!$M:$M,Investors!$I:$I,"&lt;="&amp;'NSST Print'!$B$3,Investors!$J:$J,"",Investors!$A:$A,'Investor Exit List'!$A39,Investors!$E:$E,'Investor Exit List'!$C39,Investors!$L:$L,'Investor Exit List'!$B39))</f>
        <v>0</v>
      </c>
      <c r="G39" s="118">
        <v>44352</v>
      </c>
      <c r="H39" s="116" t="b">
        <f>VLOOKUP($C39,Sales!$C:$E,2,FALSE)</f>
        <v>1</v>
      </c>
      <c r="I39" s="116" t="b">
        <f>VLOOKUP($C39,Sales!$C:$E,3,FALSE)</f>
        <v>1</v>
      </c>
      <c r="J39" s="118">
        <f>SUMIFS(Sales!$H:$H,Sales!$C:$C,'Investor Exit List'!$C39)</f>
        <v>45688</v>
      </c>
      <c r="K39" s="118">
        <f t="shared" si="0"/>
        <v>45688</v>
      </c>
      <c r="L39" s="118">
        <f t="shared" si="1"/>
        <v>45082</v>
      </c>
      <c r="M39" s="118">
        <v>45443</v>
      </c>
      <c r="N39" s="119">
        <f t="shared" si="2"/>
        <v>0</v>
      </c>
      <c r="O39" s="119">
        <f t="shared" si="3"/>
        <v>0</v>
      </c>
      <c r="P39" s="117">
        <f t="shared" si="4"/>
        <v>0</v>
      </c>
      <c r="Q39" s="117">
        <f>SUMIFS(Investors!$M:$M,Investors!$O:$O,FALSE,Investors!$P:$P,FALSE,Investors!$K:$K,"&gt;"&amp;'NSST Print'!$B$3,Investors!$I:$I,"&lt;="&amp;'NSST Print'!$B$3,Investors!$A:$A,'Investor Exit List'!$A39,Investors!$E:$E,'Investor Exit List'!$C39,Investors!$L:$L,'Investor Exit List'!$B39)-(SUMIFS(Investors!$M:$M,Investors!$I:$I,"&lt;="&amp;'NSST Print'!$B$3,Investors!$J:$J,"&gt;"&amp;'NSST Print'!$B$3,Investors!$A:$A,'Investor Exit List'!$A39,Investors!$E:$E,'Investor Exit List'!$C39,Investors!$L:$L,'Investor Exit List'!$B39)+SUMIFS(Investors!$M:$M,Investors!$I:$I,"&lt;="&amp;'NSST Print'!$B$3,Investors!$J:$J,"",Investors!$A:$A,'Investor Exit List'!$A39,Investors!$E:$E,'Investor Exit List'!$C39,Investors!$L:$L,'Investor Exit List'!$B39))+SUMIFS(Investors!$S:$S,Investors!$O:$O,FALSE,Investors!$P:$P,FALSE,Investors!$K:$K,"&gt;"&amp;'NSST Print'!$B$3,Investors!$I:$I,"&lt;="&amp;'NSST Print'!$B$3,Investors!$A:$A,'Investor Exit List'!$A39,Investors!$E:$E,'Investor Exit List'!$C39,Investors!$L:$L,'Investor Exit List'!$B39)-(SUMIFS(Investors!$S:$S,Investors!$I:$I,"&lt;="&amp;'NSST Print'!$B$3,Investors!$J:$J,"&gt;"&amp;'NSST Print'!$B$3,Investors!$A:$A,'Investor Exit List'!$A39,Investors!$E:$E,'Investor Exit List'!$C39,Investors!$L:$L,'Investor Exit List'!$B39)+SUMIFS(Investors!$S:$S,Investors!$I:$I,"&lt;="&amp;'NSST Print'!$B$3,Investors!$J:$J,"",Investors!$A:$A,'Investor Exit List'!$A39,Investors!$E:$E,'Investor Exit List'!$C39,Investors!$L:$L,'Investor Exit List'!$B39))</f>
        <v>0</v>
      </c>
      <c r="R39" s="117">
        <f t="shared" si="5"/>
        <v>0</v>
      </c>
      <c r="S39" s="117">
        <f>SUMIFS(Investors!$M:$M,Investors!$O:$O,TRUE,Investors!$A:$A,'Investor Exit List'!$A39,Investors!$E:$E,'Investor Exit List'!$C39,Investors!$L:$L,'Investor Exit List'!$B39)+SUMIFS(Investors!$S:$S,Investors!$O:$O,TRUE,Investors!$A:$A,'Investor Exit List'!$A39,Investors!$E:$E,'Investor Exit List'!$C39,Investors!$L:$L,'Investor Exit List'!$B39)</f>
        <v>0</v>
      </c>
      <c r="T39" s="118" t="str">
        <f t="shared" si="6"/>
        <v/>
      </c>
      <c r="U39" s="116" t="b">
        <v>0</v>
      </c>
      <c r="V39" s="117">
        <f t="shared" si="7"/>
        <v>0</v>
      </c>
      <c r="W39" s="116">
        <v>0</v>
      </c>
      <c r="X39" s="116" t="b">
        <v>0</v>
      </c>
      <c r="Y39" s="119">
        <f>IF(H39=FALSE,VLOOKUP($C39,Sales!$C:$F,4,FALSE),1)</f>
        <v>1</v>
      </c>
      <c r="Z39" s="116" t="str">
        <f t="shared" si="8"/>
        <v/>
      </c>
      <c r="AA39" s="118">
        <f t="shared" si="9"/>
        <v>0</v>
      </c>
      <c r="AB39" s="118" t="str">
        <f t="shared" si="10"/>
        <v>HFA204-ZVAN01</v>
      </c>
      <c r="AC39" s="118">
        <f t="shared" si="11"/>
        <v>45082</v>
      </c>
    </row>
    <row r="40" spans="1:29" ht="16" x14ac:dyDescent="0.2">
      <c r="A40" s="116" t="s">
        <v>123</v>
      </c>
      <c r="B40" s="116">
        <v>10</v>
      </c>
      <c r="C40" s="116" t="s">
        <v>126</v>
      </c>
      <c r="D40" s="116" t="s">
        <v>26</v>
      </c>
      <c r="E40" s="116" t="s">
        <v>2039</v>
      </c>
      <c r="F40" s="117">
        <f>SUMIFS(Investors!$M:$M,Investors!$O:$O,FALSE,Investors!$P:$P,FALSE,Investors!$K:$K,"&gt;"&amp;'NSST Print'!$B$3,Investors!$I:$I,"&lt;="&amp;'NSST Print'!$B$3,Investors!$A:$A,'Investor Exit List'!$A40,Investors!$E:$E,'Investor Exit List'!$C40,Investors!$L:$L,'Investor Exit List'!$B40)-(SUMIFS(Investors!$M:$M,Investors!$I:$I,"&lt;="&amp;'NSST Print'!$B$3,Investors!$J:$J,"&gt;"&amp;'NSST Print'!$B$3,Investors!$A:$A,'Investor Exit List'!$A40,Investors!$E:$E,'Investor Exit List'!$C40,Investors!$L:$L,'Investor Exit List'!$B40)+SUMIFS(Investors!$M:$M,Investors!$I:$I,"&lt;="&amp;'NSST Print'!$B$3,Investors!$J:$J,"",Investors!$A:$A,'Investor Exit List'!$A40,Investors!$E:$E,'Investor Exit List'!$C40,Investors!$L:$L,'Investor Exit List'!$B40))</f>
        <v>0</v>
      </c>
      <c r="G40" s="118">
        <v>44772</v>
      </c>
      <c r="H40" s="116" t="b">
        <f>VLOOKUP($C40,Sales!$C:$E,2,FALSE)</f>
        <v>1</v>
      </c>
      <c r="I40" s="116" t="b">
        <f>VLOOKUP($C40,Sales!$C:$E,3,FALSE)</f>
        <v>1</v>
      </c>
      <c r="J40" s="118">
        <f>SUMIFS(Sales!$H:$H,Sales!$C:$C,'Investor Exit List'!$C40)</f>
        <v>45688</v>
      </c>
      <c r="K40" s="118">
        <f t="shared" si="0"/>
        <v>45688</v>
      </c>
      <c r="L40" s="118">
        <f t="shared" si="1"/>
        <v>45502</v>
      </c>
      <c r="M40" s="118">
        <v>45443</v>
      </c>
      <c r="N40" s="119">
        <f t="shared" si="2"/>
        <v>0</v>
      </c>
      <c r="O40" s="119">
        <f t="shared" si="3"/>
        <v>0</v>
      </c>
      <c r="P40" s="117">
        <f t="shared" si="4"/>
        <v>0</v>
      </c>
      <c r="Q40" s="117">
        <f>SUMIFS(Investors!$M:$M,Investors!$O:$O,FALSE,Investors!$P:$P,FALSE,Investors!$K:$K,"&gt;"&amp;'NSST Print'!$B$3,Investors!$I:$I,"&lt;="&amp;'NSST Print'!$B$3,Investors!$A:$A,'Investor Exit List'!$A40,Investors!$E:$E,'Investor Exit List'!$C40,Investors!$L:$L,'Investor Exit List'!$B40)-(SUMIFS(Investors!$M:$M,Investors!$I:$I,"&lt;="&amp;'NSST Print'!$B$3,Investors!$J:$J,"&gt;"&amp;'NSST Print'!$B$3,Investors!$A:$A,'Investor Exit List'!$A40,Investors!$E:$E,'Investor Exit List'!$C40,Investors!$L:$L,'Investor Exit List'!$B40)+SUMIFS(Investors!$M:$M,Investors!$I:$I,"&lt;="&amp;'NSST Print'!$B$3,Investors!$J:$J,"",Investors!$A:$A,'Investor Exit List'!$A40,Investors!$E:$E,'Investor Exit List'!$C40,Investors!$L:$L,'Investor Exit List'!$B40))+SUMIFS(Investors!$S:$S,Investors!$O:$O,FALSE,Investors!$P:$P,FALSE,Investors!$K:$K,"&gt;"&amp;'NSST Print'!$B$3,Investors!$I:$I,"&lt;="&amp;'NSST Print'!$B$3,Investors!$A:$A,'Investor Exit List'!$A40,Investors!$E:$E,'Investor Exit List'!$C40,Investors!$L:$L,'Investor Exit List'!$B40)-(SUMIFS(Investors!$S:$S,Investors!$I:$I,"&lt;="&amp;'NSST Print'!$B$3,Investors!$J:$J,"&gt;"&amp;'NSST Print'!$B$3,Investors!$A:$A,'Investor Exit List'!$A40,Investors!$E:$E,'Investor Exit List'!$C40,Investors!$L:$L,'Investor Exit List'!$B40)+SUMIFS(Investors!$S:$S,Investors!$I:$I,"&lt;="&amp;'NSST Print'!$B$3,Investors!$J:$J,"",Investors!$A:$A,'Investor Exit List'!$A40,Investors!$E:$E,'Investor Exit List'!$C40,Investors!$L:$L,'Investor Exit List'!$B40))</f>
        <v>0</v>
      </c>
      <c r="R40" s="117">
        <f t="shared" si="5"/>
        <v>0</v>
      </c>
      <c r="S40" s="117">
        <f>SUMIFS(Investors!$M:$M,Investors!$O:$O,TRUE,Investors!$A:$A,'Investor Exit List'!$A40,Investors!$E:$E,'Investor Exit List'!$C40,Investors!$L:$L,'Investor Exit List'!$B40)+SUMIFS(Investors!$S:$S,Investors!$O:$O,TRUE,Investors!$A:$A,'Investor Exit List'!$A40,Investors!$E:$E,'Investor Exit List'!$C40,Investors!$L:$L,'Investor Exit List'!$B40)</f>
        <v>0</v>
      </c>
      <c r="T40" s="118" t="str">
        <f t="shared" si="6"/>
        <v/>
      </c>
      <c r="U40" s="116" t="b">
        <v>0</v>
      </c>
      <c r="V40" s="117">
        <f t="shared" si="7"/>
        <v>0</v>
      </c>
      <c r="W40" s="116">
        <v>0</v>
      </c>
      <c r="X40" s="116" t="b">
        <v>0</v>
      </c>
      <c r="Y40" s="119">
        <f>IF(H40=FALSE,VLOOKUP($C40,Sales!$C:$F,4,FALSE),1)</f>
        <v>1</v>
      </c>
      <c r="Z40" s="116" t="str">
        <f t="shared" si="8"/>
        <v/>
      </c>
      <c r="AA40" s="118">
        <f t="shared" si="9"/>
        <v>0</v>
      </c>
      <c r="AB40" s="118" t="str">
        <f t="shared" si="10"/>
        <v>HFA205-ZHEI01</v>
      </c>
      <c r="AC40" s="118">
        <f t="shared" si="11"/>
        <v>45502</v>
      </c>
    </row>
    <row r="41" spans="1:29" ht="16" x14ac:dyDescent="0.2">
      <c r="A41" s="116" t="s">
        <v>127</v>
      </c>
      <c r="B41" s="116">
        <v>1</v>
      </c>
      <c r="C41" s="116" t="s">
        <v>126</v>
      </c>
      <c r="D41" s="116" t="s">
        <v>26</v>
      </c>
      <c r="E41" s="116" t="s">
        <v>2040</v>
      </c>
      <c r="F41" s="117">
        <f>SUMIFS(Investors!$M:$M,Investors!$O:$O,FALSE,Investors!$P:$P,FALSE,Investors!$K:$K,"&gt;"&amp;'NSST Print'!$B$3,Investors!$I:$I,"&lt;="&amp;'NSST Print'!$B$3,Investors!$A:$A,'Investor Exit List'!$A41,Investors!$E:$E,'Investor Exit List'!$C41,Investors!$L:$L,'Investor Exit List'!$B41)-(SUMIFS(Investors!$M:$M,Investors!$I:$I,"&lt;="&amp;'NSST Print'!$B$3,Investors!$J:$J,"&gt;"&amp;'NSST Print'!$B$3,Investors!$A:$A,'Investor Exit List'!$A41,Investors!$E:$E,'Investor Exit List'!$C41,Investors!$L:$L,'Investor Exit List'!$B41)+SUMIFS(Investors!$M:$M,Investors!$I:$I,"&lt;="&amp;'NSST Print'!$B$3,Investors!$J:$J,"",Investors!$A:$A,'Investor Exit List'!$A41,Investors!$E:$E,'Investor Exit List'!$C41,Investors!$L:$L,'Investor Exit List'!$B41))</f>
        <v>0</v>
      </c>
      <c r="G41" s="118">
        <v>44352</v>
      </c>
      <c r="H41" s="116" t="b">
        <f>VLOOKUP($C41,Sales!$C:$E,2,FALSE)</f>
        <v>1</v>
      </c>
      <c r="I41" s="116" t="b">
        <f>VLOOKUP($C41,Sales!$C:$E,3,FALSE)</f>
        <v>1</v>
      </c>
      <c r="J41" s="118">
        <f>SUMIFS(Sales!$H:$H,Sales!$C:$C,'Investor Exit List'!$C41)</f>
        <v>45688</v>
      </c>
      <c r="K41" s="118">
        <f t="shared" si="0"/>
        <v>45688</v>
      </c>
      <c r="L41" s="118">
        <f t="shared" si="1"/>
        <v>45082</v>
      </c>
      <c r="M41" s="118">
        <v>45443</v>
      </c>
      <c r="N41" s="119">
        <f t="shared" si="2"/>
        <v>0</v>
      </c>
      <c r="O41" s="119">
        <f t="shared" si="3"/>
        <v>0</v>
      </c>
      <c r="P41" s="117">
        <f t="shared" si="4"/>
        <v>0</v>
      </c>
      <c r="Q41" s="117">
        <f>SUMIFS(Investors!$M:$M,Investors!$O:$O,FALSE,Investors!$P:$P,FALSE,Investors!$K:$K,"&gt;"&amp;'NSST Print'!$B$3,Investors!$I:$I,"&lt;="&amp;'NSST Print'!$B$3,Investors!$A:$A,'Investor Exit List'!$A41,Investors!$E:$E,'Investor Exit List'!$C41,Investors!$L:$L,'Investor Exit List'!$B41)-(SUMIFS(Investors!$M:$M,Investors!$I:$I,"&lt;="&amp;'NSST Print'!$B$3,Investors!$J:$J,"&gt;"&amp;'NSST Print'!$B$3,Investors!$A:$A,'Investor Exit List'!$A41,Investors!$E:$E,'Investor Exit List'!$C41,Investors!$L:$L,'Investor Exit List'!$B41)+SUMIFS(Investors!$M:$M,Investors!$I:$I,"&lt;="&amp;'NSST Print'!$B$3,Investors!$J:$J,"",Investors!$A:$A,'Investor Exit List'!$A41,Investors!$E:$E,'Investor Exit List'!$C41,Investors!$L:$L,'Investor Exit List'!$B41))+SUMIFS(Investors!$S:$S,Investors!$O:$O,FALSE,Investors!$P:$P,FALSE,Investors!$K:$K,"&gt;"&amp;'NSST Print'!$B$3,Investors!$I:$I,"&lt;="&amp;'NSST Print'!$B$3,Investors!$A:$A,'Investor Exit List'!$A41,Investors!$E:$E,'Investor Exit List'!$C41,Investors!$L:$L,'Investor Exit List'!$B41)-(SUMIFS(Investors!$S:$S,Investors!$I:$I,"&lt;="&amp;'NSST Print'!$B$3,Investors!$J:$J,"&gt;"&amp;'NSST Print'!$B$3,Investors!$A:$A,'Investor Exit List'!$A41,Investors!$E:$E,'Investor Exit List'!$C41,Investors!$L:$L,'Investor Exit List'!$B41)+SUMIFS(Investors!$S:$S,Investors!$I:$I,"&lt;="&amp;'NSST Print'!$B$3,Investors!$J:$J,"",Investors!$A:$A,'Investor Exit List'!$A41,Investors!$E:$E,'Investor Exit List'!$C41,Investors!$L:$L,'Investor Exit List'!$B41))</f>
        <v>0</v>
      </c>
      <c r="R41" s="117">
        <f t="shared" si="5"/>
        <v>0</v>
      </c>
      <c r="S41" s="117">
        <f>SUMIFS(Investors!$M:$M,Investors!$O:$O,TRUE,Investors!$A:$A,'Investor Exit List'!$A41,Investors!$E:$E,'Investor Exit List'!$C41,Investors!$L:$L,'Investor Exit List'!$B41)+SUMIFS(Investors!$S:$S,Investors!$O:$O,TRUE,Investors!$A:$A,'Investor Exit List'!$A41,Investors!$E:$E,'Investor Exit List'!$C41,Investors!$L:$L,'Investor Exit List'!$B41)</f>
        <v>119910.95890410959</v>
      </c>
      <c r="T41" s="118">
        <f t="shared" si="6"/>
        <v>45688</v>
      </c>
      <c r="U41" s="116" t="b">
        <v>1</v>
      </c>
      <c r="V41" s="117">
        <f t="shared" si="7"/>
        <v>119910.95890410959</v>
      </c>
      <c r="W41" s="116">
        <v>0</v>
      </c>
      <c r="X41" s="116" t="b">
        <v>0</v>
      </c>
      <c r="Y41" s="119">
        <f>IF(H41=FALSE,VLOOKUP($C41,Sales!$C:$F,4,FALSE),1)</f>
        <v>1</v>
      </c>
      <c r="Z41" s="116" t="str">
        <f t="shared" si="8"/>
        <v/>
      </c>
      <c r="AA41" s="118">
        <f t="shared" si="9"/>
        <v>0</v>
      </c>
      <c r="AB41" s="118" t="str">
        <f t="shared" si="10"/>
        <v>HFA205-ZHEY01</v>
      </c>
      <c r="AC41" s="118">
        <f t="shared" si="11"/>
        <v>45082</v>
      </c>
    </row>
    <row r="42" spans="1:29" ht="16" x14ac:dyDescent="0.2">
      <c r="A42" s="116" t="s">
        <v>117</v>
      </c>
      <c r="B42" s="116">
        <v>2</v>
      </c>
      <c r="C42" s="116" t="s">
        <v>126</v>
      </c>
      <c r="D42" s="116" t="s">
        <v>26</v>
      </c>
      <c r="E42" s="116" t="s">
        <v>2037</v>
      </c>
      <c r="F42" s="117">
        <f>SUMIFS(Investors!$M:$M,Investors!$O:$O,FALSE,Investors!$P:$P,FALSE,Investors!$K:$K,"&gt;"&amp;'NSST Print'!$B$3,Investors!$I:$I,"&lt;="&amp;'NSST Print'!$B$3,Investors!$A:$A,'Investor Exit List'!$A42,Investors!$E:$E,'Investor Exit List'!$C42,Investors!$L:$L,'Investor Exit List'!$B42)-(SUMIFS(Investors!$M:$M,Investors!$I:$I,"&lt;="&amp;'NSST Print'!$B$3,Investors!$J:$J,"&gt;"&amp;'NSST Print'!$B$3,Investors!$A:$A,'Investor Exit List'!$A42,Investors!$E:$E,'Investor Exit List'!$C42,Investors!$L:$L,'Investor Exit List'!$B42)+SUMIFS(Investors!$M:$M,Investors!$I:$I,"&lt;="&amp;'NSST Print'!$B$3,Investors!$J:$J,"",Investors!$A:$A,'Investor Exit List'!$A42,Investors!$E:$E,'Investor Exit List'!$C42,Investors!$L:$L,'Investor Exit List'!$B42))</f>
        <v>0</v>
      </c>
      <c r="G42" s="118">
        <v>44352</v>
      </c>
      <c r="H42" s="116" t="b">
        <f>VLOOKUP($C42,Sales!$C:$E,2,FALSE)</f>
        <v>1</v>
      </c>
      <c r="I42" s="116" t="b">
        <f>VLOOKUP($C42,Sales!$C:$E,3,FALSE)</f>
        <v>1</v>
      </c>
      <c r="J42" s="118">
        <f>SUMIFS(Sales!$H:$H,Sales!$C:$C,'Investor Exit List'!$C42)</f>
        <v>45688</v>
      </c>
      <c r="K42" s="118">
        <f t="shared" si="0"/>
        <v>45688</v>
      </c>
      <c r="L42" s="118">
        <f t="shared" si="1"/>
        <v>45082</v>
      </c>
      <c r="M42" s="118">
        <v>45443</v>
      </c>
      <c r="N42" s="119">
        <f t="shared" si="2"/>
        <v>0</v>
      </c>
      <c r="O42" s="119">
        <f t="shared" si="3"/>
        <v>0</v>
      </c>
      <c r="P42" s="117">
        <f t="shared" si="4"/>
        <v>0</v>
      </c>
      <c r="Q42" s="117">
        <f>SUMIFS(Investors!$M:$M,Investors!$O:$O,FALSE,Investors!$P:$P,FALSE,Investors!$K:$K,"&gt;"&amp;'NSST Print'!$B$3,Investors!$I:$I,"&lt;="&amp;'NSST Print'!$B$3,Investors!$A:$A,'Investor Exit List'!$A42,Investors!$E:$E,'Investor Exit List'!$C42,Investors!$L:$L,'Investor Exit List'!$B42)-(SUMIFS(Investors!$M:$M,Investors!$I:$I,"&lt;="&amp;'NSST Print'!$B$3,Investors!$J:$J,"&gt;"&amp;'NSST Print'!$B$3,Investors!$A:$A,'Investor Exit List'!$A42,Investors!$E:$E,'Investor Exit List'!$C42,Investors!$L:$L,'Investor Exit List'!$B42)+SUMIFS(Investors!$M:$M,Investors!$I:$I,"&lt;="&amp;'NSST Print'!$B$3,Investors!$J:$J,"",Investors!$A:$A,'Investor Exit List'!$A42,Investors!$E:$E,'Investor Exit List'!$C42,Investors!$L:$L,'Investor Exit List'!$B42))+SUMIFS(Investors!$S:$S,Investors!$O:$O,FALSE,Investors!$P:$P,FALSE,Investors!$K:$K,"&gt;"&amp;'NSST Print'!$B$3,Investors!$I:$I,"&lt;="&amp;'NSST Print'!$B$3,Investors!$A:$A,'Investor Exit List'!$A42,Investors!$E:$E,'Investor Exit List'!$C42,Investors!$L:$L,'Investor Exit List'!$B42)-(SUMIFS(Investors!$S:$S,Investors!$I:$I,"&lt;="&amp;'NSST Print'!$B$3,Investors!$J:$J,"&gt;"&amp;'NSST Print'!$B$3,Investors!$A:$A,'Investor Exit List'!$A42,Investors!$E:$E,'Investor Exit List'!$C42,Investors!$L:$L,'Investor Exit List'!$B42)+SUMIFS(Investors!$S:$S,Investors!$I:$I,"&lt;="&amp;'NSST Print'!$B$3,Investors!$J:$J,"",Investors!$A:$A,'Investor Exit List'!$A42,Investors!$E:$E,'Investor Exit List'!$C42,Investors!$L:$L,'Investor Exit List'!$B42))</f>
        <v>0</v>
      </c>
      <c r="R42" s="117">
        <f t="shared" si="5"/>
        <v>0</v>
      </c>
      <c r="S42" s="117">
        <f>SUMIFS(Investors!$M:$M,Investors!$O:$O,TRUE,Investors!$A:$A,'Investor Exit List'!$A42,Investors!$E:$E,'Investor Exit List'!$C42,Investors!$L:$L,'Investor Exit List'!$B42)+SUMIFS(Investors!$S:$S,Investors!$O:$O,TRUE,Investors!$A:$A,'Investor Exit List'!$A42,Investors!$E:$E,'Investor Exit List'!$C42,Investors!$L:$L,'Investor Exit List'!$B42)</f>
        <v>0</v>
      </c>
      <c r="T42" s="118" t="str">
        <f t="shared" si="6"/>
        <v/>
      </c>
      <c r="U42" s="116" t="b">
        <v>0</v>
      </c>
      <c r="V42" s="117">
        <f t="shared" si="7"/>
        <v>0</v>
      </c>
      <c r="W42" s="116">
        <v>0</v>
      </c>
      <c r="X42" s="116" t="b">
        <v>0</v>
      </c>
      <c r="Y42" s="119">
        <f>IF(H42=FALSE,VLOOKUP($C42,Sales!$C:$F,4,FALSE),1)</f>
        <v>1</v>
      </c>
      <c r="Z42" s="116" t="str">
        <f t="shared" si="8"/>
        <v/>
      </c>
      <c r="AA42" s="118">
        <f t="shared" si="9"/>
        <v>0</v>
      </c>
      <c r="AB42" s="118" t="str">
        <f t="shared" si="10"/>
        <v>HFA205-ZKOO01</v>
      </c>
      <c r="AC42" s="118">
        <f t="shared" si="11"/>
        <v>45082</v>
      </c>
    </row>
    <row r="43" spans="1:29" ht="16" x14ac:dyDescent="0.2">
      <c r="A43" s="116" t="s">
        <v>130</v>
      </c>
      <c r="B43" s="116">
        <v>1</v>
      </c>
      <c r="C43" s="116" t="s">
        <v>126</v>
      </c>
      <c r="D43" s="116" t="s">
        <v>26</v>
      </c>
      <c r="E43" s="116" t="s">
        <v>2041</v>
      </c>
      <c r="F43" s="117">
        <f>SUMIFS(Investors!$M:$M,Investors!$O:$O,FALSE,Investors!$P:$P,FALSE,Investors!$K:$K,"&gt;"&amp;'NSST Print'!$B$3,Investors!$I:$I,"&lt;="&amp;'NSST Print'!$B$3,Investors!$A:$A,'Investor Exit List'!$A43,Investors!$E:$E,'Investor Exit List'!$C43,Investors!$L:$L,'Investor Exit List'!$B43)-(SUMIFS(Investors!$M:$M,Investors!$I:$I,"&lt;="&amp;'NSST Print'!$B$3,Investors!$J:$J,"&gt;"&amp;'NSST Print'!$B$3,Investors!$A:$A,'Investor Exit List'!$A43,Investors!$E:$E,'Investor Exit List'!$C43,Investors!$L:$L,'Investor Exit List'!$B43)+SUMIFS(Investors!$M:$M,Investors!$I:$I,"&lt;="&amp;'NSST Print'!$B$3,Investors!$J:$J,"",Investors!$A:$A,'Investor Exit List'!$A43,Investors!$E:$E,'Investor Exit List'!$C43,Investors!$L:$L,'Investor Exit List'!$B43))</f>
        <v>0</v>
      </c>
      <c r="G43" s="118">
        <v>44378</v>
      </c>
      <c r="H43" s="116" t="b">
        <f>VLOOKUP($C43,Sales!$C:$E,2,FALSE)</f>
        <v>1</v>
      </c>
      <c r="I43" s="116" t="b">
        <f>VLOOKUP($C43,Sales!$C:$E,3,FALSE)</f>
        <v>1</v>
      </c>
      <c r="J43" s="118">
        <f>SUMIFS(Sales!$H:$H,Sales!$C:$C,'Investor Exit List'!$C43)</f>
        <v>45688</v>
      </c>
      <c r="K43" s="118">
        <f t="shared" si="0"/>
        <v>45688</v>
      </c>
      <c r="L43" s="118">
        <f t="shared" si="1"/>
        <v>45108</v>
      </c>
      <c r="M43" s="118">
        <v>45443</v>
      </c>
      <c r="N43" s="119">
        <f t="shared" si="2"/>
        <v>0</v>
      </c>
      <c r="O43" s="119">
        <f t="shared" si="3"/>
        <v>0</v>
      </c>
      <c r="P43" s="117">
        <f t="shared" si="4"/>
        <v>0</v>
      </c>
      <c r="Q43" s="117">
        <f>SUMIFS(Investors!$M:$M,Investors!$O:$O,FALSE,Investors!$P:$P,FALSE,Investors!$K:$K,"&gt;"&amp;'NSST Print'!$B$3,Investors!$I:$I,"&lt;="&amp;'NSST Print'!$B$3,Investors!$A:$A,'Investor Exit List'!$A43,Investors!$E:$E,'Investor Exit List'!$C43,Investors!$L:$L,'Investor Exit List'!$B43)-(SUMIFS(Investors!$M:$M,Investors!$I:$I,"&lt;="&amp;'NSST Print'!$B$3,Investors!$J:$J,"&gt;"&amp;'NSST Print'!$B$3,Investors!$A:$A,'Investor Exit List'!$A43,Investors!$E:$E,'Investor Exit List'!$C43,Investors!$L:$L,'Investor Exit List'!$B43)+SUMIFS(Investors!$M:$M,Investors!$I:$I,"&lt;="&amp;'NSST Print'!$B$3,Investors!$J:$J,"",Investors!$A:$A,'Investor Exit List'!$A43,Investors!$E:$E,'Investor Exit List'!$C43,Investors!$L:$L,'Investor Exit List'!$B43))+SUMIFS(Investors!$S:$S,Investors!$O:$O,FALSE,Investors!$P:$P,FALSE,Investors!$K:$K,"&gt;"&amp;'NSST Print'!$B$3,Investors!$I:$I,"&lt;="&amp;'NSST Print'!$B$3,Investors!$A:$A,'Investor Exit List'!$A43,Investors!$E:$E,'Investor Exit List'!$C43,Investors!$L:$L,'Investor Exit List'!$B43)-(SUMIFS(Investors!$S:$S,Investors!$I:$I,"&lt;="&amp;'NSST Print'!$B$3,Investors!$J:$J,"&gt;"&amp;'NSST Print'!$B$3,Investors!$A:$A,'Investor Exit List'!$A43,Investors!$E:$E,'Investor Exit List'!$C43,Investors!$L:$L,'Investor Exit List'!$B43)+SUMIFS(Investors!$S:$S,Investors!$I:$I,"&lt;="&amp;'NSST Print'!$B$3,Investors!$J:$J,"",Investors!$A:$A,'Investor Exit List'!$A43,Investors!$E:$E,'Investor Exit List'!$C43,Investors!$L:$L,'Investor Exit List'!$B43))</f>
        <v>0</v>
      </c>
      <c r="R43" s="117">
        <f t="shared" si="5"/>
        <v>0</v>
      </c>
      <c r="S43" s="117">
        <f>SUMIFS(Investors!$M:$M,Investors!$O:$O,TRUE,Investors!$A:$A,'Investor Exit List'!$A43,Investors!$E:$E,'Investor Exit List'!$C43,Investors!$L:$L,'Investor Exit List'!$B43)+SUMIFS(Investors!$S:$S,Investors!$O:$O,TRUE,Investors!$A:$A,'Investor Exit List'!$A43,Investors!$E:$E,'Investor Exit List'!$C43,Investors!$L:$L,'Investor Exit List'!$B43)</f>
        <v>0</v>
      </c>
      <c r="T43" s="118" t="str">
        <f t="shared" si="6"/>
        <v/>
      </c>
      <c r="U43" s="116" t="b">
        <v>0</v>
      </c>
      <c r="V43" s="117">
        <f t="shared" si="7"/>
        <v>0</v>
      </c>
      <c r="W43" s="116">
        <v>0</v>
      </c>
      <c r="X43" s="116" t="b">
        <v>0</v>
      </c>
      <c r="Y43" s="119">
        <f>IF(H43=FALSE,VLOOKUP($C43,Sales!$C:$F,4,FALSE),1)</f>
        <v>1</v>
      </c>
      <c r="Z43" s="116" t="str">
        <f t="shared" si="8"/>
        <v/>
      </c>
      <c r="AA43" s="118">
        <f t="shared" si="9"/>
        <v>0</v>
      </c>
      <c r="AB43" s="118" t="str">
        <f t="shared" si="10"/>
        <v>HFA205-ZTPI01</v>
      </c>
      <c r="AC43" s="118">
        <f t="shared" si="11"/>
        <v>45108</v>
      </c>
    </row>
    <row r="44" spans="1:29" ht="16" x14ac:dyDescent="0.2">
      <c r="A44" s="116" t="s">
        <v>133</v>
      </c>
      <c r="B44" s="116">
        <v>1</v>
      </c>
      <c r="C44" s="116" t="s">
        <v>136</v>
      </c>
      <c r="D44" s="116" t="s">
        <v>26</v>
      </c>
      <c r="E44" s="116" t="s">
        <v>2042</v>
      </c>
      <c r="F44" s="117">
        <f>SUMIFS(Investors!$M:$M,Investors!$O:$O,FALSE,Investors!$P:$P,FALSE,Investors!$K:$K,"&gt;"&amp;'NSST Print'!$B$3,Investors!$I:$I,"&lt;="&amp;'NSST Print'!$B$3,Investors!$A:$A,'Investor Exit List'!$A44,Investors!$E:$E,'Investor Exit List'!$C44,Investors!$L:$L,'Investor Exit List'!$B44)-(SUMIFS(Investors!$M:$M,Investors!$I:$I,"&lt;="&amp;'NSST Print'!$B$3,Investors!$J:$J,"&gt;"&amp;'NSST Print'!$B$3,Investors!$A:$A,'Investor Exit List'!$A44,Investors!$E:$E,'Investor Exit List'!$C44,Investors!$L:$L,'Investor Exit List'!$B44)+SUMIFS(Investors!$M:$M,Investors!$I:$I,"&lt;="&amp;'NSST Print'!$B$3,Investors!$J:$J,"",Investors!$A:$A,'Investor Exit List'!$A44,Investors!$E:$E,'Investor Exit List'!$C44,Investors!$L:$L,'Investor Exit List'!$B44))</f>
        <v>0</v>
      </c>
      <c r="G44" s="118">
        <v>44352</v>
      </c>
      <c r="H44" s="116" t="b">
        <f>VLOOKUP($C44,Sales!$C:$E,2,FALSE)</f>
        <v>1</v>
      </c>
      <c r="I44" s="116" t="b">
        <f>VLOOKUP($C44,Sales!$C:$E,3,FALSE)</f>
        <v>1</v>
      </c>
      <c r="J44" s="118">
        <f>SUMIFS(Sales!$H:$H,Sales!$C:$C,'Investor Exit List'!$C44)</f>
        <v>45688</v>
      </c>
      <c r="K44" s="118">
        <f t="shared" si="0"/>
        <v>45688</v>
      </c>
      <c r="L44" s="118">
        <f t="shared" si="1"/>
        <v>45082</v>
      </c>
      <c r="M44" s="118">
        <v>45443</v>
      </c>
      <c r="N44" s="119">
        <f t="shared" si="2"/>
        <v>0</v>
      </c>
      <c r="O44" s="119">
        <f t="shared" si="3"/>
        <v>0</v>
      </c>
      <c r="P44" s="117">
        <f t="shared" si="4"/>
        <v>0</v>
      </c>
      <c r="Q44" s="117">
        <f>SUMIFS(Investors!$M:$M,Investors!$O:$O,FALSE,Investors!$P:$P,FALSE,Investors!$K:$K,"&gt;"&amp;'NSST Print'!$B$3,Investors!$I:$I,"&lt;="&amp;'NSST Print'!$B$3,Investors!$A:$A,'Investor Exit List'!$A44,Investors!$E:$E,'Investor Exit List'!$C44,Investors!$L:$L,'Investor Exit List'!$B44)-(SUMIFS(Investors!$M:$M,Investors!$I:$I,"&lt;="&amp;'NSST Print'!$B$3,Investors!$J:$J,"&gt;"&amp;'NSST Print'!$B$3,Investors!$A:$A,'Investor Exit List'!$A44,Investors!$E:$E,'Investor Exit List'!$C44,Investors!$L:$L,'Investor Exit List'!$B44)+SUMIFS(Investors!$M:$M,Investors!$I:$I,"&lt;="&amp;'NSST Print'!$B$3,Investors!$J:$J,"",Investors!$A:$A,'Investor Exit List'!$A44,Investors!$E:$E,'Investor Exit List'!$C44,Investors!$L:$L,'Investor Exit List'!$B44))+SUMIFS(Investors!$S:$S,Investors!$O:$O,FALSE,Investors!$P:$P,FALSE,Investors!$K:$K,"&gt;"&amp;'NSST Print'!$B$3,Investors!$I:$I,"&lt;="&amp;'NSST Print'!$B$3,Investors!$A:$A,'Investor Exit List'!$A44,Investors!$E:$E,'Investor Exit List'!$C44,Investors!$L:$L,'Investor Exit List'!$B44)-(SUMIFS(Investors!$S:$S,Investors!$I:$I,"&lt;="&amp;'NSST Print'!$B$3,Investors!$J:$J,"&gt;"&amp;'NSST Print'!$B$3,Investors!$A:$A,'Investor Exit List'!$A44,Investors!$E:$E,'Investor Exit List'!$C44,Investors!$L:$L,'Investor Exit List'!$B44)+SUMIFS(Investors!$S:$S,Investors!$I:$I,"&lt;="&amp;'NSST Print'!$B$3,Investors!$J:$J,"",Investors!$A:$A,'Investor Exit List'!$A44,Investors!$E:$E,'Investor Exit List'!$C44,Investors!$L:$L,'Investor Exit List'!$B44))</f>
        <v>0</v>
      </c>
      <c r="R44" s="117">
        <f t="shared" si="5"/>
        <v>0</v>
      </c>
      <c r="S44" s="117">
        <f>SUMIFS(Investors!$M:$M,Investors!$O:$O,TRUE,Investors!$A:$A,'Investor Exit List'!$A44,Investors!$E:$E,'Investor Exit List'!$C44,Investors!$L:$L,'Investor Exit List'!$B44)+SUMIFS(Investors!$S:$S,Investors!$O:$O,TRUE,Investors!$A:$A,'Investor Exit List'!$A44,Investors!$E:$E,'Investor Exit List'!$C44,Investors!$L:$L,'Investor Exit List'!$B44)</f>
        <v>0</v>
      </c>
      <c r="T44" s="118" t="str">
        <f t="shared" si="6"/>
        <v/>
      </c>
      <c r="U44" s="116" t="b">
        <v>0</v>
      </c>
      <c r="V44" s="117">
        <f t="shared" si="7"/>
        <v>0</v>
      </c>
      <c r="W44" s="116">
        <v>0</v>
      </c>
      <c r="X44" s="116" t="b">
        <v>0</v>
      </c>
      <c r="Y44" s="119">
        <f>IF(H44=FALSE,VLOOKUP($C44,Sales!$C:$F,4,FALSE),1)</f>
        <v>1</v>
      </c>
      <c r="Z44" s="116" t="str">
        <f t="shared" si="8"/>
        <v/>
      </c>
      <c r="AA44" s="118">
        <f t="shared" si="9"/>
        <v>0</v>
      </c>
      <c r="AB44" s="118" t="str">
        <f t="shared" si="10"/>
        <v>HFA206-ZBOH01</v>
      </c>
      <c r="AC44" s="118">
        <f t="shared" si="11"/>
        <v>45082</v>
      </c>
    </row>
    <row r="45" spans="1:29" ht="16" x14ac:dyDescent="0.2">
      <c r="A45" s="116" t="s">
        <v>137</v>
      </c>
      <c r="B45" s="116">
        <v>1</v>
      </c>
      <c r="C45" s="116" t="s">
        <v>136</v>
      </c>
      <c r="D45" s="116" t="s">
        <v>26</v>
      </c>
      <c r="E45" s="116" t="s">
        <v>2043</v>
      </c>
      <c r="F45" s="117">
        <f>SUMIFS(Investors!$M:$M,Investors!$O:$O,FALSE,Investors!$P:$P,FALSE,Investors!$K:$K,"&gt;"&amp;'NSST Print'!$B$3,Investors!$I:$I,"&lt;="&amp;'NSST Print'!$B$3,Investors!$A:$A,'Investor Exit List'!$A45,Investors!$E:$E,'Investor Exit List'!$C45,Investors!$L:$L,'Investor Exit List'!$B45)-(SUMIFS(Investors!$M:$M,Investors!$I:$I,"&lt;="&amp;'NSST Print'!$B$3,Investors!$J:$J,"&gt;"&amp;'NSST Print'!$B$3,Investors!$A:$A,'Investor Exit List'!$A45,Investors!$E:$E,'Investor Exit List'!$C45,Investors!$L:$L,'Investor Exit List'!$B45)+SUMIFS(Investors!$M:$M,Investors!$I:$I,"&lt;="&amp;'NSST Print'!$B$3,Investors!$J:$J,"",Investors!$A:$A,'Investor Exit List'!$A45,Investors!$E:$E,'Investor Exit List'!$C45,Investors!$L:$L,'Investor Exit List'!$B45))</f>
        <v>0</v>
      </c>
      <c r="G45" s="118">
        <v>44352</v>
      </c>
      <c r="H45" s="116" t="b">
        <f>VLOOKUP($C45,Sales!$C:$E,2,FALSE)</f>
        <v>1</v>
      </c>
      <c r="I45" s="116" t="b">
        <f>VLOOKUP($C45,Sales!$C:$E,3,FALSE)</f>
        <v>1</v>
      </c>
      <c r="J45" s="118">
        <f>SUMIFS(Sales!$H:$H,Sales!$C:$C,'Investor Exit List'!$C45)</f>
        <v>45688</v>
      </c>
      <c r="K45" s="118">
        <f t="shared" si="0"/>
        <v>45688</v>
      </c>
      <c r="L45" s="118">
        <f t="shared" si="1"/>
        <v>45082</v>
      </c>
      <c r="M45" s="118">
        <v>45443</v>
      </c>
      <c r="N45" s="119">
        <f t="shared" si="2"/>
        <v>0</v>
      </c>
      <c r="O45" s="119">
        <f t="shared" si="3"/>
        <v>0</v>
      </c>
      <c r="P45" s="117">
        <f t="shared" si="4"/>
        <v>0</v>
      </c>
      <c r="Q45" s="117">
        <f>SUMIFS(Investors!$M:$M,Investors!$O:$O,FALSE,Investors!$P:$P,FALSE,Investors!$K:$K,"&gt;"&amp;'NSST Print'!$B$3,Investors!$I:$I,"&lt;="&amp;'NSST Print'!$B$3,Investors!$A:$A,'Investor Exit List'!$A45,Investors!$E:$E,'Investor Exit List'!$C45,Investors!$L:$L,'Investor Exit List'!$B45)-(SUMIFS(Investors!$M:$M,Investors!$I:$I,"&lt;="&amp;'NSST Print'!$B$3,Investors!$J:$J,"&gt;"&amp;'NSST Print'!$B$3,Investors!$A:$A,'Investor Exit List'!$A45,Investors!$E:$E,'Investor Exit List'!$C45,Investors!$L:$L,'Investor Exit List'!$B45)+SUMIFS(Investors!$M:$M,Investors!$I:$I,"&lt;="&amp;'NSST Print'!$B$3,Investors!$J:$J,"",Investors!$A:$A,'Investor Exit List'!$A45,Investors!$E:$E,'Investor Exit List'!$C45,Investors!$L:$L,'Investor Exit List'!$B45))+SUMIFS(Investors!$S:$S,Investors!$O:$O,FALSE,Investors!$P:$P,FALSE,Investors!$K:$K,"&gt;"&amp;'NSST Print'!$B$3,Investors!$I:$I,"&lt;="&amp;'NSST Print'!$B$3,Investors!$A:$A,'Investor Exit List'!$A45,Investors!$E:$E,'Investor Exit List'!$C45,Investors!$L:$L,'Investor Exit List'!$B45)-(SUMIFS(Investors!$S:$S,Investors!$I:$I,"&lt;="&amp;'NSST Print'!$B$3,Investors!$J:$J,"&gt;"&amp;'NSST Print'!$B$3,Investors!$A:$A,'Investor Exit List'!$A45,Investors!$E:$E,'Investor Exit List'!$C45,Investors!$L:$L,'Investor Exit List'!$B45)+SUMIFS(Investors!$S:$S,Investors!$I:$I,"&lt;="&amp;'NSST Print'!$B$3,Investors!$J:$J,"",Investors!$A:$A,'Investor Exit List'!$A45,Investors!$E:$E,'Investor Exit List'!$C45,Investors!$L:$L,'Investor Exit List'!$B45))</f>
        <v>0</v>
      </c>
      <c r="R45" s="117">
        <f t="shared" si="5"/>
        <v>0</v>
      </c>
      <c r="S45" s="117">
        <f>SUMIFS(Investors!$M:$M,Investors!$O:$O,TRUE,Investors!$A:$A,'Investor Exit List'!$A45,Investors!$E:$E,'Investor Exit List'!$C45,Investors!$L:$L,'Investor Exit List'!$B45)+SUMIFS(Investors!$S:$S,Investors!$O:$O,TRUE,Investors!$A:$A,'Investor Exit List'!$A45,Investors!$E:$E,'Investor Exit List'!$C45,Investors!$L:$L,'Investor Exit List'!$B45)</f>
        <v>0</v>
      </c>
      <c r="T45" s="118" t="str">
        <f t="shared" si="6"/>
        <v/>
      </c>
      <c r="U45" s="116" t="b">
        <v>0</v>
      </c>
      <c r="V45" s="117">
        <f t="shared" si="7"/>
        <v>0</v>
      </c>
      <c r="W45" s="116">
        <v>0</v>
      </c>
      <c r="X45" s="116" t="b">
        <v>0</v>
      </c>
      <c r="Y45" s="119">
        <f>IF(H45=FALSE,VLOOKUP($C45,Sales!$C:$F,4,FALSE),1)</f>
        <v>1</v>
      </c>
      <c r="Z45" s="116" t="str">
        <f t="shared" si="8"/>
        <v/>
      </c>
      <c r="AA45" s="118">
        <f t="shared" si="9"/>
        <v>0</v>
      </c>
      <c r="AB45" s="118" t="str">
        <f t="shared" si="10"/>
        <v>HFA206-ZLEW02</v>
      </c>
      <c r="AC45" s="118">
        <f t="shared" si="11"/>
        <v>45082</v>
      </c>
    </row>
    <row r="46" spans="1:29" ht="16" x14ac:dyDescent="0.2">
      <c r="A46" s="116" t="s">
        <v>139</v>
      </c>
      <c r="B46" s="116">
        <v>3</v>
      </c>
      <c r="C46" s="116" t="s">
        <v>136</v>
      </c>
      <c r="D46" s="116" t="s">
        <v>26</v>
      </c>
      <c r="E46" s="116" t="s">
        <v>2044</v>
      </c>
      <c r="F46" s="117">
        <f>SUMIFS(Investors!$M:$M,Investors!$O:$O,FALSE,Investors!$P:$P,FALSE,Investors!$K:$K,"&gt;"&amp;'NSST Print'!$B$3,Investors!$I:$I,"&lt;="&amp;'NSST Print'!$B$3,Investors!$A:$A,'Investor Exit List'!$A46,Investors!$E:$E,'Investor Exit List'!$C46,Investors!$L:$L,'Investor Exit List'!$B46)-(SUMIFS(Investors!$M:$M,Investors!$I:$I,"&lt;="&amp;'NSST Print'!$B$3,Investors!$J:$J,"&gt;"&amp;'NSST Print'!$B$3,Investors!$A:$A,'Investor Exit List'!$A46,Investors!$E:$E,'Investor Exit List'!$C46,Investors!$L:$L,'Investor Exit List'!$B46)+SUMIFS(Investors!$M:$M,Investors!$I:$I,"&lt;="&amp;'NSST Print'!$B$3,Investors!$J:$J,"",Investors!$A:$A,'Investor Exit List'!$A46,Investors!$E:$E,'Investor Exit List'!$C46,Investors!$L:$L,'Investor Exit List'!$B46))</f>
        <v>0</v>
      </c>
      <c r="G46" s="118">
        <v>44378</v>
      </c>
      <c r="H46" s="116" t="b">
        <f>VLOOKUP($C46,Sales!$C:$E,2,FALSE)</f>
        <v>1</v>
      </c>
      <c r="I46" s="116" t="b">
        <f>VLOOKUP($C46,Sales!$C:$E,3,FALSE)</f>
        <v>1</v>
      </c>
      <c r="J46" s="118">
        <f>SUMIFS(Sales!$H:$H,Sales!$C:$C,'Investor Exit List'!$C46)</f>
        <v>45688</v>
      </c>
      <c r="K46" s="118">
        <f t="shared" si="0"/>
        <v>45688</v>
      </c>
      <c r="L46" s="118">
        <f t="shared" si="1"/>
        <v>45108</v>
      </c>
      <c r="M46" s="118">
        <v>45443</v>
      </c>
      <c r="N46" s="119">
        <f t="shared" si="2"/>
        <v>0</v>
      </c>
      <c r="O46" s="119">
        <f t="shared" si="3"/>
        <v>0</v>
      </c>
      <c r="P46" s="117">
        <f t="shared" si="4"/>
        <v>0</v>
      </c>
      <c r="Q46" s="117">
        <f>SUMIFS(Investors!$M:$M,Investors!$O:$O,FALSE,Investors!$P:$P,FALSE,Investors!$K:$K,"&gt;"&amp;'NSST Print'!$B$3,Investors!$I:$I,"&lt;="&amp;'NSST Print'!$B$3,Investors!$A:$A,'Investor Exit List'!$A46,Investors!$E:$E,'Investor Exit List'!$C46,Investors!$L:$L,'Investor Exit List'!$B46)-(SUMIFS(Investors!$M:$M,Investors!$I:$I,"&lt;="&amp;'NSST Print'!$B$3,Investors!$J:$J,"&gt;"&amp;'NSST Print'!$B$3,Investors!$A:$A,'Investor Exit List'!$A46,Investors!$E:$E,'Investor Exit List'!$C46,Investors!$L:$L,'Investor Exit List'!$B46)+SUMIFS(Investors!$M:$M,Investors!$I:$I,"&lt;="&amp;'NSST Print'!$B$3,Investors!$J:$J,"",Investors!$A:$A,'Investor Exit List'!$A46,Investors!$E:$E,'Investor Exit List'!$C46,Investors!$L:$L,'Investor Exit List'!$B46))+SUMIFS(Investors!$S:$S,Investors!$O:$O,FALSE,Investors!$P:$P,FALSE,Investors!$K:$K,"&gt;"&amp;'NSST Print'!$B$3,Investors!$I:$I,"&lt;="&amp;'NSST Print'!$B$3,Investors!$A:$A,'Investor Exit List'!$A46,Investors!$E:$E,'Investor Exit List'!$C46,Investors!$L:$L,'Investor Exit List'!$B46)-(SUMIFS(Investors!$S:$S,Investors!$I:$I,"&lt;="&amp;'NSST Print'!$B$3,Investors!$J:$J,"&gt;"&amp;'NSST Print'!$B$3,Investors!$A:$A,'Investor Exit List'!$A46,Investors!$E:$E,'Investor Exit List'!$C46,Investors!$L:$L,'Investor Exit List'!$B46)+SUMIFS(Investors!$S:$S,Investors!$I:$I,"&lt;="&amp;'NSST Print'!$B$3,Investors!$J:$J,"",Investors!$A:$A,'Investor Exit List'!$A46,Investors!$E:$E,'Investor Exit List'!$C46,Investors!$L:$L,'Investor Exit List'!$B46))</f>
        <v>0</v>
      </c>
      <c r="R46" s="117">
        <f t="shared" si="5"/>
        <v>0</v>
      </c>
      <c r="S46" s="117">
        <f>SUMIFS(Investors!$M:$M,Investors!$O:$O,TRUE,Investors!$A:$A,'Investor Exit List'!$A46,Investors!$E:$E,'Investor Exit List'!$C46,Investors!$L:$L,'Investor Exit List'!$B46)+SUMIFS(Investors!$S:$S,Investors!$O:$O,TRUE,Investors!$A:$A,'Investor Exit List'!$A46,Investors!$E:$E,'Investor Exit List'!$C46,Investors!$L:$L,'Investor Exit List'!$B46)</f>
        <v>0</v>
      </c>
      <c r="T46" s="118" t="str">
        <f t="shared" si="6"/>
        <v/>
      </c>
      <c r="U46" s="116" t="b">
        <v>0</v>
      </c>
      <c r="V46" s="117">
        <f t="shared" si="7"/>
        <v>0</v>
      </c>
      <c r="W46" s="116">
        <v>0</v>
      </c>
      <c r="X46" s="116" t="b">
        <v>0</v>
      </c>
      <c r="Y46" s="119">
        <f>IF(H46=FALSE,VLOOKUP($C46,Sales!$C:$F,4,FALSE),1)</f>
        <v>1</v>
      </c>
      <c r="Z46" s="116" t="str">
        <f t="shared" si="8"/>
        <v/>
      </c>
      <c r="AA46" s="118">
        <f t="shared" si="9"/>
        <v>0</v>
      </c>
      <c r="AB46" s="118" t="str">
        <f t="shared" si="10"/>
        <v>HFA206-ZMAG01</v>
      </c>
      <c r="AC46" s="118">
        <f t="shared" si="11"/>
        <v>45108</v>
      </c>
    </row>
    <row r="47" spans="1:29" ht="16" x14ac:dyDescent="0.2">
      <c r="A47" s="116" t="s">
        <v>142</v>
      </c>
      <c r="B47" s="116">
        <v>3</v>
      </c>
      <c r="C47" s="116" t="s">
        <v>136</v>
      </c>
      <c r="D47" s="116" t="s">
        <v>26</v>
      </c>
      <c r="E47" s="116" t="s">
        <v>2045</v>
      </c>
      <c r="F47" s="117">
        <f>SUMIFS(Investors!$M:$M,Investors!$O:$O,FALSE,Investors!$P:$P,FALSE,Investors!$K:$K,"&gt;"&amp;'NSST Print'!$B$3,Investors!$I:$I,"&lt;="&amp;'NSST Print'!$B$3,Investors!$A:$A,'Investor Exit List'!$A47,Investors!$E:$E,'Investor Exit List'!$C47,Investors!$L:$L,'Investor Exit List'!$B47)-(SUMIFS(Investors!$M:$M,Investors!$I:$I,"&lt;="&amp;'NSST Print'!$B$3,Investors!$J:$J,"&gt;"&amp;'NSST Print'!$B$3,Investors!$A:$A,'Investor Exit List'!$A47,Investors!$E:$E,'Investor Exit List'!$C47,Investors!$L:$L,'Investor Exit List'!$B47)+SUMIFS(Investors!$M:$M,Investors!$I:$I,"&lt;="&amp;'NSST Print'!$B$3,Investors!$J:$J,"",Investors!$A:$A,'Investor Exit List'!$A47,Investors!$E:$E,'Investor Exit List'!$C47,Investors!$L:$L,'Investor Exit List'!$B47))</f>
        <v>0</v>
      </c>
      <c r="G47" s="118">
        <v>44316</v>
      </c>
      <c r="H47" s="116" t="b">
        <f>VLOOKUP($C47,Sales!$C:$E,2,FALSE)</f>
        <v>1</v>
      </c>
      <c r="I47" s="116" t="b">
        <f>VLOOKUP($C47,Sales!$C:$E,3,FALSE)</f>
        <v>1</v>
      </c>
      <c r="J47" s="118">
        <f>SUMIFS(Sales!$H:$H,Sales!$C:$C,'Investor Exit List'!$C47)</f>
        <v>45688</v>
      </c>
      <c r="K47" s="118">
        <f t="shared" si="0"/>
        <v>45688</v>
      </c>
      <c r="L47" s="118">
        <f t="shared" si="1"/>
        <v>45046</v>
      </c>
      <c r="M47" s="118">
        <v>45443</v>
      </c>
      <c r="N47" s="119">
        <f t="shared" si="2"/>
        <v>0</v>
      </c>
      <c r="O47" s="119">
        <f t="shared" si="3"/>
        <v>0</v>
      </c>
      <c r="P47" s="117">
        <f t="shared" si="4"/>
        <v>0</v>
      </c>
      <c r="Q47" s="117">
        <f>SUMIFS(Investors!$M:$M,Investors!$O:$O,FALSE,Investors!$P:$P,FALSE,Investors!$K:$K,"&gt;"&amp;'NSST Print'!$B$3,Investors!$I:$I,"&lt;="&amp;'NSST Print'!$B$3,Investors!$A:$A,'Investor Exit List'!$A47,Investors!$E:$E,'Investor Exit List'!$C47,Investors!$L:$L,'Investor Exit List'!$B47)-(SUMIFS(Investors!$M:$M,Investors!$I:$I,"&lt;="&amp;'NSST Print'!$B$3,Investors!$J:$J,"&gt;"&amp;'NSST Print'!$B$3,Investors!$A:$A,'Investor Exit List'!$A47,Investors!$E:$E,'Investor Exit List'!$C47,Investors!$L:$L,'Investor Exit List'!$B47)+SUMIFS(Investors!$M:$M,Investors!$I:$I,"&lt;="&amp;'NSST Print'!$B$3,Investors!$J:$J,"",Investors!$A:$A,'Investor Exit List'!$A47,Investors!$E:$E,'Investor Exit List'!$C47,Investors!$L:$L,'Investor Exit List'!$B47))+SUMIFS(Investors!$S:$S,Investors!$O:$O,FALSE,Investors!$P:$P,FALSE,Investors!$K:$K,"&gt;"&amp;'NSST Print'!$B$3,Investors!$I:$I,"&lt;="&amp;'NSST Print'!$B$3,Investors!$A:$A,'Investor Exit List'!$A47,Investors!$E:$E,'Investor Exit List'!$C47,Investors!$L:$L,'Investor Exit List'!$B47)-(SUMIFS(Investors!$S:$S,Investors!$I:$I,"&lt;="&amp;'NSST Print'!$B$3,Investors!$J:$J,"&gt;"&amp;'NSST Print'!$B$3,Investors!$A:$A,'Investor Exit List'!$A47,Investors!$E:$E,'Investor Exit List'!$C47,Investors!$L:$L,'Investor Exit List'!$B47)+SUMIFS(Investors!$S:$S,Investors!$I:$I,"&lt;="&amp;'NSST Print'!$B$3,Investors!$J:$J,"",Investors!$A:$A,'Investor Exit List'!$A47,Investors!$E:$E,'Investor Exit List'!$C47,Investors!$L:$L,'Investor Exit List'!$B47))</f>
        <v>0</v>
      </c>
      <c r="R47" s="117">
        <f t="shared" si="5"/>
        <v>0</v>
      </c>
      <c r="S47" s="117">
        <f>SUMIFS(Investors!$M:$M,Investors!$O:$O,TRUE,Investors!$A:$A,'Investor Exit List'!$A47,Investors!$E:$E,'Investor Exit List'!$C47,Investors!$L:$L,'Investor Exit List'!$B47)+SUMIFS(Investors!$S:$S,Investors!$O:$O,TRUE,Investors!$A:$A,'Investor Exit List'!$A47,Investors!$E:$E,'Investor Exit List'!$C47,Investors!$L:$L,'Investor Exit List'!$B47)</f>
        <v>0</v>
      </c>
      <c r="T47" s="118" t="str">
        <f t="shared" si="6"/>
        <v/>
      </c>
      <c r="U47" s="116" t="b">
        <v>0</v>
      </c>
      <c r="V47" s="117">
        <f t="shared" si="7"/>
        <v>0</v>
      </c>
      <c r="W47" s="116">
        <v>0</v>
      </c>
      <c r="X47" s="116" t="b">
        <v>0</v>
      </c>
      <c r="Y47" s="119">
        <f>IF(H47=FALSE,VLOOKUP($C47,Sales!$C:$F,4,FALSE),1)</f>
        <v>1</v>
      </c>
      <c r="Z47" s="116" t="str">
        <f t="shared" si="8"/>
        <v/>
      </c>
      <c r="AA47" s="118">
        <f t="shared" si="9"/>
        <v>0</v>
      </c>
      <c r="AB47" s="118" t="str">
        <f t="shared" si="10"/>
        <v>HFA206-ZVDM01</v>
      </c>
      <c r="AC47" s="118">
        <f t="shared" si="11"/>
        <v>45046</v>
      </c>
    </row>
    <row r="48" spans="1:29" ht="16" x14ac:dyDescent="0.2">
      <c r="A48" s="116" t="s">
        <v>145</v>
      </c>
      <c r="B48" s="116">
        <v>4</v>
      </c>
      <c r="C48" s="116" t="s">
        <v>148</v>
      </c>
      <c r="D48" s="116" t="s">
        <v>26</v>
      </c>
      <c r="E48" s="116" t="s">
        <v>2046</v>
      </c>
      <c r="F48" s="117">
        <f>SUMIFS(Investors!$M:$M,Investors!$O:$O,FALSE,Investors!$P:$P,FALSE,Investors!$K:$K,"&gt;"&amp;'NSST Print'!$B$3,Investors!$I:$I,"&lt;="&amp;'NSST Print'!$B$3,Investors!$A:$A,'Investor Exit List'!$A48,Investors!$E:$E,'Investor Exit List'!$C48,Investors!$L:$L,'Investor Exit List'!$B48)-(SUMIFS(Investors!$M:$M,Investors!$I:$I,"&lt;="&amp;'NSST Print'!$B$3,Investors!$J:$J,"&gt;"&amp;'NSST Print'!$B$3,Investors!$A:$A,'Investor Exit List'!$A48,Investors!$E:$E,'Investor Exit List'!$C48,Investors!$L:$L,'Investor Exit List'!$B48)+SUMIFS(Investors!$M:$M,Investors!$I:$I,"&lt;="&amp;'NSST Print'!$B$3,Investors!$J:$J,"",Investors!$A:$A,'Investor Exit List'!$A48,Investors!$E:$E,'Investor Exit List'!$C48,Investors!$L:$L,'Investor Exit List'!$B48))</f>
        <v>0</v>
      </c>
      <c r="G48" s="118">
        <v>44378</v>
      </c>
      <c r="H48" s="116" t="b">
        <f>VLOOKUP($C48,Sales!$C:$E,2,FALSE)</f>
        <v>1</v>
      </c>
      <c r="I48" s="116" t="b">
        <f>VLOOKUP($C48,Sales!$C:$E,3,FALSE)</f>
        <v>1</v>
      </c>
      <c r="J48" s="118">
        <f>SUMIFS(Sales!$H:$H,Sales!$C:$C,'Investor Exit List'!$C48)</f>
        <v>45688</v>
      </c>
      <c r="K48" s="118">
        <f t="shared" si="0"/>
        <v>45688</v>
      </c>
      <c r="L48" s="118">
        <f t="shared" si="1"/>
        <v>45108</v>
      </c>
      <c r="M48" s="118">
        <v>45443</v>
      </c>
      <c r="N48" s="119">
        <f t="shared" si="2"/>
        <v>0</v>
      </c>
      <c r="O48" s="119">
        <f t="shared" si="3"/>
        <v>0</v>
      </c>
      <c r="P48" s="117">
        <f t="shared" si="4"/>
        <v>0</v>
      </c>
      <c r="Q48" s="117">
        <f>SUMIFS(Investors!$M:$M,Investors!$O:$O,FALSE,Investors!$P:$P,FALSE,Investors!$K:$K,"&gt;"&amp;'NSST Print'!$B$3,Investors!$I:$I,"&lt;="&amp;'NSST Print'!$B$3,Investors!$A:$A,'Investor Exit List'!$A48,Investors!$E:$E,'Investor Exit List'!$C48,Investors!$L:$L,'Investor Exit List'!$B48)-(SUMIFS(Investors!$M:$M,Investors!$I:$I,"&lt;="&amp;'NSST Print'!$B$3,Investors!$J:$J,"&gt;"&amp;'NSST Print'!$B$3,Investors!$A:$A,'Investor Exit List'!$A48,Investors!$E:$E,'Investor Exit List'!$C48,Investors!$L:$L,'Investor Exit List'!$B48)+SUMIFS(Investors!$M:$M,Investors!$I:$I,"&lt;="&amp;'NSST Print'!$B$3,Investors!$J:$J,"",Investors!$A:$A,'Investor Exit List'!$A48,Investors!$E:$E,'Investor Exit List'!$C48,Investors!$L:$L,'Investor Exit List'!$B48))+SUMIFS(Investors!$S:$S,Investors!$O:$O,FALSE,Investors!$P:$P,FALSE,Investors!$K:$K,"&gt;"&amp;'NSST Print'!$B$3,Investors!$I:$I,"&lt;="&amp;'NSST Print'!$B$3,Investors!$A:$A,'Investor Exit List'!$A48,Investors!$E:$E,'Investor Exit List'!$C48,Investors!$L:$L,'Investor Exit List'!$B48)-(SUMIFS(Investors!$S:$S,Investors!$I:$I,"&lt;="&amp;'NSST Print'!$B$3,Investors!$J:$J,"&gt;"&amp;'NSST Print'!$B$3,Investors!$A:$A,'Investor Exit List'!$A48,Investors!$E:$E,'Investor Exit List'!$C48,Investors!$L:$L,'Investor Exit List'!$B48)+SUMIFS(Investors!$S:$S,Investors!$I:$I,"&lt;="&amp;'NSST Print'!$B$3,Investors!$J:$J,"",Investors!$A:$A,'Investor Exit List'!$A48,Investors!$E:$E,'Investor Exit List'!$C48,Investors!$L:$L,'Investor Exit List'!$B48))</f>
        <v>0</v>
      </c>
      <c r="R48" s="117">
        <f t="shared" si="5"/>
        <v>0</v>
      </c>
      <c r="S48" s="117">
        <f>SUMIFS(Investors!$M:$M,Investors!$O:$O,TRUE,Investors!$A:$A,'Investor Exit List'!$A48,Investors!$E:$E,'Investor Exit List'!$C48,Investors!$L:$L,'Investor Exit List'!$B48)+SUMIFS(Investors!$S:$S,Investors!$O:$O,TRUE,Investors!$A:$A,'Investor Exit List'!$A48,Investors!$E:$E,'Investor Exit List'!$C48,Investors!$L:$L,'Investor Exit List'!$B48)</f>
        <v>0</v>
      </c>
      <c r="T48" s="118" t="str">
        <f t="shared" si="6"/>
        <v/>
      </c>
      <c r="U48" s="116" t="b">
        <v>0</v>
      </c>
      <c r="V48" s="117">
        <f t="shared" si="7"/>
        <v>0</v>
      </c>
      <c r="W48" s="116">
        <v>0</v>
      </c>
      <c r="X48" s="116" t="b">
        <v>0</v>
      </c>
      <c r="Y48" s="119">
        <f>IF(H48=FALSE,VLOOKUP($C48,Sales!$C:$F,4,FALSE),1)</f>
        <v>1</v>
      </c>
      <c r="Z48" s="116" t="str">
        <f t="shared" si="8"/>
        <v/>
      </c>
      <c r="AA48" s="118">
        <f t="shared" si="9"/>
        <v>0</v>
      </c>
      <c r="AB48" s="118" t="str">
        <f t="shared" si="10"/>
        <v>HFA301-ZMAT01</v>
      </c>
      <c r="AC48" s="118">
        <f t="shared" si="11"/>
        <v>45108</v>
      </c>
    </row>
    <row r="49" spans="1:29" ht="16" x14ac:dyDescent="0.2">
      <c r="A49" s="116" t="s">
        <v>27</v>
      </c>
      <c r="B49" s="116">
        <v>11</v>
      </c>
      <c r="C49" s="116" t="s">
        <v>148</v>
      </c>
      <c r="D49" s="116" t="s">
        <v>26</v>
      </c>
      <c r="E49" s="116" t="s">
        <v>2010</v>
      </c>
      <c r="F49" s="117">
        <f>SUMIFS(Investors!$M:$M,Investors!$O:$O,FALSE,Investors!$P:$P,FALSE,Investors!$K:$K,"&gt;"&amp;'NSST Print'!$B$3,Investors!$I:$I,"&lt;="&amp;'NSST Print'!$B$3,Investors!$A:$A,'Investor Exit List'!$A49,Investors!$E:$E,'Investor Exit List'!$C49,Investors!$L:$L,'Investor Exit List'!$B49)-(SUMIFS(Investors!$M:$M,Investors!$I:$I,"&lt;="&amp;'NSST Print'!$B$3,Investors!$J:$J,"&gt;"&amp;'NSST Print'!$B$3,Investors!$A:$A,'Investor Exit List'!$A49,Investors!$E:$E,'Investor Exit List'!$C49,Investors!$L:$L,'Investor Exit List'!$B49)+SUMIFS(Investors!$M:$M,Investors!$I:$I,"&lt;="&amp;'NSST Print'!$B$3,Investors!$J:$J,"",Investors!$A:$A,'Investor Exit List'!$A49,Investors!$E:$E,'Investor Exit List'!$C49,Investors!$L:$L,'Investor Exit List'!$B49))</f>
        <v>0</v>
      </c>
      <c r="G49" s="118">
        <v>44352</v>
      </c>
      <c r="H49" s="116" t="b">
        <f>VLOOKUP($C49,Sales!$C:$E,2,FALSE)</f>
        <v>1</v>
      </c>
      <c r="I49" s="116" t="b">
        <f>VLOOKUP($C49,Sales!$C:$E,3,FALSE)</f>
        <v>1</v>
      </c>
      <c r="J49" s="118">
        <f>SUMIFS(Sales!$H:$H,Sales!$C:$C,'Investor Exit List'!$C49)</f>
        <v>45688</v>
      </c>
      <c r="K49" s="118">
        <f t="shared" si="0"/>
        <v>45688</v>
      </c>
      <c r="L49" s="118">
        <f t="shared" si="1"/>
        <v>45082</v>
      </c>
      <c r="M49" s="118">
        <v>45443</v>
      </c>
      <c r="N49" s="119">
        <f t="shared" si="2"/>
        <v>0</v>
      </c>
      <c r="O49" s="119">
        <f t="shared" si="3"/>
        <v>0</v>
      </c>
      <c r="P49" s="117">
        <f t="shared" si="4"/>
        <v>0</v>
      </c>
      <c r="Q49" s="117">
        <f>SUMIFS(Investors!$M:$M,Investors!$O:$O,FALSE,Investors!$P:$P,FALSE,Investors!$K:$K,"&gt;"&amp;'NSST Print'!$B$3,Investors!$I:$I,"&lt;="&amp;'NSST Print'!$B$3,Investors!$A:$A,'Investor Exit List'!$A49,Investors!$E:$E,'Investor Exit List'!$C49,Investors!$L:$L,'Investor Exit List'!$B49)-(SUMIFS(Investors!$M:$M,Investors!$I:$I,"&lt;="&amp;'NSST Print'!$B$3,Investors!$J:$J,"&gt;"&amp;'NSST Print'!$B$3,Investors!$A:$A,'Investor Exit List'!$A49,Investors!$E:$E,'Investor Exit List'!$C49,Investors!$L:$L,'Investor Exit List'!$B49)+SUMIFS(Investors!$M:$M,Investors!$I:$I,"&lt;="&amp;'NSST Print'!$B$3,Investors!$J:$J,"",Investors!$A:$A,'Investor Exit List'!$A49,Investors!$E:$E,'Investor Exit List'!$C49,Investors!$L:$L,'Investor Exit List'!$B49))+SUMIFS(Investors!$S:$S,Investors!$O:$O,FALSE,Investors!$P:$P,FALSE,Investors!$K:$K,"&gt;"&amp;'NSST Print'!$B$3,Investors!$I:$I,"&lt;="&amp;'NSST Print'!$B$3,Investors!$A:$A,'Investor Exit List'!$A49,Investors!$E:$E,'Investor Exit List'!$C49,Investors!$L:$L,'Investor Exit List'!$B49)-(SUMIFS(Investors!$S:$S,Investors!$I:$I,"&lt;="&amp;'NSST Print'!$B$3,Investors!$J:$J,"&gt;"&amp;'NSST Print'!$B$3,Investors!$A:$A,'Investor Exit List'!$A49,Investors!$E:$E,'Investor Exit List'!$C49,Investors!$L:$L,'Investor Exit List'!$B49)+SUMIFS(Investors!$S:$S,Investors!$I:$I,"&lt;="&amp;'NSST Print'!$B$3,Investors!$J:$J,"",Investors!$A:$A,'Investor Exit List'!$A49,Investors!$E:$E,'Investor Exit List'!$C49,Investors!$L:$L,'Investor Exit List'!$B49))</f>
        <v>0</v>
      </c>
      <c r="R49" s="117">
        <f t="shared" si="5"/>
        <v>0</v>
      </c>
      <c r="S49" s="117">
        <f>SUMIFS(Investors!$M:$M,Investors!$O:$O,TRUE,Investors!$A:$A,'Investor Exit List'!$A49,Investors!$E:$E,'Investor Exit List'!$C49,Investors!$L:$L,'Investor Exit List'!$B49)+SUMIFS(Investors!$S:$S,Investors!$O:$O,TRUE,Investors!$A:$A,'Investor Exit List'!$A49,Investors!$E:$E,'Investor Exit List'!$C49,Investors!$L:$L,'Investor Exit List'!$B49)</f>
        <v>0</v>
      </c>
      <c r="T49" s="118" t="str">
        <f t="shared" si="6"/>
        <v/>
      </c>
      <c r="U49" s="116" t="b">
        <v>0</v>
      </c>
      <c r="V49" s="117">
        <f t="shared" si="7"/>
        <v>0</v>
      </c>
      <c r="W49" s="116">
        <v>0</v>
      </c>
      <c r="X49" s="116" t="b">
        <v>0</v>
      </c>
      <c r="Y49" s="119">
        <f>IF(H49=FALSE,VLOOKUP($C49,Sales!$C:$F,4,FALSE),1)</f>
        <v>1</v>
      </c>
      <c r="Z49" s="116" t="str">
        <f t="shared" si="8"/>
        <v/>
      </c>
      <c r="AA49" s="118">
        <f t="shared" si="9"/>
        <v>0</v>
      </c>
      <c r="AB49" s="118" t="str">
        <f t="shared" si="10"/>
        <v>HFA301-ZSCH01</v>
      </c>
      <c r="AC49" s="118">
        <f t="shared" si="11"/>
        <v>45082</v>
      </c>
    </row>
    <row r="50" spans="1:29" ht="16" x14ac:dyDescent="0.2">
      <c r="A50" s="116" t="s">
        <v>149</v>
      </c>
      <c r="B50" s="116">
        <v>1</v>
      </c>
      <c r="C50" s="116" t="s">
        <v>148</v>
      </c>
      <c r="D50" s="116" t="s">
        <v>26</v>
      </c>
      <c r="E50" s="116" t="s">
        <v>2047</v>
      </c>
      <c r="F50" s="117">
        <f>SUMIFS(Investors!$M:$M,Investors!$O:$O,FALSE,Investors!$P:$P,FALSE,Investors!$K:$K,"&gt;"&amp;'NSST Print'!$B$3,Investors!$I:$I,"&lt;="&amp;'NSST Print'!$B$3,Investors!$A:$A,'Investor Exit List'!$A50,Investors!$E:$E,'Investor Exit List'!$C50,Investors!$L:$L,'Investor Exit List'!$B50)-(SUMIFS(Investors!$M:$M,Investors!$I:$I,"&lt;="&amp;'NSST Print'!$B$3,Investors!$J:$J,"&gt;"&amp;'NSST Print'!$B$3,Investors!$A:$A,'Investor Exit List'!$A50,Investors!$E:$E,'Investor Exit List'!$C50,Investors!$L:$L,'Investor Exit List'!$B50)+SUMIFS(Investors!$M:$M,Investors!$I:$I,"&lt;="&amp;'NSST Print'!$B$3,Investors!$J:$J,"",Investors!$A:$A,'Investor Exit List'!$A50,Investors!$E:$E,'Investor Exit List'!$C50,Investors!$L:$L,'Investor Exit List'!$B50))</f>
        <v>0</v>
      </c>
      <c r="G50" s="118">
        <v>44378</v>
      </c>
      <c r="H50" s="116" t="b">
        <f>VLOOKUP($C50,Sales!$C:$E,2,FALSE)</f>
        <v>1</v>
      </c>
      <c r="I50" s="116" t="b">
        <f>VLOOKUP($C50,Sales!$C:$E,3,FALSE)</f>
        <v>1</v>
      </c>
      <c r="J50" s="118">
        <f>SUMIFS(Sales!$H:$H,Sales!$C:$C,'Investor Exit List'!$C50)</f>
        <v>45688</v>
      </c>
      <c r="K50" s="118">
        <f t="shared" si="0"/>
        <v>45688</v>
      </c>
      <c r="L50" s="118">
        <f t="shared" si="1"/>
        <v>45108</v>
      </c>
      <c r="M50" s="118">
        <v>45443</v>
      </c>
      <c r="N50" s="119">
        <f t="shared" si="2"/>
        <v>0</v>
      </c>
      <c r="O50" s="119">
        <f t="shared" si="3"/>
        <v>0</v>
      </c>
      <c r="P50" s="117">
        <f t="shared" si="4"/>
        <v>0</v>
      </c>
      <c r="Q50" s="117">
        <f>SUMIFS(Investors!$M:$M,Investors!$O:$O,FALSE,Investors!$P:$P,FALSE,Investors!$K:$K,"&gt;"&amp;'NSST Print'!$B$3,Investors!$I:$I,"&lt;="&amp;'NSST Print'!$B$3,Investors!$A:$A,'Investor Exit List'!$A50,Investors!$E:$E,'Investor Exit List'!$C50,Investors!$L:$L,'Investor Exit List'!$B50)-(SUMIFS(Investors!$M:$M,Investors!$I:$I,"&lt;="&amp;'NSST Print'!$B$3,Investors!$J:$J,"&gt;"&amp;'NSST Print'!$B$3,Investors!$A:$A,'Investor Exit List'!$A50,Investors!$E:$E,'Investor Exit List'!$C50,Investors!$L:$L,'Investor Exit List'!$B50)+SUMIFS(Investors!$M:$M,Investors!$I:$I,"&lt;="&amp;'NSST Print'!$B$3,Investors!$J:$J,"",Investors!$A:$A,'Investor Exit List'!$A50,Investors!$E:$E,'Investor Exit List'!$C50,Investors!$L:$L,'Investor Exit List'!$B50))+SUMIFS(Investors!$S:$S,Investors!$O:$O,FALSE,Investors!$P:$P,FALSE,Investors!$K:$K,"&gt;"&amp;'NSST Print'!$B$3,Investors!$I:$I,"&lt;="&amp;'NSST Print'!$B$3,Investors!$A:$A,'Investor Exit List'!$A50,Investors!$E:$E,'Investor Exit List'!$C50,Investors!$L:$L,'Investor Exit List'!$B50)-(SUMIFS(Investors!$S:$S,Investors!$I:$I,"&lt;="&amp;'NSST Print'!$B$3,Investors!$J:$J,"&gt;"&amp;'NSST Print'!$B$3,Investors!$A:$A,'Investor Exit List'!$A50,Investors!$E:$E,'Investor Exit List'!$C50,Investors!$L:$L,'Investor Exit List'!$B50)+SUMIFS(Investors!$S:$S,Investors!$I:$I,"&lt;="&amp;'NSST Print'!$B$3,Investors!$J:$J,"",Investors!$A:$A,'Investor Exit List'!$A50,Investors!$E:$E,'Investor Exit List'!$C50,Investors!$L:$L,'Investor Exit List'!$B50))</f>
        <v>0</v>
      </c>
      <c r="R50" s="117">
        <f t="shared" si="5"/>
        <v>0</v>
      </c>
      <c r="S50" s="117">
        <f>SUMIFS(Investors!$M:$M,Investors!$O:$O,TRUE,Investors!$A:$A,'Investor Exit List'!$A50,Investors!$E:$E,'Investor Exit List'!$C50,Investors!$L:$L,'Investor Exit List'!$B50)+SUMIFS(Investors!$S:$S,Investors!$O:$O,TRUE,Investors!$A:$A,'Investor Exit List'!$A50,Investors!$E:$E,'Investor Exit List'!$C50,Investors!$L:$L,'Investor Exit List'!$B50)</f>
        <v>0</v>
      </c>
      <c r="T50" s="118" t="str">
        <f t="shared" si="6"/>
        <v/>
      </c>
      <c r="U50" s="116" t="b">
        <v>0</v>
      </c>
      <c r="V50" s="117">
        <f t="shared" si="7"/>
        <v>0</v>
      </c>
      <c r="W50" s="116">
        <v>0</v>
      </c>
      <c r="X50" s="116" t="b">
        <v>0</v>
      </c>
      <c r="Y50" s="119">
        <f>IF(H50=FALSE,VLOOKUP($C50,Sales!$C:$F,4,FALSE),1)</f>
        <v>1</v>
      </c>
      <c r="Z50" s="116" t="str">
        <f t="shared" si="8"/>
        <v/>
      </c>
      <c r="AA50" s="118">
        <f t="shared" si="9"/>
        <v>0</v>
      </c>
      <c r="AB50" s="118" t="str">
        <f t="shared" si="10"/>
        <v>HFA301-ZTSH01</v>
      </c>
      <c r="AC50" s="118">
        <f t="shared" si="11"/>
        <v>45108</v>
      </c>
    </row>
    <row r="51" spans="1:29" ht="16" x14ac:dyDescent="0.2">
      <c r="A51" s="116" t="s">
        <v>152</v>
      </c>
      <c r="B51" s="116">
        <v>1</v>
      </c>
      <c r="C51" s="116" t="s">
        <v>155</v>
      </c>
      <c r="D51" s="116" t="s">
        <v>26</v>
      </c>
      <c r="E51" s="116" t="s">
        <v>2048</v>
      </c>
      <c r="F51" s="117">
        <f>SUMIFS(Investors!$M:$M,Investors!$O:$O,FALSE,Investors!$P:$P,FALSE,Investors!$K:$K,"&gt;"&amp;'NSST Print'!$B$3,Investors!$I:$I,"&lt;="&amp;'NSST Print'!$B$3,Investors!$A:$A,'Investor Exit List'!$A51,Investors!$E:$E,'Investor Exit List'!$C51,Investors!$L:$L,'Investor Exit List'!$B51)-(SUMIFS(Investors!$M:$M,Investors!$I:$I,"&lt;="&amp;'NSST Print'!$B$3,Investors!$J:$J,"&gt;"&amp;'NSST Print'!$B$3,Investors!$A:$A,'Investor Exit List'!$A51,Investors!$E:$E,'Investor Exit List'!$C51,Investors!$L:$L,'Investor Exit List'!$B51)+SUMIFS(Investors!$M:$M,Investors!$I:$I,"&lt;="&amp;'NSST Print'!$B$3,Investors!$J:$J,"",Investors!$A:$A,'Investor Exit List'!$A51,Investors!$E:$E,'Investor Exit List'!$C51,Investors!$L:$L,'Investor Exit List'!$B51))</f>
        <v>0</v>
      </c>
      <c r="G51" s="118">
        <v>44352</v>
      </c>
      <c r="H51" s="116" t="b">
        <f>VLOOKUP($C51,Sales!$C:$E,2,FALSE)</f>
        <v>1</v>
      </c>
      <c r="I51" s="116" t="b">
        <f>VLOOKUP($C51,Sales!$C:$E,3,FALSE)</f>
        <v>1</v>
      </c>
      <c r="J51" s="118">
        <f>SUMIFS(Sales!$H:$H,Sales!$C:$C,'Investor Exit List'!$C51)</f>
        <v>45688</v>
      </c>
      <c r="K51" s="118">
        <f t="shared" si="0"/>
        <v>45688</v>
      </c>
      <c r="L51" s="118">
        <f t="shared" si="1"/>
        <v>45082</v>
      </c>
      <c r="M51" s="118">
        <v>45443</v>
      </c>
      <c r="N51" s="119">
        <f t="shared" si="2"/>
        <v>0</v>
      </c>
      <c r="O51" s="119">
        <f t="shared" si="3"/>
        <v>0</v>
      </c>
      <c r="P51" s="117">
        <f t="shared" si="4"/>
        <v>0</v>
      </c>
      <c r="Q51" s="117">
        <f>SUMIFS(Investors!$M:$M,Investors!$O:$O,FALSE,Investors!$P:$P,FALSE,Investors!$K:$K,"&gt;"&amp;'NSST Print'!$B$3,Investors!$I:$I,"&lt;="&amp;'NSST Print'!$B$3,Investors!$A:$A,'Investor Exit List'!$A51,Investors!$E:$E,'Investor Exit List'!$C51,Investors!$L:$L,'Investor Exit List'!$B51)-(SUMIFS(Investors!$M:$M,Investors!$I:$I,"&lt;="&amp;'NSST Print'!$B$3,Investors!$J:$J,"&gt;"&amp;'NSST Print'!$B$3,Investors!$A:$A,'Investor Exit List'!$A51,Investors!$E:$E,'Investor Exit List'!$C51,Investors!$L:$L,'Investor Exit List'!$B51)+SUMIFS(Investors!$M:$M,Investors!$I:$I,"&lt;="&amp;'NSST Print'!$B$3,Investors!$J:$J,"",Investors!$A:$A,'Investor Exit List'!$A51,Investors!$E:$E,'Investor Exit List'!$C51,Investors!$L:$L,'Investor Exit List'!$B51))+SUMIFS(Investors!$S:$S,Investors!$O:$O,FALSE,Investors!$P:$P,FALSE,Investors!$K:$K,"&gt;"&amp;'NSST Print'!$B$3,Investors!$I:$I,"&lt;="&amp;'NSST Print'!$B$3,Investors!$A:$A,'Investor Exit List'!$A51,Investors!$E:$E,'Investor Exit List'!$C51,Investors!$L:$L,'Investor Exit List'!$B51)-(SUMIFS(Investors!$S:$S,Investors!$I:$I,"&lt;="&amp;'NSST Print'!$B$3,Investors!$J:$J,"&gt;"&amp;'NSST Print'!$B$3,Investors!$A:$A,'Investor Exit List'!$A51,Investors!$E:$E,'Investor Exit List'!$C51,Investors!$L:$L,'Investor Exit List'!$B51)+SUMIFS(Investors!$S:$S,Investors!$I:$I,"&lt;="&amp;'NSST Print'!$B$3,Investors!$J:$J,"",Investors!$A:$A,'Investor Exit List'!$A51,Investors!$E:$E,'Investor Exit List'!$C51,Investors!$L:$L,'Investor Exit List'!$B51))</f>
        <v>0</v>
      </c>
      <c r="R51" s="117">
        <f t="shared" si="5"/>
        <v>0</v>
      </c>
      <c r="S51" s="117">
        <f>SUMIFS(Investors!$M:$M,Investors!$O:$O,TRUE,Investors!$A:$A,'Investor Exit List'!$A51,Investors!$E:$E,'Investor Exit List'!$C51,Investors!$L:$L,'Investor Exit List'!$B51)+SUMIFS(Investors!$S:$S,Investors!$O:$O,TRUE,Investors!$A:$A,'Investor Exit List'!$A51,Investors!$E:$E,'Investor Exit List'!$C51,Investors!$L:$L,'Investor Exit List'!$B51)</f>
        <v>0</v>
      </c>
      <c r="T51" s="118" t="str">
        <f t="shared" si="6"/>
        <v/>
      </c>
      <c r="U51" s="116" t="b">
        <v>0</v>
      </c>
      <c r="V51" s="117">
        <f t="shared" si="7"/>
        <v>0</v>
      </c>
      <c r="W51" s="116">
        <v>0</v>
      </c>
      <c r="X51" s="116" t="b">
        <v>0</v>
      </c>
      <c r="Y51" s="119">
        <f>IF(H51=FALSE,VLOOKUP($C51,Sales!$C:$F,4,FALSE),1)</f>
        <v>1</v>
      </c>
      <c r="Z51" s="116" t="str">
        <f t="shared" si="8"/>
        <v/>
      </c>
      <c r="AA51" s="118">
        <f t="shared" si="9"/>
        <v>0</v>
      </c>
      <c r="AB51" s="118" t="str">
        <f t="shared" si="10"/>
        <v>HFA302-ZASD01</v>
      </c>
      <c r="AC51" s="118">
        <f t="shared" si="11"/>
        <v>45082</v>
      </c>
    </row>
    <row r="52" spans="1:29" ht="16" x14ac:dyDescent="0.2">
      <c r="A52" s="116" t="s">
        <v>156</v>
      </c>
      <c r="B52" s="116">
        <v>2</v>
      </c>
      <c r="C52" s="116" t="s">
        <v>155</v>
      </c>
      <c r="D52" s="116" t="s">
        <v>26</v>
      </c>
      <c r="E52" s="116" t="s">
        <v>2049</v>
      </c>
      <c r="F52" s="117">
        <f>SUMIFS(Investors!$M:$M,Investors!$O:$O,FALSE,Investors!$P:$P,FALSE,Investors!$K:$K,"&gt;"&amp;'NSST Print'!$B$3,Investors!$I:$I,"&lt;="&amp;'NSST Print'!$B$3,Investors!$A:$A,'Investor Exit List'!$A52,Investors!$E:$E,'Investor Exit List'!$C52,Investors!$L:$L,'Investor Exit List'!$B52)-(SUMIFS(Investors!$M:$M,Investors!$I:$I,"&lt;="&amp;'NSST Print'!$B$3,Investors!$J:$J,"&gt;"&amp;'NSST Print'!$B$3,Investors!$A:$A,'Investor Exit List'!$A52,Investors!$E:$E,'Investor Exit List'!$C52,Investors!$L:$L,'Investor Exit List'!$B52)+SUMIFS(Investors!$M:$M,Investors!$I:$I,"&lt;="&amp;'NSST Print'!$B$3,Investors!$J:$J,"",Investors!$A:$A,'Investor Exit List'!$A52,Investors!$E:$E,'Investor Exit List'!$C52,Investors!$L:$L,'Investor Exit List'!$B52))</f>
        <v>0</v>
      </c>
      <c r="G52" s="118">
        <v>44352</v>
      </c>
      <c r="H52" s="116" t="b">
        <f>VLOOKUP($C52,Sales!$C:$E,2,FALSE)</f>
        <v>1</v>
      </c>
      <c r="I52" s="116" t="b">
        <f>VLOOKUP($C52,Sales!$C:$E,3,FALSE)</f>
        <v>1</v>
      </c>
      <c r="J52" s="118">
        <f>SUMIFS(Sales!$H:$H,Sales!$C:$C,'Investor Exit List'!$C52)</f>
        <v>45688</v>
      </c>
      <c r="K52" s="118">
        <f t="shared" si="0"/>
        <v>45688</v>
      </c>
      <c r="L52" s="118">
        <f t="shared" si="1"/>
        <v>45082</v>
      </c>
      <c r="M52" s="118">
        <v>45443</v>
      </c>
      <c r="N52" s="119">
        <f t="shared" si="2"/>
        <v>0</v>
      </c>
      <c r="O52" s="119">
        <f t="shared" si="3"/>
        <v>0</v>
      </c>
      <c r="P52" s="117">
        <f t="shared" si="4"/>
        <v>0</v>
      </c>
      <c r="Q52" s="117">
        <f>SUMIFS(Investors!$M:$M,Investors!$O:$O,FALSE,Investors!$P:$P,FALSE,Investors!$K:$K,"&gt;"&amp;'NSST Print'!$B$3,Investors!$I:$I,"&lt;="&amp;'NSST Print'!$B$3,Investors!$A:$A,'Investor Exit List'!$A52,Investors!$E:$E,'Investor Exit List'!$C52,Investors!$L:$L,'Investor Exit List'!$B52)-(SUMIFS(Investors!$M:$M,Investors!$I:$I,"&lt;="&amp;'NSST Print'!$B$3,Investors!$J:$J,"&gt;"&amp;'NSST Print'!$B$3,Investors!$A:$A,'Investor Exit List'!$A52,Investors!$E:$E,'Investor Exit List'!$C52,Investors!$L:$L,'Investor Exit List'!$B52)+SUMIFS(Investors!$M:$M,Investors!$I:$I,"&lt;="&amp;'NSST Print'!$B$3,Investors!$J:$J,"",Investors!$A:$A,'Investor Exit List'!$A52,Investors!$E:$E,'Investor Exit List'!$C52,Investors!$L:$L,'Investor Exit List'!$B52))+SUMIFS(Investors!$S:$S,Investors!$O:$O,FALSE,Investors!$P:$P,FALSE,Investors!$K:$K,"&gt;"&amp;'NSST Print'!$B$3,Investors!$I:$I,"&lt;="&amp;'NSST Print'!$B$3,Investors!$A:$A,'Investor Exit List'!$A52,Investors!$E:$E,'Investor Exit List'!$C52,Investors!$L:$L,'Investor Exit List'!$B52)-(SUMIFS(Investors!$S:$S,Investors!$I:$I,"&lt;="&amp;'NSST Print'!$B$3,Investors!$J:$J,"&gt;"&amp;'NSST Print'!$B$3,Investors!$A:$A,'Investor Exit List'!$A52,Investors!$E:$E,'Investor Exit List'!$C52,Investors!$L:$L,'Investor Exit List'!$B52)+SUMIFS(Investors!$S:$S,Investors!$I:$I,"&lt;="&amp;'NSST Print'!$B$3,Investors!$J:$J,"",Investors!$A:$A,'Investor Exit List'!$A52,Investors!$E:$E,'Investor Exit List'!$C52,Investors!$L:$L,'Investor Exit List'!$B52))</f>
        <v>0</v>
      </c>
      <c r="R52" s="117">
        <f t="shared" si="5"/>
        <v>0</v>
      </c>
      <c r="S52" s="117">
        <f>SUMIFS(Investors!$M:$M,Investors!$O:$O,TRUE,Investors!$A:$A,'Investor Exit List'!$A52,Investors!$E:$E,'Investor Exit List'!$C52,Investors!$L:$L,'Investor Exit List'!$B52)+SUMIFS(Investors!$S:$S,Investors!$O:$O,TRUE,Investors!$A:$A,'Investor Exit List'!$A52,Investors!$E:$E,'Investor Exit List'!$C52,Investors!$L:$L,'Investor Exit List'!$B52)</f>
        <v>0</v>
      </c>
      <c r="T52" s="118" t="str">
        <f t="shared" si="6"/>
        <v/>
      </c>
      <c r="U52" s="116" t="b">
        <v>0</v>
      </c>
      <c r="V52" s="117">
        <f t="shared" si="7"/>
        <v>0</v>
      </c>
      <c r="W52" s="116">
        <v>0</v>
      </c>
      <c r="X52" s="116" t="b">
        <v>0</v>
      </c>
      <c r="Y52" s="119">
        <f>IF(H52=FALSE,VLOOKUP($C52,Sales!$C:$F,4,FALSE),1)</f>
        <v>1</v>
      </c>
      <c r="Z52" s="116" t="str">
        <f t="shared" si="8"/>
        <v/>
      </c>
      <c r="AA52" s="118">
        <f t="shared" si="9"/>
        <v>0</v>
      </c>
      <c r="AB52" s="118" t="str">
        <f t="shared" si="10"/>
        <v>HFA302-ZMCK01</v>
      </c>
      <c r="AC52" s="118">
        <f t="shared" si="11"/>
        <v>45082</v>
      </c>
    </row>
    <row r="53" spans="1:29" ht="16" x14ac:dyDescent="0.2">
      <c r="A53" s="116" t="s">
        <v>159</v>
      </c>
      <c r="B53" s="116">
        <v>1</v>
      </c>
      <c r="C53" s="116" t="s">
        <v>162</v>
      </c>
      <c r="D53" s="116" t="s">
        <v>26</v>
      </c>
      <c r="E53" s="116" t="s">
        <v>2050</v>
      </c>
      <c r="F53" s="117">
        <f>SUMIFS(Investors!$M:$M,Investors!$O:$O,FALSE,Investors!$P:$P,FALSE,Investors!$K:$K,"&gt;"&amp;'NSST Print'!$B$3,Investors!$I:$I,"&lt;="&amp;'NSST Print'!$B$3,Investors!$A:$A,'Investor Exit List'!$A53,Investors!$E:$E,'Investor Exit List'!$C53,Investors!$L:$L,'Investor Exit List'!$B53)-(SUMIFS(Investors!$M:$M,Investors!$I:$I,"&lt;="&amp;'NSST Print'!$B$3,Investors!$J:$J,"&gt;"&amp;'NSST Print'!$B$3,Investors!$A:$A,'Investor Exit List'!$A53,Investors!$E:$E,'Investor Exit List'!$C53,Investors!$L:$L,'Investor Exit List'!$B53)+SUMIFS(Investors!$M:$M,Investors!$I:$I,"&lt;="&amp;'NSST Print'!$B$3,Investors!$J:$J,"",Investors!$A:$A,'Investor Exit List'!$A53,Investors!$E:$E,'Investor Exit List'!$C53,Investors!$L:$L,'Investor Exit List'!$B53))</f>
        <v>0</v>
      </c>
      <c r="G53" s="118">
        <v>44352</v>
      </c>
      <c r="H53" s="116" t="b">
        <f>VLOOKUP($C53,Sales!$C:$E,2,FALSE)</f>
        <v>1</v>
      </c>
      <c r="I53" s="116" t="b">
        <f>VLOOKUP($C53,Sales!$C:$E,3,FALSE)</f>
        <v>1</v>
      </c>
      <c r="J53" s="118">
        <f>SUMIFS(Sales!$H:$H,Sales!$C:$C,'Investor Exit List'!$C53)</f>
        <v>45688</v>
      </c>
      <c r="K53" s="118">
        <f t="shared" si="0"/>
        <v>45688</v>
      </c>
      <c r="L53" s="118">
        <f t="shared" si="1"/>
        <v>45082</v>
      </c>
      <c r="M53" s="118">
        <v>45443</v>
      </c>
      <c r="N53" s="119">
        <f t="shared" si="2"/>
        <v>0</v>
      </c>
      <c r="O53" s="119">
        <f t="shared" si="3"/>
        <v>0</v>
      </c>
      <c r="P53" s="117">
        <f t="shared" si="4"/>
        <v>0</v>
      </c>
      <c r="Q53" s="117">
        <f>SUMIFS(Investors!$M:$M,Investors!$O:$O,FALSE,Investors!$P:$P,FALSE,Investors!$K:$K,"&gt;"&amp;'NSST Print'!$B$3,Investors!$I:$I,"&lt;="&amp;'NSST Print'!$B$3,Investors!$A:$A,'Investor Exit List'!$A53,Investors!$E:$E,'Investor Exit List'!$C53,Investors!$L:$L,'Investor Exit List'!$B53)-(SUMIFS(Investors!$M:$M,Investors!$I:$I,"&lt;="&amp;'NSST Print'!$B$3,Investors!$J:$J,"&gt;"&amp;'NSST Print'!$B$3,Investors!$A:$A,'Investor Exit List'!$A53,Investors!$E:$E,'Investor Exit List'!$C53,Investors!$L:$L,'Investor Exit List'!$B53)+SUMIFS(Investors!$M:$M,Investors!$I:$I,"&lt;="&amp;'NSST Print'!$B$3,Investors!$J:$J,"",Investors!$A:$A,'Investor Exit List'!$A53,Investors!$E:$E,'Investor Exit List'!$C53,Investors!$L:$L,'Investor Exit List'!$B53))+SUMIFS(Investors!$S:$S,Investors!$O:$O,FALSE,Investors!$P:$P,FALSE,Investors!$K:$K,"&gt;"&amp;'NSST Print'!$B$3,Investors!$I:$I,"&lt;="&amp;'NSST Print'!$B$3,Investors!$A:$A,'Investor Exit List'!$A53,Investors!$E:$E,'Investor Exit List'!$C53,Investors!$L:$L,'Investor Exit List'!$B53)-(SUMIFS(Investors!$S:$S,Investors!$I:$I,"&lt;="&amp;'NSST Print'!$B$3,Investors!$J:$J,"&gt;"&amp;'NSST Print'!$B$3,Investors!$A:$A,'Investor Exit List'!$A53,Investors!$E:$E,'Investor Exit List'!$C53,Investors!$L:$L,'Investor Exit List'!$B53)+SUMIFS(Investors!$S:$S,Investors!$I:$I,"&lt;="&amp;'NSST Print'!$B$3,Investors!$J:$J,"",Investors!$A:$A,'Investor Exit List'!$A53,Investors!$E:$E,'Investor Exit List'!$C53,Investors!$L:$L,'Investor Exit List'!$B53))</f>
        <v>0</v>
      </c>
      <c r="R53" s="117">
        <f t="shared" si="5"/>
        <v>0</v>
      </c>
      <c r="S53" s="117">
        <f>SUMIFS(Investors!$M:$M,Investors!$O:$O,TRUE,Investors!$A:$A,'Investor Exit List'!$A53,Investors!$E:$E,'Investor Exit List'!$C53,Investors!$L:$L,'Investor Exit List'!$B53)+SUMIFS(Investors!$S:$S,Investors!$O:$O,TRUE,Investors!$A:$A,'Investor Exit List'!$A53,Investors!$E:$E,'Investor Exit List'!$C53,Investors!$L:$L,'Investor Exit List'!$B53)</f>
        <v>0</v>
      </c>
      <c r="T53" s="118" t="str">
        <f t="shared" si="6"/>
        <v/>
      </c>
      <c r="U53" s="116" t="b">
        <v>0</v>
      </c>
      <c r="V53" s="117">
        <f t="shared" si="7"/>
        <v>0</v>
      </c>
      <c r="W53" s="116">
        <v>0</v>
      </c>
      <c r="X53" s="116" t="b">
        <v>0</v>
      </c>
      <c r="Y53" s="119">
        <f>IF(H53=FALSE,VLOOKUP($C53,Sales!$C:$F,4,FALSE),1)</f>
        <v>1</v>
      </c>
      <c r="Z53" s="116" t="str">
        <f t="shared" si="8"/>
        <v/>
      </c>
      <c r="AA53" s="118">
        <f t="shared" si="9"/>
        <v>0</v>
      </c>
      <c r="AB53" s="118" t="str">
        <f t="shared" si="10"/>
        <v>HFA303-ZGMA01</v>
      </c>
      <c r="AC53" s="118">
        <f t="shared" si="11"/>
        <v>45082</v>
      </c>
    </row>
    <row r="54" spans="1:29" ht="16" x14ac:dyDescent="0.2">
      <c r="A54" s="116" t="s">
        <v>163</v>
      </c>
      <c r="B54" s="116">
        <v>1</v>
      </c>
      <c r="C54" s="116" t="s">
        <v>162</v>
      </c>
      <c r="D54" s="116" t="s">
        <v>26</v>
      </c>
      <c r="E54" s="116" t="s">
        <v>2051</v>
      </c>
      <c r="F54" s="117">
        <f>SUMIFS(Investors!$M:$M,Investors!$O:$O,FALSE,Investors!$P:$P,FALSE,Investors!$K:$K,"&gt;"&amp;'NSST Print'!$B$3,Investors!$I:$I,"&lt;="&amp;'NSST Print'!$B$3,Investors!$A:$A,'Investor Exit List'!$A54,Investors!$E:$E,'Investor Exit List'!$C54,Investors!$L:$L,'Investor Exit List'!$B54)-(SUMIFS(Investors!$M:$M,Investors!$I:$I,"&lt;="&amp;'NSST Print'!$B$3,Investors!$J:$J,"&gt;"&amp;'NSST Print'!$B$3,Investors!$A:$A,'Investor Exit List'!$A54,Investors!$E:$E,'Investor Exit List'!$C54,Investors!$L:$L,'Investor Exit List'!$B54)+SUMIFS(Investors!$M:$M,Investors!$I:$I,"&lt;="&amp;'NSST Print'!$B$3,Investors!$J:$J,"",Investors!$A:$A,'Investor Exit List'!$A54,Investors!$E:$E,'Investor Exit List'!$C54,Investors!$L:$L,'Investor Exit List'!$B54))</f>
        <v>0</v>
      </c>
      <c r="G54" s="118">
        <v>44352</v>
      </c>
      <c r="H54" s="116" t="b">
        <f>VLOOKUP($C54,Sales!$C:$E,2,FALSE)</f>
        <v>1</v>
      </c>
      <c r="I54" s="116" t="b">
        <f>VLOOKUP($C54,Sales!$C:$E,3,FALSE)</f>
        <v>1</v>
      </c>
      <c r="J54" s="118">
        <f>SUMIFS(Sales!$H:$H,Sales!$C:$C,'Investor Exit List'!$C54)</f>
        <v>45688</v>
      </c>
      <c r="K54" s="118">
        <f t="shared" si="0"/>
        <v>45688</v>
      </c>
      <c r="L54" s="118">
        <f t="shared" si="1"/>
        <v>45082</v>
      </c>
      <c r="M54" s="118">
        <v>45443</v>
      </c>
      <c r="N54" s="119">
        <f t="shared" si="2"/>
        <v>0</v>
      </c>
      <c r="O54" s="119">
        <f t="shared" si="3"/>
        <v>0</v>
      </c>
      <c r="P54" s="117">
        <f t="shared" si="4"/>
        <v>0</v>
      </c>
      <c r="Q54" s="117">
        <f>SUMIFS(Investors!$M:$M,Investors!$O:$O,FALSE,Investors!$P:$P,FALSE,Investors!$K:$K,"&gt;"&amp;'NSST Print'!$B$3,Investors!$I:$I,"&lt;="&amp;'NSST Print'!$B$3,Investors!$A:$A,'Investor Exit List'!$A54,Investors!$E:$E,'Investor Exit List'!$C54,Investors!$L:$L,'Investor Exit List'!$B54)-(SUMIFS(Investors!$M:$M,Investors!$I:$I,"&lt;="&amp;'NSST Print'!$B$3,Investors!$J:$J,"&gt;"&amp;'NSST Print'!$B$3,Investors!$A:$A,'Investor Exit List'!$A54,Investors!$E:$E,'Investor Exit List'!$C54,Investors!$L:$L,'Investor Exit List'!$B54)+SUMIFS(Investors!$M:$M,Investors!$I:$I,"&lt;="&amp;'NSST Print'!$B$3,Investors!$J:$J,"",Investors!$A:$A,'Investor Exit List'!$A54,Investors!$E:$E,'Investor Exit List'!$C54,Investors!$L:$L,'Investor Exit List'!$B54))+SUMIFS(Investors!$S:$S,Investors!$O:$O,FALSE,Investors!$P:$P,FALSE,Investors!$K:$K,"&gt;"&amp;'NSST Print'!$B$3,Investors!$I:$I,"&lt;="&amp;'NSST Print'!$B$3,Investors!$A:$A,'Investor Exit List'!$A54,Investors!$E:$E,'Investor Exit List'!$C54,Investors!$L:$L,'Investor Exit List'!$B54)-(SUMIFS(Investors!$S:$S,Investors!$I:$I,"&lt;="&amp;'NSST Print'!$B$3,Investors!$J:$J,"&gt;"&amp;'NSST Print'!$B$3,Investors!$A:$A,'Investor Exit List'!$A54,Investors!$E:$E,'Investor Exit List'!$C54,Investors!$L:$L,'Investor Exit List'!$B54)+SUMIFS(Investors!$S:$S,Investors!$I:$I,"&lt;="&amp;'NSST Print'!$B$3,Investors!$J:$J,"",Investors!$A:$A,'Investor Exit List'!$A54,Investors!$E:$E,'Investor Exit List'!$C54,Investors!$L:$L,'Investor Exit List'!$B54))</f>
        <v>0</v>
      </c>
      <c r="R54" s="117">
        <f t="shared" si="5"/>
        <v>0</v>
      </c>
      <c r="S54" s="117">
        <f>SUMIFS(Investors!$M:$M,Investors!$O:$O,TRUE,Investors!$A:$A,'Investor Exit List'!$A54,Investors!$E:$E,'Investor Exit List'!$C54,Investors!$L:$L,'Investor Exit List'!$B54)+SUMIFS(Investors!$S:$S,Investors!$O:$O,TRUE,Investors!$A:$A,'Investor Exit List'!$A54,Investors!$E:$E,'Investor Exit List'!$C54,Investors!$L:$L,'Investor Exit List'!$B54)</f>
        <v>0</v>
      </c>
      <c r="T54" s="118" t="str">
        <f t="shared" si="6"/>
        <v/>
      </c>
      <c r="U54" s="116" t="b">
        <v>0</v>
      </c>
      <c r="V54" s="117">
        <f t="shared" si="7"/>
        <v>0</v>
      </c>
      <c r="W54" s="116">
        <v>0</v>
      </c>
      <c r="X54" s="116" t="b">
        <v>0</v>
      </c>
      <c r="Y54" s="119">
        <f>IF(H54=FALSE,VLOOKUP($C54,Sales!$C:$F,4,FALSE),1)</f>
        <v>1</v>
      </c>
      <c r="Z54" s="116" t="str">
        <f t="shared" si="8"/>
        <v/>
      </c>
      <c r="AA54" s="118">
        <f t="shared" si="9"/>
        <v>0</v>
      </c>
      <c r="AB54" s="118" t="str">
        <f t="shared" si="10"/>
        <v>HFA303-ZLMA01</v>
      </c>
      <c r="AC54" s="118">
        <f t="shared" si="11"/>
        <v>45082</v>
      </c>
    </row>
    <row r="55" spans="1:29" ht="16" x14ac:dyDescent="0.2">
      <c r="A55" s="116" t="s">
        <v>166</v>
      </c>
      <c r="B55" s="116">
        <v>1</v>
      </c>
      <c r="C55" s="116" t="s">
        <v>162</v>
      </c>
      <c r="D55" s="116" t="s">
        <v>26</v>
      </c>
      <c r="E55" s="116" t="s">
        <v>2052</v>
      </c>
      <c r="F55" s="117">
        <f>SUMIFS(Investors!$M:$M,Investors!$O:$O,FALSE,Investors!$P:$P,FALSE,Investors!$K:$K,"&gt;"&amp;'NSST Print'!$B$3,Investors!$I:$I,"&lt;="&amp;'NSST Print'!$B$3,Investors!$A:$A,'Investor Exit List'!$A55,Investors!$E:$E,'Investor Exit List'!$C55,Investors!$L:$L,'Investor Exit List'!$B55)-(SUMIFS(Investors!$M:$M,Investors!$I:$I,"&lt;="&amp;'NSST Print'!$B$3,Investors!$J:$J,"&gt;"&amp;'NSST Print'!$B$3,Investors!$A:$A,'Investor Exit List'!$A55,Investors!$E:$E,'Investor Exit List'!$C55,Investors!$L:$L,'Investor Exit List'!$B55)+SUMIFS(Investors!$M:$M,Investors!$I:$I,"&lt;="&amp;'NSST Print'!$B$3,Investors!$J:$J,"",Investors!$A:$A,'Investor Exit List'!$A55,Investors!$E:$E,'Investor Exit List'!$C55,Investors!$L:$L,'Investor Exit List'!$B55))</f>
        <v>0</v>
      </c>
      <c r="G55" s="118">
        <v>44352</v>
      </c>
      <c r="H55" s="116" t="b">
        <f>VLOOKUP($C55,Sales!$C:$E,2,FALSE)</f>
        <v>1</v>
      </c>
      <c r="I55" s="116" t="b">
        <f>VLOOKUP($C55,Sales!$C:$E,3,FALSE)</f>
        <v>1</v>
      </c>
      <c r="J55" s="118">
        <f>SUMIFS(Sales!$H:$H,Sales!$C:$C,'Investor Exit List'!$C55)</f>
        <v>45688</v>
      </c>
      <c r="K55" s="118">
        <f t="shared" si="0"/>
        <v>45688</v>
      </c>
      <c r="L55" s="118">
        <f t="shared" si="1"/>
        <v>45082</v>
      </c>
      <c r="M55" s="118">
        <v>45443</v>
      </c>
      <c r="N55" s="119">
        <f t="shared" si="2"/>
        <v>0</v>
      </c>
      <c r="O55" s="119">
        <f t="shared" si="3"/>
        <v>0</v>
      </c>
      <c r="P55" s="117">
        <f t="shared" si="4"/>
        <v>0</v>
      </c>
      <c r="Q55" s="117">
        <f>SUMIFS(Investors!$M:$M,Investors!$O:$O,FALSE,Investors!$P:$P,FALSE,Investors!$K:$K,"&gt;"&amp;'NSST Print'!$B$3,Investors!$I:$I,"&lt;="&amp;'NSST Print'!$B$3,Investors!$A:$A,'Investor Exit List'!$A55,Investors!$E:$E,'Investor Exit List'!$C55,Investors!$L:$L,'Investor Exit List'!$B55)-(SUMIFS(Investors!$M:$M,Investors!$I:$I,"&lt;="&amp;'NSST Print'!$B$3,Investors!$J:$J,"&gt;"&amp;'NSST Print'!$B$3,Investors!$A:$A,'Investor Exit List'!$A55,Investors!$E:$E,'Investor Exit List'!$C55,Investors!$L:$L,'Investor Exit List'!$B55)+SUMIFS(Investors!$M:$M,Investors!$I:$I,"&lt;="&amp;'NSST Print'!$B$3,Investors!$J:$J,"",Investors!$A:$A,'Investor Exit List'!$A55,Investors!$E:$E,'Investor Exit List'!$C55,Investors!$L:$L,'Investor Exit List'!$B55))+SUMIFS(Investors!$S:$S,Investors!$O:$O,FALSE,Investors!$P:$P,FALSE,Investors!$K:$K,"&gt;"&amp;'NSST Print'!$B$3,Investors!$I:$I,"&lt;="&amp;'NSST Print'!$B$3,Investors!$A:$A,'Investor Exit List'!$A55,Investors!$E:$E,'Investor Exit List'!$C55,Investors!$L:$L,'Investor Exit List'!$B55)-(SUMIFS(Investors!$S:$S,Investors!$I:$I,"&lt;="&amp;'NSST Print'!$B$3,Investors!$J:$J,"&gt;"&amp;'NSST Print'!$B$3,Investors!$A:$A,'Investor Exit List'!$A55,Investors!$E:$E,'Investor Exit List'!$C55,Investors!$L:$L,'Investor Exit List'!$B55)+SUMIFS(Investors!$S:$S,Investors!$I:$I,"&lt;="&amp;'NSST Print'!$B$3,Investors!$J:$J,"",Investors!$A:$A,'Investor Exit List'!$A55,Investors!$E:$E,'Investor Exit List'!$C55,Investors!$L:$L,'Investor Exit List'!$B55))</f>
        <v>0</v>
      </c>
      <c r="R55" s="117">
        <f t="shared" si="5"/>
        <v>0</v>
      </c>
      <c r="S55" s="117">
        <f>SUMIFS(Investors!$M:$M,Investors!$O:$O,TRUE,Investors!$A:$A,'Investor Exit List'!$A55,Investors!$E:$E,'Investor Exit List'!$C55,Investors!$L:$L,'Investor Exit List'!$B55)+SUMIFS(Investors!$S:$S,Investors!$O:$O,TRUE,Investors!$A:$A,'Investor Exit List'!$A55,Investors!$E:$E,'Investor Exit List'!$C55,Investors!$L:$L,'Investor Exit List'!$B55)</f>
        <v>0</v>
      </c>
      <c r="T55" s="118" t="str">
        <f t="shared" si="6"/>
        <v/>
      </c>
      <c r="U55" s="116" t="b">
        <v>0</v>
      </c>
      <c r="V55" s="117">
        <f t="shared" si="7"/>
        <v>0</v>
      </c>
      <c r="W55" s="116">
        <v>0</v>
      </c>
      <c r="X55" s="116" t="b">
        <v>0</v>
      </c>
      <c r="Y55" s="119">
        <f>IF(H55=FALSE,VLOOKUP($C55,Sales!$C:$F,4,FALSE),1)</f>
        <v>1</v>
      </c>
      <c r="Z55" s="116" t="str">
        <f t="shared" si="8"/>
        <v/>
      </c>
      <c r="AA55" s="118">
        <f t="shared" si="9"/>
        <v>0</v>
      </c>
      <c r="AB55" s="118" t="str">
        <f t="shared" si="10"/>
        <v>HFA303-ZSMI01</v>
      </c>
      <c r="AC55" s="118">
        <f t="shared" si="11"/>
        <v>45082</v>
      </c>
    </row>
    <row r="56" spans="1:29" ht="16" x14ac:dyDescent="0.2">
      <c r="A56" s="116" t="s">
        <v>169</v>
      </c>
      <c r="B56" s="116">
        <v>1</v>
      </c>
      <c r="C56" s="116" t="s">
        <v>162</v>
      </c>
      <c r="D56" s="116" t="s">
        <v>26</v>
      </c>
      <c r="E56" s="116" t="s">
        <v>2053</v>
      </c>
      <c r="F56" s="117">
        <f>SUMIFS(Investors!$M:$M,Investors!$O:$O,FALSE,Investors!$P:$P,FALSE,Investors!$K:$K,"&gt;"&amp;'NSST Print'!$B$3,Investors!$I:$I,"&lt;="&amp;'NSST Print'!$B$3,Investors!$A:$A,'Investor Exit List'!$A56,Investors!$E:$E,'Investor Exit List'!$C56,Investors!$L:$L,'Investor Exit List'!$B56)-(SUMIFS(Investors!$M:$M,Investors!$I:$I,"&lt;="&amp;'NSST Print'!$B$3,Investors!$J:$J,"&gt;"&amp;'NSST Print'!$B$3,Investors!$A:$A,'Investor Exit List'!$A56,Investors!$E:$E,'Investor Exit List'!$C56,Investors!$L:$L,'Investor Exit List'!$B56)+SUMIFS(Investors!$M:$M,Investors!$I:$I,"&lt;="&amp;'NSST Print'!$B$3,Investors!$J:$J,"",Investors!$A:$A,'Investor Exit List'!$A56,Investors!$E:$E,'Investor Exit List'!$C56,Investors!$L:$L,'Investor Exit List'!$B56))</f>
        <v>0</v>
      </c>
      <c r="G56" s="118">
        <v>44352</v>
      </c>
      <c r="H56" s="116" t="b">
        <f>VLOOKUP($C56,Sales!$C:$E,2,FALSE)</f>
        <v>1</v>
      </c>
      <c r="I56" s="116" t="b">
        <f>VLOOKUP($C56,Sales!$C:$E,3,FALSE)</f>
        <v>1</v>
      </c>
      <c r="J56" s="118">
        <f>SUMIFS(Sales!$H:$H,Sales!$C:$C,'Investor Exit List'!$C56)</f>
        <v>45688</v>
      </c>
      <c r="K56" s="118">
        <f t="shared" si="0"/>
        <v>45688</v>
      </c>
      <c r="L56" s="118">
        <f t="shared" si="1"/>
        <v>45082</v>
      </c>
      <c r="M56" s="118">
        <v>45443</v>
      </c>
      <c r="N56" s="119">
        <f t="shared" si="2"/>
        <v>0</v>
      </c>
      <c r="O56" s="119">
        <f t="shared" si="3"/>
        <v>0</v>
      </c>
      <c r="P56" s="117">
        <f t="shared" si="4"/>
        <v>0</v>
      </c>
      <c r="Q56" s="117">
        <f>SUMIFS(Investors!$M:$M,Investors!$O:$O,FALSE,Investors!$P:$P,FALSE,Investors!$K:$K,"&gt;"&amp;'NSST Print'!$B$3,Investors!$I:$I,"&lt;="&amp;'NSST Print'!$B$3,Investors!$A:$A,'Investor Exit List'!$A56,Investors!$E:$E,'Investor Exit List'!$C56,Investors!$L:$L,'Investor Exit List'!$B56)-(SUMIFS(Investors!$M:$M,Investors!$I:$I,"&lt;="&amp;'NSST Print'!$B$3,Investors!$J:$J,"&gt;"&amp;'NSST Print'!$B$3,Investors!$A:$A,'Investor Exit List'!$A56,Investors!$E:$E,'Investor Exit List'!$C56,Investors!$L:$L,'Investor Exit List'!$B56)+SUMIFS(Investors!$M:$M,Investors!$I:$I,"&lt;="&amp;'NSST Print'!$B$3,Investors!$J:$J,"",Investors!$A:$A,'Investor Exit List'!$A56,Investors!$E:$E,'Investor Exit List'!$C56,Investors!$L:$L,'Investor Exit List'!$B56))+SUMIFS(Investors!$S:$S,Investors!$O:$O,FALSE,Investors!$P:$P,FALSE,Investors!$K:$K,"&gt;"&amp;'NSST Print'!$B$3,Investors!$I:$I,"&lt;="&amp;'NSST Print'!$B$3,Investors!$A:$A,'Investor Exit List'!$A56,Investors!$E:$E,'Investor Exit List'!$C56,Investors!$L:$L,'Investor Exit List'!$B56)-(SUMIFS(Investors!$S:$S,Investors!$I:$I,"&lt;="&amp;'NSST Print'!$B$3,Investors!$J:$J,"&gt;"&amp;'NSST Print'!$B$3,Investors!$A:$A,'Investor Exit List'!$A56,Investors!$E:$E,'Investor Exit List'!$C56,Investors!$L:$L,'Investor Exit List'!$B56)+SUMIFS(Investors!$S:$S,Investors!$I:$I,"&lt;="&amp;'NSST Print'!$B$3,Investors!$J:$J,"",Investors!$A:$A,'Investor Exit List'!$A56,Investors!$E:$E,'Investor Exit List'!$C56,Investors!$L:$L,'Investor Exit List'!$B56))</f>
        <v>0</v>
      </c>
      <c r="R56" s="117">
        <f t="shared" si="5"/>
        <v>0</v>
      </c>
      <c r="S56" s="117">
        <f>SUMIFS(Investors!$M:$M,Investors!$O:$O,TRUE,Investors!$A:$A,'Investor Exit List'!$A56,Investors!$E:$E,'Investor Exit List'!$C56,Investors!$L:$L,'Investor Exit List'!$B56)+SUMIFS(Investors!$S:$S,Investors!$O:$O,TRUE,Investors!$A:$A,'Investor Exit List'!$A56,Investors!$E:$E,'Investor Exit List'!$C56,Investors!$L:$L,'Investor Exit List'!$B56)</f>
        <v>0</v>
      </c>
      <c r="T56" s="118" t="str">
        <f t="shared" si="6"/>
        <v/>
      </c>
      <c r="U56" s="116" t="b">
        <v>0</v>
      </c>
      <c r="V56" s="117">
        <f t="shared" si="7"/>
        <v>0</v>
      </c>
      <c r="W56" s="116">
        <v>0</v>
      </c>
      <c r="X56" s="116" t="b">
        <v>0</v>
      </c>
      <c r="Y56" s="119">
        <f>IF(H56=FALSE,VLOOKUP($C56,Sales!$C:$F,4,FALSE),1)</f>
        <v>1</v>
      </c>
      <c r="Z56" s="116" t="str">
        <f t="shared" si="8"/>
        <v/>
      </c>
      <c r="AA56" s="118">
        <f t="shared" si="9"/>
        <v>0</v>
      </c>
      <c r="AB56" s="118" t="str">
        <f t="shared" si="10"/>
        <v>HFA303-ZVDW01</v>
      </c>
      <c r="AC56" s="118">
        <f t="shared" si="11"/>
        <v>45082</v>
      </c>
    </row>
    <row r="57" spans="1:29" ht="16" x14ac:dyDescent="0.2">
      <c r="A57" s="116" t="s">
        <v>172</v>
      </c>
      <c r="B57" s="116">
        <v>2</v>
      </c>
      <c r="C57" s="116" t="s">
        <v>175</v>
      </c>
      <c r="D57" s="116" t="s">
        <v>26</v>
      </c>
      <c r="E57" s="116" t="s">
        <v>2054</v>
      </c>
      <c r="F57" s="117">
        <f>SUMIFS(Investors!$M:$M,Investors!$O:$O,FALSE,Investors!$P:$P,FALSE,Investors!$K:$K,"&gt;"&amp;'NSST Print'!$B$3,Investors!$I:$I,"&lt;="&amp;'NSST Print'!$B$3,Investors!$A:$A,'Investor Exit List'!$A57,Investors!$E:$E,'Investor Exit List'!$C57,Investors!$L:$L,'Investor Exit List'!$B57)-(SUMIFS(Investors!$M:$M,Investors!$I:$I,"&lt;="&amp;'NSST Print'!$B$3,Investors!$J:$J,"&gt;"&amp;'NSST Print'!$B$3,Investors!$A:$A,'Investor Exit List'!$A57,Investors!$E:$E,'Investor Exit List'!$C57,Investors!$L:$L,'Investor Exit List'!$B57)+SUMIFS(Investors!$M:$M,Investors!$I:$I,"&lt;="&amp;'NSST Print'!$B$3,Investors!$J:$J,"",Investors!$A:$A,'Investor Exit List'!$A57,Investors!$E:$E,'Investor Exit List'!$C57,Investors!$L:$L,'Investor Exit List'!$B57))</f>
        <v>0</v>
      </c>
      <c r="G57" s="118">
        <v>44855</v>
      </c>
      <c r="H57" s="116" t="b">
        <f>VLOOKUP($C57,Sales!$C:$E,2,FALSE)</f>
        <v>1</v>
      </c>
      <c r="I57" s="116" t="b">
        <f>VLOOKUP($C57,Sales!$C:$E,3,FALSE)</f>
        <v>1</v>
      </c>
      <c r="J57" s="118">
        <f>SUMIFS(Sales!$H:$H,Sales!$C:$C,'Investor Exit List'!$C57)</f>
        <v>45688</v>
      </c>
      <c r="K57" s="118">
        <f t="shared" si="0"/>
        <v>45688</v>
      </c>
      <c r="L57" s="118">
        <f t="shared" si="1"/>
        <v>45585</v>
      </c>
      <c r="M57" s="118">
        <v>45443</v>
      </c>
      <c r="N57" s="119">
        <f t="shared" si="2"/>
        <v>0</v>
      </c>
      <c r="O57" s="119">
        <f t="shared" si="3"/>
        <v>0</v>
      </c>
      <c r="P57" s="117">
        <f t="shared" si="4"/>
        <v>0</v>
      </c>
      <c r="Q57" s="117">
        <f>SUMIFS(Investors!$M:$M,Investors!$O:$O,FALSE,Investors!$P:$P,FALSE,Investors!$K:$K,"&gt;"&amp;'NSST Print'!$B$3,Investors!$I:$I,"&lt;="&amp;'NSST Print'!$B$3,Investors!$A:$A,'Investor Exit List'!$A57,Investors!$E:$E,'Investor Exit List'!$C57,Investors!$L:$L,'Investor Exit List'!$B57)-(SUMIFS(Investors!$M:$M,Investors!$I:$I,"&lt;="&amp;'NSST Print'!$B$3,Investors!$J:$J,"&gt;"&amp;'NSST Print'!$B$3,Investors!$A:$A,'Investor Exit List'!$A57,Investors!$E:$E,'Investor Exit List'!$C57,Investors!$L:$L,'Investor Exit List'!$B57)+SUMIFS(Investors!$M:$M,Investors!$I:$I,"&lt;="&amp;'NSST Print'!$B$3,Investors!$J:$J,"",Investors!$A:$A,'Investor Exit List'!$A57,Investors!$E:$E,'Investor Exit List'!$C57,Investors!$L:$L,'Investor Exit List'!$B57))+SUMIFS(Investors!$S:$S,Investors!$O:$O,FALSE,Investors!$P:$P,FALSE,Investors!$K:$K,"&gt;"&amp;'NSST Print'!$B$3,Investors!$I:$I,"&lt;="&amp;'NSST Print'!$B$3,Investors!$A:$A,'Investor Exit List'!$A57,Investors!$E:$E,'Investor Exit List'!$C57,Investors!$L:$L,'Investor Exit List'!$B57)-(SUMIFS(Investors!$S:$S,Investors!$I:$I,"&lt;="&amp;'NSST Print'!$B$3,Investors!$J:$J,"&gt;"&amp;'NSST Print'!$B$3,Investors!$A:$A,'Investor Exit List'!$A57,Investors!$E:$E,'Investor Exit List'!$C57,Investors!$L:$L,'Investor Exit List'!$B57)+SUMIFS(Investors!$S:$S,Investors!$I:$I,"&lt;="&amp;'NSST Print'!$B$3,Investors!$J:$J,"",Investors!$A:$A,'Investor Exit List'!$A57,Investors!$E:$E,'Investor Exit List'!$C57,Investors!$L:$L,'Investor Exit List'!$B57))</f>
        <v>0</v>
      </c>
      <c r="R57" s="117">
        <f t="shared" si="5"/>
        <v>0</v>
      </c>
      <c r="S57" s="117">
        <f>SUMIFS(Investors!$M:$M,Investors!$O:$O,TRUE,Investors!$A:$A,'Investor Exit List'!$A57,Investors!$E:$E,'Investor Exit List'!$C57,Investors!$L:$L,'Investor Exit List'!$B57)+SUMIFS(Investors!$S:$S,Investors!$O:$O,TRUE,Investors!$A:$A,'Investor Exit List'!$A57,Investors!$E:$E,'Investor Exit List'!$C57,Investors!$L:$L,'Investor Exit List'!$B57)</f>
        <v>398513.35616438335</v>
      </c>
      <c r="T57" s="118">
        <f t="shared" si="6"/>
        <v>45688</v>
      </c>
      <c r="U57" s="116" t="b">
        <v>1</v>
      </c>
      <c r="V57" s="117">
        <f t="shared" si="7"/>
        <v>398513.35616438335</v>
      </c>
      <c r="W57" s="116">
        <v>0</v>
      </c>
      <c r="X57" s="116" t="b">
        <v>0</v>
      </c>
      <c r="Y57" s="119">
        <f>IF(H57=FALSE,VLOOKUP($C57,Sales!$C:$F,4,FALSE),1)</f>
        <v>1</v>
      </c>
      <c r="Z57" s="116" t="str">
        <f t="shared" si="8"/>
        <v/>
      </c>
      <c r="AA57" s="118">
        <f t="shared" si="9"/>
        <v>0</v>
      </c>
      <c r="AB57" s="118" t="str">
        <f t="shared" si="10"/>
        <v>HFA304-ZJHO01</v>
      </c>
      <c r="AC57" s="118">
        <f t="shared" si="11"/>
        <v>45585</v>
      </c>
    </row>
    <row r="58" spans="1:29" ht="16" x14ac:dyDescent="0.2">
      <c r="A58" s="116" t="s">
        <v>176</v>
      </c>
      <c r="B58" s="116">
        <v>1</v>
      </c>
      <c r="C58" s="116" t="s">
        <v>175</v>
      </c>
      <c r="D58" s="116" t="s">
        <v>26</v>
      </c>
      <c r="E58" s="116" t="s">
        <v>2055</v>
      </c>
      <c r="F58" s="117">
        <f>SUMIFS(Investors!$M:$M,Investors!$O:$O,FALSE,Investors!$P:$P,FALSE,Investors!$K:$K,"&gt;"&amp;'NSST Print'!$B$3,Investors!$I:$I,"&lt;="&amp;'NSST Print'!$B$3,Investors!$A:$A,'Investor Exit List'!$A58,Investors!$E:$E,'Investor Exit List'!$C58,Investors!$L:$L,'Investor Exit List'!$B58)-(SUMIFS(Investors!$M:$M,Investors!$I:$I,"&lt;="&amp;'NSST Print'!$B$3,Investors!$J:$J,"&gt;"&amp;'NSST Print'!$B$3,Investors!$A:$A,'Investor Exit List'!$A58,Investors!$E:$E,'Investor Exit List'!$C58,Investors!$L:$L,'Investor Exit List'!$B58)+SUMIFS(Investors!$M:$M,Investors!$I:$I,"&lt;="&amp;'NSST Print'!$B$3,Investors!$J:$J,"",Investors!$A:$A,'Investor Exit List'!$A58,Investors!$E:$E,'Investor Exit List'!$C58,Investors!$L:$L,'Investor Exit List'!$B58))</f>
        <v>0</v>
      </c>
      <c r="G58" s="118">
        <v>44352</v>
      </c>
      <c r="H58" s="116" t="b">
        <f>VLOOKUP($C58,Sales!$C:$E,2,FALSE)</f>
        <v>1</v>
      </c>
      <c r="I58" s="116" t="b">
        <f>VLOOKUP($C58,Sales!$C:$E,3,FALSE)</f>
        <v>1</v>
      </c>
      <c r="J58" s="118">
        <f>SUMIFS(Sales!$H:$H,Sales!$C:$C,'Investor Exit List'!$C58)</f>
        <v>45688</v>
      </c>
      <c r="K58" s="118">
        <f t="shared" si="0"/>
        <v>45688</v>
      </c>
      <c r="L58" s="118">
        <f t="shared" si="1"/>
        <v>45082</v>
      </c>
      <c r="M58" s="118">
        <v>45443</v>
      </c>
      <c r="N58" s="119">
        <f t="shared" si="2"/>
        <v>0</v>
      </c>
      <c r="O58" s="119">
        <f t="shared" si="3"/>
        <v>0</v>
      </c>
      <c r="P58" s="117">
        <f t="shared" si="4"/>
        <v>0</v>
      </c>
      <c r="Q58" s="117">
        <f>SUMIFS(Investors!$M:$M,Investors!$O:$O,FALSE,Investors!$P:$P,FALSE,Investors!$K:$K,"&gt;"&amp;'NSST Print'!$B$3,Investors!$I:$I,"&lt;="&amp;'NSST Print'!$B$3,Investors!$A:$A,'Investor Exit List'!$A58,Investors!$E:$E,'Investor Exit List'!$C58,Investors!$L:$L,'Investor Exit List'!$B58)-(SUMIFS(Investors!$M:$M,Investors!$I:$I,"&lt;="&amp;'NSST Print'!$B$3,Investors!$J:$J,"&gt;"&amp;'NSST Print'!$B$3,Investors!$A:$A,'Investor Exit List'!$A58,Investors!$E:$E,'Investor Exit List'!$C58,Investors!$L:$L,'Investor Exit List'!$B58)+SUMIFS(Investors!$M:$M,Investors!$I:$I,"&lt;="&amp;'NSST Print'!$B$3,Investors!$J:$J,"",Investors!$A:$A,'Investor Exit List'!$A58,Investors!$E:$E,'Investor Exit List'!$C58,Investors!$L:$L,'Investor Exit List'!$B58))+SUMIFS(Investors!$S:$S,Investors!$O:$O,FALSE,Investors!$P:$P,FALSE,Investors!$K:$K,"&gt;"&amp;'NSST Print'!$B$3,Investors!$I:$I,"&lt;="&amp;'NSST Print'!$B$3,Investors!$A:$A,'Investor Exit List'!$A58,Investors!$E:$E,'Investor Exit List'!$C58,Investors!$L:$L,'Investor Exit List'!$B58)-(SUMIFS(Investors!$S:$S,Investors!$I:$I,"&lt;="&amp;'NSST Print'!$B$3,Investors!$J:$J,"&gt;"&amp;'NSST Print'!$B$3,Investors!$A:$A,'Investor Exit List'!$A58,Investors!$E:$E,'Investor Exit List'!$C58,Investors!$L:$L,'Investor Exit List'!$B58)+SUMIFS(Investors!$S:$S,Investors!$I:$I,"&lt;="&amp;'NSST Print'!$B$3,Investors!$J:$J,"",Investors!$A:$A,'Investor Exit List'!$A58,Investors!$E:$E,'Investor Exit List'!$C58,Investors!$L:$L,'Investor Exit List'!$B58))</f>
        <v>0</v>
      </c>
      <c r="R58" s="117">
        <f t="shared" si="5"/>
        <v>0</v>
      </c>
      <c r="S58" s="117">
        <f>SUMIFS(Investors!$M:$M,Investors!$O:$O,TRUE,Investors!$A:$A,'Investor Exit List'!$A58,Investors!$E:$E,'Investor Exit List'!$C58,Investors!$L:$L,'Investor Exit List'!$B58)+SUMIFS(Investors!$S:$S,Investors!$O:$O,TRUE,Investors!$A:$A,'Investor Exit List'!$A58,Investors!$E:$E,'Investor Exit List'!$C58,Investors!$L:$L,'Investor Exit List'!$B58)</f>
        <v>189647.26027397261</v>
      </c>
      <c r="T58" s="118">
        <f t="shared" si="6"/>
        <v>45688</v>
      </c>
      <c r="U58" s="116" t="b">
        <v>1</v>
      </c>
      <c r="V58" s="117">
        <f t="shared" si="7"/>
        <v>189647.26027397261</v>
      </c>
      <c r="W58" s="116">
        <v>0</v>
      </c>
      <c r="X58" s="116" t="b">
        <v>0</v>
      </c>
      <c r="Y58" s="119">
        <f>IF(H58=FALSE,VLOOKUP($C58,Sales!$C:$F,4,FALSE),1)</f>
        <v>1</v>
      </c>
      <c r="Z58" s="116" t="str">
        <f t="shared" si="8"/>
        <v/>
      </c>
      <c r="AA58" s="118">
        <f t="shared" si="9"/>
        <v>0</v>
      </c>
      <c r="AB58" s="118" t="str">
        <f t="shared" si="10"/>
        <v>HFA304-ZKRO01</v>
      </c>
      <c r="AC58" s="118">
        <f t="shared" si="11"/>
        <v>45082</v>
      </c>
    </row>
    <row r="59" spans="1:29" ht="16" x14ac:dyDescent="0.2">
      <c r="A59" s="116" t="s">
        <v>179</v>
      </c>
      <c r="B59" s="116">
        <v>1</v>
      </c>
      <c r="C59" s="116" t="s">
        <v>175</v>
      </c>
      <c r="D59" s="116" t="s">
        <v>26</v>
      </c>
      <c r="E59" s="116" t="s">
        <v>2056</v>
      </c>
      <c r="F59" s="117">
        <f>SUMIFS(Investors!$M:$M,Investors!$O:$O,FALSE,Investors!$P:$P,FALSE,Investors!$K:$K,"&gt;"&amp;'NSST Print'!$B$3,Investors!$I:$I,"&lt;="&amp;'NSST Print'!$B$3,Investors!$A:$A,'Investor Exit List'!$A59,Investors!$E:$E,'Investor Exit List'!$C59,Investors!$L:$L,'Investor Exit List'!$B59)-(SUMIFS(Investors!$M:$M,Investors!$I:$I,"&lt;="&amp;'NSST Print'!$B$3,Investors!$J:$J,"&gt;"&amp;'NSST Print'!$B$3,Investors!$A:$A,'Investor Exit List'!$A59,Investors!$E:$E,'Investor Exit List'!$C59,Investors!$L:$L,'Investor Exit List'!$B59)+SUMIFS(Investors!$M:$M,Investors!$I:$I,"&lt;="&amp;'NSST Print'!$B$3,Investors!$J:$J,"",Investors!$A:$A,'Investor Exit List'!$A59,Investors!$E:$E,'Investor Exit List'!$C59,Investors!$L:$L,'Investor Exit List'!$B59))</f>
        <v>0</v>
      </c>
      <c r="G59" s="118">
        <v>44352</v>
      </c>
      <c r="H59" s="116" t="b">
        <f>VLOOKUP($C59,Sales!$C:$E,2,FALSE)</f>
        <v>1</v>
      </c>
      <c r="I59" s="116" t="b">
        <f>VLOOKUP($C59,Sales!$C:$E,3,FALSE)</f>
        <v>1</v>
      </c>
      <c r="J59" s="118">
        <f>SUMIFS(Sales!$H:$H,Sales!$C:$C,'Investor Exit List'!$C59)</f>
        <v>45688</v>
      </c>
      <c r="K59" s="118">
        <f t="shared" si="0"/>
        <v>45688</v>
      </c>
      <c r="L59" s="118">
        <f t="shared" si="1"/>
        <v>45082</v>
      </c>
      <c r="M59" s="118">
        <v>45443</v>
      </c>
      <c r="N59" s="119">
        <f t="shared" si="2"/>
        <v>0</v>
      </c>
      <c r="O59" s="119">
        <f t="shared" si="3"/>
        <v>0</v>
      </c>
      <c r="P59" s="117">
        <f t="shared" si="4"/>
        <v>0</v>
      </c>
      <c r="Q59" s="117">
        <f>SUMIFS(Investors!$M:$M,Investors!$O:$O,FALSE,Investors!$P:$P,FALSE,Investors!$K:$K,"&gt;"&amp;'NSST Print'!$B$3,Investors!$I:$I,"&lt;="&amp;'NSST Print'!$B$3,Investors!$A:$A,'Investor Exit List'!$A59,Investors!$E:$E,'Investor Exit List'!$C59,Investors!$L:$L,'Investor Exit List'!$B59)-(SUMIFS(Investors!$M:$M,Investors!$I:$I,"&lt;="&amp;'NSST Print'!$B$3,Investors!$J:$J,"&gt;"&amp;'NSST Print'!$B$3,Investors!$A:$A,'Investor Exit List'!$A59,Investors!$E:$E,'Investor Exit List'!$C59,Investors!$L:$L,'Investor Exit List'!$B59)+SUMIFS(Investors!$M:$M,Investors!$I:$I,"&lt;="&amp;'NSST Print'!$B$3,Investors!$J:$J,"",Investors!$A:$A,'Investor Exit List'!$A59,Investors!$E:$E,'Investor Exit List'!$C59,Investors!$L:$L,'Investor Exit List'!$B59))+SUMIFS(Investors!$S:$S,Investors!$O:$O,FALSE,Investors!$P:$P,FALSE,Investors!$K:$K,"&gt;"&amp;'NSST Print'!$B$3,Investors!$I:$I,"&lt;="&amp;'NSST Print'!$B$3,Investors!$A:$A,'Investor Exit List'!$A59,Investors!$E:$E,'Investor Exit List'!$C59,Investors!$L:$L,'Investor Exit List'!$B59)-(SUMIFS(Investors!$S:$S,Investors!$I:$I,"&lt;="&amp;'NSST Print'!$B$3,Investors!$J:$J,"&gt;"&amp;'NSST Print'!$B$3,Investors!$A:$A,'Investor Exit List'!$A59,Investors!$E:$E,'Investor Exit List'!$C59,Investors!$L:$L,'Investor Exit List'!$B59)+SUMIFS(Investors!$S:$S,Investors!$I:$I,"&lt;="&amp;'NSST Print'!$B$3,Investors!$J:$J,"",Investors!$A:$A,'Investor Exit List'!$A59,Investors!$E:$E,'Investor Exit List'!$C59,Investors!$L:$L,'Investor Exit List'!$B59))</f>
        <v>0</v>
      </c>
      <c r="R59" s="117">
        <f t="shared" si="5"/>
        <v>0</v>
      </c>
      <c r="S59" s="117">
        <f>SUMIFS(Investors!$M:$M,Investors!$O:$O,TRUE,Investors!$A:$A,'Investor Exit List'!$A59,Investors!$E:$E,'Investor Exit List'!$C59,Investors!$L:$L,'Investor Exit List'!$B59)+SUMIFS(Investors!$S:$S,Investors!$O:$O,TRUE,Investors!$A:$A,'Investor Exit List'!$A59,Investors!$E:$E,'Investor Exit List'!$C59,Investors!$L:$L,'Investor Exit List'!$B59)</f>
        <v>131234.93150684933</v>
      </c>
      <c r="T59" s="118">
        <f t="shared" si="6"/>
        <v>45688</v>
      </c>
      <c r="U59" s="116" t="b">
        <v>1</v>
      </c>
      <c r="V59" s="117">
        <f t="shared" si="7"/>
        <v>131234.93150684933</v>
      </c>
      <c r="W59" s="116">
        <v>0</v>
      </c>
      <c r="X59" s="116" t="b">
        <v>0</v>
      </c>
      <c r="Y59" s="119">
        <f>IF(H59=FALSE,VLOOKUP($C59,Sales!$C:$F,4,FALSE),1)</f>
        <v>1</v>
      </c>
      <c r="Z59" s="116" t="str">
        <f t="shared" si="8"/>
        <v/>
      </c>
      <c r="AA59" s="118">
        <f t="shared" si="9"/>
        <v>0</v>
      </c>
      <c r="AB59" s="118" t="str">
        <f t="shared" si="10"/>
        <v>HFA304-ZPED01</v>
      </c>
      <c r="AC59" s="118">
        <f t="shared" si="11"/>
        <v>45082</v>
      </c>
    </row>
    <row r="60" spans="1:29" ht="16" x14ac:dyDescent="0.2">
      <c r="A60" s="116" t="s">
        <v>182</v>
      </c>
      <c r="B60" s="116">
        <v>1</v>
      </c>
      <c r="C60" s="116" t="s">
        <v>175</v>
      </c>
      <c r="D60" s="116" t="s">
        <v>26</v>
      </c>
      <c r="E60" s="116" t="s">
        <v>2057</v>
      </c>
      <c r="F60" s="117">
        <f>SUMIFS(Investors!$M:$M,Investors!$O:$O,FALSE,Investors!$P:$P,FALSE,Investors!$K:$K,"&gt;"&amp;'NSST Print'!$B$3,Investors!$I:$I,"&lt;="&amp;'NSST Print'!$B$3,Investors!$A:$A,'Investor Exit List'!$A60,Investors!$E:$E,'Investor Exit List'!$C60,Investors!$L:$L,'Investor Exit List'!$B60)-(SUMIFS(Investors!$M:$M,Investors!$I:$I,"&lt;="&amp;'NSST Print'!$B$3,Investors!$J:$J,"&gt;"&amp;'NSST Print'!$B$3,Investors!$A:$A,'Investor Exit List'!$A60,Investors!$E:$E,'Investor Exit List'!$C60,Investors!$L:$L,'Investor Exit List'!$B60)+SUMIFS(Investors!$M:$M,Investors!$I:$I,"&lt;="&amp;'NSST Print'!$B$3,Investors!$J:$J,"",Investors!$A:$A,'Investor Exit List'!$A60,Investors!$E:$E,'Investor Exit List'!$C60,Investors!$L:$L,'Investor Exit List'!$B60))</f>
        <v>0</v>
      </c>
      <c r="G60" s="118">
        <v>44508</v>
      </c>
      <c r="H60" s="116" t="b">
        <f>VLOOKUP($C60,Sales!$C:$E,2,FALSE)</f>
        <v>1</v>
      </c>
      <c r="I60" s="116" t="b">
        <f>VLOOKUP($C60,Sales!$C:$E,3,FALSE)</f>
        <v>1</v>
      </c>
      <c r="J60" s="118">
        <f>SUMIFS(Sales!$H:$H,Sales!$C:$C,'Investor Exit List'!$C60)</f>
        <v>45688</v>
      </c>
      <c r="K60" s="118">
        <f t="shared" si="0"/>
        <v>45688</v>
      </c>
      <c r="L60" s="118">
        <f t="shared" si="1"/>
        <v>45238</v>
      </c>
      <c r="M60" s="118">
        <v>45443</v>
      </c>
      <c r="N60" s="119">
        <f t="shared" si="2"/>
        <v>0</v>
      </c>
      <c r="O60" s="119">
        <f t="shared" si="3"/>
        <v>0</v>
      </c>
      <c r="P60" s="117">
        <f t="shared" si="4"/>
        <v>0</v>
      </c>
      <c r="Q60" s="117">
        <f>SUMIFS(Investors!$M:$M,Investors!$O:$O,FALSE,Investors!$P:$P,FALSE,Investors!$K:$K,"&gt;"&amp;'NSST Print'!$B$3,Investors!$I:$I,"&lt;="&amp;'NSST Print'!$B$3,Investors!$A:$A,'Investor Exit List'!$A60,Investors!$E:$E,'Investor Exit List'!$C60,Investors!$L:$L,'Investor Exit List'!$B60)-(SUMIFS(Investors!$M:$M,Investors!$I:$I,"&lt;="&amp;'NSST Print'!$B$3,Investors!$J:$J,"&gt;"&amp;'NSST Print'!$B$3,Investors!$A:$A,'Investor Exit List'!$A60,Investors!$E:$E,'Investor Exit List'!$C60,Investors!$L:$L,'Investor Exit List'!$B60)+SUMIFS(Investors!$M:$M,Investors!$I:$I,"&lt;="&amp;'NSST Print'!$B$3,Investors!$J:$J,"",Investors!$A:$A,'Investor Exit List'!$A60,Investors!$E:$E,'Investor Exit List'!$C60,Investors!$L:$L,'Investor Exit List'!$B60))+SUMIFS(Investors!$S:$S,Investors!$O:$O,FALSE,Investors!$P:$P,FALSE,Investors!$K:$K,"&gt;"&amp;'NSST Print'!$B$3,Investors!$I:$I,"&lt;="&amp;'NSST Print'!$B$3,Investors!$A:$A,'Investor Exit List'!$A60,Investors!$E:$E,'Investor Exit List'!$C60,Investors!$L:$L,'Investor Exit List'!$B60)-(SUMIFS(Investors!$S:$S,Investors!$I:$I,"&lt;="&amp;'NSST Print'!$B$3,Investors!$J:$J,"&gt;"&amp;'NSST Print'!$B$3,Investors!$A:$A,'Investor Exit List'!$A60,Investors!$E:$E,'Investor Exit List'!$C60,Investors!$L:$L,'Investor Exit List'!$B60)+SUMIFS(Investors!$S:$S,Investors!$I:$I,"&lt;="&amp;'NSST Print'!$B$3,Investors!$J:$J,"",Investors!$A:$A,'Investor Exit List'!$A60,Investors!$E:$E,'Investor Exit List'!$C60,Investors!$L:$L,'Investor Exit List'!$B60))</f>
        <v>0</v>
      </c>
      <c r="R60" s="117">
        <f t="shared" si="5"/>
        <v>0</v>
      </c>
      <c r="S60" s="117">
        <f>SUMIFS(Investors!$M:$M,Investors!$O:$O,TRUE,Investors!$A:$A,'Investor Exit List'!$A60,Investors!$E:$E,'Investor Exit List'!$C60,Investors!$L:$L,'Investor Exit List'!$B60)+SUMIFS(Investors!$S:$S,Investors!$O:$O,TRUE,Investors!$A:$A,'Investor Exit List'!$A60,Investors!$E:$E,'Investor Exit List'!$C60,Investors!$L:$L,'Investor Exit List'!$B60)</f>
        <v>120768.49315068492</v>
      </c>
      <c r="T60" s="118">
        <f t="shared" si="6"/>
        <v>45688</v>
      </c>
      <c r="U60" s="116" t="b">
        <v>1</v>
      </c>
      <c r="V60" s="117">
        <f t="shared" si="7"/>
        <v>120768.49315068492</v>
      </c>
      <c r="W60" s="116">
        <v>0</v>
      </c>
      <c r="X60" s="116" t="b">
        <v>0</v>
      </c>
      <c r="Y60" s="119">
        <f>IF(H60=FALSE,VLOOKUP($C60,Sales!$C:$F,4,FALSE),1)</f>
        <v>1</v>
      </c>
      <c r="Z60" s="116" t="str">
        <f t="shared" si="8"/>
        <v/>
      </c>
      <c r="AA60" s="118">
        <f t="shared" si="9"/>
        <v>0</v>
      </c>
      <c r="AB60" s="118" t="str">
        <f t="shared" si="10"/>
        <v>HFA304-ZSOU02</v>
      </c>
      <c r="AC60" s="118">
        <f t="shared" si="11"/>
        <v>45238</v>
      </c>
    </row>
    <row r="61" spans="1:29" ht="16" x14ac:dyDescent="0.2">
      <c r="A61" s="116" t="s">
        <v>185</v>
      </c>
      <c r="B61" s="116">
        <v>2</v>
      </c>
      <c r="C61" s="116" t="s">
        <v>175</v>
      </c>
      <c r="D61" s="116" t="s">
        <v>26</v>
      </c>
      <c r="E61" s="116" t="s">
        <v>2058</v>
      </c>
      <c r="F61" s="117">
        <f>SUMIFS(Investors!$M:$M,Investors!$O:$O,FALSE,Investors!$P:$P,FALSE,Investors!$K:$K,"&gt;"&amp;'NSST Print'!$B$3,Investors!$I:$I,"&lt;="&amp;'NSST Print'!$B$3,Investors!$A:$A,'Investor Exit List'!$A61,Investors!$E:$E,'Investor Exit List'!$C61,Investors!$L:$L,'Investor Exit List'!$B61)-(SUMIFS(Investors!$M:$M,Investors!$I:$I,"&lt;="&amp;'NSST Print'!$B$3,Investors!$J:$J,"&gt;"&amp;'NSST Print'!$B$3,Investors!$A:$A,'Investor Exit List'!$A61,Investors!$E:$E,'Investor Exit List'!$C61,Investors!$L:$L,'Investor Exit List'!$B61)+SUMIFS(Investors!$M:$M,Investors!$I:$I,"&lt;="&amp;'NSST Print'!$B$3,Investors!$J:$J,"",Investors!$A:$A,'Investor Exit List'!$A61,Investors!$E:$E,'Investor Exit List'!$C61,Investors!$L:$L,'Investor Exit List'!$B61))</f>
        <v>0</v>
      </c>
      <c r="G61" s="118">
        <v>44508</v>
      </c>
      <c r="H61" s="116" t="b">
        <f>VLOOKUP($C61,Sales!$C:$E,2,FALSE)</f>
        <v>1</v>
      </c>
      <c r="I61" s="116" t="b">
        <f>VLOOKUP($C61,Sales!$C:$E,3,FALSE)</f>
        <v>1</v>
      </c>
      <c r="J61" s="118">
        <f>SUMIFS(Sales!$H:$H,Sales!$C:$C,'Investor Exit List'!$C61)</f>
        <v>45688</v>
      </c>
      <c r="K61" s="118">
        <f t="shared" si="0"/>
        <v>45688</v>
      </c>
      <c r="L61" s="118">
        <f t="shared" si="1"/>
        <v>45238</v>
      </c>
      <c r="M61" s="118">
        <v>45443</v>
      </c>
      <c r="N61" s="119">
        <f t="shared" si="2"/>
        <v>0</v>
      </c>
      <c r="O61" s="119">
        <f t="shared" si="3"/>
        <v>0</v>
      </c>
      <c r="P61" s="117">
        <f t="shared" si="4"/>
        <v>0</v>
      </c>
      <c r="Q61" s="117">
        <f>SUMIFS(Investors!$M:$M,Investors!$O:$O,FALSE,Investors!$P:$P,FALSE,Investors!$K:$K,"&gt;"&amp;'NSST Print'!$B$3,Investors!$I:$I,"&lt;="&amp;'NSST Print'!$B$3,Investors!$A:$A,'Investor Exit List'!$A61,Investors!$E:$E,'Investor Exit List'!$C61,Investors!$L:$L,'Investor Exit List'!$B61)-(SUMIFS(Investors!$M:$M,Investors!$I:$I,"&lt;="&amp;'NSST Print'!$B$3,Investors!$J:$J,"&gt;"&amp;'NSST Print'!$B$3,Investors!$A:$A,'Investor Exit List'!$A61,Investors!$E:$E,'Investor Exit List'!$C61,Investors!$L:$L,'Investor Exit List'!$B61)+SUMIFS(Investors!$M:$M,Investors!$I:$I,"&lt;="&amp;'NSST Print'!$B$3,Investors!$J:$J,"",Investors!$A:$A,'Investor Exit List'!$A61,Investors!$E:$E,'Investor Exit List'!$C61,Investors!$L:$L,'Investor Exit List'!$B61))+SUMIFS(Investors!$S:$S,Investors!$O:$O,FALSE,Investors!$P:$P,FALSE,Investors!$K:$K,"&gt;"&amp;'NSST Print'!$B$3,Investors!$I:$I,"&lt;="&amp;'NSST Print'!$B$3,Investors!$A:$A,'Investor Exit List'!$A61,Investors!$E:$E,'Investor Exit List'!$C61,Investors!$L:$L,'Investor Exit List'!$B61)-(SUMIFS(Investors!$S:$S,Investors!$I:$I,"&lt;="&amp;'NSST Print'!$B$3,Investors!$J:$J,"&gt;"&amp;'NSST Print'!$B$3,Investors!$A:$A,'Investor Exit List'!$A61,Investors!$E:$E,'Investor Exit List'!$C61,Investors!$L:$L,'Investor Exit List'!$B61)+SUMIFS(Investors!$S:$S,Investors!$I:$I,"&lt;="&amp;'NSST Print'!$B$3,Investors!$J:$J,"",Investors!$A:$A,'Investor Exit List'!$A61,Investors!$E:$E,'Investor Exit List'!$C61,Investors!$L:$L,'Investor Exit List'!$B61))</f>
        <v>0</v>
      </c>
      <c r="R61" s="117">
        <f t="shared" si="5"/>
        <v>0</v>
      </c>
      <c r="S61" s="117">
        <f>SUMIFS(Investors!$M:$M,Investors!$O:$O,TRUE,Investors!$A:$A,'Investor Exit List'!$A61,Investors!$E:$E,'Investor Exit List'!$C61,Investors!$L:$L,'Investor Exit List'!$B61)+SUMIFS(Investors!$S:$S,Investors!$O:$O,TRUE,Investors!$A:$A,'Investor Exit List'!$A61,Investors!$E:$E,'Investor Exit List'!$C61,Investors!$L:$L,'Investor Exit List'!$B61)</f>
        <v>117916.43835616438</v>
      </c>
      <c r="T61" s="118">
        <f t="shared" si="6"/>
        <v>45688</v>
      </c>
      <c r="U61" s="116" t="b">
        <v>1</v>
      </c>
      <c r="V61" s="117">
        <f t="shared" si="7"/>
        <v>117916.43835616438</v>
      </c>
      <c r="W61" s="116">
        <v>0</v>
      </c>
      <c r="X61" s="116" t="b">
        <v>0</v>
      </c>
      <c r="Y61" s="119">
        <f>IF(H61=FALSE,VLOOKUP($C61,Sales!$C:$F,4,FALSE),1)</f>
        <v>1</v>
      </c>
      <c r="Z61" s="116" t="str">
        <f t="shared" si="8"/>
        <v/>
      </c>
      <c r="AA61" s="118">
        <f t="shared" si="9"/>
        <v>0</v>
      </c>
      <c r="AB61" s="118" t="str">
        <f t="shared" si="10"/>
        <v>HFA304-ZVER02</v>
      </c>
      <c r="AC61" s="118">
        <f t="shared" si="11"/>
        <v>45238</v>
      </c>
    </row>
    <row r="62" spans="1:29" ht="16" x14ac:dyDescent="0.2">
      <c r="A62" s="116" t="s">
        <v>188</v>
      </c>
      <c r="B62" s="116">
        <v>1</v>
      </c>
      <c r="C62" s="116" t="s">
        <v>191</v>
      </c>
      <c r="D62" s="116" t="s">
        <v>26</v>
      </c>
      <c r="E62" s="116" t="s">
        <v>2059</v>
      </c>
      <c r="F62" s="117">
        <f>SUMIFS(Investors!$M:$M,Investors!$O:$O,FALSE,Investors!$P:$P,FALSE,Investors!$K:$K,"&gt;"&amp;'NSST Print'!$B$3,Investors!$I:$I,"&lt;="&amp;'NSST Print'!$B$3,Investors!$A:$A,'Investor Exit List'!$A62,Investors!$E:$E,'Investor Exit List'!$C62,Investors!$L:$L,'Investor Exit List'!$B62)-(SUMIFS(Investors!$M:$M,Investors!$I:$I,"&lt;="&amp;'NSST Print'!$B$3,Investors!$J:$J,"&gt;"&amp;'NSST Print'!$B$3,Investors!$A:$A,'Investor Exit List'!$A62,Investors!$E:$E,'Investor Exit List'!$C62,Investors!$L:$L,'Investor Exit List'!$B62)+SUMIFS(Investors!$M:$M,Investors!$I:$I,"&lt;="&amp;'NSST Print'!$B$3,Investors!$J:$J,"",Investors!$A:$A,'Investor Exit List'!$A62,Investors!$E:$E,'Investor Exit List'!$C62,Investors!$L:$L,'Investor Exit List'!$B62))</f>
        <v>0</v>
      </c>
      <c r="G62" s="118">
        <v>44352</v>
      </c>
      <c r="H62" s="116" t="b">
        <f>VLOOKUP($C62,Sales!$C:$E,2,FALSE)</f>
        <v>1</v>
      </c>
      <c r="I62" s="116" t="b">
        <f>VLOOKUP($C62,Sales!$C:$E,3,FALSE)</f>
        <v>1</v>
      </c>
      <c r="J62" s="118">
        <f>SUMIFS(Sales!$H:$H,Sales!$C:$C,'Investor Exit List'!$C62)</f>
        <v>45688</v>
      </c>
      <c r="K62" s="118">
        <f t="shared" si="0"/>
        <v>45688</v>
      </c>
      <c r="L62" s="118">
        <f t="shared" si="1"/>
        <v>45082</v>
      </c>
      <c r="M62" s="118">
        <v>45443</v>
      </c>
      <c r="N62" s="119">
        <f t="shared" si="2"/>
        <v>0</v>
      </c>
      <c r="O62" s="119">
        <f t="shared" si="3"/>
        <v>0</v>
      </c>
      <c r="P62" s="117">
        <f t="shared" si="4"/>
        <v>0</v>
      </c>
      <c r="Q62" s="117">
        <f>SUMIFS(Investors!$M:$M,Investors!$O:$O,FALSE,Investors!$P:$P,FALSE,Investors!$K:$K,"&gt;"&amp;'NSST Print'!$B$3,Investors!$I:$I,"&lt;="&amp;'NSST Print'!$B$3,Investors!$A:$A,'Investor Exit List'!$A62,Investors!$E:$E,'Investor Exit List'!$C62,Investors!$L:$L,'Investor Exit List'!$B62)-(SUMIFS(Investors!$M:$M,Investors!$I:$I,"&lt;="&amp;'NSST Print'!$B$3,Investors!$J:$J,"&gt;"&amp;'NSST Print'!$B$3,Investors!$A:$A,'Investor Exit List'!$A62,Investors!$E:$E,'Investor Exit List'!$C62,Investors!$L:$L,'Investor Exit List'!$B62)+SUMIFS(Investors!$M:$M,Investors!$I:$I,"&lt;="&amp;'NSST Print'!$B$3,Investors!$J:$J,"",Investors!$A:$A,'Investor Exit List'!$A62,Investors!$E:$E,'Investor Exit List'!$C62,Investors!$L:$L,'Investor Exit List'!$B62))+SUMIFS(Investors!$S:$S,Investors!$O:$O,FALSE,Investors!$P:$P,FALSE,Investors!$K:$K,"&gt;"&amp;'NSST Print'!$B$3,Investors!$I:$I,"&lt;="&amp;'NSST Print'!$B$3,Investors!$A:$A,'Investor Exit List'!$A62,Investors!$E:$E,'Investor Exit List'!$C62,Investors!$L:$L,'Investor Exit List'!$B62)-(SUMIFS(Investors!$S:$S,Investors!$I:$I,"&lt;="&amp;'NSST Print'!$B$3,Investors!$J:$J,"&gt;"&amp;'NSST Print'!$B$3,Investors!$A:$A,'Investor Exit List'!$A62,Investors!$E:$E,'Investor Exit List'!$C62,Investors!$L:$L,'Investor Exit List'!$B62)+SUMIFS(Investors!$S:$S,Investors!$I:$I,"&lt;="&amp;'NSST Print'!$B$3,Investors!$J:$J,"",Investors!$A:$A,'Investor Exit List'!$A62,Investors!$E:$E,'Investor Exit List'!$C62,Investors!$L:$L,'Investor Exit List'!$B62))</f>
        <v>0</v>
      </c>
      <c r="R62" s="117">
        <f t="shared" si="5"/>
        <v>0</v>
      </c>
      <c r="S62" s="117">
        <f>SUMIFS(Investors!$M:$M,Investors!$O:$O,TRUE,Investors!$A:$A,'Investor Exit List'!$A62,Investors!$E:$E,'Investor Exit List'!$C62,Investors!$L:$L,'Investor Exit List'!$B62)+SUMIFS(Investors!$S:$S,Investors!$O:$O,TRUE,Investors!$A:$A,'Investor Exit List'!$A62,Investors!$E:$E,'Investor Exit List'!$C62,Investors!$L:$L,'Investor Exit List'!$B62)</f>
        <v>636671.82945205481</v>
      </c>
      <c r="T62" s="118">
        <f t="shared" si="6"/>
        <v>45688</v>
      </c>
      <c r="U62" s="116" t="b">
        <v>1</v>
      </c>
      <c r="V62" s="117">
        <f t="shared" si="7"/>
        <v>636671.82945205481</v>
      </c>
      <c r="W62" s="116">
        <v>0</v>
      </c>
      <c r="X62" s="116" t="b">
        <v>0</v>
      </c>
      <c r="Y62" s="119">
        <f>IF(H62=FALSE,VLOOKUP($C62,Sales!$C:$F,4,FALSE),1)</f>
        <v>1</v>
      </c>
      <c r="Z62" s="116" t="str">
        <f t="shared" si="8"/>
        <v/>
      </c>
      <c r="AA62" s="118">
        <f t="shared" si="9"/>
        <v>0</v>
      </c>
      <c r="AB62" s="118" t="str">
        <f t="shared" si="10"/>
        <v>HFA305-ZKRO03</v>
      </c>
      <c r="AC62" s="118">
        <f t="shared" si="11"/>
        <v>45082</v>
      </c>
    </row>
    <row r="63" spans="1:29" ht="16" x14ac:dyDescent="0.2">
      <c r="A63" s="116" t="s">
        <v>192</v>
      </c>
      <c r="B63" s="116">
        <v>1</v>
      </c>
      <c r="C63" s="116" t="s">
        <v>191</v>
      </c>
      <c r="D63" s="116" t="s">
        <v>26</v>
      </c>
      <c r="E63" s="116" t="s">
        <v>2060</v>
      </c>
      <c r="F63" s="117">
        <f>SUMIFS(Investors!$M:$M,Investors!$O:$O,FALSE,Investors!$P:$P,FALSE,Investors!$K:$K,"&gt;"&amp;'NSST Print'!$B$3,Investors!$I:$I,"&lt;="&amp;'NSST Print'!$B$3,Investors!$A:$A,'Investor Exit List'!$A63,Investors!$E:$E,'Investor Exit List'!$C63,Investors!$L:$L,'Investor Exit List'!$B63)-(SUMIFS(Investors!$M:$M,Investors!$I:$I,"&lt;="&amp;'NSST Print'!$B$3,Investors!$J:$J,"&gt;"&amp;'NSST Print'!$B$3,Investors!$A:$A,'Investor Exit List'!$A63,Investors!$E:$E,'Investor Exit List'!$C63,Investors!$L:$L,'Investor Exit List'!$B63)+SUMIFS(Investors!$M:$M,Investors!$I:$I,"&lt;="&amp;'NSST Print'!$B$3,Investors!$J:$J,"",Investors!$A:$A,'Investor Exit List'!$A63,Investors!$E:$E,'Investor Exit List'!$C63,Investors!$L:$L,'Investor Exit List'!$B63))</f>
        <v>0</v>
      </c>
      <c r="G63" s="118">
        <v>44618</v>
      </c>
      <c r="H63" s="116" t="b">
        <f>VLOOKUP($C63,Sales!$C:$E,2,FALSE)</f>
        <v>1</v>
      </c>
      <c r="I63" s="116" t="b">
        <f>VLOOKUP($C63,Sales!$C:$E,3,FALSE)</f>
        <v>1</v>
      </c>
      <c r="J63" s="118">
        <f>SUMIFS(Sales!$H:$H,Sales!$C:$C,'Investor Exit List'!$C63)</f>
        <v>45688</v>
      </c>
      <c r="K63" s="118">
        <f t="shared" si="0"/>
        <v>45688</v>
      </c>
      <c r="L63" s="118">
        <f t="shared" si="1"/>
        <v>45348</v>
      </c>
      <c r="M63" s="118">
        <v>45443</v>
      </c>
      <c r="N63" s="119">
        <f t="shared" si="2"/>
        <v>0</v>
      </c>
      <c r="O63" s="119">
        <f t="shared" si="3"/>
        <v>0</v>
      </c>
      <c r="P63" s="117">
        <f t="shared" si="4"/>
        <v>0</v>
      </c>
      <c r="Q63" s="117">
        <f>SUMIFS(Investors!$M:$M,Investors!$O:$O,FALSE,Investors!$P:$P,FALSE,Investors!$K:$K,"&gt;"&amp;'NSST Print'!$B$3,Investors!$I:$I,"&lt;="&amp;'NSST Print'!$B$3,Investors!$A:$A,'Investor Exit List'!$A63,Investors!$E:$E,'Investor Exit List'!$C63,Investors!$L:$L,'Investor Exit List'!$B63)-(SUMIFS(Investors!$M:$M,Investors!$I:$I,"&lt;="&amp;'NSST Print'!$B$3,Investors!$J:$J,"&gt;"&amp;'NSST Print'!$B$3,Investors!$A:$A,'Investor Exit List'!$A63,Investors!$E:$E,'Investor Exit List'!$C63,Investors!$L:$L,'Investor Exit List'!$B63)+SUMIFS(Investors!$M:$M,Investors!$I:$I,"&lt;="&amp;'NSST Print'!$B$3,Investors!$J:$J,"",Investors!$A:$A,'Investor Exit List'!$A63,Investors!$E:$E,'Investor Exit List'!$C63,Investors!$L:$L,'Investor Exit List'!$B63))+SUMIFS(Investors!$S:$S,Investors!$O:$O,FALSE,Investors!$P:$P,FALSE,Investors!$K:$K,"&gt;"&amp;'NSST Print'!$B$3,Investors!$I:$I,"&lt;="&amp;'NSST Print'!$B$3,Investors!$A:$A,'Investor Exit List'!$A63,Investors!$E:$E,'Investor Exit List'!$C63,Investors!$L:$L,'Investor Exit List'!$B63)-(SUMIFS(Investors!$S:$S,Investors!$I:$I,"&lt;="&amp;'NSST Print'!$B$3,Investors!$J:$J,"&gt;"&amp;'NSST Print'!$B$3,Investors!$A:$A,'Investor Exit List'!$A63,Investors!$E:$E,'Investor Exit List'!$C63,Investors!$L:$L,'Investor Exit List'!$B63)+SUMIFS(Investors!$S:$S,Investors!$I:$I,"&lt;="&amp;'NSST Print'!$B$3,Investors!$J:$J,"",Investors!$A:$A,'Investor Exit List'!$A63,Investors!$E:$E,'Investor Exit List'!$C63,Investors!$L:$L,'Investor Exit List'!$B63))</f>
        <v>0</v>
      </c>
      <c r="R63" s="117">
        <f t="shared" si="5"/>
        <v>0</v>
      </c>
      <c r="S63" s="117">
        <f>SUMIFS(Investors!$M:$M,Investors!$O:$O,TRUE,Investors!$A:$A,'Investor Exit List'!$A63,Investors!$E:$E,'Investor Exit List'!$C63,Investors!$L:$L,'Investor Exit List'!$B63)+SUMIFS(Investors!$S:$S,Investors!$O:$O,TRUE,Investors!$A:$A,'Investor Exit List'!$A63,Investors!$E:$E,'Investor Exit List'!$C63,Investors!$L:$L,'Investor Exit List'!$B63)</f>
        <v>0</v>
      </c>
      <c r="T63" s="118" t="str">
        <f t="shared" si="6"/>
        <v/>
      </c>
      <c r="U63" s="116" t="b">
        <v>0</v>
      </c>
      <c r="V63" s="117">
        <f t="shared" si="7"/>
        <v>0</v>
      </c>
      <c r="W63" s="116">
        <v>0</v>
      </c>
      <c r="X63" s="116" t="b">
        <v>0</v>
      </c>
      <c r="Y63" s="119">
        <f>IF(H63=FALSE,VLOOKUP($C63,Sales!$C:$F,4,FALSE),1)</f>
        <v>1</v>
      </c>
      <c r="Z63" s="116" t="str">
        <f t="shared" si="8"/>
        <v/>
      </c>
      <c r="AA63" s="118">
        <f t="shared" si="9"/>
        <v>0</v>
      </c>
      <c r="AB63" s="118" t="str">
        <f t="shared" si="10"/>
        <v>HFA305-ZMUS01</v>
      </c>
      <c r="AC63" s="118">
        <f t="shared" si="11"/>
        <v>45348</v>
      </c>
    </row>
    <row r="64" spans="1:29" ht="16" x14ac:dyDescent="0.2">
      <c r="A64" s="116" t="s">
        <v>195</v>
      </c>
      <c r="B64" s="116">
        <v>1</v>
      </c>
      <c r="C64" s="116" t="s">
        <v>191</v>
      </c>
      <c r="D64" s="116" t="s">
        <v>26</v>
      </c>
      <c r="E64" s="116" t="s">
        <v>2061</v>
      </c>
      <c r="F64" s="117">
        <f>SUMIFS(Investors!$M:$M,Investors!$O:$O,FALSE,Investors!$P:$P,FALSE,Investors!$K:$K,"&gt;"&amp;'NSST Print'!$B$3,Investors!$I:$I,"&lt;="&amp;'NSST Print'!$B$3,Investors!$A:$A,'Investor Exit List'!$A64,Investors!$E:$E,'Investor Exit List'!$C64,Investors!$L:$L,'Investor Exit List'!$B64)-(SUMIFS(Investors!$M:$M,Investors!$I:$I,"&lt;="&amp;'NSST Print'!$B$3,Investors!$J:$J,"&gt;"&amp;'NSST Print'!$B$3,Investors!$A:$A,'Investor Exit List'!$A64,Investors!$E:$E,'Investor Exit List'!$C64,Investors!$L:$L,'Investor Exit List'!$B64)+SUMIFS(Investors!$M:$M,Investors!$I:$I,"&lt;="&amp;'NSST Print'!$B$3,Investors!$J:$J,"",Investors!$A:$A,'Investor Exit List'!$A64,Investors!$E:$E,'Investor Exit List'!$C64,Investors!$L:$L,'Investor Exit List'!$B64))</f>
        <v>0</v>
      </c>
      <c r="G64" s="118">
        <v>44590</v>
      </c>
      <c r="H64" s="116" t="b">
        <f>VLOOKUP($C64,Sales!$C:$E,2,FALSE)</f>
        <v>1</v>
      </c>
      <c r="I64" s="116" t="b">
        <f>VLOOKUP($C64,Sales!$C:$E,3,FALSE)</f>
        <v>1</v>
      </c>
      <c r="J64" s="118">
        <f>SUMIFS(Sales!$H:$H,Sales!$C:$C,'Investor Exit List'!$C64)</f>
        <v>45688</v>
      </c>
      <c r="K64" s="118">
        <f t="shared" si="0"/>
        <v>45688</v>
      </c>
      <c r="L64" s="118">
        <f t="shared" si="1"/>
        <v>45320</v>
      </c>
      <c r="M64" s="118">
        <v>45443</v>
      </c>
      <c r="N64" s="119">
        <f t="shared" si="2"/>
        <v>0</v>
      </c>
      <c r="O64" s="119">
        <f t="shared" si="3"/>
        <v>0</v>
      </c>
      <c r="P64" s="117">
        <f t="shared" si="4"/>
        <v>0</v>
      </c>
      <c r="Q64" s="117">
        <f>SUMIFS(Investors!$M:$M,Investors!$O:$O,FALSE,Investors!$P:$P,FALSE,Investors!$K:$K,"&gt;"&amp;'NSST Print'!$B$3,Investors!$I:$I,"&lt;="&amp;'NSST Print'!$B$3,Investors!$A:$A,'Investor Exit List'!$A64,Investors!$E:$E,'Investor Exit List'!$C64,Investors!$L:$L,'Investor Exit List'!$B64)-(SUMIFS(Investors!$M:$M,Investors!$I:$I,"&lt;="&amp;'NSST Print'!$B$3,Investors!$J:$J,"&gt;"&amp;'NSST Print'!$B$3,Investors!$A:$A,'Investor Exit List'!$A64,Investors!$E:$E,'Investor Exit List'!$C64,Investors!$L:$L,'Investor Exit List'!$B64)+SUMIFS(Investors!$M:$M,Investors!$I:$I,"&lt;="&amp;'NSST Print'!$B$3,Investors!$J:$J,"",Investors!$A:$A,'Investor Exit List'!$A64,Investors!$E:$E,'Investor Exit List'!$C64,Investors!$L:$L,'Investor Exit List'!$B64))+SUMIFS(Investors!$S:$S,Investors!$O:$O,FALSE,Investors!$P:$P,FALSE,Investors!$K:$K,"&gt;"&amp;'NSST Print'!$B$3,Investors!$I:$I,"&lt;="&amp;'NSST Print'!$B$3,Investors!$A:$A,'Investor Exit List'!$A64,Investors!$E:$E,'Investor Exit List'!$C64,Investors!$L:$L,'Investor Exit List'!$B64)-(SUMIFS(Investors!$S:$S,Investors!$I:$I,"&lt;="&amp;'NSST Print'!$B$3,Investors!$J:$J,"&gt;"&amp;'NSST Print'!$B$3,Investors!$A:$A,'Investor Exit List'!$A64,Investors!$E:$E,'Investor Exit List'!$C64,Investors!$L:$L,'Investor Exit List'!$B64)+SUMIFS(Investors!$S:$S,Investors!$I:$I,"&lt;="&amp;'NSST Print'!$B$3,Investors!$J:$J,"",Investors!$A:$A,'Investor Exit List'!$A64,Investors!$E:$E,'Investor Exit List'!$C64,Investors!$L:$L,'Investor Exit List'!$B64))</f>
        <v>0</v>
      </c>
      <c r="R64" s="117">
        <f t="shared" si="5"/>
        <v>0</v>
      </c>
      <c r="S64" s="117">
        <f>SUMIFS(Investors!$M:$M,Investors!$O:$O,TRUE,Investors!$A:$A,'Investor Exit List'!$A64,Investors!$E:$E,'Investor Exit List'!$C64,Investors!$L:$L,'Investor Exit List'!$B64)+SUMIFS(Investors!$S:$S,Investors!$O:$O,TRUE,Investors!$A:$A,'Investor Exit List'!$A64,Investors!$E:$E,'Investor Exit List'!$C64,Investors!$L:$L,'Investor Exit List'!$B64)</f>
        <v>0</v>
      </c>
      <c r="T64" s="118" t="str">
        <f t="shared" si="6"/>
        <v/>
      </c>
      <c r="U64" s="116" t="b">
        <v>0</v>
      </c>
      <c r="V64" s="117">
        <f t="shared" si="7"/>
        <v>0</v>
      </c>
      <c r="W64" s="116">
        <v>0</v>
      </c>
      <c r="X64" s="116" t="b">
        <v>0</v>
      </c>
      <c r="Y64" s="119">
        <f>IF(H64=FALSE,VLOOKUP($C64,Sales!$C:$F,4,FALSE),1)</f>
        <v>1</v>
      </c>
      <c r="Z64" s="116" t="str">
        <f t="shared" si="8"/>
        <v/>
      </c>
      <c r="AA64" s="118">
        <f t="shared" si="9"/>
        <v>0</v>
      </c>
      <c r="AB64" s="118" t="str">
        <f t="shared" si="10"/>
        <v>HFA305-ZPRE01</v>
      </c>
      <c r="AC64" s="118">
        <f t="shared" si="11"/>
        <v>45320</v>
      </c>
    </row>
    <row r="65" spans="1:29" ht="16" x14ac:dyDescent="0.2">
      <c r="A65" s="116" t="s">
        <v>44</v>
      </c>
      <c r="B65" s="116">
        <v>1</v>
      </c>
      <c r="C65" s="116" t="s">
        <v>198</v>
      </c>
      <c r="D65" s="116" t="s">
        <v>26</v>
      </c>
      <c r="E65" s="116" t="s">
        <v>2015</v>
      </c>
      <c r="F65" s="117">
        <f>SUMIFS(Investors!$M:$M,Investors!$O:$O,FALSE,Investors!$P:$P,FALSE,Investors!$K:$K,"&gt;"&amp;'NSST Print'!$B$3,Investors!$I:$I,"&lt;="&amp;'NSST Print'!$B$3,Investors!$A:$A,'Investor Exit List'!$A65,Investors!$E:$E,'Investor Exit List'!$C65,Investors!$L:$L,'Investor Exit List'!$B65)-(SUMIFS(Investors!$M:$M,Investors!$I:$I,"&lt;="&amp;'NSST Print'!$B$3,Investors!$J:$J,"&gt;"&amp;'NSST Print'!$B$3,Investors!$A:$A,'Investor Exit List'!$A65,Investors!$E:$E,'Investor Exit List'!$C65,Investors!$L:$L,'Investor Exit List'!$B65)+SUMIFS(Investors!$M:$M,Investors!$I:$I,"&lt;="&amp;'NSST Print'!$B$3,Investors!$J:$J,"",Investors!$A:$A,'Investor Exit List'!$A65,Investors!$E:$E,'Investor Exit List'!$C65,Investors!$L:$L,'Investor Exit List'!$B65))</f>
        <v>0</v>
      </c>
      <c r="G65" s="118">
        <v>44352</v>
      </c>
      <c r="H65" s="116" t="b">
        <f>VLOOKUP($C65,Sales!$C:$E,2,FALSE)</f>
        <v>1</v>
      </c>
      <c r="I65" s="116" t="b">
        <f>VLOOKUP($C65,Sales!$C:$E,3,FALSE)</f>
        <v>1</v>
      </c>
      <c r="J65" s="118">
        <f>SUMIFS(Sales!$H:$H,Sales!$C:$C,'Investor Exit List'!$C65)</f>
        <v>45688</v>
      </c>
      <c r="K65" s="118">
        <f t="shared" si="0"/>
        <v>45688</v>
      </c>
      <c r="L65" s="118">
        <f t="shared" si="1"/>
        <v>45082</v>
      </c>
      <c r="M65" s="118">
        <v>45443</v>
      </c>
      <c r="N65" s="119">
        <f t="shared" si="2"/>
        <v>0</v>
      </c>
      <c r="O65" s="119">
        <f t="shared" si="3"/>
        <v>0</v>
      </c>
      <c r="P65" s="117">
        <f t="shared" si="4"/>
        <v>0</v>
      </c>
      <c r="Q65" s="117">
        <f>SUMIFS(Investors!$M:$M,Investors!$O:$O,FALSE,Investors!$P:$P,FALSE,Investors!$K:$K,"&gt;"&amp;'NSST Print'!$B$3,Investors!$I:$I,"&lt;="&amp;'NSST Print'!$B$3,Investors!$A:$A,'Investor Exit List'!$A65,Investors!$E:$E,'Investor Exit List'!$C65,Investors!$L:$L,'Investor Exit List'!$B65)-(SUMIFS(Investors!$M:$M,Investors!$I:$I,"&lt;="&amp;'NSST Print'!$B$3,Investors!$J:$J,"&gt;"&amp;'NSST Print'!$B$3,Investors!$A:$A,'Investor Exit List'!$A65,Investors!$E:$E,'Investor Exit List'!$C65,Investors!$L:$L,'Investor Exit List'!$B65)+SUMIFS(Investors!$M:$M,Investors!$I:$I,"&lt;="&amp;'NSST Print'!$B$3,Investors!$J:$J,"",Investors!$A:$A,'Investor Exit List'!$A65,Investors!$E:$E,'Investor Exit List'!$C65,Investors!$L:$L,'Investor Exit List'!$B65))+SUMIFS(Investors!$S:$S,Investors!$O:$O,FALSE,Investors!$P:$P,FALSE,Investors!$K:$K,"&gt;"&amp;'NSST Print'!$B$3,Investors!$I:$I,"&lt;="&amp;'NSST Print'!$B$3,Investors!$A:$A,'Investor Exit List'!$A65,Investors!$E:$E,'Investor Exit List'!$C65,Investors!$L:$L,'Investor Exit List'!$B65)-(SUMIFS(Investors!$S:$S,Investors!$I:$I,"&lt;="&amp;'NSST Print'!$B$3,Investors!$J:$J,"&gt;"&amp;'NSST Print'!$B$3,Investors!$A:$A,'Investor Exit List'!$A65,Investors!$E:$E,'Investor Exit List'!$C65,Investors!$L:$L,'Investor Exit List'!$B65)+SUMIFS(Investors!$S:$S,Investors!$I:$I,"&lt;="&amp;'NSST Print'!$B$3,Investors!$J:$J,"",Investors!$A:$A,'Investor Exit List'!$A65,Investors!$E:$E,'Investor Exit List'!$C65,Investors!$L:$L,'Investor Exit List'!$B65))</f>
        <v>0</v>
      </c>
      <c r="R65" s="117">
        <f t="shared" si="5"/>
        <v>0</v>
      </c>
      <c r="S65" s="117">
        <f>SUMIFS(Investors!$M:$M,Investors!$O:$O,TRUE,Investors!$A:$A,'Investor Exit List'!$A65,Investors!$E:$E,'Investor Exit List'!$C65,Investors!$L:$L,'Investor Exit List'!$B65)+SUMIFS(Investors!$S:$S,Investors!$O:$O,TRUE,Investors!$A:$A,'Investor Exit List'!$A65,Investors!$E:$E,'Investor Exit List'!$C65,Investors!$L:$L,'Investor Exit List'!$B65)</f>
        <v>0</v>
      </c>
      <c r="T65" s="118" t="str">
        <f t="shared" si="6"/>
        <v/>
      </c>
      <c r="U65" s="116" t="b">
        <v>0</v>
      </c>
      <c r="V65" s="117">
        <f t="shared" si="7"/>
        <v>0</v>
      </c>
      <c r="W65" s="116">
        <v>0</v>
      </c>
      <c r="X65" s="116" t="b">
        <v>0</v>
      </c>
      <c r="Y65" s="119">
        <f>IF(H65=FALSE,VLOOKUP($C65,Sales!$C:$F,4,FALSE),1)</f>
        <v>1</v>
      </c>
      <c r="Z65" s="116" t="str">
        <f t="shared" si="8"/>
        <v/>
      </c>
      <c r="AA65" s="118">
        <f t="shared" si="9"/>
        <v>0</v>
      </c>
      <c r="AB65" s="118" t="str">
        <f t="shared" si="10"/>
        <v>HFA306-ZDEB01</v>
      </c>
      <c r="AC65" s="118">
        <f t="shared" si="11"/>
        <v>45082</v>
      </c>
    </row>
    <row r="66" spans="1:29" ht="16" x14ac:dyDescent="0.2">
      <c r="A66" s="116" t="s">
        <v>199</v>
      </c>
      <c r="B66" s="116">
        <v>1</v>
      </c>
      <c r="C66" s="116" t="s">
        <v>198</v>
      </c>
      <c r="D66" s="116" t="s">
        <v>26</v>
      </c>
      <c r="E66" s="116" t="s">
        <v>2062</v>
      </c>
      <c r="F66" s="117">
        <f>SUMIFS(Investors!$M:$M,Investors!$O:$O,FALSE,Investors!$P:$P,FALSE,Investors!$K:$K,"&gt;"&amp;'NSST Print'!$B$3,Investors!$I:$I,"&lt;="&amp;'NSST Print'!$B$3,Investors!$A:$A,'Investor Exit List'!$A66,Investors!$E:$E,'Investor Exit List'!$C66,Investors!$L:$L,'Investor Exit List'!$B66)-(SUMIFS(Investors!$M:$M,Investors!$I:$I,"&lt;="&amp;'NSST Print'!$B$3,Investors!$J:$J,"&gt;"&amp;'NSST Print'!$B$3,Investors!$A:$A,'Investor Exit List'!$A66,Investors!$E:$E,'Investor Exit List'!$C66,Investors!$L:$L,'Investor Exit List'!$B66)+SUMIFS(Investors!$M:$M,Investors!$I:$I,"&lt;="&amp;'NSST Print'!$B$3,Investors!$J:$J,"",Investors!$A:$A,'Investor Exit List'!$A66,Investors!$E:$E,'Investor Exit List'!$C66,Investors!$L:$L,'Investor Exit List'!$B66))</f>
        <v>0</v>
      </c>
      <c r="G66" s="118">
        <v>44352</v>
      </c>
      <c r="H66" s="116" t="b">
        <f>VLOOKUP($C66,Sales!$C:$E,2,FALSE)</f>
        <v>1</v>
      </c>
      <c r="I66" s="116" t="b">
        <f>VLOOKUP($C66,Sales!$C:$E,3,FALSE)</f>
        <v>1</v>
      </c>
      <c r="J66" s="118">
        <f>SUMIFS(Sales!$H:$H,Sales!$C:$C,'Investor Exit List'!$C66)</f>
        <v>45688</v>
      </c>
      <c r="K66" s="118">
        <f t="shared" si="0"/>
        <v>45688</v>
      </c>
      <c r="L66" s="118">
        <f t="shared" si="1"/>
        <v>45082</v>
      </c>
      <c r="M66" s="118">
        <v>45443</v>
      </c>
      <c r="N66" s="119">
        <f t="shared" si="2"/>
        <v>0</v>
      </c>
      <c r="O66" s="119">
        <f t="shared" si="3"/>
        <v>0</v>
      </c>
      <c r="P66" s="117">
        <f t="shared" si="4"/>
        <v>0</v>
      </c>
      <c r="Q66" s="117">
        <f>SUMIFS(Investors!$M:$M,Investors!$O:$O,FALSE,Investors!$P:$P,FALSE,Investors!$K:$K,"&gt;"&amp;'NSST Print'!$B$3,Investors!$I:$I,"&lt;="&amp;'NSST Print'!$B$3,Investors!$A:$A,'Investor Exit List'!$A66,Investors!$E:$E,'Investor Exit List'!$C66,Investors!$L:$L,'Investor Exit List'!$B66)-(SUMIFS(Investors!$M:$M,Investors!$I:$I,"&lt;="&amp;'NSST Print'!$B$3,Investors!$J:$J,"&gt;"&amp;'NSST Print'!$B$3,Investors!$A:$A,'Investor Exit List'!$A66,Investors!$E:$E,'Investor Exit List'!$C66,Investors!$L:$L,'Investor Exit List'!$B66)+SUMIFS(Investors!$M:$M,Investors!$I:$I,"&lt;="&amp;'NSST Print'!$B$3,Investors!$J:$J,"",Investors!$A:$A,'Investor Exit List'!$A66,Investors!$E:$E,'Investor Exit List'!$C66,Investors!$L:$L,'Investor Exit List'!$B66))+SUMIFS(Investors!$S:$S,Investors!$O:$O,FALSE,Investors!$P:$P,FALSE,Investors!$K:$K,"&gt;"&amp;'NSST Print'!$B$3,Investors!$I:$I,"&lt;="&amp;'NSST Print'!$B$3,Investors!$A:$A,'Investor Exit List'!$A66,Investors!$E:$E,'Investor Exit List'!$C66,Investors!$L:$L,'Investor Exit List'!$B66)-(SUMIFS(Investors!$S:$S,Investors!$I:$I,"&lt;="&amp;'NSST Print'!$B$3,Investors!$J:$J,"&gt;"&amp;'NSST Print'!$B$3,Investors!$A:$A,'Investor Exit List'!$A66,Investors!$E:$E,'Investor Exit List'!$C66,Investors!$L:$L,'Investor Exit List'!$B66)+SUMIFS(Investors!$S:$S,Investors!$I:$I,"&lt;="&amp;'NSST Print'!$B$3,Investors!$J:$J,"",Investors!$A:$A,'Investor Exit List'!$A66,Investors!$E:$E,'Investor Exit List'!$C66,Investors!$L:$L,'Investor Exit List'!$B66))</f>
        <v>0</v>
      </c>
      <c r="R66" s="117">
        <f t="shared" si="5"/>
        <v>0</v>
      </c>
      <c r="S66" s="117">
        <f>SUMIFS(Investors!$M:$M,Investors!$O:$O,TRUE,Investors!$A:$A,'Investor Exit List'!$A66,Investors!$E:$E,'Investor Exit List'!$C66,Investors!$L:$L,'Investor Exit List'!$B66)+SUMIFS(Investors!$S:$S,Investors!$O:$O,TRUE,Investors!$A:$A,'Investor Exit List'!$A66,Investors!$E:$E,'Investor Exit List'!$C66,Investors!$L:$L,'Investor Exit List'!$B66)</f>
        <v>0</v>
      </c>
      <c r="T66" s="118" t="str">
        <f t="shared" si="6"/>
        <v/>
      </c>
      <c r="U66" s="116" t="b">
        <v>0</v>
      </c>
      <c r="V66" s="117">
        <f t="shared" si="7"/>
        <v>0</v>
      </c>
      <c r="W66" s="116">
        <v>0</v>
      </c>
      <c r="X66" s="116" t="b">
        <v>0</v>
      </c>
      <c r="Y66" s="119">
        <f>IF(H66=FALSE,VLOOKUP($C66,Sales!$C:$F,4,FALSE),1)</f>
        <v>1</v>
      </c>
      <c r="Z66" s="116" t="str">
        <f t="shared" si="8"/>
        <v/>
      </c>
      <c r="AA66" s="118">
        <f t="shared" si="9"/>
        <v>0</v>
      </c>
      <c r="AB66" s="118" t="str">
        <f t="shared" si="10"/>
        <v>HFA306-ZFOU01</v>
      </c>
      <c r="AC66" s="118">
        <f t="shared" si="11"/>
        <v>45082</v>
      </c>
    </row>
    <row r="67" spans="1:29" ht="16" x14ac:dyDescent="0.2">
      <c r="A67" s="116" t="s">
        <v>202</v>
      </c>
      <c r="B67" s="116">
        <v>2</v>
      </c>
      <c r="C67" s="116" t="s">
        <v>198</v>
      </c>
      <c r="D67" s="116" t="s">
        <v>26</v>
      </c>
      <c r="E67" s="116" t="s">
        <v>2063</v>
      </c>
      <c r="F67" s="117">
        <f>SUMIFS(Investors!$M:$M,Investors!$O:$O,FALSE,Investors!$P:$P,FALSE,Investors!$K:$K,"&gt;"&amp;'NSST Print'!$B$3,Investors!$I:$I,"&lt;="&amp;'NSST Print'!$B$3,Investors!$A:$A,'Investor Exit List'!$A67,Investors!$E:$E,'Investor Exit List'!$C67,Investors!$L:$L,'Investor Exit List'!$B67)-(SUMIFS(Investors!$M:$M,Investors!$I:$I,"&lt;="&amp;'NSST Print'!$B$3,Investors!$J:$J,"&gt;"&amp;'NSST Print'!$B$3,Investors!$A:$A,'Investor Exit List'!$A67,Investors!$E:$E,'Investor Exit List'!$C67,Investors!$L:$L,'Investor Exit List'!$B67)+SUMIFS(Investors!$M:$M,Investors!$I:$I,"&lt;="&amp;'NSST Print'!$B$3,Investors!$J:$J,"",Investors!$A:$A,'Investor Exit List'!$A67,Investors!$E:$E,'Investor Exit List'!$C67,Investors!$L:$L,'Investor Exit List'!$B67))</f>
        <v>0</v>
      </c>
      <c r="G67" s="118">
        <v>44550</v>
      </c>
      <c r="H67" s="116" t="b">
        <f>VLOOKUP($C67,Sales!$C:$E,2,FALSE)</f>
        <v>1</v>
      </c>
      <c r="I67" s="116" t="b">
        <f>VLOOKUP($C67,Sales!$C:$E,3,FALSE)</f>
        <v>1</v>
      </c>
      <c r="J67" s="118">
        <f>SUMIFS(Sales!$H:$H,Sales!$C:$C,'Investor Exit List'!$C67)</f>
        <v>45688</v>
      </c>
      <c r="K67" s="118">
        <f t="shared" si="0"/>
        <v>45688</v>
      </c>
      <c r="L67" s="118">
        <f t="shared" si="1"/>
        <v>45280</v>
      </c>
      <c r="M67" s="118">
        <v>45443</v>
      </c>
      <c r="N67" s="119">
        <f t="shared" si="2"/>
        <v>0</v>
      </c>
      <c r="O67" s="119">
        <f t="shared" si="3"/>
        <v>0</v>
      </c>
      <c r="P67" s="117">
        <f t="shared" si="4"/>
        <v>0</v>
      </c>
      <c r="Q67" s="117">
        <f>SUMIFS(Investors!$M:$M,Investors!$O:$O,FALSE,Investors!$P:$P,FALSE,Investors!$K:$K,"&gt;"&amp;'NSST Print'!$B$3,Investors!$I:$I,"&lt;="&amp;'NSST Print'!$B$3,Investors!$A:$A,'Investor Exit List'!$A67,Investors!$E:$E,'Investor Exit List'!$C67,Investors!$L:$L,'Investor Exit List'!$B67)-(SUMIFS(Investors!$M:$M,Investors!$I:$I,"&lt;="&amp;'NSST Print'!$B$3,Investors!$J:$J,"&gt;"&amp;'NSST Print'!$B$3,Investors!$A:$A,'Investor Exit List'!$A67,Investors!$E:$E,'Investor Exit List'!$C67,Investors!$L:$L,'Investor Exit List'!$B67)+SUMIFS(Investors!$M:$M,Investors!$I:$I,"&lt;="&amp;'NSST Print'!$B$3,Investors!$J:$J,"",Investors!$A:$A,'Investor Exit List'!$A67,Investors!$E:$E,'Investor Exit List'!$C67,Investors!$L:$L,'Investor Exit List'!$B67))+SUMIFS(Investors!$S:$S,Investors!$O:$O,FALSE,Investors!$P:$P,FALSE,Investors!$K:$K,"&gt;"&amp;'NSST Print'!$B$3,Investors!$I:$I,"&lt;="&amp;'NSST Print'!$B$3,Investors!$A:$A,'Investor Exit List'!$A67,Investors!$E:$E,'Investor Exit List'!$C67,Investors!$L:$L,'Investor Exit List'!$B67)-(SUMIFS(Investors!$S:$S,Investors!$I:$I,"&lt;="&amp;'NSST Print'!$B$3,Investors!$J:$J,"&gt;"&amp;'NSST Print'!$B$3,Investors!$A:$A,'Investor Exit List'!$A67,Investors!$E:$E,'Investor Exit List'!$C67,Investors!$L:$L,'Investor Exit List'!$B67)+SUMIFS(Investors!$S:$S,Investors!$I:$I,"&lt;="&amp;'NSST Print'!$B$3,Investors!$J:$J,"",Investors!$A:$A,'Investor Exit List'!$A67,Investors!$E:$E,'Investor Exit List'!$C67,Investors!$L:$L,'Investor Exit List'!$B67))</f>
        <v>0</v>
      </c>
      <c r="R67" s="117">
        <f t="shared" si="5"/>
        <v>0</v>
      </c>
      <c r="S67" s="117">
        <f>SUMIFS(Investors!$M:$M,Investors!$O:$O,TRUE,Investors!$A:$A,'Investor Exit List'!$A67,Investors!$E:$E,'Investor Exit List'!$C67,Investors!$L:$L,'Investor Exit List'!$B67)+SUMIFS(Investors!$S:$S,Investors!$O:$O,TRUE,Investors!$A:$A,'Investor Exit List'!$A67,Investors!$E:$E,'Investor Exit List'!$C67,Investors!$L:$L,'Investor Exit List'!$B67)</f>
        <v>0</v>
      </c>
      <c r="T67" s="118" t="str">
        <f t="shared" si="6"/>
        <v/>
      </c>
      <c r="U67" s="116" t="b">
        <v>0</v>
      </c>
      <c r="V67" s="117">
        <f t="shared" si="7"/>
        <v>0</v>
      </c>
      <c r="W67" s="116">
        <v>0</v>
      </c>
      <c r="X67" s="116" t="b">
        <v>0</v>
      </c>
      <c r="Y67" s="119">
        <f>IF(H67=FALSE,VLOOKUP($C67,Sales!$C:$F,4,FALSE),1)</f>
        <v>1</v>
      </c>
      <c r="Z67" s="116" t="str">
        <f t="shared" si="8"/>
        <v/>
      </c>
      <c r="AA67" s="118">
        <f t="shared" si="9"/>
        <v>0</v>
      </c>
      <c r="AB67" s="118" t="str">
        <f t="shared" si="10"/>
        <v>HFA306-ZMAT03</v>
      </c>
      <c r="AC67" s="118">
        <f t="shared" si="11"/>
        <v>45280</v>
      </c>
    </row>
    <row r="68" spans="1:29" ht="16" x14ac:dyDescent="0.2">
      <c r="A68" s="116" t="s">
        <v>204</v>
      </c>
      <c r="B68" s="116">
        <v>2</v>
      </c>
      <c r="C68" s="116" t="s">
        <v>198</v>
      </c>
      <c r="D68" s="116" t="s">
        <v>26</v>
      </c>
      <c r="E68" s="116" t="s">
        <v>2064</v>
      </c>
      <c r="F68" s="117">
        <f>SUMIFS(Investors!$M:$M,Investors!$O:$O,FALSE,Investors!$P:$P,FALSE,Investors!$K:$K,"&gt;"&amp;'NSST Print'!$B$3,Investors!$I:$I,"&lt;="&amp;'NSST Print'!$B$3,Investors!$A:$A,'Investor Exit List'!$A68,Investors!$E:$E,'Investor Exit List'!$C68,Investors!$L:$L,'Investor Exit List'!$B68)-(SUMIFS(Investors!$M:$M,Investors!$I:$I,"&lt;="&amp;'NSST Print'!$B$3,Investors!$J:$J,"&gt;"&amp;'NSST Print'!$B$3,Investors!$A:$A,'Investor Exit List'!$A68,Investors!$E:$E,'Investor Exit List'!$C68,Investors!$L:$L,'Investor Exit List'!$B68)+SUMIFS(Investors!$M:$M,Investors!$I:$I,"&lt;="&amp;'NSST Print'!$B$3,Investors!$J:$J,"",Investors!$A:$A,'Investor Exit List'!$A68,Investors!$E:$E,'Investor Exit List'!$C68,Investors!$L:$L,'Investor Exit List'!$B68))</f>
        <v>0</v>
      </c>
      <c r="G68" s="118">
        <v>44590</v>
      </c>
      <c r="H68" s="116" t="b">
        <f>VLOOKUP($C68,Sales!$C:$E,2,FALSE)</f>
        <v>1</v>
      </c>
      <c r="I68" s="116" t="b">
        <f>VLOOKUP($C68,Sales!$C:$E,3,FALSE)</f>
        <v>1</v>
      </c>
      <c r="J68" s="118">
        <f>SUMIFS(Sales!$H:$H,Sales!$C:$C,'Investor Exit List'!$C68)</f>
        <v>45688</v>
      </c>
      <c r="K68" s="118">
        <f t="shared" ref="K68:K131" si="12">IF(I68=TRUE,J68,"")</f>
        <v>45688</v>
      </c>
      <c r="L68" s="118">
        <f t="shared" ref="L68:L131" si="13">G68+730</f>
        <v>45320</v>
      </c>
      <c r="M68" s="118">
        <v>45443</v>
      </c>
      <c r="N68" s="119">
        <f t="shared" ref="N68:N131" si="14">IFERROR(IF(G68&lt;&gt;"",IF(I68=TRUE,0,IF(U68=TRUE,0,L68-M68)),0),0)</f>
        <v>0</v>
      </c>
      <c r="O68" s="119">
        <f t="shared" ref="O68:O131" si="15">IF(N68&gt;0,IF(N68&lt;=180,N68,0),0)</f>
        <v>0</v>
      </c>
      <c r="P68" s="117">
        <f t="shared" ref="P68:P131" si="16">IF(AND(N68&lt;90,N68&gt;0),Q68,0)</f>
        <v>0</v>
      </c>
      <c r="Q68" s="117">
        <f>SUMIFS(Investors!$M:$M,Investors!$O:$O,FALSE,Investors!$P:$P,FALSE,Investors!$K:$K,"&gt;"&amp;'NSST Print'!$B$3,Investors!$I:$I,"&lt;="&amp;'NSST Print'!$B$3,Investors!$A:$A,'Investor Exit List'!$A68,Investors!$E:$E,'Investor Exit List'!$C68,Investors!$L:$L,'Investor Exit List'!$B68)-(SUMIFS(Investors!$M:$M,Investors!$I:$I,"&lt;="&amp;'NSST Print'!$B$3,Investors!$J:$J,"&gt;"&amp;'NSST Print'!$B$3,Investors!$A:$A,'Investor Exit List'!$A68,Investors!$E:$E,'Investor Exit List'!$C68,Investors!$L:$L,'Investor Exit List'!$B68)+SUMIFS(Investors!$M:$M,Investors!$I:$I,"&lt;="&amp;'NSST Print'!$B$3,Investors!$J:$J,"",Investors!$A:$A,'Investor Exit List'!$A68,Investors!$E:$E,'Investor Exit List'!$C68,Investors!$L:$L,'Investor Exit List'!$B68))+SUMIFS(Investors!$S:$S,Investors!$O:$O,FALSE,Investors!$P:$P,FALSE,Investors!$K:$K,"&gt;"&amp;'NSST Print'!$B$3,Investors!$I:$I,"&lt;="&amp;'NSST Print'!$B$3,Investors!$A:$A,'Investor Exit List'!$A68,Investors!$E:$E,'Investor Exit List'!$C68,Investors!$L:$L,'Investor Exit List'!$B68)-(SUMIFS(Investors!$S:$S,Investors!$I:$I,"&lt;="&amp;'NSST Print'!$B$3,Investors!$J:$J,"&gt;"&amp;'NSST Print'!$B$3,Investors!$A:$A,'Investor Exit List'!$A68,Investors!$E:$E,'Investor Exit List'!$C68,Investors!$L:$L,'Investor Exit List'!$B68)+SUMIFS(Investors!$S:$S,Investors!$I:$I,"&lt;="&amp;'NSST Print'!$B$3,Investors!$J:$J,"",Investors!$A:$A,'Investor Exit List'!$A68,Investors!$E:$E,'Investor Exit List'!$C68,Investors!$L:$L,'Investor Exit List'!$B68))</f>
        <v>0</v>
      </c>
      <c r="R68" s="117">
        <f t="shared" ref="R68:R131" si="17">IF(AND(H68=TRUE,I68=FALSE),Q68,0)</f>
        <v>0</v>
      </c>
      <c r="S68" s="117">
        <f>SUMIFS(Investors!$M:$M,Investors!$O:$O,TRUE,Investors!$A:$A,'Investor Exit List'!$A68,Investors!$E:$E,'Investor Exit List'!$C68,Investors!$L:$L,'Investor Exit List'!$B68)+SUMIFS(Investors!$S:$S,Investors!$O:$O,TRUE,Investors!$A:$A,'Investor Exit List'!$A68,Investors!$E:$E,'Investor Exit List'!$C68,Investors!$L:$L,'Investor Exit List'!$B68)</f>
        <v>0</v>
      </c>
      <c r="T68" s="118" t="str">
        <f t="shared" ref="T68:T131" si="18">IF(U68=TRUE,$J68,"")</f>
        <v/>
      </c>
      <c r="U68" s="116" t="b">
        <v>0</v>
      </c>
      <c r="V68" s="117">
        <f t="shared" ref="V68:V131" si="19">IF(AND(H68=TRUE,OR(K68="",K68&gt;M68)),S68,0)</f>
        <v>0</v>
      </c>
      <c r="W68" s="116">
        <v>0</v>
      </c>
      <c r="X68" s="116" t="b">
        <v>0</v>
      </c>
      <c r="Y68" s="119">
        <f>IF(H68=FALSE,VLOOKUP($C68,Sales!$C:$F,4,FALSE),1)</f>
        <v>1</v>
      </c>
      <c r="Z68" s="116" t="str">
        <f t="shared" ref="Z68:Z131" si="20">IF(Y68=0,"Release",IF(AND(L68&lt;J68,Y68=1,H68=FALSE,U68=FALSE,MONTH(L68)&amp;"/"&amp;YEAR(L68)&lt;&gt;MONTH(J68)&amp;"/"&amp;YEAR(J68)),"Release",""))</f>
        <v/>
      </c>
      <c r="AA68" s="118">
        <f t="shared" ref="AA68:AA131" si="21">_xlfn.MINIFS($L:$L,$C:$C,$C68,$F:$F,"&lt;&gt;0")</f>
        <v>0</v>
      </c>
      <c r="AB68" s="118" t="str">
        <f t="shared" ref="AB68:AB131" si="22">C68&amp;"-"&amp;A68</f>
        <v>HFA306-ZVOL01</v>
      </c>
      <c r="AC68" s="118">
        <f t="shared" ref="AC68:AC131" si="23">L68</f>
        <v>45320</v>
      </c>
    </row>
    <row r="69" spans="1:29" ht="16" x14ac:dyDescent="0.2">
      <c r="A69" s="116" t="s">
        <v>207</v>
      </c>
      <c r="B69" s="116">
        <v>8</v>
      </c>
      <c r="C69" s="116" t="s">
        <v>208</v>
      </c>
      <c r="D69" s="116" t="s">
        <v>209</v>
      </c>
      <c r="E69" s="116" t="s">
        <v>2017</v>
      </c>
      <c r="F69" s="117">
        <f>SUMIFS(Investors!$M:$M,Investors!$O:$O,FALSE,Investors!$P:$P,FALSE,Investors!$K:$K,"&gt;"&amp;'NSST Print'!$B$3,Investors!$I:$I,"&lt;="&amp;'NSST Print'!$B$3,Investors!$A:$A,'Investor Exit List'!$A69,Investors!$E:$E,'Investor Exit List'!$C69,Investors!$L:$L,'Investor Exit List'!$B69)-(SUMIFS(Investors!$M:$M,Investors!$I:$I,"&lt;="&amp;'NSST Print'!$B$3,Investors!$J:$J,"&gt;"&amp;'NSST Print'!$B$3,Investors!$A:$A,'Investor Exit List'!$A69,Investors!$E:$E,'Investor Exit List'!$C69,Investors!$L:$L,'Investor Exit List'!$B69)+SUMIFS(Investors!$M:$M,Investors!$I:$I,"&lt;="&amp;'NSST Print'!$B$3,Investors!$J:$J,"",Investors!$A:$A,'Investor Exit List'!$A69,Investors!$E:$E,'Investor Exit List'!$C69,Investors!$L:$L,'Investor Exit List'!$B69))</f>
        <v>0</v>
      </c>
      <c r="G69" s="118">
        <v>44352</v>
      </c>
      <c r="H69" s="116" t="b">
        <f>VLOOKUP($C69,Sales!$C:$E,2,FALSE)</f>
        <v>1</v>
      </c>
      <c r="I69" s="116" t="b">
        <f>VLOOKUP($C69,Sales!$C:$E,3,FALSE)</f>
        <v>1</v>
      </c>
      <c r="J69" s="118">
        <f>SUMIFS(Sales!$H:$H,Sales!$C:$C,'Investor Exit List'!$C69)</f>
        <v>45688</v>
      </c>
      <c r="K69" s="118">
        <f t="shared" si="12"/>
        <v>45688</v>
      </c>
      <c r="L69" s="118">
        <f t="shared" si="13"/>
        <v>45082</v>
      </c>
      <c r="M69" s="118">
        <v>45443</v>
      </c>
      <c r="N69" s="119">
        <f t="shared" si="14"/>
        <v>0</v>
      </c>
      <c r="O69" s="119">
        <f t="shared" si="15"/>
        <v>0</v>
      </c>
      <c r="P69" s="117">
        <f t="shared" si="16"/>
        <v>0</v>
      </c>
      <c r="Q69" s="117">
        <f>SUMIFS(Investors!$M:$M,Investors!$O:$O,FALSE,Investors!$P:$P,FALSE,Investors!$K:$K,"&gt;"&amp;'NSST Print'!$B$3,Investors!$I:$I,"&lt;="&amp;'NSST Print'!$B$3,Investors!$A:$A,'Investor Exit List'!$A69,Investors!$E:$E,'Investor Exit List'!$C69,Investors!$L:$L,'Investor Exit List'!$B69)-(SUMIFS(Investors!$M:$M,Investors!$I:$I,"&lt;="&amp;'NSST Print'!$B$3,Investors!$J:$J,"&gt;"&amp;'NSST Print'!$B$3,Investors!$A:$A,'Investor Exit List'!$A69,Investors!$E:$E,'Investor Exit List'!$C69,Investors!$L:$L,'Investor Exit List'!$B69)+SUMIFS(Investors!$M:$M,Investors!$I:$I,"&lt;="&amp;'NSST Print'!$B$3,Investors!$J:$J,"",Investors!$A:$A,'Investor Exit List'!$A69,Investors!$E:$E,'Investor Exit List'!$C69,Investors!$L:$L,'Investor Exit List'!$B69))+SUMIFS(Investors!$S:$S,Investors!$O:$O,FALSE,Investors!$P:$P,FALSE,Investors!$K:$K,"&gt;"&amp;'NSST Print'!$B$3,Investors!$I:$I,"&lt;="&amp;'NSST Print'!$B$3,Investors!$A:$A,'Investor Exit List'!$A69,Investors!$E:$E,'Investor Exit List'!$C69,Investors!$L:$L,'Investor Exit List'!$B69)-(SUMIFS(Investors!$S:$S,Investors!$I:$I,"&lt;="&amp;'NSST Print'!$B$3,Investors!$J:$J,"&gt;"&amp;'NSST Print'!$B$3,Investors!$A:$A,'Investor Exit List'!$A69,Investors!$E:$E,'Investor Exit List'!$C69,Investors!$L:$L,'Investor Exit List'!$B69)+SUMIFS(Investors!$S:$S,Investors!$I:$I,"&lt;="&amp;'NSST Print'!$B$3,Investors!$J:$J,"",Investors!$A:$A,'Investor Exit List'!$A69,Investors!$E:$E,'Investor Exit List'!$C69,Investors!$L:$L,'Investor Exit List'!$B69))</f>
        <v>0</v>
      </c>
      <c r="R69" s="117">
        <f t="shared" si="17"/>
        <v>0</v>
      </c>
      <c r="S69" s="117">
        <f>SUMIFS(Investors!$M:$M,Investors!$O:$O,TRUE,Investors!$A:$A,'Investor Exit List'!$A69,Investors!$E:$E,'Investor Exit List'!$C69,Investors!$L:$L,'Investor Exit List'!$B69)+SUMIFS(Investors!$S:$S,Investors!$O:$O,TRUE,Investors!$A:$A,'Investor Exit List'!$A69,Investors!$E:$E,'Investor Exit List'!$C69,Investors!$L:$L,'Investor Exit List'!$B69)</f>
        <v>0</v>
      </c>
      <c r="T69" s="118" t="str">
        <f t="shared" si="18"/>
        <v/>
      </c>
      <c r="U69" s="116" t="b">
        <v>0</v>
      </c>
      <c r="V69" s="117">
        <f t="shared" si="19"/>
        <v>0</v>
      </c>
      <c r="W69" s="116">
        <v>0</v>
      </c>
      <c r="X69" s="116" t="b">
        <v>0</v>
      </c>
      <c r="Y69" s="119">
        <f>IF(H69=FALSE,VLOOKUP($C69,Sales!$C:$F,4,FALSE),1)</f>
        <v>1</v>
      </c>
      <c r="Z69" s="116" t="str">
        <f t="shared" si="20"/>
        <v/>
      </c>
      <c r="AA69" s="118">
        <f t="shared" si="21"/>
        <v>0</v>
      </c>
      <c r="AB69" s="118" t="str">
        <f t="shared" si="22"/>
        <v>HFB101-ZINT01</v>
      </c>
      <c r="AC69" s="118">
        <f t="shared" si="23"/>
        <v>45082</v>
      </c>
    </row>
    <row r="70" spans="1:29" ht="16" x14ac:dyDescent="0.2">
      <c r="A70" s="116" t="s">
        <v>210</v>
      </c>
      <c r="B70" s="116">
        <v>1</v>
      </c>
      <c r="C70" s="116" t="s">
        <v>208</v>
      </c>
      <c r="D70" s="116" t="s">
        <v>209</v>
      </c>
      <c r="E70" s="116" t="s">
        <v>2065</v>
      </c>
      <c r="F70" s="117">
        <f>SUMIFS(Investors!$M:$M,Investors!$O:$O,FALSE,Investors!$P:$P,FALSE,Investors!$K:$K,"&gt;"&amp;'NSST Print'!$B$3,Investors!$I:$I,"&lt;="&amp;'NSST Print'!$B$3,Investors!$A:$A,'Investor Exit List'!$A70,Investors!$E:$E,'Investor Exit List'!$C70,Investors!$L:$L,'Investor Exit List'!$B70)-(SUMIFS(Investors!$M:$M,Investors!$I:$I,"&lt;="&amp;'NSST Print'!$B$3,Investors!$J:$J,"&gt;"&amp;'NSST Print'!$B$3,Investors!$A:$A,'Investor Exit List'!$A70,Investors!$E:$E,'Investor Exit List'!$C70,Investors!$L:$L,'Investor Exit List'!$B70)+SUMIFS(Investors!$M:$M,Investors!$I:$I,"&lt;="&amp;'NSST Print'!$B$3,Investors!$J:$J,"",Investors!$A:$A,'Investor Exit List'!$A70,Investors!$E:$E,'Investor Exit List'!$C70,Investors!$L:$L,'Investor Exit List'!$B70))</f>
        <v>0</v>
      </c>
      <c r="G70" s="118">
        <v>44352</v>
      </c>
      <c r="H70" s="116" t="b">
        <f>VLOOKUP($C70,Sales!$C:$E,2,FALSE)</f>
        <v>1</v>
      </c>
      <c r="I70" s="116" t="b">
        <f>VLOOKUP($C70,Sales!$C:$E,3,FALSE)</f>
        <v>1</v>
      </c>
      <c r="J70" s="118">
        <f>SUMIFS(Sales!$H:$H,Sales!$C:$C,'Investor Exit List'!$C70)</f>
        <v>45688</v>
      </c>
      <c r="K70" s="118">
        <f t="shared" si="12"/>
        <v>45688</v>
      </c>
      <c r="L70" s="118">
        <f t="shared" si="13"/>
        <v>45082</v>
      </c>
      <c r="M70" s="118">
        <v>45443</v>
      </c>
      <c r="N70" s="119">
        <f t="shared" si="14"/>
        <v>0</v>
      </c>
      <c r="O70" s="119">
        <f t="shared" si="15"/>
        <v>0</v>
      </c>
      <c r="P70" s="117">
        <f t="shared" si="16"/>
        <v>0</v>
      </c>
      <c r="Q70" s="117">
        <f>SUMIFS(Investors!$M:$M,Investors!$O:$O,FALSE,Investors!$P:$P,FALSE,Investors!$K:$K,"&gt;"&amp;'NSST Print'!$B$3,Investors!$I:$I,"&lt;="&amp;'NSST Print'!$B$3,Investors!$A:$A,'Investor Exit List'!$A70,Investors!$E:$E,'Investor Exit List'!$C70,Investors!$L:$L,'Investor Exit List'!$B70)-(SUMIFS(Investors!$M:$M,Investors!$I:$I,"&lt;="&amp;'NSST Print'!$B$3,Investors!$J:$J,"&gt;"&amp;'NSST Print'!$B$3,Investors!$A:$A,'Investor Exit List'!$A70,Investors!$E:$E,'Investor Exit List'!$C70,Investors!$L:$L,'Investor Exit List'!$B70)+SUMIFS(Investors!$M:$M,Investors!$I:$I,"&lt;="&amp;'NSST Print'!$B$3,Investors!$J:$J,"",Investors!$A:$A,'Investor Exit List'!$A70,Investors!$E:$E,'Investor Exit List'!$C70,Investors!$L:$L,'Investor Exit List'!$B70))+SUMIFS(Investors!$S:$S,Investors!$O:$O,FALSE,Investors!$P:$P,FALSE,Investors!$K:$K,"&gt;"&amp;'NSST Print'!$B$3,Investors!$I:$I,"&lt;="&amp;'NSST Print'!$B$3,Investors!$A:$A,'Investor Exit List'!$A70,Investors!$E:$E,'Investor Exit List'!$C70,Investors!$L:$L,'Investor Exit List'!$B70)-(SUMIFS(Investors!$S:$S,Investors!$I:$I,"&lt;="&amp;'NSST Print'!$B$3,Investors!$J:$J,"&gt;"&amp;'NSST Print'!$B$3,Investors!$A:$A,'Investor Exit List'!$A70,Investors!$E:$E,'Investor Exit List'!$C70,Investors!$L:$L,'Investor Exit List'!$B70)+SUMIFS(Investors!$S:$S,Investors!$I:$I,"&lt;="&amp;'NSST Print'!$B$3,Investors!$J:$J,"",Investors!$A:$A,'Investor Exit List'!$A70,Investors!$E:$E,'Investor Exit List'!$C70,Investors!$L:$L,'Investor Exit List'!$B70))</f>
        <v>0</v>
      </c>
      <c r="R70" s="117">
        <f t="shared" si="17"/>
        <v>0</v>
      </c>
      <c r="S70" s="117">
        <f>SUMIFS(Investors!$M:$M,Investors!$O:$O,TRUE,Investors!$A:$A,'Investor Exit List'!$A70,Investors!$E:$E,'Investor Exit List'!$C70,Investors!$L:$L,'Investor Exit List'!$B70)+SUMIFS(Investors!$S:$S,Investors!$O:$O,TRUE,Investors!$A:$A,'Investor Exit List'!$A70,Investors!$E:$E,'Investor Exit List'!$C70,Investors!$L:$L,'Investor Exit List'!$B70)</f>
        <v>0</v>
      </c>
      <c r="T70" s="118" t="str">
        <f t="shared" si="18"/>
        <v/>
      </c>
      <c r="U70" s="116" t="b">
        <v>0</v>
      </c>
      <c r="V70" s="117">
        <f t="shared" si="19"/>
        <v>0</v>
      </c>
      <c r="W70" s="116">
        <v>0</v>
      </c>
      <c r="X70" s="116" t="b">
        <v>0</v>
      </c>
      <c r="Y70" s="119">
        <f>IF(H70=FALSE,VLOOKUP($C70,Sales!$C:$F,4,FALSE),1)</f>
        <v>1</v>
      </c>
      <c r="Z70" s="116" t="str">
        <f t="shared" si="20"/>
        <v/>
      </c>
      <c r="AA70" s="118">
        <f t="shared" si="21"/>
        <v>0</v>
      </c>
      <c r="AB70" s="118" t="str">
        <f t="shared" si="22"/>
        <v>HFB101-ZKFT01</v>
      </c>
      <c r="AC70" s="118">
        <f t="shared" si="23"/>
        <v>45082</v>
      </c>
    </row>
    <row r="71" spans="1:29" ht="16" x14ac:dyDescent="0.2">
      <c r="A71" s="116" t="s">
        <v>58</v>
      </c>
      <c r="B71" s="116">
        <v>3</v>
      </c>
      <c r="C71" s="116" t="s">
        <v>208</v>
      </c>
      <c r="D71" s="116" t="s">
        <v>209</v>
      </c>
      <c r="E71" s="116" t="s">
        <v>2017</v>
      </c>
      <c r="F71" s="117">
        <f>SUMIFS(Investors!$M:$M,Investors!$O:$O,FALSE,Investors!$P:$P,FALSE,Investors!$K:$K,"&gt;"&amp;'NSST Print'!$B$3,Investors!$I:$I,"&lt;="&amp;'NSST Print'!$B$3,Investors!$A:$A,'Investor Exit List'!$A71,Investors!$E:$E,'Investor Exit List'!$C71,Investors!$L:$L,'Investor Exit List'!$B71)-(SUMIFS(Investors!$M:$M,Investors!$I:$I,"&lt;="&amp;'NSST Print'!$B$3,Investors!$J:$J,"&gt;"&amp;'NSST Print'!$B$3,Investors!$A:$A,'Investor Exit List'!$A71,Investors!$E:$E,'Investor Exit List'!$C71,Investors!$L:$L,'Investor Exit List'!$B71)+SUMIFS(Investors!$M:$M,Investors!$I:$I,"&lt;="&amp;'NSST Print'!$B$3,Investors!$J:$J,"",Investors!$A:$A,'Investor Exit List'!$A71,Investors!$E:$E,'Investor Exit List'!$C71,Investors!$L:$L,'Investor Exit List'!$B71))</f>
        <v>0</v>
      </c>
      <c r="G71" s="118">
        <v>44316</v>
      </c>
      <c r="H71" s="116" t="b">
        <f>VLOOKUP($C71,Sales!$C:$E,2,FALSE)</f>
        <v>1</v>
      </c>
      <c r="I71" s="116" t="b">
        <f>VLOOKUP($C71,Sales!$C:$E,3,FALSE)</f>
        <v>1</v>
      </c>
      <c r="J71" s="118">
        <f>SUMIFS(Sales!$H:$H,Sales!$C:$C,'Investor Exit List'!$C71)</f>
        <v>45688</v>
      </c>
      <c r="K71" s="118">
        <f t="shared" si="12"/>
        <v>45688</v>
      </c>
      <c r="L71" s="118">
        <f t="shared" si="13"/>
        <v>45046</v>
      </c>
      <c r="M71" s="118">
        <v>45443</v>
      </c>
      <c r="N71" s="119">
        <f t="shared" si="14"/>
        <v>0</v>
      </c>
      <c r="O71" s="119">
        <f t="shared" si="15"/>
        <v>0</v>
      </c>
      <c r="P71" s="117">
        <f t="shared" si="16"/>
        <v>0</v>
      </c>
      <c r="Q71" s="117">
        <f>SUMIFS(Investors!$M:$M,Investors!$O:$O,FALSE,Investors!$P:$P,FALSE,Investors!$K:$K,"&gt;"&amp;'NSST Print'!$B$3,Investors!$I:$I,"&lt;="&amp;'NSST Print'!$B$3,Investors!$A:$A,'Investor Exit List'!$A71,Investors!$E:$E,'Investor Exit List'!$C71,Investors!$L:$L,'Investor Exit List'!$B71)-(SUMIFS(Investors!$M:$M,Investors!$I:$I,"&lt;="&amp;'NSST Print'!$B$3,Investors!$J:$J,"&gt;"&amp;'NSST Print'!$B$3,Investors!$A:$A,'Investor Exit List'!$A71,Investors!$E:$E,'Investor Exit List'!$C71,Investors!$L:$L,'Investor Exit List'!$B71)+SUMIFS(Investors!$M:$M,Investors!$I:$I,"&lt;="&amp;'NSST Print'!$B$3,Investors!$J:$J,"",Investors!$A:$A,'Investor Exit List'!$A71,Investors!$E:$E,'Investor Exit List'!$C71,Investors!$L:$L,'Investor Exit List'!$B71))+SUMIFS(Investors!$S:$S,Investors!$O:$O,FALSE,Investors!$P:$P,FALSE,Investors!$K:$K,"&gt;"&amp;'NSST Print'!$B$3,Investors!$I:$I,"&lt;="&amp;'NSST Print'!$B$3,Investors!$A:$A,'Investor Exit List'!$A71,Investors!$E:$E,'Investor Exit List'!$C71,Investors!$L:$L,'Investor Exit List'!$B71)-(SUMIFS(Investors!$S:$S,Investors!$I:$I,"&lt;="&amp;'NSST Print'!$B$3,Investors!$J:$J,"&gt;"&amp;'NSST Print'!$B$3,Investors!$A:$A,'Investor Exit List'!$A71,Investors!$E:$E,'Investor Exit List'!$C71,Investors!$L:$L,'Investor Exit List'!$B71)+SUMIFS(Investors!$S:$S,Investors!$I:$I,"&lt;="&amp;'NSST Print'!$B$3,Investors!$J:$J,"",Investors!$A:$A,'Investor Exit List'!$A71,Investors!$E:$E,'Investor Exit List'!$C71,Investors!$L:$L,'Investor Exit List'!$B71))</f>
        <v>0</v>
      </c>
      <c r="R71" s="117">
        <f t="shared" si="17"/>
        <v>0</v>
      </c>
      <c r="S71" s="117">
        <f>SUMIFS(Investors!$M:$M,Investors!$O:$O,TRUE,Investors!$A:$A,'Investor Exit List'!$A71,Investors!$E:$E,'Investor Exit List'!$C71,Investors!$L:$L,'Investor Exit List'!$B71)+SUMIFS(Investors!$S:$S,Investors!$O:$O,TRUE,Investors!$A:$A,'Investor Exit List'!$A71,Investors!$E:$E,'Investor Exit List'!$C71,Investors!$L:$L,'Investor Exit List'!$B71)</f>
        <v>0</v>
      </c>
      <c r="T71" s="118" t="str">
        <f t="shared" si="18"/>
        <v/>
      </c>
      <c r="U71" s="116" t="b">
        <v>0</v>
      </c>
      <c r="V71" s="117">
        <f t="shared" si="19"/>
        <v>0</v>
      </c>
      <c r="W71" s="116">
        <v>0</v>
      </c>
      <c r="X71" s="116" t="b">
        <v>0</v>
      </c>
      <c r="Y71" s="119">
        <f>IF(H71=FALSE,VLOOKUP($C71,Sales!$C:$F,4,FALSE),1)</f>
        <v>1</v>
      </c>
      <c r="Z71" s="116" t="str">
        <f t="shared" si="20"/>
        <v/>
      </c>
      <c r="AA71" s="118">
        <f t="shared" si="21"/>
        <v>0</v>
      </c>
      <c r="AB71" s="118" t="str">
        <f t="shared" si="22"/>
        <v>HFB101-ZLUN01</v>
      </c>
      <c r="AC71" s="118">
        <f t="shared" si="23"/>
        <v>45046</v>
      </c>
    </row>
    <row r="72" spans="1:29" ht="16" x14ac:dyDescent="0.2">
      <c r="A72" s="116" t="s">
        <v>212</v>
      </c>
      <c r="B72" s="116">
        <v>1</v>
      </c>
      <c r="C72" s="116" t="s">
        <v>208</v>
      </c>
      <c r="D72" s="116" t="s">
        <v>209</v>
      </c>
      <c r="E72" s="116" t="s">
        <v>2066</v>
      </c>
      <c r="F72" s="117">
        <f>SUMIFS(Investors!$M:$M,Investors!$O:$O,FALSE,Investors!$P:$P,FALSE,Investors!$K:$K,"&gt;"&amp;'NSST Print'!$B$3,Investors!$I:$I,"&lt;="&amp;'NSST Print'!$B$3,Investors!$A:$A,'Investor Exit List'!$A72,Investors!$E:$E,'Investor Exit List'!$C72,Investors!$L:$L,'Investor Exit List'!$B72)-(SUMIFS(Investors!$M:$M,Investors!$I:$I,"&lt;="&amp;'NSST Print'!$B$3,Investors!$J:$J,"&gt;"&amp;'NSST Print'!$B$3,Investors!$A:$A,'Investor Exit List'!$A72,Investors!$E:$E,'Investor Exit List'!$C72,Investors!$L:$L,'Investor Exit List'!$B72)+SUMIFS(Investors!$M:$M,Investors!$I:$I,"&lt;="&amp;'NSST Print'!$B$3,Investors!$J:$J,"",Investors!$A:$A,'Investor Exit List'!$A72,Investors!$E:$E,'Investor Exit List'!$C72,Investors!$L:$L,'Investor Exit List'!$B72))</f>
        <v>0</v>
      </c>
      <c r="G72" s="118">
        <v>44532</v>
      </c>
      <c r="H72" s="116" t="b">
        <f>VLOOKUP($C72,Sales!$C:$E,2,FALSE)</f>
        <v>1</v>
      </c>
      <c r="I72" s="116" t="b">
        <f>VLOOKUP($C72,Sales!$C:$E,3,FALSE)</f>
        <v>1</v>
      </c>
      <c r="J72" s="118">
        <f>SUMIFS(Sales!$H:$H,Sales!$C:$C,'Investor Exit List'!$C72)</f>
        <v>45688</v>
      </c>
      <c r="K72" s="118">
        <f t="shared" si="12"/>
        <v>45688</v>
      </c>
      <c r="L72" s="118">
        <f t="shared" si="13"/>
        <v>45262</v>
      </c>
      <c r="M72" s="118">
        <v>45443</v>
      </c>
      <c r="N72" s="119">
        <f t="shared" si="14"/>
        <v>0</v>
      </c>
      <c r="O72" s="119">
        <f t="shared" si="15"/>
        <v>0</v>
      </c>
      <c r="P72" s="117">
        <f t="shared" si="16"/>
        <v>0</v>
      </c>
      <c r="Q72" s="117">
        <f>SUMIFS(Investors!$M:$M,Investors!$O:$O,FALSE,Investors!$P:$P,FALSE,Investors!$K:$K,"&gt;"&amp;'NSST Print'!$B$3,Investors!$I:$I,"&lt;="&amp;'NSST Print'!$B$3,Investors!$A:$A,'Investor Exit List'!$A72,Investors!$E:$E,'Investor Exit List'!$C72,Investors!$L:$L,'Investor Exit List'!$B72)-(SUMIFS(Investors!$M:$M,Investors!$I:$I,"&lt;="&amp;'NSST Print'!$B$3,Investors!$J:$J,"&gt;"&amp;'NSST Print'!$B$3,Investors!$A:$A,'Investor Exit List'!$A72,Investors!$E:$E,'Investor Exit List'!$C72,Investors!$L:$L,'Investor Exit List'!$B72)+SUMIFS(Investors!$M:$M,Investors!$I:$I,"&lt;="&amp;'NSST Print'!$B$3,Investors!$J:$J,"",Investors!$A:$A,'Investor Exit List'!$A72,Investors!$E:$E,'Investor Exit List'!$C72,Investors!$L:$L,'Investor Exit List'!$B72))+SUMIFS(Investors!$S:$S,Investors!$O:$O,FALSE,Investors!$P:$P,FALSE,Investors!$K:$K,"&gt;"&amp;'NSST Print'!$B$3,Investors!$I:$I,"&lt;="&amp;'NSST Print'!$B$3,Investors!$A:$A,'Investor Exit List'!$A72,Investors!$E:$E,'Investor Exit List'!$C72,Investors!$L:$L,'Investor Exit List'!$B72)-(SUMIFS(Investors!$S:$S,Investors!$I:$I,"&lt;="&amp;'NSST Print'!$B$3,Investors!$J:$J,"&gt;"&amp;'NSST Print'!$B$3,Investors!$A:$A,'Investor Exit List'!$A72,Investors!$E:$E,'Investor Exit List'!$C72,Investors!$L:$L,'Investor Exit List'!$B72)+SUMIFS(Investors!$S:$S,Investors!$I:$I,"&lt;="&amp;'NSST Print'!$B$3,Investors!$J:$J,"",Investors!$A:$A,'Investor Exit List'!$A72,Investors!$E:$E,'Investor Exit List'!$C72,Investors!$L:$L,'Investor Exit List'!$B72))</f>
        <v>0</v>
      </c>
      <c r="R72" s="117">
        <f t="shared" si="17"/>
        <v>0</v>
      </c>
      <c r="S72" s="117">
        <f>SUMIFS(Investors!$M:$M,Investors!$O:$O,TRUE,Investors!$A:$A,'Investor Exit List'!$A72,Investors!$E:$E,'Investor Exit List'!$C72,Investors!$L:$L,'Investor Exit List'!$B72)+SUMIFS(Investors!$S:$S,Investors!$O:$O,TRUE,Investors!$A:$A,'Investor Exit List'!$A72,Investors!$E:$E,'Investor Exit List'!$C72,Investors!$L:$L,'Investor Exit List'!$B72)</f>
        <v>0</v>
      </c>
      <c r="T72" s="118" t="str">
        <f t="shared" si="18"/>
        <v/>
      </c>
      <c r="U72" s="116" t="b">
        <v>0</v>
      </c>
      <c r="V72" s="117">
        <f t="shared" si="19"/>
        <v>0</v>
      </c>
      <c r="W72" s="116">
        <v>0</v>
      </c>
      <c r="X72" s="116" t="b">
        <v>0</v>
      </c>
      <c r="Y72" s="119">
        <f>IF(H72=FALSE,VLOOKUP($C72,Sales!$C:$F,4,FALSE),1)</f>
        <v>1</v>
      </c>
      <c r="Z72" s="116" t="str">
        <f t="shared" si="20"/>
        <v/>
      </c>
      <c r="AA72" s="118">
        <f t="shared" si="21"/>
        <v>0</v>
      </c>
      <c r="AB72" s="118" t="str">
        <f t="shared" si="22"/>
        <v>HFB101-ZMEH01</v>
      </c>
      <c r="AC72" s="118">
        <f t="shared" si="23"/>
        <v>45262</v>
      </c>
    </row>
    <row r="73" spans="1:29" ht="16" x14ac:dyDescent="0.2">
      <c r="A73" s="116" t="s">
        <v>215</v>
      </c>
      <c r="B73" s="116">
        <v>1</v>
      </c>
      <c r="C73" s="116" t="s">
        <v>208</v>
      </c>
      <c r="D73" s="116" t="s">
        <v>209</v>
      </c>
      <c r="E73" s="116" t="s">
        <v>2067</v>
      </c>
      <c r="F73" s="117">
        <f>SUMIFS(Investors!$M:$M,Investors!$O:$O,FALSE,Investors!$P:$P,FALSE,Investors!$K:$K,"&gt;"&amp;'NSST Print'!$B$3,Investors!$I:$I,"&lt;="&amp;'NSST Print'!$B$3,Investors!$A:$A,'Investor Exit List'!$A73,Investors!$E:$E,'Investor Exit List'!$C73,Investors!$L:$L,'Investor Exit List'!$B73)-(SUMIFS(Investors!$M:$M,Investors!$I:$I,"&lt;="&amp;'NSST Print'!$B$3,Investors!$J:$J,"&gt;"&amp;'NSST Print'!$B$3,Investors!$A:$A,'Investor Exit List'!$A73,Investors!$E:$E,'Investor Exit List'!$C73,Investors!$L:$L,'Investor Exit List'!$B73)+SUMIFS(Investors!$M:$M,Investors!$I:$I,"&lt;="&amp;'NSST Print'!$B$3,Investors!$J:$J,"",Investors!$A:$A,'Investor Exit List'!$A73,Investors!$E:$E,'Investor Exit List'!$C73,Investors!$L:$L,'Investor Exit List'!$B73))</f>
        <v>0</v>
      </c>
      <c r="G73" s="118">
        <v>44352</v>
      </c>
      <c r="H73" s="116" t="b">
        <f>VLOOKUP($C73,Sales!$C:$E,2,FALSE)</f>
        <v>1</v>
      </c>
      <c r="I73" s="116" t="b">
        <f>VLOOKUP($C73,Sales!$C:$E,3,FALSE)</f>
        <v>1</v>
      </c>
      <c r="J73" s="118">
        <f>SUMIFS(Sales!$H:$H,Sales!$C:$C,'Investor Exit List'!$C73)</f>
        <v>45688</v>
      </c>
      <c r="K73" s="118">
        <f t="shared" si="12"/>
        <v>45688</v>
      </c>
      <c r="L73" s="118">
        <f t="shared" si="13"/>
        <v>45082</v>
      </c>
      <c r="M73" s="118">
        <v>45443</v>
      </c>
      <c r="N73" s="119">
        <f t="shared" si="14"/>
        <v>0</v>
      </c>
      <c r="O73" s="119">
        <f t="shared" si="15"/>
        <v>0</v>
      </c>
      <c r="P73" s="117">
        <f t="shared" si="16"/>
        <v>0</v>
      </c>
      <c r="Q73" s="117">
        <f>SUMIFS(Investors!$M:$M,Investors!$O:$O,FALSE,Investors!$P:$P,FALSE,Investors!$K:$K,"&gt;"&amp;'NSST Print'!$B$3,Investors!$I:$I,"&lt;="&amp;'NSST Print'!$B$3,Investors!$A:$A,'Investor Exit List'!$A73,Investors!$E:$E,'Investor Exit List'!$C73,Investors!$L:$L,'Investor Exit List'!$B73)-(SUMIFS(Investors!$M:$M,Investors!$I:$I,"&lt;="&amp;'NSST Print'!$B$3,Investors!$J:$J,"&gt;"&amp;'NSST Print'!$B$3,Investors!$A:$A,'Investor Exit List'!$A73,Investors!$E:$E,'Investor Exit List'!$C73,Investors!$L:$L,'Investor Exit List'!$B73)+SUMIFS(Investors!$M:$M,Investors!$I:$I,"&lt;="&amp;'NSST Print'!$B$3,Investors!$J:$J,"",Investors!$A:$A,'Investor Exit List'!$A73,Investors!$E:$E,'Investor Exit List'!$C73,Investors!$L:$L,'Investor Exit List'!$B73))+SUMIFS(Investors!$S:$S,Investors!$O:$O,FALSE,Investors!$P:$P,FALSE,Investors!$K:$K,"&gt;"&amp;'NSST Print'!$B$3,Investors!$I:$I,"&lt;="&amp;'NSST Print'!$B$3,Investors!$A:$A,'Investor Exit List'!$A73,Investors!$E:$E,'Investor Exit List'!$C73,Investors!$L:$L,'Investor Exit List'!$B73)-(SUMIFS(Investors!$S:$S,Investors!$I:$I,"&lt;="&amp;'NSST Print'!$B$3,Investors!$J:$J,"&gt;"&amp;'NSST Print'!$B$3,Investors!$A:$A,'Investor Exit List'!$A73,Investors!$E:$E,'Investor Exit List'!$C73,Investors!$L:$L,'Investor Exit List'!$B73)+SUMIFS(Investors!$S:$S,Investors!$I:$I,"&lt;="&amp;'NSST Print'!$B$3,Investors!$J:$J,"",Investors!$A:$A,'Investor Exit List'!$A73,Investors!$E:$E,'Investor Exit List'!$C73,Investors!$L:$L,'Investor Exit List'!$B73))</f>
        <v>0</v>
      </c>
      <c r="R73" s="117">
        <f t="shared" si="17"/>
        <v>0</v>
      </c>
      <c r="S73" s="117">
        <f>SUMIFS(Investors!$M:$M,Investors!$O:$O,TRUE,Investors!$A:$A,'Investor Exit List'!$A73,Investors!$E:$E,'Investor Exit List'!$C73,Investors!$L:$L,'Investor Exit List'!$B73)+SUMIFS(Investors!$S:$S,Investors!$O:$O,TRUE,Investors!$A:$A,'Investor Exit List'!$A73,Investors!$E:$E,'Investor Exit List'!$C73,Investors!$L:$L,'Investor Exit List'!$B73)</f>
        <v>0</v>
      </c>
      <c r="T73" s="118" t="str">
        <f t="shared" si="18"/>
        <v/>
      </c>
      <c r="U73" s="116" t="b">
        <v>0</v>
      </c>
      <c r="V73" s="117">
        <f t="shared" si="19"/>
        <v>0</v>
      </c>
      <c r="W73" s="116">
        <v>0</v>
      </c>
      <c r="X73" s="116" t="b">
        <v>0</v>
      </c>
      <c r="Y73" s="119">
        <f>IF(H73=FALSE,VLOOKUP($C73,Sales!$C:$F,4,FALSE),1)</f>
        <v>1</v>
      </c>
      <c r="Z73" s="116" t="str">
        <f t="shared" si="20"/>
        <v/>
      </c>
      <c r="AA73" s="118">
        <f t="shared" si="21"/>
        <v>0</v>
      </c>
      <c r="AB73" s="118" t="str">
        <f t="shared" si="22"/>
        <v>HFB101-ZTHO01</v>
      </c>
      <c r="AC73" s="118">
        <f t="shared" si="23"/>
        <v>45082</v>
      </c>
    </row>
    <row r="74" spans="1:29" ht="16" x14ac:dyDescent="0.2">
      <c r="A74" s="116" t="s">
        <v>52</v>
      </c>
      <c r="B74" s="116">
        <v>2</v>
      </c>
      <c r="C74" s="116" t="s">
        <v>217</v>
      </c>
      <c r="D74" s="116" t="s">
        <v>209</v>
      </c>
      <c r="E74" s="116" t="s">
        <v>2017</v>
      </c>
      <c r="F74" s="117">
        <f>SUMIFS(Investors!$M:$M,Investors!$O:$O,FALSE,Investors!$P:$P,FALSE,Investors!$K:$K,"&gt;"&amp;'NSST Print'!$B$3,Investors!$I:$I,"&lt;="&amp;'NSST Print'!$B$3,Investors!$A:$A,'Investor Exit List'!$A74,Investors!$E:$E,'Investor Exit List'!$C74,Investors!$L:$L,'Investor Exit List'!$B74)-(SUMIFS(Investors!$M:$M,Investors!$I:$I,"&lt;="&amp;'NSST Print'!$B$3,Investors!$J:$J,"&gt;"&amp;'NSST Print'!$B$3,Investors!$A:$A,'Investor Exit List'!$A74,Investors!$E:$E,'Investor Exit List'!$C74,Investors!$L:$L,'Investor Exit List'!$B74)+SUMIFS(Investors!$M:$M,Investors!$I:$I,"&lt;="&amp;'NSST Print'!$B$3,Investors!$J:$J,"",Investors!$A:$A,'Investor Exit List'!$A74,Investors!$E:$E,'Investor Exit List'!$C74,Investors!$L:$L,'Investor Exit List'!$B74))</f>
        <v>0</v>
      </c>
      <c r="G74" s="118">
        <v>44352</v>
      </c>
      <c r="H74" s="116" t="b">
        <f>VLOOKUP($C74,Sales!$C:$E,2,FALSE)</f>
        <v>1</v>
      </c>
      <c r="I74" s="116" t="b">
        <f>VLOOKUP($C74,Sales!$C:$E,3,FALSE)</f>
        <v>1</v>
      </c>
      <c r="J74" s="118">
        <f>SUMIFS(Sales!$H:$H,Sales!$C:$C,'Investor Exit List'!$C74)</f>
        <v>45688</v>
      </c>
      <c r="K74" s="118">
        <f t="shared" si="12"/>
        <v>45688</v>
      </c>
      <c r="L74" s="118">
        <f t="shared" si="13"/>
        <v>45082</v>
      </c>
      <c r="M74" s="118">
        <v>45443</v>
      </c>
      <c r="N74" s="119">
        <f t="shared" si="14"/>
        <v>0</v>
      </c>
      <c r="O74" s="119">
        <f t="shared" si="15"/>
        <v>0</v>
      </c>
      <c r="P74" s="117">
        <f t="shared" si="16"/>
        <v>0</v>
      </c>
      <c r="Q74" s="117">
        <f>SUMIFS(Investors!$M:$M,Investors!$O:$O,FALSE,Investors!$P:$P,FALSE,Investors!$K:$K,"&gt;"&amp;'NSST Print'!$B$3,Investors!$I:$I,"&lt;="&amp;'NSST Print'!$B$3,Investors!$A:$A,'Investor Exit List'!$A74,Investors!$E:$E,'Investor Exit List'!$C74,Investors!$L:$L,'Investor Exit List'!$B74)-(SUMIFS(Investors!$M:$M,Investors!$I:$I,"&lt;="&amp;'NSST Print'!$B$3,Investors!$J:$J,"&gt;"&amp;'NSST Print'!$B$3,Investors!$A:$A,'Investor Exit List'!$A74,Investors!$E:$E,'Investor Exit List'!$C74,Investors!$L:$L,'Investor Exit List'!$B74)+SUMIFS(Investors!$M:$M,Investors!$I:$I,"&lt;="&amp;'NSST Print'!$B$3,Investors!$J:$J,"",Investors!$A:$A,'Investor Exit List'!$A74,Investors!$E:$E,'Investor Exit List'!$C74,Investors!$L:$L,'Investor Exit List'!$B74))+SUMIFS(Investors!$S:$S,Investors!$O:$O,FALSE,Investors!$P:$P,FALSE,Investors!$K:$K,"&gt;"&amp;'NSST Print'!$B$3,Investors!$I:$I,"&lt;="&amp;'NSST Print'!$B$3,Investors!$A:$A,'Investor Exit List'!$A74,Investors!$E:$E,'Investor Exit List'!$C74,Investors!$L:$L,'Investor Exit List'!$B74)-(SUMIFS(Investors!$S:$S,Investors!$I:$I,"&lt;="&amp;'NSST Print'!$B$3,Investors!$J:$J,"&gt;"&amp;'NSST Print'!$B$3,Investors!$A:$A,'Investor Exit List'!$A74,Investors!$E:$E,'Investor Exit List'!$C74,Investors!$L:$L,'Investor Exit List'!$B74)+SUMIFS(Investors!$S:$S,Investors!$I:$I,"&lt;="&amp;'NSST Print'!$B$3,Investors!$J:$J,"",Investors!$A:$A,'Investor Exit List'!$A74,Investors!$E:$E,'Investor Exit List'!$C74,Investors!$L:$L,'Investor Exit List'!$B74))</f>
        <v>0</v>
      </c>
      <c r="R74" s="117">
        <f t="shared" si="17"/>
        <v>0</v>
      </c>
      <c r="S74" s="117">
        <f>SUMIFS(Investors!$M:$M,Investors!$O:$O,TRUE,Investors!$A:$A,'Investor Exit List'!$A74,Investors!$E:$E,'Investor Exit List'!$C74,Investors!$L:$L,'Investor Exit List'!$B74)+SUMIFS(Investors!$S:$S,Investors!$O:$O,TRUE,Investors!$A:$A,'Investor Exit List'!$A74,Investors!$E:$E,'Investor Exit List'!$C74,Investors!$L:$L,'Investor Exit List'!$B74)</f>
        <v>0</v>
      </c>
      <c r="T74" s="118" t="str">
        <f t="shared" si="18"/>
        <v/>
      </c>
      <c r="U74" s="116" t="b">
        <v>0</v>
      </c>
      <c r="V74" s="117">
        <f t="shared" si="19"/>
        <v>0</v>
      </c>
      <c r="W74" s="116">
        <v>0</v>
      </c>
      <c r="X74" s="116" t="b">
        <v>0</v>
      </c>
      <c r="Y74" s="119">
        <f>IF(H74=FALSE,VLOOKUP($C74,Sales!$C:$F,4,FALSE),1)</f>
        <v>1</v>
      </c>
      <c r="Z74" s="116" t="str">
        <f t="shared" si="20"/>
        <v/>
      </c>
      <c r="AA74" s="118">
        <f t="shared" si="21"/>
        <v>0</v>
      </c>
      <c r="AB74" s="118" t="str">
        <f t="shared" si="22"/>
        <v>HFB102-ZCRO01</v>
      </c>
      <c r="AC74" s="118">
        <f t="shared" si="23"/>
        <v>45082</v>
      </c>
    </row>
    <row r="75" spans="1:29" ht="16" x14ac:dyDescent="0.2">
      <c r="A75" s="116" t="s">
        <v>218</v>
      </c>
      <c r="B75" s="116">
        <v>1</v>
      </c>
      <c r="C75" s="116" t="s">
        <v>217</v>
      </c>
      <c r="D75" s="116" t="s">
        <v>209</v>
      </c>
      <c r="E75" s="116" t="s">
        <v>2068</v>
      </c>
      <c r="F75" s="117">
        <f>SUMIFS(Investors!$M:$M,Investors!$O:$O,FALSE,Investors!$P:$P,FALSE,Investors!$K:$K,"&gt;"&amp;'NSST Print'!$B$3,Investors!$I:$I,"&lt;="&amp;'NSST Print'!$B$3,Investors!$A:$A,'Investor Exit List'!$A75,Investors!$E:$E,'Investor Exit List'!$C75,Investors!$L:$L,'Investor Exit List'!$B75)-(SUMIFS(Investors!$M:$M,Investors!$I:$I,"&lt;="&amp;'NSST Print'!$B$3,Investors!$J:$J,"&gt;"&amp;'NSST Print'!$B$3,Investors!$A:$A,'Investor Exit List'!$A75,Investors!$E:$E,'Investor Exit List'!$C75,Investors!$L:$L,'Investor Exit List'!$B75)+SUMIFS(Investors!$M:$M,Investors!$I:$I,"&lt;="&amp;'NSST Print'!$B$3,Investors!$J:$J,"",Investors!$A:$A,'Investor Exit List'!$A75,Investors!$E:$E,'Investor Exit List'!$C75,Investors!$L:$L,'Investor Exit List'!$B75))</f>
        <v>0</v>
      </c>
      <c r="G75" s="118">
        <v>44352</v>
      </c>
      <c r="H75" s="116" t="b">
        <f>VLOOKUP($C75,Sales!$C:$E,2,FALSE)</f>
        <v>1</v>
      </c>
      <c r="I75" s="116" t="b">
        <f>VLOOKUP($C75,Sales!$C:$E,3,FALSE)</f>
        <v>1</v>
      </c>
      <c r="J75" s="118">
        <f>SUMIFS(Sales!$H:$H,Sales!$C:$C,'Investor Exit List'!$C75)</f>
        <v>45688</v>
      </c>
      <c r="K75" s="118">
        <f t="shared" si="12"/>
        <v>45688</v>
      </c>
      <c r="L75" s="118">
        <f t="shared" si="13"/>
        <v>45082</v>
      </c>
      <c r="M75" s="118">
        <v>45443</v>
      </c>
      <c r="N75" s="119">
        <f t="shared" si="14"/>
        <v>0</v>
      </c>
      <c r="O75" s="119">
        <f t="shared" si="15"/>
        <v>0</v>
      </c>
      <c r="P75" s="117">
        <f t="shared" si="16"/>
        <v>0</v>
      </c>
      <c r="Q75" s="117">
        <f>SUMIFS(Investors!$M:$M,Investors!$O:$O,FALSE,Investors!$P:$P,FALSE,Investors!$K:$K,"&gt;"&amp;'NSST Print'!$B$3,Investors!$I:$I,"&lt;="&amp;'NSST Print'!$B$3,Investors!$A:$A,'Investor Exit List'!$A75,Investors!$E:$E,'Investor Exit List'!$C75,Investors!$L:$L,'Investor Exit List'!$B75)-(SUMIFS(Investors!$M:$M,Investors!$I:$I,"&lt;="&amp;'NSST Print'!$B$3,Investors!$J:$J,"&gt;"&amp;'NSST Print'!$B$3,Investors!$A:$A,'Investor Exit List'!$A75,Investors!$E:$E,'Investor Exit List'!$C75,Investors!$L:$L,'Investor Exit List'!$B75)+SUMIFS(Investors!$M:$M,Investors!$I:$I,"&lt;="&amp;'NSST Print'!$B$3,Investors!$J:$J,"",Investors!$A:$A,'Investor Exit List'!$A75,Investors!$E:$E,'Investor Exit List'!$C75,Investors!$L:$L,'Investor Exit List'!$B75))+SUMIFS(Investors!$S:$S,Investors!$O:$O,FALSE,Investors!$P:$P,FALSE,Investors!$K:$K,"&gt;"&amp;'NSST Print'!$B$3,Investors!$I:$I,"&lt;="&amp;'NSST Print'!$B$3,Investors!$A:$A,'Investor Exit List'!$A75,Investors!$E:$E,'Investor Exit List'!$C75,Investors!$L:$L,'Investor Exit List'!$B75)-(SUMIFS(Investors!$S:$S,Investors!$I:$I,"&lt;="&amp;'NSST Print'!$B$3,Investors!$J:$J,"&gt;"&amp;'NSST Print'!$B$3,Investors!$A:$A,'Investor Exit List'!$A75,Investors!$E:$E,'Investor Exit List'!$C75,Investors!$L:$L,'Investor Exit List'!$B75)+SUMIFS(Investors!$S:$S,Investors!$I:$I,"&lt;="&amp;'NSST Print'!$B$3,Investors!$J:$J,"",Investors!$A:$A,'Investor Exit List'!$A75,Investors!$E:$E,'Investor Exit List'!$C75,Investors!$L:$L,'Investor Exit List'!$B75))</f>
        <v>0</v>
      </c>
      <c r="R75" s="117">
        <f t="shared" si="17"/>
        <v>0</v>
      </c>
      <c r="S75" s="117">
        <f>SUMIFS(Investors!$M:$M,Investors!$O:$O,TRUE,Investors!$A:$A,'Investor Exit List'!$A75,Investors!$E:$E,'Investor Exit List'!$C75,Investors!$L:$L,'Investor Exit List'!$B75)+SUMIFS(Investors!$S:$S,Investors!$O:$O,TRUE,Investors!$A:$A,'Investor Exit List'!$A75,Investors!$E:$E,'Investor Exit List'!$C75,Investors!$L:$L,'Investor Exit List'!$B75)</f>
        <v>0</v>
      </c>
      <c r="T75" s="118" t="str">
        <f t="shared" si="18"/>
        <v/>
      </c>
      <c r="U75" s="116" t="b">
        <v>0</v>
      </c>
      <c r="V75" s="117">
        <f t="shared" si="19"/>
        <v>0</v>
      </c>
      <c r="W75" s="116">
        <v>0</v>
      </c>
      <c r="X75" s="116" t="b">
        <v>0</v>
      </c>
      <c r="Y75" s="119">
        <f>IF(H75=FALSE,VLOOKUP($C75,Sales!$C:$F,4,FALSE),1)</f>
        <v>1</v>
      </c>
      <c r="Z75" s="116" t="str">
        <f t="shared" si="20"/>
        <v/>
      </c>
      <c r="AA75" s="118">
        <f t="shared" si="21"/>
        <v>0</v>
      </c>
      <c r="AB75" s="118" t="str">
        <f t="shared" si="22"/>
        <v>HFB102-ZGOV01</v>
      </c>
      <c r="AC75" s="118">
        <f t="shared" si="23"/>
        <v>45082</v>
      </c>
    </row>
    <row r="76" spans="1:29" ht="16" x14ac:dyDescent="0.2">
      <c r="A76" s="116" t="s">
        <v>207</v>
      </c>
      <c r="B76" s="116">
        <v>7</v>
      </c>
      <c r="C76" s="116" t="s">
        <v>217</v>
      </c>
      <c r="D76" s="116" t="s">
        <v>209</v>
      </c>
      <c r="E76" s="116" t="s">
        <v>2017</v>
      </c>
      <c r="F76" s="117">
        <f>SUMIFS(Investors!$M:$M,Investors!$O:$O,FALSE,Investors!$P:$P,FALSE,Investors!$K:$K,"&gt;"&amp;'NSST Print'!$B$3,Investors!$I:$I,"&lt;="&amp;'NSST Print'!$B$3,Investors!$A:$A,'Investor Exit List'!$A76,Investors!$E:$E,'Investor Exit List'!$C76,Investors!$L:$L,'Investor Exit List'!$B76)-(SUMIFS(Investors!$M:$M,Investors!$I:$I,"&lt;="&amp;'NSST Print'!$B$3,Investors!$J:$J,"&gt;"&amp;'NSST Print'!$B$3,Investors!$A:$A,'Investor Exit List'!$A76,Investors!$E:$E,'Investor Exit List'!$C76,Investors!$L:$L,'Investor Exit List'!$B76)+SUMIFS(Investors!$M:$M,Investors!$I:$I,"&lt;="&amp;'NSST Print'!$B$3,Investors!$J:$J,"",Investors!$A:$A,'Investor Exit List'!$A76,Investors!$E:$E,'Investor Exit List'!$C76,Investors!$L:$L,'Investor Exit List'!$B76))</f>
        <v>0</v>
      </c>
      <c r="G76" s="118">
        <v>44352</v>
      </c>
      <c r="H76" s="116" t="b">
        <f>VLOOKUP($C76,Sales!$C:$E,2,FALSE)</f>
        <v>1</v>
      </c>
      <c r="I76" s="116" t="b">
        <f>VLOOKUP($C76,Sales!$C:$E,3,FALSE)</f>
        <v>1</v>
      </c>
      <c r="J76" s="118">
        <f>SUMIFS(Sales!$H:$H,Sales!$C:$C,'Investor Exit List'!$C76)</f>
        <v>45688</v>
      </c>
      <c r="K76" s="118">
        <f t="shared" si="12"/>
        <v>45688</v>
      </c>
      <c r="L76" s="118">
        <f t="shared" si="13"/>
        <v>45082</v>
      </c>
      <c r="M76" s="118">
        <v>45443</v>
      </c>
      <c r="N76" s="119">
        <f t="shared" si="14"/>
        <v>0</v>
      </c>
      <c r="O76" s="119">
        <f t="shared" si="15"/>
        <v>0</v>
      </c>
      <c r="P76" s="117">
        <f t="shared" si="16"/>
        <v>0</v>
      </c>
      <c r="Q76" s="117">
        <f>SUMIFS(Investors!$M:$M,Investors!$O:$O,FALSE,Investors!$P:$P,FALSE,Investors!$K:$K,"&gt;"&amp;'NSST Print'!$B$3,Investors!$I:$I,"&lt;="&amp;'NSST Print'!$B$3,Investors!$A:$A,'Investor Exit List'!$A76,Investors!$E:$E,'Investor Exit List'!$C76,Investors!$L:$L,'Investor Exit List'!$B76)-(SUMIFS(Investors!$M:$M,Investors!$I:$I,"&lt;="&amp;'NSST Print'!$B$3,Investors!$J:$J,"&gt;"&amp;'NSST Print'!$B$3,Investors!$A:$A,'Investor Exit List'!$A76,Investors!$E:$E,'Investor Exit List'!$C76,Investors!$L:$L,'Investor Exit List'!$B76)+SUMIFS(Investors!$M:$M,Investors!$I:$I,"&lt;="&amp;'NSST Print'!$B$3,Investors!$J:$J,"",Investors!$A:$A,'Investor Exit List'!$A76,Investors!$E:$E,'Investor Exit List'!$C76,Investors!$L:$L,'Investor Exit List'!$B76))+SUMIFS(Investors!$S:$S,Investors!$O:$O,FALSE,Investors!$P:$P,FALSE,Investors!$K:$K,"&gt;"&amp;'NSST Print'!$B$3,Investors!$I:$I,"&lt;="&amp;'NSST Print'!$B$3,Investors!$A:$A,'Investor Exit List'!$A76,Investors!$E:$E,'Investor Exit List'!$C76,Investors!$L:$L,'Investor Exit List'!$B76)-(SUMIFS(Investors!$S:$S,Investors!$I:$I,"&lt;="&amp;'NSST Print'!$B$3,Investors!$J:$J,"&gt;"&amp;'NSST Print'!$B$3,Investors!$A:$A,'Investor Exit List'!$A76,Investors!$E:$E,'Investor Exit List'!$C76,Investors!$L:$L,'Investor Exit List'!$B76)+SUMIFS(Investors!$S:$S,Investors!$I:$I,"&lt;="&amp;'NSST Print'!$B$3,Investors!$J:$J,"",Investors!$A:$A,'Investor Exit List'!$A76,Investors!$E:$E,'Investor Exit List'!$C76,Investors!$L:$L,'Investor Exit List'!$B76))</f>
        <v>0</v>
      </c>
      <c r="R76" s="117">
        <f t="shared" si="17"/>
        <v>0</v>
      </c>
      <c r="S76" s="117">
        <f>SUMIFS(Investors!$M:$M,Investors!$O:$O,TRUE,Investors!$A:$A,'Investor Exit List'!$A76,Investors!$E:$E,'Investor Exit List'!$C76,Investors!$L:$L,'Investor Exit List'!$B76)+SUMIFS(Investors!$S:$S,Investors!$O:$O,TRUE,Investors!$A:$A,'Investor Exit List'!$A76,Investors!$E:$E,'Investor Exit List'!$C76,Investors!$L:$L,'Investor Exit List'!$B76)</f>
        <v>0</v>
      </c>
      <c r="T76" s="118" t="str">
        <f t="shared" si="18"/>
        <v/>
      </c>
      <c r="U76" s="116" t="b">
        <v>0</v>
      </c>
      <c r="V76" s="117">
        <f t="shared" si="19"/>
        <v>0</v>
      </c>
      <c r="W76" s="116">
        <v>0</v>
      </c>
      <c r="X76" s="116" t="b">
        <v>0</v>
      </c>
      <c r="Y76" s="119">
        <f>IF(H76=FALSE,VLOOKUP($C76,Sales!$C:$F,4,FALSE),1)</f>
        <v>1</v>
      </c>
      <c r="Z76" s="116" t="str">
        <f t="shared" si="20"/>
        <v/>
      </c>
      <c r="AA76" s="118">
        <f t="shared" si="21"/>
        <v>0</v>
      </c>
      <c r="AB76" s="118" t="str">
        <f t="shared" si="22"/>
        <v>HFB102-ZINT01</v>
      </c>
      <c r="AC76" s="118">
        <f t="shared" si="23"/>
        <v>45082</v>
      </c>
    </row>
    <row r="77" spans="1:29" ht="16" x14ac:dyDescent="0.2">
      <c r="A77" s="116" t="s">
        <v>69</v>
      </c>
      <c r="B77" s="116">
        <v>2</v>
      </c>
      <c r="C77" s="116" t="s">
        <v>217</v>
      </c>
      <c r="D77" s="116" t="s">
        <v>209</v>
      </c>
      <c r="E77" s="116" t="s">
        <v>2022</v>
      </c>
      <c r="F77" s="117">
        <f>SUMIFS(Investors!$M:$M,Investors!$O:$O,FALSE,Investors!$P:$P,FALSE,Investors!$K:$K,"&gt;"&amp;'NSST Print'!$B$3,Investors!$I:$I,"&lt;="&amp;'NSST Print'!$B$3,Investors!$A:$A,'Investor Exit List'!$A77,Investors!$E:$E,'Investor Exit List'!$C77,Investors!$L:$L,'Investor Exit List'!$B77)-(SUMIFS(Investors!$M:$M,Investors!$I:$I,"&lt;="&amp;'NSST Print'!$B$3,Investors!$J:$J,"&gt;"&amp;'NSST Print'!$B$3,Investors!$A:$A,'Investor Exit List'!$A77,Investors!$E:$E,'Investor Exit List'!$C77,Investors!$L:$L,'Investor Exit List'!$B77)+SUMIFS(Investors!$M:$M,Investors!$I:$I,"&lt;="&amp;'NSST Print'!$B$3,Investors!$J:$J,"",Investors!$A:$A,'Investor Exit List'!$A77,Investors!$E:$E,'Investor Exit List'!$C77,Investors!$L:$L,'Investor Exit List'!$B77))</f>
        <v>0</v>
      </c>
      <c r="G77" s="118">
        <v>44316</v>
      </c>
      <c r="H77" s="116" t="b">
        <f>VLOOKUP($C77,Sales!$C:$E,2,FALSE)</f>
        <v>1</v>
      </c>
      <c r="I77" s="116" t="b">
        <f>VLOOKUP($C77,Sales!$C:$E,3,FALSE)</f>
        <v>1</v>
      </c>
      <c r="J77" s="118">
        <f>SUMIFS(Sales!$H:$H,Sales!$C:$C,'Investor Exit List'!$C77)</f>
        <v>45688</v>
      </c>
      <c r="K77" s="118">
        <f t="shared" si="12"/>
        <v>45688</v>
      </c>
      <c r="L77" s="118">
        <f t="shared" si="13"/>
        <v>45046</v>
      </c>
      <c r="M77" s="118">
        <v>45443</v>
      </c>
      <c r="N77" s="119">
        <f t="shared" si="14"/>
        <v>0</v>
      </c>
      <c r="O77" s="119">
        <f t="shared" si="15"/>
        <v>0</v>
      </c>
      <c r="P77" s="117">
        <f t="shared" si="16"/>
        <v>0</v>
      </c>
      <c r="Q77" s="117">
        <f>SUMIFS(Investors!$M:$M,Investors!$O:$O,FALSE,Investors!$P:$P,FALSE,Investors!$K:$K,"&gt;"&amp;'NSST Print'!$B$3,Investors!$I:$I,"&lt;="&amp;'NSST Print'!$B$3,Investors!$A:$A,'Investor Exit List'!$A77,Investors!$E:$E,'Investor Exit List'!$C77,Investors!$L:$L,'Investor Exit List'!$B77)-(SUMIFS(Investors!$M:$M,Investors!$I:$I,"&lt;="&amp;'NSST Print'!$B$3,Investors!$J:$J,"&gt;"&amp;'NSST Print'!$B$3,Investors!$A:$A,'Investor Exit List'!$A77,Investors!$E:$E,'Investor Exit List'!$C77,Investors!$L:$L,'Investor Exit List'!$B77)+SUMIFS(Investors!$M:$M,Investors!$I:$I,"&lt;="&amp;'NSST Print'!$B$3,Investors!$J:$J,"",Investors!$A:$A,'Investor Exit List'!$A77,Investors!$E:$E,'Investor Exit List'!$C77,Investors!$L:$L,'Investor Exit List'!$B77))+SUMIFS(Investors!$S:$S,Investors!$O:$O,FALSE,Investors!$P:$P,FALSE,Investors!$K:$K,"&gt;"&amp;'NSST Print'!$B$3,Investors!$I:$I,"&lt;="&amp;'NSST Print'!$B$3,Investors!$A:$A,'Investor Exit List'!$A77,Investors!$E:$E,'Investor Exit List'!$C77,Investors!$L:$L,'Investor Exit List'!$B77)-(SUMIFS(Investors!$S:$S,Investors!$I:$I,"&lt;="&amp;'NSST Print'!$B$3,Investors!$J:$J,"&gt;"&amp;'NSST Print'!$B$3,Investors!$A:$A,'Investor Exit List'!$A77,Investors!$E:$E,'Investor Exit List'!$C77,Investors!$L:$L,'Investor Exit List'!$B77)+SUMIFS(Investors!$S:$S,Investors!$I:$I,"&lt;="&amp;'NSST Print'!$B$3,Investors!$J:$J,"",Investors!$A:$A,'Investor Exit List'!$A77,Investors!$E:$E,'Investor Exit List'!$C77,Investors!$L:$L,'Investor Exit List'!$B77))</f>
        <v>0</v>
      </c>
      <c r="R77" s="117">
        <f t="shared" si="17"/>
        <v>0</v>
      </c>
      <c r="S77" s="117">
        <f>SUMIFS(Investors!$M:$M,Investors!$O:$O,TRUE,Investors!$A:$A,'Investor Exit List'!$A77,Investors!$E:$E,'Investor Exit List'!$C77,Investors!$L:$L,'Investor Exit List'!$B77)+SUMIFS(Investors!$S:$S,Investors!$O:$O,TRUE,Investors!$A:$A,'Investor Exit List'!$A77,Investors!$E:$E,'Investor Exit List'!$C77,Investors!$L:$L,'Investor Exit List'!$B77)</f>
        <v>0</v>
      </c>
      <c r="T77" s="118" t="str">
        <f t="shared" si="18"/>
        <v/>
      </c>
      <c r="U77" s="116" t="b">
        <v>0</v>
      </c>
      <c r="V77" s="117">
        <f t="shared" si="19"/>
        <v>0</v>
      </c>
      <c r="W77" s="116">
        <v>0</v>
      </c>
      <c r="X77" s="116" t="b">
        <v>0</v>
      </c>
      <c r="Y77" s="119">
        <f>IF(H77=FALSE,VLOOKUP($C77,Sales!$C:$F,4,FALSE),1)</f>
        <v>1</v>
      </c>
      <c r="Z77" s="116" t="str">
        <f t="shared" si="20"/>
        <v/>
      </c>
      <c r="AA77" s="118">
        <f t="shared" si="21"/>
        <v>0</v>
      </c>
      <c r="AB77" s="118" t="str">
        <f t="shared" si="22"/>
        <v>HFB102-ZJOH01</v>
      </c>
      <c r="AC77" s="118">
        <f t="shared" si="23"/>
        <v>45046</v>
      </c>
    </row>
    <row r="78" spans="1:29" ht="16" x14ac:dyDescent="0.2">
      <c r="A78" s="116" t="s">
        <v>221</v>
      </c>
      <c r="B78" s="116">
        <v>1</v>
      </c>
      <c r="C78" s="116" t="s">
        <v>217</v>
      </c>
      <c r="D78" s="116" t="s">
        <v>209</v>
      </c>
      <c r="E78" s="116" t="s">
        <v>2069</v>
      </c>
      <c r="F78" s="117">
        <f>SUMIFS(Investors!$M:$M,Investors!$O:$O,FALSE,Investors!$P:$P,FALSE,Investors!$K:$K,"&gt;"&amp;'NSST Print'!$B$3,Investors!$I:$I,"&lt;="&amp;'NSST Print'!$B$3,Investors!$A:$A,'Investor Exit List'!$A78,Investors!$E:$E,'Investor Exit List'!$C78,Investors!$L:$L,'Investor Exit List'!$B78)-(SUMIFS(Investors!$M:$M,Investors!$I:$I,"&lt;="&amp;'NSST Print'!$B$3,Investors!$J:$J,"&gt;"&amp;'NSST Print'!$B$3,Investors!$A:$A,'Investor Exit List'!$A78,Investors!$E:$E,'Investor Exit List'!$C78,Investors!$L:$L,'Investor Exit List'!$B78)+SUMIFS(Investors!$M:$M,Investors!$I:$I,"&lt;="&amp;'NSST Print'!$B$3,Investors!$J:$J,"",Investors!$A:$A,'Investor Exit List'!$A78,Investors!$E:$E,'Investor Exit List'!$C78,Investors!$L:$L,'Investor Exit List'!$B78))</f>
        <v>0</v>
      </c>
      <c r="G78" s="118">
        <v>44352</v>
      </c>
      <c r="H78" s="116" t="b">
        <f>VLOOKUP($C78,Sales!$C:$E,2,FALSE)</f>
        <v>1</v>
      </c>
      <c r="I78" s="116" t="b">
        <f>VLOOKUP($C78,Sales!$C:$E,3,FALSE)</f>
        <v>1</v>
      </c>
      <c r="J78" s="118">
        <f>SUMIFS(Sales!$H:$H,Sales!$C:$C,'Investor Exit List'!$C78)</f>
        <v>45688</v>
      </c>
      <c r="K78" s="118">
        <f t="shared" si="12"/>
        <v>45688</v>
      </c>
      <c r="L78" s="118">
        <f t="shared" si="13"/>
        <v>45082</v>
      </c>
      <c r="M78" s="118">
        <v>45443</v>
      </c>
      <c r="N78" s="119">
        <f t="shared" si="14"/>
        <v>0</v>
      </c>
      <c r="O78" s="119">
        <f t="shared" si="15"/>
        <v>0</v>
      </c>
      <c r="P78" s="117">
        <f t="shared" si="16"/>
        <v>0</v>
      </c>
      <c r="Q78" s="117">
        <f>SUMIFS(Investors!$M:$M,Investors!$O:$O,FALSE,Investors!$P:$P,FALSE,Investors!$K:$K,"&gt;"&amp;'NSST Print'!$B$3,Investors!$I:$I,"&lt;="&amp;'NSST Print'!$B$3,Investors!$A:$A,'Investor Exit List'!$A78,Investors!$E:$E,'Investor Exit List'!$C78,Investors!$L:$L,'Investor Exit List'!$B78)-(SUMIFS(Investors!$M:$M,Investors!$I:$I,"&lt;="&amp;'NSST Print'!$B$3,Investors!$J:$J,"&gt;"&amp;'NSST Print'!$B$3,Investors!$A:$A,'Investor Exit List'!$A78,Investors!$E:$E,'Investor Exit List'!$C78,Investors!$L:$L,'Investor Exit List'!$B78)+SUMIFS(Investors!$M:$M,Investors!$I:$I,"&lt;="&amp;'NSST Print'!$B$3,Investors!$J:$J,"",Investors!$A:$A,'Investor Exit List'!$A78,Investors!$E:$E,'Investor Exit List'!$C78,Investors!$L:$L,'Investor Exit List'!$B78))+SUMIFS(Investors!$S:$S,Investors!$O:$O,FALSE,Investors!$P:$P,FALSE,Investors!$K:$K,"&gt;"&amp;'NSST Print'!$B$3,Investors!$I:$I,"&lt;="&amp;'NSST Print'!$B$3,Investors!$A:$A,'Investor Exit List'!$A78,Investors!$E:$E,'Investor Exit List'!$C78,Investors!$L:$L,'Investor Exit List'!$B78)-(SUMIFS(Investors!$S:$S,Investors!$I:$I,"&lt;="&amp;'NSST Print'!$B$3,Investors!$J:$J,"&gt;"&amp;'NSST Print'!$B$3,Investors!$A:$A,'Investor Exit List'!$A78,Investors!$E:$E,'Investor Exit List'!$C78,Investors!$L:$L,'Investor Exit List'!$B78)+SUMIFS(Investors!$S:$S,Investors!$I:$I,"&lt;="&amp;'NSST Print'!$B$3,Investors!$J:$J,"",Investors!$A:$A,'Investor Exit List'!$A78,Investors!$E:$E,'Investor Exit List'!$C78,Investors!$L:$L,'Investor Exit List'!$B78))</f>
        <v>0</v>
      </c>
      <c r="R78" s="117">
        <f t="shared" si="17"/>
        <v>0</v>
      </c>
      <c r="S78" s="117">
        <f>SUMIFS(Investors!$M:$M,Investors!$O:$O,TRUE,Investors!$A:$A,'Investor Exit List'!$A78,Investors!$E:$E,'Investor Exit List'!$C78,Investors!$L:$L,'Investor Exit List'!$B78)+SUMIFS(Investors!$S:$S,Investors!$O:$O,TRUE,Investors!$A:$A,'Investor Exit List'!$A78,Investors!$E:$E,'Investor Exit List'!$C78,Investors!$L:$L,'Investor Exit List'!$B78)</f>
        <v>0</v>
      </c>
      <c r="T78" s="118" t="str">
        <f t="shared" si="18"/>
        <v/>
      </c>
      <c r="U78" s="116" t="b">
        <v>0</v>
      </c>
      <c r="V78" s="117">
        <f t="shared" si="19"/>
        <v>0</v>
      </c>
      <c r="W78" s="116">
        <v>0</v>
      </c>
      <c r="X78" s="116" t="b">
        <v>0</v>
      </c>
      <c r="Y78" s="119">
        <f>IF(H78=FALSE,VLOOKUP($C78,Sales!$C:$F,4,FALSE),1)</f>
        <v>1</v>
      </c>
      <c r="Z78" s="116" t="str">
        <f t="shared" si="20"/>
        <v/>
      </c>
      <c r="AA78" s="118">
        <f t="shared" si="21"/>
        <v>0</v>
      </c>
      <c r="AB78" s="118" t="str">
        <f t="shared" si="22"/>
        <v>HFB102-ZSCH02</v>
      </c>
      <c r="AC78" s="118">
        <f t="shared" si="23"/>
        <v>45082</v>
      </c>
    </row>
    <row r="79" spans="1:29" ht="16" x14ac:dyDescent="0.2">
      <c r="A79" s="116" t="s">
        <v>223</v>
      </c>
      <c r="B79" s="116">
        <v>1</v>
      </c>
      <c r="C79" s="116" t="s">
        <v>226</v>
      </c>
      <c r="D79" s="116" t="s">
        <v>209</v>
      </c>
      <c r="E79" s="116" t="s">
        <v>2070</v>
      </c>
      <c r="F79" s="117">
        <f>SUMIFS(Investors!$M:$M,Investors!$O:$O,FALSE,Investors!$P:$P,FALSE,Investors!$K:$K,"&gt;"&amp;'NSST Print'!$B$3,Investors!$I:$I,"&lt;="&amp;'NSST Print'!$B$3,Investors!$A:$A,'Investor Exit List'!$A79,Investors!$E:$E,'Investor Exit List'!$C79,Investors!$L:$L,'Investor Exit List'!$B79)-(SUMIFS(Investors!$M:$M,Investors!$I:$I,"&lt;="&amp;'NSST Print'!$B$3,Investors!$J:$J,"&gt;"&amp;'NSST Print'!$B$3,Investors!$A:$A,'Investor Exit List'!$A79,Investors!$E:$E,'Investor Exit List'!$C79,Investors!$L:$L,'Investor Exit List'!$B79)+SUMIFS(Investors!$M:$M,Investors!$I:$I,"&lt;="&amp;'NSST Print'!$B$3,Investors!$J:$J,"",Investors!$A:$A,'Investor Exit List'!$A79,Investors!$E:$E,'Investor Exit List'!$C79,Investors!$L:$L,'Investor Exit List'!$B79))</f>
        <v>0</v>
      </c>
      <c r="G79" s="118">
        <v>44352</v>
      </c>
      <c r="H79" s="116" t="b">
        <f>VLOOKUP($C79,Sales!$C:$E,2,FALSE)</f>
        <v>1</v>
      </c>
      <c r="I79" s="116" t="b">
        <f>VLOOKUP($C79,Sales!$C:$E,3,FALSE)</f>
        <v>1</v>
      </c>
      <c r="J79" s="118">
        <f>SUMIFS(Sales!$H:$H,Sales!$C:$C,'Investor Exit List'!$C79)</f>
        <v>45688</v>
      </c>
      <c r="K79" s="118">
        <f t="shared" si="12"/>
        <v>45688</v>
      </c>
      <c r="L79" s="118">
        <f t="shared" si="13"/>
        <v>45082</v>
      </c>
      <c r="M79" s="118">
        <v>45443</v>
      </c>
      <c r="N79" s="119">
        <f t="shared" si="14"/>
        <v>0</v>
      </c>
      <c r="O79" s="119">
        <f t="shared" si="15"/>
        <v>0</v>
      </c>
      <c r="P79" s="117">
        <f t="shared" si="16"/>
        <v>0</v>
      </c>
      <c r="Q79" s="117">
        <f>SUMIFS(Investors!$M:$M,Investors!$O:$O,FALSE,Investors!$P:$P,FALSE,Investors!$K:$K,"&gt;"&amp;'NSST Print'!$B$3,Investors!$I:$I,"&lt;="&amp;'NSST Print'!$B$3,Investors!$A:$A,'Investor Exit List'!$A79,Investors!$E:$E,'Investor Exit List'!$C79,Investors!$L:$L,'Investor Exit List'!$B79)-(SUMIFS(Investors!$M:$M,Investors!$I:$I,"&lt;="&amp;'NSST Print'!$B$3,Investors!$J:$J,"&gt;"&amp;'NSST Print'!$B$3,Investors!$A:$A,'Investor Exit List'!$A79,Investors!$E:$E,'Investor Exit List'!$C79,Investors!$L:$L,'Investor Exit List'!$B79)+SUMIFS(Investors!$M:$M,Investors!$I:$I,"&lt;="&amp;'NSST Print'!$B$3,Investors!$J:$J,"",Investors!$A:$A,'Investor Exit List'!$A79,Investors!$E:$E,'Investor Exit List'!$C79,Investors!$L:$L,'Investor Exit List'!$B79))+SUMIFS(Investors!$S:$S,Investors!$O:$O,FALSE,Investors!$P:$P,FALSE,Investors!$K:$K,"&gt;"&amp;'NSST Print'!$B$3,Investors!$I:$I,"&lt;="&amp;'NSST Print'!$B$3,Investors!$A:$A,'Investor Exit List'!$A79,Investors!$E:$E,'Investor Exit List'!$C79,Investors!$L:$L,'Investor Exit List'!$B79)-(SUMIFS(Investors!$S:$S,Investors!$I:$I,"&lt;="&amp;'NSST Print'!$B$3,Investors!$J:$J,"&gt;"&amp;'NSST Print'!$B$3,Investors!$A:$A,'Investor Exit List'!$A79,Investors!$E:$E,'Investor Exit List'!$C79,Investors!$L:$L,'Investor Exit List'!$B79)+SUMIFS(Investors!$S:$S,Investors!$I:$I,"&lt;="&amp;'NSST Print'!$B$3,Investors!$J:$J,"",Investors!$A:$A,'Investor Exit List'!$A79,Investors!$E:$E,'Investor Exit List'!$C79,Investors!$L:$L,'Investor Exit List'!$B79))</f>
        <v>0</v>
      </c>
      <c r="R79" s="117">
        <f t="shared" si="17"/>
        <v>0</v>
      </c>
      <c r="S79" s="117">
        <f>SUMIFS(Investors!$M:$M,Investors!$O:$O,TRUE,Investors!$A:$A,'Investor Exit List'!$A79,Investors!$E:$E,'Investor Exit List'!$C79,Investors!$L:$L,'Investor Exit List'!$B79)+SUMIFS(Investors!$S:$S,Investors!$O:$O,TRUE,Investors!$A:$A,'Investor Exit List'!$A79,Investors!$E:$E,'Investor Exit List'!$C79,Investors!$L:$L,'Investor Exit List'!$B79)</f>
        <v>0</v>
      </c>
      <c r="T79" s="118" t="str">
        <f t="shared" si="18"/>
        <v/>
      </c>
      <c r="U79" s="116" t="b">
        <v>0</v>
      </c>
      <c r="V79" s="117">
        <f t="shared" si="19"/>
        <v>0</v>
      </c>
      <c r="W79" s="116">
        <v>0</v>
      </c>
      <c r="X79" s="116" t="b">
        <v>0</v>
      </c>
      <c r="Y79" s="119">
        <f>IF(H79=FALSE,VLOOKUP($C79,Sales!$C:$F,4,FALSE),1)</f>
        <v>1</v>
      </c>
      <c r="Z79" s="116" t="str">
        <f t="shared" si="20"/>
        <v/>
      </c>
      <c r="AA79" s="118">
        <f t="shared" si="21"/>
        <v>0</v>
      </c>
      <c r="AB79" s="118" t="str">
        <f t="shared" si="22"/>
        <v>HFB103-ZBET02</v>
      </c>
      <c r="AC79" s="118">
        <f t="shared" si="23"/>
        <v>45082</v>
      </c>
    </row>
    <row r="80" spans="1:29" ht="16" x14ac:dyDescent="0.2">
      <c r="A80" s="116" t="s">
        <v>207</v>
      </c>
      <c r="B80" s="116">
        <v>4</v>
      </c>
      <c r="C80" s="116" t="s">
        <v>226</v>
      </c>
      <c r="D80" s="116" t="s">
        <v>209</v>
      </c>
      <c r="E80" s="116" t="s">
        <v>2017</v>
      </c>
      <c r="F80" s="117">
        <f>SUMIFS(Investors!$M:$M,Investors!$O:$O,FALSE,Investors!$P:$P,FALSE,Investors!$K:$K,"&gt;"&amp;'NSST Print'!$B$3,Investors!$I:$I,"&lt;="&amp;'NSST Print'!$B$3,Investors!$A:$A,'Investor Exit List'!$A80,Investors!$E:$E,'Investor Exit List'!$C80,Investors!$L:$L,'Investor Exit List'!$B80)-(SUMIFS(Investors!$M:$M,Investors!$I:$I,"&lt;="&amp;'NSST Print'!$B$3,Investors!$J:$J,"&gt;"&amp;'NSST Print'!$B$3,Investors!$A:$A,'Investor Exit List'!$A80,Investors!$E:$E,'Investor Exit List'!$C80,Investors!$L:$L,'Investor Exit List'!$B80)+SUMIFS(Investors!$M:$M,Investors!$I:$I,"&lt;="&amp;'NSST Print'!$B$3,Investors!$J:$J,"",Investors!$A:$A,'Investor Exit List'!$A80,Investors!$E:$E,'Investor Exit List'!$C80,Investors!$L:$L,'Investor Exit List'!$B80))</f>
        <v>0</v>
      </c>
      <c r="G80" s="118">
        <v>44316</v>
      </c>
      <c r="H80" s="116" t="b">
        <f>VLOOKUP($C80,Sales!$C:$E,2,FALSE)</f>
        <v>1</v>
      </c>
      <c r="I80" s="116" t="b">
        <f>VLOOKUP($C80,Sales!$C:$E,3,FALSE)</f>
        <v>1</v>
      </c>
      <c r="J80" s="118">
        <f>SUMIFS(Sales!$H:$H,Sales!$C:$C,'Investor Exit List'!$C80)</f>
        <v>45688</v>
      </c>
      <c r="K80" s="118">
        <f t="shared" si="12"/>
        <v>45688</v>
      </c>
      <c r="L80" s="118">
        <f t="shared" si="13"/>
        <v>45046</v>
      </c>
      <c r="M80" s="118">
        <v>45443</v>
      </c>
      <c r="N80" s="119">
        <f t="shared" si="14"/>
        <v>0</v>
      </c>
      <c r="O80" s="119">
        <f t="shared" si="15"/>
        <v>0</v>
      </c>
      <c r="P80" s="117">
        <f t="shared" si="16"/>
        <v>0</v>
      </c>
      <c r="Q80" s="117">
        <f>SUMIFS(Investors!$M:$M,Investors!$O:$O,FALSE,Investors!$P:$P,FALSE,Investors!$K:$K,"&gt;"&amp;'NSST Print'!$B$3,Investors!$I:$I,"&lt;="&amp;'NSST Print'!$B$3,Investors!$A:$A,'Investor Exit List'!$A80,Investors!$E:$E,'Investor Exit List'!$C80,Investors!$L:$L,'Investor Exit List'!$B80)-(SUMIFS(Investors!$M:$M,Investors!$I:$I,"&lt;="&amp;'NSST Print'!$B$3,Investors!$J:$J,"&gt;"&amp;'NSST Print'!$B$3,Investors!$A:$A,'Investor Exit List'!$A80,Investors!$E:$E,'Investor Exit List'!$C80,Investors!$L:$L,'Investor Exit List'!$B80)+SUMIFS(Investors!$M:$M,Investors!$I:$I,"&lt;="&amp;'NSST Print'!$B$3,Investors!$J:$J,"",Investors!$A:$A,'Investor Exit List'!$A80,Investors!$E:$E,'Investor Exit List'!$C80,Investors!$L:$L,'Investor Exit List'!$B80))+SUMIFS(Investors!$S:$S,Investors!$O:$O,FALSE,Investors!$P:$P,FALSE,Investors!$K:$K,"&gt;"&amp;'NSST Print'!$B$3,Investors!$I:$I,"&lt;="&amp;'NSST Print'!$B$3,Investors!$A:$A,'Investor Exit List'!$A80,Investors!$E:$E,'Investor Exit List'!$C80,Investors!$L:$L,'Investor Exit List'!$B80)-(SUMIFS(Investors!$S:$S,Investors!$I:$I,"&lt;="&amp;'NSST Print'!$B$3,Investors!$J:$J,"&gt;"&amp;'NSST Print'!$B$3,Investors!$A:$A,'Investor Exit List'!$A80,Investors!$E:$E,'Investor Exit List'!$C80,Investors!$L:$L,'Investor Exit List'!$B80)+SUMIFS(Investors!$S:$S,Investors!$I:$I,"&lt;="&amp;'NSST Print'!$B$3,Investors!$J:$J,"",Investors!$A:$A,'Investor Exit List'!$A80,Investors!$E:$E,'Investor Exit List'!$C80,Investors!$L:$L,'Investor Exit List'!$B80))</f>
        <v>0</v>
      </c>
      <c r="R80" s="117">
        <f t="shared" si="17"/>
        <v>0</v>
      </c>
      <c r="S80" s="117">
        <f>SUMIFS(Investors!$M:$M,Investors!$O:$O,TRUE,Investors!$A:$A,'Investor Exit List'!$A80,Investors!$E:$E,'Investor Exit List'!$C80,Investors!$L:$L,'Investor Exit List'!$B80)+SUMIFS(Investors!$S:$S,Investors!$O:$O,TRUE,Investors!$A:$A,'Investor Exit List'!$A80,Investors!$E:$E,'Investor Exit List'!$C80,Investors!$L:$L,'Investor Exit List'!$B80)</f>
        <v>0</v>
      </c>
      <c r="T80" s="118" t="str">
        <f t="shared" si="18"/>
        <v/>
      </c>
      <c r="U80" s="116" t="b">
        <v>0</v>
      </c>
      <c r="V80" s="117">
        <f t="shared" si="19"/>
        <v>0</v>
      </c>
      <c r="W80" s="116">
        <v>0</v>
      </c>
      <c r="X80" s="116" t="b">
        <v>0</v>
      </c>
      <c r="Y80" s="119">
        <f>IF(H80=FALSE,VLOOKUP($C80,Sales!$C:$F,4,FALSE),1)</f>
        <v>1</v>
      </c>
      <c r="Z80" s="116" t="str">
        <f t="shared" si="20"/>
        <v/>
      </c>
      <c r="AA80" s="118">
        <f t="shared" si="21"/>
        <v>0</v>
      </c>
      <c r="AB80" s="118" t="str">
        <f t="shared" si="22"/>
        <v>HFB103-ZINT01</v>
      </c>
      <c r="AC80" s="118">
        <f t="shared" si="23"/>
        <v>45046</v>
      </c>
    </row>
    <row r="81" spans="1:29" ht="16" x14ac:dyDescent="0.2">
      <c r="A81" s="116" t="s">
        <v>156</v>
      </c>
      <c r="B81" s="116">
        <v>3</v>
      </c>
      <c r="C81" s="116" t="s">
        <v>226</v>
      </c>
      <c r="D81" s="116" t="s">
        <v>209</v>
      </c>
      <c r="E81" s="116" t="s">
        <v>2049</v>
      </c>
      <c r="F81" s="117">
        <f>SUMIFS(Investors!$M:$M,Investors!$O:$O,FALSE,Investors!$P:$P,FALSE,Investors!$K:$K,"&gt;"&amp;'NSST Print'!$B$3,Investors!$I:$I,"&lt;="&amp;'NSST Print'!$B$3,Investors!$A:$A,'Investor Exit List'!$A81,Investors!$E:$E,'Investor Exit List'!$C81,Investors!$L:$L,'Investor Exit List'!$B81)-(SUMIFS(Investors!$M:$M,Investors!$I:$I,"&lt;="&amp;'NSST Print'!$B$3,Investors!$J:$J,"&gt;"&amp;'NSST Print'!$B$3,Investors!$A:$A,'Investor Exit List'!$A81,Investors!$E:$E,'Investor Exit List'!$C81,Investors!$L:$L,'Investor Exit List'!$B81)+SUMIFS(Investors!$M:$M,Investors!$I:$I,"&lt;="&amp;'NSST Print'!$B$3,Investors!$J:$J,"",Investors!$A:$A,'Investor Exit List'!$A81,Investors!$E:$E,'Investor Exit List'!$C81,Investors!$L:$L,'Investor Exit List'!$B81))</f>
        <v>0</v>
      </c>
      <c r="G81" s="118">
        <v>44352</v>
      </c>
      <c r="H81" s="116" t="b">
        <f>VLOOKUP($C81,Sales!$C:$E,2,FALSE)</f>
        <v>1</v>
      </c>
      <c r="I81" s="116" t="b">
        <f>VLOOKUP($C81,Sales!$C:$E,3,FALSE)</f>
        <v>1</v>
      </c>
      <c r="J81" s="118">
        <f>SUMIFS(Sales!$H:$H,Sales!$C:$C,'Investor Exit List'!$C81)</f>
        <v>45688</v>
      </c>
      <c r="K81" s="118">
        <f t="shared" si="12"/>
        <v>45688</v>
      </c>
      <c r="L81" s="118">
        <f t="shared" si="13"/>
        <v>45082</v>
      </c>
      <c r="M81" s="118">
        <v>45443</v>
      </c>
      <c r="N81" s="119">
        <f t="shared" si="14"/>
        <v>0</v>
      </c>
      <c r="O81" s="119">
        <f t="shared" si="15"/>
        <v>0</v>
      </c>
      <c r="P81" s="117">
        <f t="shared" si="16"/>
        <v>0</v>
      </c>
      <c r="Q81" s="117">
        <f>SUMIFS(Investors!$M:$M,Investors!$O:$O,FALSE,Investors!$P:$P,FALSE,Investors!$K:$K,"&gt;"&amp;'NSST Print'!$B$3,Investors!$I:$I,"&lt;="&amp;'NSST Print'!$B$3,Investors!$A:$A,'Investor Exit List'!$A81,Investors!$E:$E,'Investor Exit List'!$C81,Investors!$L:$L,'Investor Exit List'!$B81)-(SUMIFS(Investors!$M:$M,Investors!$I:$I,"&lt;="&amp;'NSST Print'!$B$3,Investors!$J:$J,"&gt;"&amp;'NSST Print'!$B$3,Investors!$A:$A,'Investor Exit List'!$A81,Investors!$E:$E,'Investor Exit List'!$C81,Investors!$L:$L,'Investor Exit List'!$B81)+SUMIFS(Investors!$M:$M,Investors!$I:$I,"&lt;="&amp;'NSST Print'!$B$3,Investors!$J:$J,"",Investors!$A:$A,'Investor Exit List'!$A81,Investors!$E:$E,'Investor Exit List'!$C81,Investors!$L:$L,'Investor Exit List'!$B81))+SUMIFS(Investors!$S:$S,Investors!$O:$O,FALSE,Investors!$P:$P,FALSE,Investors!$K:$K,"&gt;"&amp;'NSST Print'!$B$3,Investors!$I:$I,"&lt;="&amp;'NSST Print'!$B$3,Investors!$A:$A,'Investor Exit List'!$A81,Investors!$E:$E,'Investor Exit List'!$C81,Investors!$L:$L,'Investor Exit List'!$B81)-(SUMIFS(Investors!$S:$S,Investors!$I:$I,"&lt;="&amp;'NSST Print'!$B$3,Investors!$J:$J,"&gt;"&amp;'NSST Print'!$B$3,Investors!$A:$A,'Investor Exit List'!$A81,Investors!$E:$E,'Investor Exit List'!$C81,Investors!$L:$L,'Investor Exit List'!$B81)+SUMIFS(Investors!$S:$S,Investors!$I:$I,"&lt;="&amp;'NSST Print'!$B$3,Investors!$J:$J,"",Investors!$A:$A,'Investor Exit List'!$A81,Investors!$E:$E,'Investor Exit List'!$C81,Investors!$L:$L,'Investor Exit List'!$B81))</f>
        <v>0</v>
      </c>
      <c r="R81" s="117">
        <f t="shared" si="17"/>
        <v>0</v>
      </c>
      <c r="S81" s="117">
        <f>SUMIFS(Investors!$M:$M,Investors!$O:$O,TRUE,Investors!$A:$A,'Investor Exit List'!$A81,Investors!$E:$E,'Investor Exit List'!$C81,Investors!$L:$L,'Investor Exit List'!$B81)+SUMIFS(Investors!$S:$S,Investors!$O:$O,TRUE,Investors!$A:$A,'Investor Exit List'!$A81,Investors!$E:$E,'Investor Exit List'!$C81,Investors!$L:$L,'Investor Exit List'!$B81)</f>
        <v>0</v>
      </c>
      <c r="T81" s="118" t="str">
        <f t="shared" si="18"/>
        <v/>
      </c>
      <c r="U81" s="116" t="b">
        <v>0</v>
      </c>
      <c r="V81" s="117">
        <f t="shared" si="19"/>
        <v>0</v>
      </c>
      <c r="W81" s="116">
        <v>0</v>
      </c>
      <c r="X81" s="116" t="b">
        <v>0</v>
      </c>
      <c r="Y81" s="119">
        <f>IF(H81=FALSE,VLOOKUP($C81,Sales!$C:$F,4,FALSE),1)</f>
        <v>1</v>
      </c>
      <c r="Z81" s="116" t="str">
        <f t="shared" si="20"/>
        <v/>
      </c>
      <c r="AA81" s="118">
        <f t="shared" si="21"/>
        <v>0</v>
      </c>
      <c r="AB81" s="118" t="str">
        <f t="shared" si="22"/>
        <v>HFB103-ZMCK01</v>
      </c>
      <c r="AC81" s="118">
        <f t="shared" si="23"/>
        <v>45082</v>
      </c>
    </row>
    <row r="82" spans="1:29" ht="16" x14ac:dyDescent="0.2">
      <c r="A82" s="116" t="s">
        <v>227</v>
      </c>
      <c r="B82" s="116">
        <v>1</v>
      </c>
      <c r="C82" s="116" t="s">
        <v>226</v>
      </c>
      <c r="D82" s="116" t="s">
        <v>209</v>
      </c>
      <c r="E82" s="116" t="s">
        <v>2071</v>
      </c>
      <c r="F82" s="117">
        <f>SUMIFS(Investors!$M:$M,Investors!$O:$O,FALSE,Investors!$P:$P,FALSE,Investors!$K:$K,"&gt;"&amp;'NSST Print'!$B$3,Investors!$I:$I,"&lt;="&amp;'NSST Print'!$B$3,Investors!$A:$A,'Investor Exit List'!$A82,Investors!$E:$E,'Investor Exit List'!$C82,Investors!$L:$L,'Investor Exit List'!$B82)-(SUMIFS(Investors!$M:$M,Investors!$I:$I,"&lt;="&amp;'NSST Print'!$B$3,Investors!$J:$J,"&gt;"&amp;'NSST Print'!$B$3,Investors!$A:$A,'Investor Exit List'!$A82,Investors!$E:$E,'Investor Exit List'!$C82,Investors!$L:$L,'Investor Exit List'!$B82)+SUMIFS(Investors!$M:$M,Investors!$I:$I,"&lt;="&amp;'NSST Print'!$B$3,Investors!$J:$J,"",Investors!$A:$A,'Investor Exit List'!$A82,Investors!$E:$E,'Investor Exit List'!$C82,Investors!$L:$L,'Investor Exit List'!$B82))</f>
        <v>0</v>
      </c>
      <c r="G82" s="118">
        <v>44352</v>
      </c>
      <c r="H82" s="116" t="b">
        <f>VLOOKUP($C82,Sales!$C:$E,2,FALSE)</f>
        <v>1</v>
      </c>
      <c r="I82" s="116" t="b">
        <f>VLOOKUP($C82,Sales!$C:$E,3,FALSE)</f>
        <v>1</v>
      </c>
      <c r="J82" s="118">
        <f>SUMIFS(Sales!$H:$H,Sales!$C:$C,'Investor Exit List'!$C82)</f>
        <v>45688</v>
      </c>
      <c r="K82" s="118">
        <f t="shared" si="12"/>
        <v>45688</v>
      </c>
      <c r="L82" s="118">
        <f t="shared" si="13"/>
        <v>45082</v>
      </c>
      <c r="M82" s="118">
        <v>45443</v>
      </c>
      <c r="N82" s="119">
        <f t="shared" si="14"/>
        <v>0</v>
      </c>
      <c r="O82" s="119">
        <f t="shared" si="15"/>
        <v>0</v>
      </c>
      <c r="P82" s="117">
        <f t="shared" si="16"/>
        <v>0</v>
      </c>
      <c r="Q82" s="117">
        <f>SUMIFS(Investors!$M:$M,Investors!$O:$O,FALSE,Investors!$P:$P,FALSE,Investors!$K:$K,"&gt;"&amp;'NSST Print'!$B$3,Investors!$I:$I,"&lt;="&amp;'NSST Print'!$B$3,Investors!$A:$A,'Investor Exit List'!$A82,Investors!$E:$E,'Investor Exit List'!$C82,Investors!$L:$L,'Investor Exit List'!$B82)-(SUMIFS(Investors!$M:$M,Investors!$I:$I,"&lt;="&amp;'NSST Print'!$B$3,Investors!$J:$J,"&gt;"&amp;'NSST Print'!$B$3,Investors!$A:$A,'Investor Exit List'!$A82,Investors!$E:$E,'Investor Exit List'!$C82,Investors!$L:$L,'Investor Exit List'!$B82)+SUMIFS(Investors!$M:$M,Investors!$I:$I,"&lt;="&amp;'NSST Print'!$B$3,Investors!$J:$J,"",Investors!$A:$A,'Investor Exit List'!$A82,Investors!$E:$E,'Investor Exit List'!$C82,Investors!$L:$L,'Investor Exit List'!$B82))+SUMIFS(Investors!$S:$S,Investors!$O:$O,FALSE,Investors!$P:$P,FALSE,Investors!$K:$K,"&gt;"&amp;'NSST Print'!$B$3,Investors!$I:$I,"&lt;="&amp;'NSST Print'!$B$3,Investors!$A:$A,'Investor Exit List'!$A82,Investors!$E:$E,'Investor Exit List'!$C82,Investors!$L:$L,'Investor Exit List'!$B82)-(SUMIFS(Investors!$S:$S,Investors!$I:$I,"&lt;="&amp;'NSST Print'!$B$3,Investors!$J:$J,"&gt;"&amp;'NSST Print'!$B$3,Investors!$A:$A,'Investor Exit List'!$A82,Investors!$E:$E,'Investor Exit List'!$C82,Investors!$L:$L,'Investor Exit List'!$B82)+SUMIFS(Investors!$S:$S,Investors!$I:$I,"&lt;="&amp;'NSST Print'!$B$3,Investors!$J:$J,"",Investors!$A:$A,'Investor Exit List'!$A82,Investors!$E:$E,'Investor Exit List'!$C82,Investors!$L:$L,'Investor Exit List'!$B82))</f>
        <v>0</v>
      </c>
      <c r="R82" s="117">
        <f t="shared" si="17"/>
        <v>0</v>
      </c>
      <c r="S82" s="117">
        <f>SUMIFS(Investors!$M:$M,Investors!$O:$O,TRUE,Investors!$A:$A,'Investor Exit List'!$A82,Investors!$E:$E,'Investor Exit List'!$C82,Investors!$L:$L,'Investor Exit List'!$B82)+SUMIFS(Investors!$S:$S,Investors!$O:$O,TRUE,Investors!$A:$A,'Investor Exit List'!$A82,Investors!$E:$E,'Investor Exit List'!$C82,Investors!$L:$L,'Investor Exit List'!$B82)</f>
        <v>0</v>
      </c>
      <c r="T82" s="118" t="str">
        <f t="shared" si="18"/>
        <v/>
      </c>
      <c r="U82" s="116" t="b">
        <v>0</v>
      </c>
      <c r="V82" s="117">
        <f t="shared" si="19"/>
        <v>0</v>
      </c>
      <c r="W82" s="116">
        <v>0</v>
      </c>
      <c r="X82" s="116" t="b">
        <v>0</v>
      </c>
      <c r="Y82" s="119">
        <f>IF(H82=FALSE,VLOOKUP($C82,Sales!$C:$F,4,FALSE),1)</f>
        <v>1</v>
      </c>
      <c r="Z82" s="116" t="str">
        <f t="shared" si="20"/>
        <v/>
      </c>
      <c r="AA82" s="118">
        <f t="shared" si="21"/>
        <v>0</v>
      </c>
      <c r="AB82" s="118" t="str">
        <f t="shared" si="22"/>
        <v>HFB103-ZZYL02</v>
      </c>
      <c r="AC82" s="118">
        <f t="shared" si="23"/>
        <v>45082</v>
      </c>
    </row>
    <row r="83" spans="1:29" ht="16" x14ac:dyDescent="0.2">
      <c r="A83" s="116" t="s">
        <v>58</v>
      </c>
      <c r="B83" s="116">
        <v>4</v>
      </c>
      <c r="C83" s="116" t="s">
        <v>229</v>
      </c>
      <c r="D83" s="116" t="s">
        <v>209</v>
      </c>
      <c r="E83" s="116" t="s">
        <v>2017</v>
      </c>
      <c r="F83" s="117">
        <f>SUMIFS(Investors!$M:$M,Investors!$O:$O,FALSE,Investors!$P:$P,FALSE,Investors!$K:$K,"&gt;"&amp;'NSST Print'!$B$3,Investors!$I:$I,"&lt;="&amp;'NSST Print'!$B$3,Investors!$A:$A,'Investor Exit List'!$A83,Investors!$E:$E,'Investor Exit List'!$C83,Investors!$L:$L,'Investor Exit List'!$B83)-(SUMIFS(Investors!$M:$M,Investors!$I:$I,"&lt;="&amp;'NSST Print'!$B$3,Investors!$J:$J,"&gt;"&amp;'NSST Print'!$B$3,Investors!$A:$A,'Investor Exit List'!$A83,Investors!$E:$E,'Investor Exit List'!$C83,Investors!$L:$L,'Investor Exit List'!$B83)+SUMIFS(Investors!$M:$M,Investors!$I:$I,"&lt;="&amp;'NSST Print'!$B$3,Investors!$J:$J,"",Investors!$A:$A,'Investor Exit List'!$A83,Investors!$E:$E,'Investor Exit List'!$C83,Investors!$L:$L,'Investor Exit List'!$B83))</f>
        <v>0</v>
      </c>
      <c r="G83" s="118">
        <v>44352</v>
      </c>
      <c r="H83" s="116" t="b">
        <f>VLOOKUP($C83,Sales!$C:$E,2,FALSE)</f>
        <v>1</v>
      </c>
      <c r="I83" s="116" t="b">
        <f>VLOOKUP($C83,Sales!$C:$E,3,FALSE)</f>
        <v>1</v>
      </c>
      <c r="J83" s="118">
        <f>SUMIFS(Sales!$H:$H,Sales!$C:$C,'Investor Exit List'!$C83)</f>
        <v>45688</v>
      </c>
      <c r="K83" s="118">
        <f t="shared" si="12"/>
        <v>45688</v>
      </c>
      <c r="L83" s="118">
        <f t="shared" si="13"/>
        <v>45082</v>
      </c>
      <c r="M83" s="118">
        <v>45443</v>
      </c>
      <c r="N83" s="119">
        <f t="shared" si="14"/>
        <v>0</v>
      </c>
      <c r="O83" s="119">
        <f t="shared" si="15"/>
        <v>0</v>
      </c>
      <c r="P83" s="117">
        <f t="shared" si="16"/>
        <v>0</v>
      </c>
      <c r="Q83" s="117">
        <f>SUMIFS(Investors!$M:$M,Investors!$O:$O,FALSE,Investors!$P:$P,FALSE,Investors!$K:$K,"&gt;"&amp;'NSST Print'!$B$3,Investors!$I:$I,"&lt;="&amp;'NSST Print'!$B$3,Investors!$A:$A,'Investor Exit List'!$A83,Investors!$E:$E,'Investor Exit List'!$C83,Investors!$L:$L,'Investor Exit List'!$B83)-(SUMIFS(Investors!$M:$M,Investors!$I:$I,"&lt;="&amp;'NSST Print'!$B$3,Investors!$J:$J,"&gt;"&amp;'NSST Print'!$B$3,Investors!$A:$A,'Investor Exit List'!$A83,Investors!$E:$E,'Investor Exit List'!$C83,Investors!$L:$L,'Investor Exit List'!$B83)+SUMIFS(Investors!$M:$M,Investors!$I:$I,"&lt;="&amp;'NSST Print'!$B$3,Investors!$J:$J,"",Investors!$A:$A,'Investor Exit List'!$A83,Investors!$E:$E,'Investor Exit List'!$C83,Investors!$L:$L,'Investor Exit List'!$B83))+SUMIFS(Investors!$S:$S,Investors!$O:$O,FALSE,Investors!$P:$P,FALSE,Investors!$K:$K,"&gt;"&amp;'NSST Print'!$B$3,Investors!$I:$I,"&lt;="&amp;'NSST Print'!$B$3,Investors!$A:$A,'Investor Exit List'!$A83,Investors!$E:$E,'Investor Exit List'!$C83,Investors!$L:$L,'Investor Exit List'!$B83)-(SUMIFS(Investors!$S:$S,Investors!$I:$I,"&lt;="&amp;'NSST Print'!$B$3,Investors!$J:$J,"&gt;"&amp;'NSST Print'!$B$3,Investors!$A:$A,'Investor Exit List'!$A83,Investors!$E:$E,'Investor Exit List'!$C83,Investors!$L:$L,'Investor Exit List'!$B83)+SUMIFS(Investors!$S:$S,Investors!$I:$I,"&lt;="&amp;'NSST Print'!$B$3,Investors!$J:$J,"",Investors!$A:$A,'Investor Exit List'!$A83,Investors!$E:$E,'Investor Exit List'!$C83,Investors!$L:$L,'Investor Exit List'!$B83))</f>
        <v>0</v>
      </c>
      <c r="R83" s="117">
        <f t="shared" si="17"/>
        <v>0</v>
      </c>
      <c r="S83" s="117">
        <f>SUMIFS(Investors!$M:$M,Investors!$O:$O,TRUE,Investors!$A:$A,'Investor Exit List'!$A83,Investors!$E:$E,'Investor Exit List'!$C83,Investors!$L:$L,'Investor Exit List'!$B83)+SUMIFS(Investors!$S:$S,Investors!$O:$O,TRUE,Investors!$A:$A,'Investor Exit List'!$A83,Investors!$E:$E,'Investor Exit List'!$C83,Investors!$L:$L,'Investor Exit List'!$B83)</f>
        <v>155524.10958904109</v>
      </c>
      <c r="T83" s="118">
        <f t="shared" si="18"/>
        <v>45688</v>
      </c>
      <c r="U83" s="116" t="b">
        <v>1</v>
      </c>
      <c r="V83" s="117">
        <f t="shared" si="19"/>
        <v>155524.10958904109</v>
      </c>
      <c r="W83" s="116">
        <v>0</v>
      </c>
      <c r="X83" s="116" t="b">
        <v>0</v>
      </c>
      <c r="Y83" s="119">
        <f>IF(H83=FALSE,VLOOKUP($C83,Sales!$C:$F,4,FALSE),1)</f>
        <v>1</v>
      </c>
      <c r="Z83" s="116" t="str">
        <f t="shared" si="20"/>
        <v/>
      </c>
      <c r="AA83" s="118">
        <f t="shared" si="21"/>
        <v>0</v>
      </c>
      <c r="AB83" s="118" t="str">
        <f t="shared" si="22"/>
        <v>HFB104-ZLUN01</v>
      </c>
      <c r="AC83" s="118">
        <f t="shared" si="23"/>
        <v>45082</v>
      </c>
    </row>
    <row r="84" spans="1:29" ht="16" x14ac:dyDescent="0.2">
      <c r="A84" s="116" t="s">
        <v>230</v>
      </c>
      <c r="B84" s="116">
        <v>6</v>
      </c>
      <c r="C84" s="116" t="s">
        <v>229</v>
      </c>
      <c r="D84" s="116" t="s">
        <v>209</v>
      </c>
      <c r="E84" s="116" t="s">
        <v>2072</v>
      </c>
      <c r="F84" s="117">
        <f>SUMIFS(Investors!$M:$M,Investors!$O:$O,FALSE,Investors!$P:$P,FALSE,Investors!$K:$K,"&gt;"&amp;'NSST Print'!$B$3,Investors!$I:$I,"&lt;="&amp;'NSST Print'!$B$3,Investors!$A:$A,'Investor Exit List'!$A84,Investors!$E:$E,'Investor Exit List'!$C84,Investors!$L:$L,'Investor Exit List'!$B84)-(SUMIFS(Investors!$M:$M,Investors!$I:$I,"&lt;="&amp;'NSST Print'!$B$3,Investors!$J:$J,"&gt;"&amp;'NSST Print'!$B$3,Investors!$A:$A,'Investor Exit List'!$A84,Investors!$E:$E,'Investor Exit List'!$C84,Investors!$L:$L,'Investor Exit List'!$B84)+SUMIFS(Investors!$M:$M,Investors!$I:$I,"&lt;="&amp;'NSST Print'!$B$3,Investors!$J:$J,"",Investors!$A:$A,'Investor Exit List'!$A84,Investors!$E:$E,'Investor Exit List'!$C84,Investors!$L:$L,'Investor Exit List'!$B84))</f>
        <v>0</v>
      </c>
      <c r="G84" s="118">
        <v>44352</v>
      </c>
      <c r="H84" s="116" t="b">
        <f>VLOOKUP($C84,Sales!$C:$E,2,FALSE)</f>
        <v>1</v>
      </c>
      <c r="I84" s="116" t="b">
        <f>VLOOKUP($C84,Sales!$C:$E,3,FALSE)</f>
        <v>1</v>
      </c>
      <c r="J84" s="118">
        <f>SUMIFS(Sales!$H:$H,Sales!$C:$C,'Investor Exit List'!$C84)</f>
        <v>45688</v>
      </c>
      <c r="K84" s="118">
        <f t="shared" si="12"/>
        <v>45688</v>
      </c>
      <c r="L84" s="118">
        <f t="shared" si="13"/>
        <v>45082</v>
      </c>
      <c r="M84" s="118">
        <v>45443</v>
      </c>
      <c r="N84" s="119">
        <f t="shared" si="14"/>
        <v>0</v>
      </c>
      <c r="O84" s="119">
        <f t="shared" si="15"/>
        <v>0</v>
      </c>
      <c r="P84" s="117">
        <f t="shared" si="16"/>
        <v>0</v>
      </c>
      <c r="Q84" s="117">
        <f>SUMIFS(Investors!$M:$M,Investors!$O:$O,FALSE,Investors!$P:$P,FALSE,Investors!$K:$K,"&gt;"&amp;'NSST Print'!$B$3,Investors!$I:$I,"&lt;="&amp;'NSST Print'!$B$3,Investors!$A:$A,'Investor Exit List'!$A84,Investors!$E:$E,'Investor Exit List'!$C84,Investors!$L:$L,'Investor Exit List'!$B84)-(SUMIFS(Investors!$M:$M,Investors!$I:$I,"&lt;="&amp;'NSST Print'!$B$3,Investors!$J:$J,"&gt;"&amp;'NSST Print'!$B$3,Investors!$A:$A,'Investor Exit List'!$A84,Investors!$E:$E,'Investor Exit List'!$C84,Investors!$L:$L,'Investor Exit List'!$B84)+SUMIFS(Investors!$M:$M,Investors!$I:$I,"&lt;="&amp;'NSST Print'!$B$3,Investors!$J:$J,"",Investors!$A:$A,'Investor Exit List'!$A84,Investors!$E:$E,'Investor Exit List'!$C84,Investors!$L:$L,'Investor Exit List'!$B84))+SUMIFS(Investors!$S:$S,Investors!$O:$O,FALSE,Investors!$P:$P,FALSE,Investors!$K:$K,"&gt;"&amp;'NSST Print'!$B$3,Investors!$I:$I,"&lt;="&amp;'NSST Print'!$B$3,Investors!$A:$A,'Investor Exit List'!$A84,Investors!$E:$E,'Investor Exit List'!$C84,Investors!$L:$L,'Investor Exit List'!$B84)-(SUMIFS(Investors!$S:$S,Investors!$I:$I,"&lt;="&amp;'NSST Print'!$B$3,Investors!$J:$J,"&gt;"&amp;'NSST Print'!$B$3,Investors!$A:$A,'Investor Exit List'!$A84,Investors!$E:$E,'Investor Exit List'!$C84,Investors!$L:$L,'Investor Exit List'!$B84)+SUMIFS(Investors!$S:$S,Investors!$I:$I,"&lt;="&amp;'NSST Print'!$B$3,Investors!$J:$J,"",Investors!$A:$A,'Investor Exit List'!$A84,Investors!$E:$E,'Investor Exit List'!$C84,Investors!$L:$L,'Investor Exit List'!$B84))</f>
        <v>0</v>
      </c>
      <c r="R84" s="117">
        <f t="shared" si="17"/>
        <v>0</v>
      </c>
      <c r="S84" s="117">
        <f>SUMIFS(Investors!$M:$M,Investors!$O:$O,TRUE,Investors!$A:$A,'Investor Exit List'!$A84,Investors!$E:$E,'Investor Exit List'!$C84,Investors!$L:$L,'Investor Exit List'!$B84)+SUMIFS(Investors!$S:$S,Investors!$O:$O,TRUE,Investors!$A:$A,'Investor Exit List'!$A84,Investors!$E:$E,'Investor Exit List'!$C84,Investors!$L:$L,'Investor Exit List'!$B84)</f>
        <v>683333.57636691781</v>
      </c>
      <c r="T84" s="118">
        <f t="shared" si="18"/>
        <v>45688</v>
      </c>
      <c r="U84" s="116" t="b">
        <v>1</v>
      </c>
      <c r="V84" s="117">
        <f t="shared" si="19"/>
        <v>683333.57636691781</v>
      </c>
      <c r="W84" s="116">
        <v>0</v>
      </c>
      <c r="X84" s="116" t="b">
        <v>0</v>
      </c>
      <c r="Y84" s="119">
        <f>IF(H84=FALSE,VLOOKUP($C84,Sales!$C:$F,4,FALSE),1)</f>
        <v>1</v>
      </c>
      <c r="Z84" s="116" t="str">
        <f t="shared" si="20"/>
        <v/>
      </c>
      <c r="AA84" s="118">
        <f t="shared" si="21"/>
        <v>0</v>
      </c>
      <c r="AB84" s="118" t="str">
        <f t="shared" si="22"/>
        <v>HFB104-ZMCD01</v>
      </c>
      <c r="AC84" s="118">
        <f t="shared" si="23"/>
        <v>45082</v>
      </c>
    </row>
    <row r="85" spans="1:29" ht="16" x14ac:dyDescent="0.2">
      <c r="A85" s="116" t="s">
        <v>59</v>
      </c>
      <c r="B85" s="116">
        <v>21</v>
      </c>
      <c r="C85" s="116" t="s">
        <v>229</v>
      </c>
      <c r="D85" s="116" t="s">
        <v>209</v>
      </c>
      <c r="E85" s="116" t="s">
        <v>2019</v>
      </c>
      <c r="F85" s="117">
        <f>SUMIFS(Investors!$M:$M,Investors!$O:$O,FALSE,Investors!$P:$P,FALSE,Investors!$K:$K,"&gt;"&amp;'NSST Print'!$B$3,Investors!$I:$I,"&lt;="&amp;'NSST Print'!$B$3,Investors!$A:$A,'Investor Exit List'!$A85,Investors!$E:$E,'Investor Exit List'!$C85,Investors!$L:$L,'Investor Exit List'!$B85)-(SUMIFS(Investors!$M:$M,Investors!$I:$I,"&lt;="&amp;'NSST Print'!$B$3,Investors!$J:$J,"&gt;"&amp;'NSST Print'!$B$3,Investors!$A:$A,'Investor Exit List'!$A85,Investors!$E:$E,'Investor Exit List'!$C85,Investors!$L:$L,'Investor Exit List'!$B85)+SUMIFS(Investors!$M:$M,Investors!$I:$I,"&lt;="&amp;'NSST Print'!$B$3,Investors!$J:$J,"",Investors!$A:$A,'Investor Exit List'!$A85,Investors!$E:$E,'Investor Exit List'!$C85,Investors!$L:$L,'Investor Exit List'!$B85))</f>
        <v>0</v>
      </c>
      <c r="G85" s="118">
        <v>44664</v>
      </c>
      <c r="H85" s="116" t="b">
        <f>VLOOKUP($C85,Sales!$C:$E,2,FALSE)</f>
        <v>1</v>
      </c>
      <c r="I85" s="116" t="b">
        <f>VLOOKUP($C85,Sales!$C:$E,3,FALSE)</f>
        <v>1</v>
      </c>
      <c r="J85" s="118">
        <f>SUMIFS(Sales!$H:$H,Sales!$C:$C,'Investor Exit List'!$C85)</f>
        <v>45688</v>
      </c>
      <c r="K85" s="118">
        <f t="shared" si="12"/>
        <v>45688</v>
      </c>
      <c r="L85" s="118">
        <f t="shared" si="13"/>
        <v>45394</v>
      </c>
      <c r="M85" s="118">
        <v>45443</v>
      </c>
      <c r="N85" s="119">
        <f t="shared" si="14"/>
        <v>0</v>
      </c>
      <c r="O85" s="119">
        <f t="shared" si="15"/>
        <v>0</v>
      </c>
      <c r="P85" s="117">
        <f t="shared" si="16"/>
        <v>0</v>
      </c>
      <c r="Q85" s="117">
        <f>SUMIFS(Investors!$M:$M,Investors!$O:$O,FALSE,Investors!$P:$P,FALSE,Investors!$K:$K,"&gt;"&amp;'NSST Print'!$B$3,Investors!$I:$I,"&lt;="&amp;'NSST Print'!$B$3,Investors!$A:$A,'Investor Exit List'!$A85,Investors!$E:$E,'Investor Exit List'!$C85,Investors!$L:$L,'Investor Exit List'!$B85)-(SUMIFS(Investors!$M:$M,Investors!$I:$I,"&lt;="&amp;'NSST Print'!$B$3,Investors!$J:$J,"&gt;"&amp;'NSST Print'!$B$3,Investors!$A:$A,'Investor Exit List'!$A85,Investors!$E:$E,'Investor Exit List'!$C85,Investors!$L:$L,'Investor Exit List'!$B85)+SUMIFS(Investors!$M:$M,Investors!$I:$I,"&lt;="&amp;'NSST Print'!$B$3,Investors!$J:$J,"",Investors!$A:$A,'Investor Exit List'!$A85,Investors!$E:$E,'Investor Exit List'!$C85,Investors!$L:$L,'Investor Exit List'!$B85))+SUMIFS(Investors!$S:$S,Investors!$O:$O,FALSE,Investors!$P:$P,FALSE,Investors!$K:$K,"&gt;"&amp;'NSST Print'!$B$3,Investors!$I:$I,"&lt;="&amp;'NSST Print'!$B$3,Investors!$A:$A,'Investor Exit List'!$A85,Investors!$E:$E,'Investor Exit List'!$C85,Investors!$L:$L,'Investor Exit List'!$B85)-(SUMIFS(Investors!$S:$S,Investors!$I:$I,"&lt;="&amp;'NSST Print'!$B$3,Investors!$J:$J,"&gt;"&amp;'NSST Print'!$B$3,Investors!$A:$A,'Investor Exit List'!$A85,Investors!$E:$E,'Investor Exit List'!$C85,Investors!$L:$L,'Investor Exit List'!$B85)+SUMIFS(Investors!$S:$S,Investors!$I:$I,"&lt;="&amp;'NSST Print'!$B$3,Investors!$J:$J,"",Investors!$A:$A,'Investor Exit List'!$A85,Investors!$E:$E,'Investor Exit List'!$C85,Investors!$L:$L,'Investor Exit List'!$B85))</f>
        <v>0</v>
      </c>
      <c r="R85" s="117">
        <f t="shared" si="17"/>
        <v>0</v>
      </c>
      <c r="S85" s="117">
        <f>SUMIFS(Investors!$M:$M,Investors!$O:$O,TRUE,Investors!$A:$A,'Investor Exit List'!$A85,Investors!$E:$E,'Investor Exit List'!$C85,Investors!$L:$L,'Investor Exit List'!$B85)+SUMIFS(Investors!$S:$S,Investors!$O:$O,TRUE,Investors!$A:$A,'Investor Exit List'!$A85,Investors!$E:$E,'Investor Exit List'!$C85,Investors!$L:$L,'Investor Exit List'!$B85)</f>
        <v>114452.73972602742</v>
      </c>
      <c r="T85" s="118">
        <f t="shared" si="18"/>
        <v>45688</v>
      </c>
      <c r="U85" s="116" t="b">
        <v>1</v>
      </c>
      <c r="V85" s="117">
        <f t="shared" si="19"/>
        <v>114452.73972602742</v>
      </c>
      <c r="W85" s="116">
        <v>0</v>
      </c>
      <c r="X85" s="116" t="b">
        <v>0</v>
      </c>
      <c r="Y85" s="119">
        <f>IF(H85=FALSE,VLOOKUP($C85,Sales!$C:$F,4,FALSE),1)</f>
        <v>1</v>
      </c>
      <c r="Z85" s="116" t="str">
        <f t="shared" si="20"/>
        <v/>
      </c>
      <c r="AA85" s="118">
        <f t="shared" si="21"/>
        <v>0</v>
      </c>
      <c r="AB85" s="118" t="str">
        <f t="shared" si="22"/>
        <v>HFB104-ZRAN01</v>
      </c>
      <c r="AC85" s="118">
        <f t="shared" si="23"/>
        <v>45394</v>
      </c>
    </row>
    <row r="86" spans="1:29" ht="16" x14ac:dyDescent="0.2">
      <c r="A86" s="116" t="s">
        <v>233</v>
      </c>
      <c r="B86" s="116">
        <v>1</v>
      </c>
      <c r="C86" s="116" t="s">
        <v>229</v>
      </c>
      <c r="D86" s="116" t="s">
        <v>209</v>
      </c>
      <c r="E86" s="116" t="s">
        <v>2073</v>
      </c>
      <c r="F86" s="117">
        <f>SUMIFS(Investors!$M:$M,Investors!$O:$O,FALSE,Investors!$P:$P,FALSE,Investors!$K:$K,"&gt;"&amp;'NSST Print'!$B$3,Investors!$I:$I,"&lt;="&amp;'NSST Print'!$B$3,Investors!$A:$A,'Investor Exit List'!$A86,Investors!$E:$E,'Investor Exit List'!$C86,Investors!$L:$L,'Investor Exit List'!$B86)-(SUMIFS(Investors!$M:$M,Investors!$I:$I,"&lt;="&amp;'NSST Print'!$B$3,Investors!$J:$J,"&gt;"&amp;'NSST Print'!$B$3,Investors!$A:$A,'Investor Exit List'!$A86,Investors!$E:$E,'Investor Exit List'!$C86,Investors!$L:$L,'Investor Exit List'!$B86)+SUMIFS(Investors!$M:$M,Investors!$I:$I,"&lt;="&amp;'NSST Print'!$B$3,Investors!$J:$J,"",Investors!$A:$A,'Investor Exit List'!$A86,Investors!$E:$E,'Investor Exit List'!$C86,Investors!$L:$L,'Investor Exit List'!$B86))</f>
        <v>0</v>
      </c>
      <c r="G86" s="118">
        <v>44352</v>
      </c>
      <c r="H86" s="116" t="b">
        <f>VLOOKUP($C86,Sales!$C:$E,2,FALSE)</f>
        <v>1</v>
      </c>
      <c r="I86" s="116" t="b">
        <f>VLOOKUP($C86,Sales!$C:$E,3,FALSE)</f>
        <v>1</v>
      </c>
      <c r="J86" s="118">
        <f>SUMIFS(Sales!$H:$H,Sales!$C:$C,'Investor Exit List'!$C86)</f>
        <v>45688</v>
      </c>
      <c r="K86" s="118">
        <f t="shared" si="12"/>
        <v>45688</v>
      </c>
      <c r="L86" s="118">
        <f t="shared" si="13"/>
        <v>45082</v>
      </c>
      <c r="M86" s="118">
        <v>45443</v>
      </c>
      <c r="N86" s="119">
        <f t="shared" si="14"/>
        <v>0</v>
      </c>
      <c r="O86" s="119">
        <f t="shared" si="15"/>
        <v>0</v>
      </c>
      <c r="P86" s="117">
        <f t="shared" si="16"/>
        <v>0</v>
      </c>
      <c r="Q86" s="117">
        <f>SUMIFS(Investors!$M:$M,Investors!$O:$O,FALSE,Investors!$P:$P,FALSE,Investors!$K:$K,"&gt;"&amp;'NSST Print'!$B$3,Investors!$I:$I,"&lt;="&amp;'NSST Print'!$B$3,Investors!$A:$A,'Investor Exit List'!$A86,Investors!$E:$E,'Investor Exit List'!$C86,Investors!$L:$L,'Investor Exit List'!$B86)-(SUMIFS(Investors!$M:$M,Investors!$I:$I,"&lt;="&amp;'NSST Print'!$B$3,Investors!$J:$J,"&gt;"&amp;'NSST Print'!$B$3,Investors!$A:$A,'Investor Exit List'!$A86,Investors!$E:$E,'Investor Exit List'!$C86,Investors!$L:$L,'Investor Exit List'!$B86)+SUMIFS(Investors!$M:$M,Investors!$I:$I,"&lt;="&amp;'NSST Print'!$B$3,Investors!$J:$J,"",Investors!$A:$A,'Investor Exit List'!$A86,Investors!$E:$E,'Investor Exit List'!$C86,Investors!$L:$L,'Investor Exit List'!$B86))+SUMIFS(Investors!$S:$S,Investors!$O:$O,FALSE,Investors!$P:$P,FALSE,Investors!$K:$K,"&gt;"&amp;'NSST Print'!$B$3,Investors!$I:$I,"&lt;="&amp;'NSST Print'!$B$3,Investors!$A:$A,'Investor Exit List'!$A86,Investors!$E:$E,'Investor Exit List'!$C86,Investors!$L:$L,'Investor Exit List'!$B86)-(SUMIFS(Investors!$S:$S,Investors!$I:$I,"&lt;="&amp;'NSST Print'!$B$3,Investors!$J:$J,"&gt;"&amp;'NSST Print'!$B$3,Investors!$A:$A,'Investor Exit List'!$A86,Investors!$E:$E,'Investor Exit List'!$C86,Investors!$L:$L,'Investor Exit List'!$B86)+SUMIFS(Investors!$S:$S,Investors!$I:$I,"&lt;="&amp;'NSST Print'!$B$3,Investors!$J:$J,"",Investors!$A:$A,'Investor Exit List'!$A86,Investors!$E:$E,'Investor Exit List'!$C86,Investors!$L:$L,'Investor Exit List'!$B86))</f>
        <v>0</v>
      </c>
      <c r="R86" s="117">
        <f t="shared" si="17"/>
        <v>0</v>
      </c>
      <c r="S86" s="117">
        <f>SUMIFS(Investors!$M:$M,Investors!$O:$O,TRUE,Investors!$A:$A,'Investor Exit List'!$A86,Investors!$E:$E,'Investor Exit List'!$C86,Investors!$L:$L,'Investor Exit List'!$B86)+SUMIFS(Investors!$S:$S,Investors!$O:$O,TRUE,Investors!$A:$A,'Investor Exit List'!$A86,Investors!$E:$E,'Investor Exit List'!$C86,Investors!$L:$L,'Investor Exit List'!$B86)</f>
        <v>0</v>
      </c>
      <c r="T86" s="118" t="str">
        <f t="shared" si="18"/>
        <v/>
      </c>
      <c r="U86" s="116" t="b">
        <v>0</v>
      </c>
      <c r="V86" s="117">
        <f t="shared" si="19"/>
        <v>0</v>
      </c>
      <c r="W86" s="116">
        <v>0</v>
      </c>
      <c r="X86" s="116" t="b">
        <v>0</v>
      </c>
      <c r="Y86" s="119">
        <f>IF(H86=FALSE,VLOOKUP($C86,Sales!$C:$F,4,FALSE),1)</f>
        <v>1</v>
      </c>
      <c r="Z86" s="116" t="str">
        <f t="shared" si="20"/>
        <v/>
      </c>
      <c r="AA86" s="118">
        <f t="shared" si="21"/>
        <v>0</v>
      </c>
      <c r="AB86" s="118" t="str">
        <f t="shared" si="22"/>
        <v>HFB104-ZRIB01</v>
      </c>
      <c r="AC86" s="118">
        <f t="shared" si="23"/>
        <v>45082</v>
      </c>
    </row>
    <row r="87" spans="1:29" ht="16" x14ac:dyDescent="0.2">
      <c r="A87" s="116" t="s">
        <v>236</v>
      </c>
      <c r="B87" s="116">
        <v>1</v>
      </c>
      <c r="C87" s="116" t="s">
        <v>239</v>
      </c>
      <c r="D87" s="116" t="s">
        <v>209</v>
      </c>
      <c r="E87" s="116" t="s">
        <v>2074</v>
      </c>
      <c r="F87" s="117">
        <f>SUMIFS(Investors!$M:$M,Investors!$O:$O,FALSE,Investors!$P:$P,FALSE,Investors!$K:$K,"&gt;"&amp;'NSST Print'!$B$3,Investors!$I:$I,"&lt;="&amp;'NSST Print'!$B$3,Investors!$A:$A,'Investor Exit List'!$A87,Investors!$E:$E,'Investor Exit List'!$C87,Investors!$L:$L,'Investor Exit List'!$B87)-(SUMIFS(Investors!$M:$M,Investors!$I:$I,"&lt;="&amp;'NSST Print'!$B$3,Investors!$J:$J,"&gt;"&amp;'NSST Print'!$B$3,Investors!$A:$A,'Investor Exit List'!$A87,Investors!$E:$E,'Investor Exit List'!$C87,Investors!$L:$L,'Investor Exit List'!$B87)+SUMIFS(Investors!$M:$M,Investors!$I:$I,"&lt;="&amp;'NSST Print'!$B$3,Investors!$J:$J,"",Investors!$A:$A,'Investor Exit List'!$A87,Investors!$E:$E,'Investor Exit List'!$C87,Investors!$L:$L,'Investor Exit List'!$B87))</f>
        <v>0</v>
      </c>
      <c r="G87" s="118">
        <v>44352</v>
      </c>
      <c r="H87" s="116" t="b">
        <f>VLOOKUP($C87,Sales!$C:$E,2,FALSE)</f>
        <v>1</v>
      </c>
      <c r="I87" s="116" t="b">
        <f>VLOOKUP($C87,Sales!$C:$E,3,FALSE)</f>
        <v>1</v>
      </c>
      <c r="J87" s="118">
        <f>SUMIFS(Sales!$H:$H,Sales!$C:$C,'Investor Exit List'!$C87)</f>
        <v>45688</v>
      </c>
      <c r="K87" s="118">
        <f t="shared" si="12"/>
        <v>45688</v>
      </c>
      <c r="L87" s="118">
        <f t="shared" si="13"/>
        <v>45082</v>
      </c>
      <c r="M87" s="118">
        <v>45443</v>
      </c>
      <c r="N87" s="119">
        <f t="shared" si="14"/>
        <v>0</v>
      </c>
      <c r="O87" s="119">
        <f t="shared" si="15"/>
        <v>0</v>
      </c>
      <c r="P87" s="117">
        <f t="shared" si="16"/>
        <v>0</v>
      </c>
      <c r="Q87" s="117">
        <f>SUMIFS(Investors!$M:$M,Investors!$O:$O,FALSE,Investors!$P:$P,FALSE,Investors!$K:$K,"&gt;"&amp;'NSST Print'!$B$3,Investors!$I:$I,"&lt;="&amp;'NSST Print'!$B$3,Investors!$A:$A,'Investor Exit List'!$A87,Investors!$E:$E,'Investor Exit List'!$C87,Investors!$L:$L,'Investor Exit List'!$B87)-(SUMIFS(Investors!$M:$M,Investors!$I:$I,"&lt;="&amp;'NSST Print'!$B$3,Investors!$J:$J,"&gt;"&amp;'NSST Print'!$B$3,Investors!$A:$A,'Investor Exit List'!$A87,Investors!$E:$E,'Investor Exit List'!$C87,Investors!$L:$L,'Investor Exit List'!$B87)+SUMIFS(Investors!$M:$M,Investors!$I:$I,"&lt;="&amp;'NSST Print'!$B$3,Investors!$J:$J,"",Investors!$A:$A,'Investor Exit List'!$A87,Investors!$E:$E,'Investor Exit List'!$C87,Investors!$L:$L,'Investor Exit List'!$B87))+SUMIFS(Investors!$S:$S,Investors!$O:$O,FALSE,Investors!$P:$P,FALSE,Investors!$K:$K,"&gt;"&amp;'NSST Print'!$B$3,Investors!$I:$I,"&lt;="&amp;'NSST Print'!$B$3,Investors!$A:$A,'Investor Exit List'!$A87,Investors!$E:$E,'Investor Exit List'!$C87,Investors!$L:$L,'Investor Exit List'!$B87)-(SUMIFS(Investors!$S:$S,Investors!$I:$I,"&lt;="&amp;'NSST Print'!$B$3,Investors!$J:$J,"&gt;"&amp;'NSST Print'!$B$3,Investors!$A:$A,'Investor Exit List'!$A87,Investors!$E:$E,'Investor Exit List'!$C87,Investors!$L:$L,'Investor Exit List'!$B87)+SUMIFS(Investors!$S:$S,Investors!$I:$I,"&lt;="&amp;'NSST Print'!$B$3,Investors!$J:$J,"",Investors!$A:$A,'Investor Exit List'!$A87,Investors!$E:$E,'Investor Exit List'!$C87,Investors!$L:$L,'Investor Exit List'!$B87))</f>
        <v>0</v>
      </c>
      <c r="R87" s="117">
        <f t="shared" si="17"/>
        <v>0</v>
      </c>
      <c r="S87" s="117">
        <f>SUMIFS(Investors!$M:$M,Investors!$O:$O,TRUE,Investors!$A:$A,'Investor Exit List'!$A87,Investors!$E:$E,'Investor Exit List'!$C87,Investors!$L:$L,'Investor Exit List'!$B87)+SUMIFS(Investors!$S:$S,Investors!$O:$O,TRUE,Investors!$A:$A,'Investor Exit List'!$A87,Investors!$E:$E,'Investor Exit List'!$C87,Investors!$L:$L,'Investor Exit List'!$B87)</f>
        <v>0</v>
      </c>
      <c r="T87" s="118" t="str">
        <f t="shared" si="18"/>
        <v/>
      </c>
      <c r="U87" s="116" t="b">
        <v>0</v>
      </c>
      <c r="V87" s="117">
        <f t="shared" si="19"/>
        <v>0</v>
      </c>
      <c r="W87" s="116">
        <v>0</v>
      </c>
      <c r="X87" s="116" t="b">
        <v>0</v>
      </c>
      <c r="Y87" s="119">
        <f>IF(H87=FALSE,VLOOKUP($C87,Sales!$C:$F,4,FALSE),1)</f>
        <v>1</v>
      </c>
      <c r="Z87" s="116" t="str">
        <f t="shared" si="20"/>
        <v/>
      </c>
      <c r="AA87" s="118">
        <f t="shared" si="21"/>
        <v>0</v>
      </c>
      <c r="AB87" s="118" t="str">
        <f t="shared" si="22"/>
        <v>HFB105-ZBUR01</v>
      </c>
      <c r="AC87" s="118">
        <f t="shared" si="23"/>
        <v>45082</v>
      </c>
    </row>
    <row r="88" spans="1:29" ht="16" x14ac:dyDescent="0.2">
      <c r="A88" s="116" t="s">
        <v>69</v>
      </c>
      <c r="B88" s="116">
        <v>3</v>
      </c>
      <c r="C88" s="116" t="s">
        <v>239</v>
      </c>
      <c r="D88" s="116" t="s">
        <v>209</v>
      </c>
      <c r="E88" s="116" t="s">
        <v>2022</v>
      </c>
      <c r="F88" s="117">
        <f>SUMIFS(Investors!$M:$M,Investors!$O:$O,FALSE,Investors!$P:$P,FALSE,Investors!$K:$K,"&gt;"&amp;'NSST Print'!$B$3,Investors!$I:$I,"&lt;="&amp;'NSST Print'!$B$3,Investors!$A:$A,'Investor Exit List'!$A88,Investors!$E:$E,'Investor Exit List'!$C88,Investors!$L:$L,'Investor Exit List'!$B88)-(SUMIFS(Investors!$M:$M,Investors!$I:$I,"&lt;="&amp;'NSST Print'!$B$3,Investors!$J:$J,"&gt;"&amp;'NSST Print'!$B$3,Investors!$A:$A,'Investor Exit List'!$A88,Investors!$E:$E,'Investor Exit List'!$C88,Investors!$L:$L,'Investor Exit List'!$B88)+SUMIFS(Investors!$M:$M,Investors!$I:$I,"&lt;="&amp;'NSST Print'!$B$3,Investors!$J:$J,"",Investors!$A:$A,'Investor Exit List'!$A88,Investors!$E:$E,'Investor Exit List'!$C88,Investors!$L:$L,'Investor Exit List'!$B88))</f>
        <v>0</v>
      </c>
      <c r="G88" s="118">
        <v>44316</v>
      </c>
      <c r="H88" s="116" t="b">
        <f>VLOOKUP($C88,Sales!$C:$E,2,FALSE)</f>
        <v>1</v>
      </c>
      <c r="I88" s="116" t="b">
        <f>VLOOKUP($C88,Sales!$C:$E,3,FALSE)</f>
        <v>1</v>
      </c>
      <c r="J88" s="118">
        <f>SUMIFS(Sales!$H:$H,Sales!$C:$C,'Investor Exit List'!$C88)</f>
        <v>45688</v>
      </c>
      <c r="K88" s="118">
        <f t="shared" si="12"/>
        <v>45688</v>
      </c>
      <c r="L88" s="118">
        <f t="shared" si="13"/>
        <v>45046</v>
      </c>
      <c r="M88" s="118">
        <v>45443</v>
      </c>
      <c r="N88" s="119">
        <f t="shared" si="14"/>
        <v>0</v>
      </c>
      <c r="O88" s="119">
        <f t="shared" si="15"/>
        <v>0</v>
      </c>
      <c r="P88" s="117">
        <f t="shared" si="16"/>
        <v>0</v>
      </c>
      <c r="Q88" s="117">
        <f>SUMIFS(Investors!$M:$M,Investors!$O:$O,FALSE,Investors!$P:$P,FALSE,Investors!$K:$K,"&gt;"&amp;'NSST Print'!$B$3,Investors!$I:$I,"&lt;="&amp;'NSST Print'!$B$3,Investors!$A:$A,'Investor Exit List'!$A88,Investors!$E:$E,'Investor Exit List'!$C88,Investors!$L:$L,'Investor Exit List'!$B88)-(SUMIFS(Investors!$M:$M,Investors!$I:$I,"&lt;="&amp;'NSST Print'!$B$3,Investors!$J:$J,"&gt;"&amp;'NSST Print'!$B$3,Investors!$A:$A,'Investor Exit List'!$A88,Investors!$E:$E,'Investor Exit List'!$C88,Investors!$L:$L,'Investor Exit List'!$B88)+SUMIFS(Investors!$M:$M,Investors!$I:$I,"&lt;="&amp;'NSST Print'!$B$3,Investors!$J:$J,"",Investors!$A:$A,'Investor Exit List'!$A88,Investors!$E:$E,'Investor Exit List'!$C88,Investors!$L:$L,'Investor Exit List'!$B88))+SUMIFS(Investors!$S:$S,Investors!$O:$O,FALSE,Investors!$P:$P,FALSE,Investors!$K:$K,"&gt;"&amp;'NSST Print'!$B$3,Investors!$I:$I,"&lt;="&amp;'NSST Print'!$B$3,Investors!$A:$A,'Investor Exit List'!$A88,Investors!$E:$E,'Investor Exit List'!$C88,Investors!$L:$L,'Investor Exit List'!$B88)-(SUMIFS(Investors!$S:$S,Investors!$I:$I,"&lt;="&amp;'NSST Print'!$B$3,Investors!$J:$J,"&gt;"&amp;'NSST Print'!$B$3,Investors!$A:$A,'Investor Exit List'!$A88,Investors!$E:$E,'Investor Exit List'!$C88,Investors!$L:$L,'Investor Exit List'!$B88)+SUMIFS(Investors!$S:$S,Investors!$I:$I,"&lt;="&amp;'NSST Print'!$B$3,Investors!$J:$J,"",Investors!$A:$A,'Investor Exit List'!$A88,Investors!$E:$E,'Investor Exit List'!$C88,Investors!$L:$L,'Investor Exit List'!$B88))</f>
        <v>0</v>
      </c>
      <c r="R88" s="117">
        <f t="shared" si="17"/>
        <v>0</v>
      </c>
      <c r="S88" s="117">
        <f>SUMIFS(Investors!$M:$M,Investors!$O:$O,TRUE,Investors!$A:$A,'Investor Exit List'!$A88,Investors!$E:$E,'Investor Exit List'!$C88,Investors!$L:$L,'Investor Exit List'!$B88)+SUMIFS(Investors!$S:$S,Investors!$O:$O,TRUE,Investors!$A:$A,'Investor Exit List'!$A88,Investors!$E:$E,'Investor Exit List'!$C88,Investors!$L:$L,'Investor Exit List'!$B88)</f>
        <v>148378.69863013699</v>
      </c>
      <c r="T88" s="118">
        <f t="shared" si="18"/>
        <v>45688</v>
      </c>
      <c r="U88" s="116" t="b">
        <v>1</v>
      </c>
      <c r="V88" s="117">
        <f t="shared" si="19"/>
        <v>148378.69863013699</v>
      </c>
      <c r="W88" s="116">
        <v>0</v>
      </c>
      <c r="X88" s="116" t="b">
        <v>0</v>
      </c>
      <c r="Y88" s="119">
        <f>IF(H88=FALSE,VLOOKUP($C88,Sales!$C:$F,4,FALSE),1)</f>
        <v>1</v>
      </c>
      <c r="Z88" s="116" t="str">
        <f t="shared" si="20"/>
        <v/>
      </c>
      <c r="AA88" s="118">
        <f t="shared" si="21"/>
        <v>0</v>
      </c>
      <c r="AB88" s="118" t="str">
        <f t="shared" si="22"/>
        <v>HFB105-ZJOH01</v>
      </c>
      <c r="AC88" s="118">
        <f t="shared" si="23"/>
        <v>45046</v>
      </c>
    </row>
    <row r="89" spans="1:29" ht="16" x14ac:dyDescent="0.2">
      <c r="A89" s="116" t="s">
        <v>240</v>
      </c>
      <c r="B89" s="116">
        <v>4</v>
      </c>
      <c r="C89" s="116" t="s">
        <v>239</v>
      </c>
      <c r="D89" s="116" t="s">
        <v>209</v>
      </c>
      <c r="E89" s="116" t="s">
        <v>2075</v>
      </c>
      <c r="F89" s="117">
        <f>SUMIFS(Investors!$M:$M,Investors!$O:$O,FALSE,Investors!$P:$P,FALSE,Investors!$K:$K,"&gt;"&amp;'NSST Print'!$B$3,Investors!$I:$I,"&lt;="&amp;'NSST Print'!$B$3,Investors!$A:$A,'Investor Exit List'!$A89,Investors!$E:$E,'Investor Exit List'!$C89,Investors!$L:$L,'Investor Exit List'!$B89)-(SUMIFS(Investors!$M:$M,Investors!$I:$I,"&lt;="&amp;'NSST Print'!$B$3,Investors!$J:$J,"&gt;"&amp;'NSST Print'!$B$3,Investors!$A:$A,'Investor Exit List'!$A89,Investors!$E:$E,'Investor Exit List'!$C89,Investors!$L:$L,'Investor Exit List'!$B89)+SUMIFS(Investors!$M:$M,Investors!$I:$I,"&lt;="&amp;'NSST Print'!$B$3,Investors!$J:$J,"",Investors!$A:$A,'Investor Exit List'!$A89,Investors!$E:$E,'Investor Exit List'!$C89,Investors!$L:$L,'Investor Exit List'!$B89))</f>
        <v>0</v>
      </c>
      <c r="G89" s="118">
        <v>44378</v>
      </c>
      <c r="H89" s="116" t="b">
        <f>VLOOKUP($C89,Sales!$C:$E,2,FALSE)</f>
        <v>1</v>
      </c>
      <c r="I89" s="116" t="b">
        <f>VLOOKUP($C89,Sales!$C:$E,3,FALSE)</f>
        <v>1</v>
      </c>
      <c r="J89" s="118">
        <f>SUMIFS(Sales!$H:$H,Sales!$C:$C,'Investor Exit List'!$C89)</f>
        <v>45688</v>
      </c>
      <c r="K89" s="118">
        <f t="shared" si="12"/>
        <v>45688</v>
      </c>
      <c r="L89" s="118">
        <f t="shared" si="13"/>
        <v>45108</v>
      </c>
      <c r="M89" s="118">
        <v>45443</v>
      </c>
      <c r="N89" s="119">
        <f t="shared" si="14"/>
        <v>0</v>
      </c>
      <c r="O89" s="119">
        <f t="shared" si="15"/>
        <v>0</v>
      </c>
      <c r="P89" s="117">
        <f t="shared" si="16"/>
        <v>0</v>
      </c>
      <c r="Q89" s="117">
        <f>SUMIFS(Investors!$M:$M,Investors!$O:$O,FALSE,Investors!$P:$P,FALSE,Investors!$K:$K,"&gt;"&amp;'NSST Print'!$B$3,Investors!$I:$I,"&lt;="&amp;'NSST Print'!$B$3,Investors!$A:$A,'Investor Exit List'!$A89,Investors!$E:$E,'Investor Exit List'!$C89,Investors!$L:$L,'Investor Exit List'!$B89)-(SUMIFS(Investors!$M:$M,Investors!$I:$I,"&lt;="&amp;'NSST Print'!$B$3,Investors!$J:$J,"&gt;"&amp;'NSST Print'!$B$3,Investors!$A:$A,'Investor Exit List'!$A89,Investors!$E:$E,'Investor Exit List'!$C89,Investors!$L:$L,'Investor Exit List'!$B89)+SUMIFS(Investors!$M:$M,Investors!$I:$I,"&lt;="&amp;'NSST Print'!$B$3,Investors!$J:$J,"",Investors!$A:$A,'Investor Exit List'!$A89,Investors!$E:$E,'Investor Exit List'!$C89,Investors!$L:$L,'Investor Exit List'!$B89))+SUMIFS(Investors!$S:$S,Investors!$O:$O,FALSE,Investors!$P:$P,FALSE,Investors!$K:$K,"&gt;"&amp;'NSST Print'!$B$3,Investors!$I:$I,"&lt;="&amp;'NSST Print'!$B$3,Investors!$A:$A,'Investor Exit List'!$A89,Investors!$E:$E,'Investor Exit List'!$C89,Investors!$L:$L,'Investor Exit List'!$B89)-(SUMIFS(Investors!$S:$S,Investors!$I:$I,"&lt;="&amp;'NSST Print'!$B$3,Investors!$J:$J,"&gt;"&amp;'NSST Print'!$B$3,Investors!$A:$A,'Investor Exit List'!$A89,Investors!$E:$E,'Investor Exit List'!$C89,Investors!$L:$L,'Investor Exit List'!$B89)+SUMIFS(Investors!$S:$S,Investors!$I:$I,"&lt;="&amp;'NSST Print'!$B$3,Investors!$J:$J,"",Investors!$A:$A,'Investor Exit List'!$A89,Investors!$E:$E,'Investor Exit List'!$C89,Investors!$L:$L,'Investor Exit List'!$B89))</f>
        <v>0</v>
      </c>
      <c r="R89" s="117">
        <f t="shared" si="17"/>
        <v>0</v>
      </c>
      <c r="S89" s="117">
        <f>SUMIFS(Investors!$M:$M,Investors!$O:$O,TRUE,Investors!$A:$A,'Investor Exit List'!$A89,Investors!$E:$E,'Investor Exit List'!$C89,Investors!$L:$L,'Investor Exit List'!$B89)+SUMIFS(Investors!$S:$S,Investors!$O:$O,TRUE,Investors!$A:$A,'Investor Exit List'!$A89,Investors!$E:$E,'Investor Exit List'!$C89,Investors!$L:$L,'Investor Exit List'!$B89)</f>
        <v>819398.69964205462</v>
      </c>
      <c r="T89" s="118">
        <f t="shared" si="18"/>
        <v>45688</v>
      </c>
      <c r="U89" s="116" t="b">
        <v>1</v>
      </c>
      <c r="V89" s="117">
        <f t="shared" si="19"/>
        <v>819398.69964205462</v>
      </c>
      <c r="W89" s="116">
        <v>0</v>
      </c>
      <c r="X89" s="116" t="b">
        <v>0</v>
      </c>
      <c r="Y89" s="119">
        <f>IF(H89=FALSE,VLOOKUP($C89,Sales!$C:$F,4,FALSE),1)</f>
        <v>1</v>
      </c>
      <c r="Z89" s="116" t="str">
        <f t="shared" si="20"/>
        <v/>
      </c>
      <c r="AA89" s="118">
        <f t="shared" si="21"/>
        <v>0</v>
      </c>
      <c r="AB89" s="118" t="str">
        <f t="shared" si="22"/>
        <v>HFB105-ZKRU01</v>
      </c>
      <c r="AC89" s="118">
        <f t="shared" si="23"/>
        <v>45108</v>
      </c>
    </row>
    <row r="90" spans="1:29" ht="16" x14ac:dyDescent="0.2">
      <c r="A90" s="116" t="s">
        <v>243</v>
      </c>
      <c r="B90" s="116">
        <v>1</v>
      </c>
      <c r="C90" s="116" t="s">
        <v>246</v>
      </c>
      <c r="D90" s="116" t="s">
        <v>209</v>
      </c>
      <c r="E90" s="116" t="s">
        <v>2076</v>
      </c>
      <c r="F90" s="117">
        <f>SUMIFS(Investors!$M:$M,Investors!$O:$O,FALSE,Investors!$P:$P,FALSE,Investors!$K:$K,"&gt;"&amp;'NSST Print'!$B$3,Investors!$I:$I,"&lt;="&amp;'NSST Print'!$B$3,Investors!$A:$A,'Investor Exit List'!$A90,Investors!$E:$E,'Investor Exit List'!$C90,Investors!$L:$L,'Investor Exit List'!$B90)-(SUMIFS(Investors!$M:$M,Investors!$I:$I,"&lt;="&amp;'NSST Print'!$B$3,Investors!$J:$J,"&gt;"&amp;'NSST Print'!$B$3,Investors!$A:$A,'Investor Exit List'!$A90,Investors!$E:$E,'Investor Exit List'!$C90,Investors!$L:$L,'Investor Exit List'!$B90)+SUMIFS(Investors!$M:$M,Investors!$I:$I,"&lt;="&amp;'NSST Print'!$B$3,Investors!$J:$J,"",Investors!$A:$A,'Investor Exit List'!$A90,Investors!$E:$E,'Investor Exit List'!$C90,Investors!$L:$L,'Investor Exit List'!$B90))</f>
        <v>0</v>
      </c>
      <c r="G90" s="118">
        <v>44352</v>
      </c>
      <c r="H90" s="116" t="b">
        <f>VLOOKUP($C90,Sales!$C:$E,2,FALSE)</f>
        <v>1</v>
      </c>
      <c r="I90" s="116" t="b">
        <f>VLOOKUP($C90,Sales!$C:$E,3,FALSE)</f>
        <v>1</v>
      </c>
      <c r="J90" s="118">
        <f>SUMIFS(Sales!$H:$H,Sales!$C:$C,'Investor Exit List'!$C90)</f>
        <v>45688</v>
      </c>
      <c r="K90" s="118">
        <f t="shared" si="12"/>
        <v>45688</v>
      </c>
      <c r="L90" s="118">
        <f t="shared" si="13"/>
        <v>45082</v>
      </c>
      <c r="M90" s="118">
        <v>45443</v>
      </c>
      <c r="N90" s="119">
        <f t="shared" si="14"/>
        <v>0</v>
      </c>
      <c r="O90" s="119">
        <f t="shared" si="15"/>
        <v>0</v>
      </c>
      <c r="P90" s="117">
        <f t="shared" si="16"/>
        <v>0</v>
      </c>
      <c r="Q90" s="117">
        <f>SUMIFS(Investors!$M:$M,Investors!$O:$O,FALSE,Investors!$P:$P,FALSE,Investors!$K:$K,"&gt;"&amp;'NSST Print'!$B$3,Investors!$I:$I,"&lt;="&amp;'NSST Print'!$B$3,Investors!$A:$A,'Investor Exit List'!$A90,Investors!$E:$E,'Investor Exit List'!$C90,Investors!$L:$L,'Investor Exit List'!$B90)-(SUMIFS(Investors!$M:$M,Investors!$I:$I,"&lt;="&amp;'NSST Print'!$B$3,Investors!$J:$J,"&gt;"&amp;'NSST Print'!$B$3,Investors!$A:$A,'Investor Exit List'!$A90,Investors!$E:$E,'Investor Exit List'!$C90,Investors!$L:$L,'Investor Exit List'!$B90)+SUMIFS(Investors!$M:$M,Investors!$I:$I,"&lt;="&amp;'NSST Print'!$B$3,Investors!$J:$J,"",Investors!$A:$A,'Investor Exit List'!$A90,Investors!$E:$E,'Investor Exit List'!$C90,Investors!$L:$L,'Investor Exit List'!$B90))+SUMIFS(Investors!$S:$S,Investors!$O:$O,FALSE,Investors!$P:$P,FALSE,Investors!$K:$K,"&gt;"&amp;'NSST Print'!$B$3,Investors!$I:$I,"&lt;="&amp;'NSST Print'!$B$3,Investors!$A:$A,'Investor Exit List'!$A90,Investors!$E:$E,'Investor Exit List'!$C90,Investors!$L:$L,'Investor Exit List'!$B90)-(SUMIFS(Investors!$S:$S,Investors!$I:$I,"&lt;="&amp;'NSST Print'!$B$3,Investors!$J:$J,"&gt;"&amp;'NSST Print'!$B$3,Investors!$A:$A,'Investor Exit List'!$A90,Investors!$E:$E,'Investor Exit List'!$C90,Investors!$L:$L,'Investor Exit List'!$B90)+SUMIFS(Investors!$S:$S,Investors!$I:$I,"&lt;="&amp;'NSST Print'!$B$3,Investors!$J:$J,"",Investors!$A:$A,'Investor Exit List'!$A90,Investors!$E:$E,'Investor Exit List'!$C90,Investors!$L:$L,'Investor Exit List'!$B90))</f>
        <v>0</v>
      </c>
      <c r="R90" s="117">
        <f t="shared" si="17"/>
        <v>0</v>
      </c>
      <c r="S90" s="117">
        <f>SUMIFS(Investors!$M:$M,Investors!$O:$O,TRUE,Investors!$A:$A,'Investor Exit List'!$A90,Investors!$E:$E,'Investor Exit List'!$C90,Investors!$L:$L,'Investor Exit List'!$B90)+SUMIFS(Investors!$S:$S,Investors!$O:$O,TRUE,Investors!$A:$A,'Investor Exit List'!$A90,Investors!$E:$E,'Investor Exit List'!$C90,Investors!$L:$L,'Investor Exit List'!$B90)</f>
        <v>0</v>
      </c>
      <c r="T90" s="118" t="str">
        <f t="shared" si="18"/>
        <v/>
      </c>
      <c r="U90" s="116" t="b">
        <v>0</v>
      </c>
      <c r="V90" s="117">
        <f t="shared" si="19"/>
        <v>0</v>
      </c>
      <c r="W90" s="116">
        <v>0</v>
      </c>
      <c r="X90" s="116" t="b">
        <v>0</v>
      </c>
      <c r="Y90" s="119">
        <f>IF(H90=FALSE,VLOOKUP($C90,Sales!$C:$F,4,FALSE),1)</f>
        <v>1</v>
      </c>
      <c r="Z90" s="116" t="str">
        <f t="shared" si="20"/>
        <v/>
      </c>
      <c r="AA90" s="118">
        <f t="shared" si="21"/>
        <v>0</v>
      </c>
      <c r="AB90" s="118" t="str">
        <f t="shared" si="22"/>
        <v>HFB106-ZBAR02</v>
      </c>
      <c r="AC90" s="118">
        <f t="shared" si="23"/>
        <v>45082</v>
      </c>
    </row>
    <row r="91" spans="1:29" ht="16" x14ac:dyDescent="0.2">
      <c r="A91" s="116" t="s">
        <v>207</v>
      </c>
      <c r="B91" s="116">
        <v>5</v>
      </c>
      <c r="C91" s="116" t="s">
        <v>246</v>
      </c>
      <c r="D91" s="116" t="s">
        <v>209</v>
      </c>
      <c r="E91" s="116" t="s">
        <v>2017</v>
      </c>
      <c r="F91" s="117">
        <f>SUMIFS(Investors!$M:$M,Investors!$O:$O,FALSE,Investors!$P:$P,FALSE,Investors!$K:$K,"&gt;"&amp;'NSST Print'!$B$3,Investors!$I:$I,"&lt;="&amp;'NSST Print'!$B$3,Investors!$A:$A,'Investor Exit List'!$A91,Investors!$E:$E,'Investor Exit List'!$C91,Investors!$L:$L,'Investor Exit List'!$B91)-(SUMIFS(Investors!$M:$M,Investors!$I:$I,"&lt;="&amp;'NSST Print'!$B$3,Investors!$J:$J,"&gt;"&amp;'NSST Print'!$B$3,Investors!$A:$A,'Investor Exit List'!$A91,Investors!$E:$E,'Investor Exit List'!$C91,Investors!$L:$L,'Investor Exit List'!$B91)+SUMIFS(Investors!$M:$M,Investors!$I:$I,"&lt;="&amp;'NSST Print'!$B$3,Investors!$J:$J,"",Investors!$A:$A,'Investor Exit List'!$A91,Investors!$E:$E,'Investor Exit List'!$C91,Investors!$L:$L,'Investor Exit List'!$B91))</f>
        <v>0</v>
      </c>
      <c r="G91" s="118">
        <v>44316</v>
      </c>
      <c r="H91" s="116" t="b">
        <f>VLOOKUP($C91,Sales!$C:$E,2,FALSE)</f>
        <v>1</v>
      </c>
      <c r="I91" s="116" t="b">
        <f>VLOOKUP($C91,Sales!$C:$E,3,FALSE)</f>
        <v>1</v>
      </c>
      <c r="J91" s="118">
        <f>SUMIFS(Sales!$H:$H,Sales!$C:$C,'Investor Exit List'!$C91)</f>
        <v>45688</v>
      </c>
      <c r="K91" s="118">
        <f t="shared" si="12"/>
        <v>45688</v>
      </c>
      <c r="L91" s="118">
        <f t="shared" si="13"/>
        <v>45046</v>
      </c>
      <c r="M91" s="118">
        <v>45443</v>
      </c>
      <c r="N91" s="119">
        <f t="shared" si="14"/>
        <v>0</v>
      </c>
      <c r="O91" s="119">
        <f t="shared" si="15"/>
        <v>0</v>
      </c>
      <c r="P91" s="117">
        <f t="shared" si="16"/>
        <v>0</v>
      </c>
      <c r="Q91" s="117">
        <f>SUMIFS(Investors!$M:$M,Investors!$O:$O,FALSE,Investors!$P:$P,FALSE,Investors!$K:$K,"&gt;"&amp;'NSST Print'!$B$3,Investors!$I:$I,"&lt;="&amp;'NSST Print'!$B$3,Investors!$A:$A,'Investor Exit List'!$A91,Investors!$E:$E,'Investor Exit List'!$C91,Investors!$L:$L,'Investor Exit List'!$B91)-(SUMIFS(Investors!$M:$M,Investors!$I:$I,"&lt;="&amp;'NSST Print'!$B$3,Investors!$J:$J,"&gt;"&amp;'NSST Print'!$B$3,Investors!$A:$A,'Investor Exit List'!$A91,Investors!$E:$E,'Investor Exit List'!$C91,Investors!$L:$L,'Investor Exit List'!$B91)+SUMIFS(Investors!$M:$M,Investors!$I:$I,"&lt;="&amp;'NSST Print'!$B$3,Investors!$J:$J,"",Investors!$A:$A,'Investor Exit List'!$A91,Investors!$E:$E,'Investor Exit List'!$C91,Investors!$L:$L,'Investor Exit List'!$B91))+SUMIFS(Investors!$S:$S,Investors!$O:$O,FALSE,Investors!$P:$P,FALSE,Investors!$K:$K,"&gt;"&amp;'NSST Print'!$B$3,Investors!$I:$I,"&lt;="&amp;'NSST Print'!$B$3,Investors!$A:$A,'Investor Exit List'!$A91,Investors!$E:$E,'Investor Exit List'!$C91,Investors!$L:$L,'Investor Exit List'!$B91)-(SUMIFS(Investors!$S:$S,Investors!$I:$I,"&lt;="&amp;'NSST Print'!$B$3,Investors!$J:$J,"&gt;"&amp;'NSST Print'!$B$3,Investors!$A:$A,'Investor Exit List'!$A91,Investors!$E:$E,'Investor Exit List'!$C91,Investors!$L:$L,'Investor Exit List'!$B91)+SUMIFS(Investors!$S:$S,Investors!$I:$I,"&lt;="&amp;'NSST Print'!$B$3,Investors!$J:$J,"",Investors!$A:$A,'Investor Exit List'!$A91,Investors!$E:$E,'Investor Exit List'!$C91,Investors!$L:$L,'Investor Exit List'!$B91))</f>
        <v>0</v>
      </c>
      <c r="R91" s="117">
        <f t="shared" si="17"/>
        <v>0</v>
      </c>
      <c r="S91" s="117">
        <f>SUMIFS(Investors!$M:$M,Investors!$O:$O,TRUE,Investors!$A:$A,'Investor Exit List'!$A91,Investors!$E:$E,'Investor Exit List'!$C91,Investors!$L:$L,'Investor Exit List'!$B91)+SUMIFS(Investors!$S:$S,Investors!$O:$O,TRUE,Investors!$A:$A,'Investor Exit List'!$A91,Investors!$E:$E,'Investor Exit List'!$C91,Investors!$L:$L,'Investor Exit List'!$B91)</f>
        <v>0</v>
      </c>
      <c r="T91" s="118" t="str">
        <f t="shared" si="18"/>
        <v/>
      </c>
      <c r="U91" s="116" t="b">
        <v>0</v>
      </c>
      <c r="V91" s="117">
        <f t="shared" si="19"/>
        <v>0</v>
      </c>
      <c r="W91" s="116">
        <v>0</v>
      </c>
      <c r="X91" s="116" t="b">
        <v>0</v>
      </c>
      <c r="Y91" s="119">
        <f>IF(H91=FALSE,VLOOKUP($C91,Sales!$C:$F,4,FALSE),1)</f>
        <v>1</v>
      </c>
      <c r="Z91" s="116" t="str">
        <f t="shared" si="20"/>
        <v/>
      </c>
      <c r="AA91" s="118">
        <f t="shared" si="21"/>
        <v>0</v>
      </c>
      <c r="AB91" s="118" t="str">
        <f t="shared" si="22"/>
        <v>HFB106-ZINT01</v>
      </c>
      <c r="AC91" s="118">
        <f t="shared" si="23"/>
        <v>45046</v>
      </c>
    </row>
    <row r="92" spans="1:29" ht="16" x14ac:dyDescent="0.2">
      <c r="A92" s="116" t="s">
        <v>247</v>
      </c>
      <c r="B92" s="116">
        <v>1</v>
      </c>
      <c r="C92" s="116" t="s">
        <v>246</v>
      </c>
      <c r="D92" s="116" t="s">
        <v>209</v>
      </c>
      <c r="E92" s="116" t="s">
        <v>2077</v>
      </c>
      <c r="F92" s="117">
        <f>SUMIFS(Investors!$M:$M,Investors!$O:$O,FALSE,Investors!$P:$P,FALSE,Investors!$K:$K,"&gt;"&amp;'NSST Print'!$B$3,Investors!$I:$I,"&lt;="&amp;'NSST Print'!$B$3,Investors!$A:$A,'Investor Exit List'!$A92,Investors!$E:$E,'Investor Exit List'!$C92,Investors!$L:$L,'Investor Exit List'!$B92)-(SUMIFS(Investors!$M:$M,Investors!$I:$I,"&lt;="&amp;'NSST Print'!$B$3,Investors!$J:$J,"&gt;"&amp;'NSST Print'!$B$3,Investors!$A:$A,'Investor Exit List'!$A92,Investors!$E:$E,'Investor Exit List'!$C92,Investors!$L:$L,'Investor Exit List'!$B92)+SUMIFS(Investors!$M:$M,Investors!$I:$I,"&lt;="&amp;'NSST Print'!$B$3,Investors!$J:$J,"",Investors!$A:$A,'Investor Exit List'!$A92,Investors!$E:$E,'Investor Exit List'!$C92,Investors!$L:$L,'Investor Exit List'!$B92))</f>
        <v>0</v>
      </c>
      <c r="G92" s="118">
        <v>44352</v>
      </c>
      <c r="H92" s="116" t="b">
        <f>VLOOKUP($C92,Sales!$C:$E,2,FALSE)</f>
        <v>1</v>
      </c>
      <c r="I92" s="116" t="b">
        <f>VLOOKUP($C92,Sales!$C:$E,3,FALSE)</f>
        <v>1</v>
      </c>
      <c r="J92" s="118">
        <f>SUMIFS(Sales!$H:$H,Sales!$C:$C,'Investor Exit List'!$C92)</f>
        <v>45688</v>
      </c>
      <c r="K92" s="118">
        <f t="shared" si="12"/>
        <v>45688</v>
      </c>
      <c r="L92" s="118">
        <f t="shared" si="13"/>
        <v>45082</v>
      </c>
      <c r="M92" s="118">
        <v>45443</v>
      </c>
      <c r="N92" s="119">
        <f t="shared" si="14"/>
        <v>0</v>
      </c>
      <c r="O92" s="119">
        <f t="shared" si="15"/>
        <v>0</v>
      </c>
      <c r="P92" s="117">
        <f t="shared" si="16"/>
        <v>0</v>
      </c>
      <c r="Q92" s="117">
        <f>SUMIFS(Investors!$M:$M,Investors!$O:$O,FALSE,Investors!$P:$P,FALSE,Investors!$K:$K,"&gt;"&amp;'NSST Print'!$B$3,Investors!$I:$I,"&lt;="&amp;'NSST Print'!$B$3,Investors!$A:$A,'Investor Exit List'!$A92,Investors!$E:$E,'Investor Exit List'!$C92,Investors!$L:$L,'Investor Exit List'!$B92)-(SUMIFS(Investors!$M:$M,Investors!$I:$I,"&lt;="&amp;'NSST Print'!$B$3,Investors!$J:$J,"&gt;"&amp;'NSST Print'!$B$3,Investors!$A:$A,'Investor Exit List'!$A92,Investors!$E:$E,'Investor Exit List'!$C92,Investors!$L:$L,'Investor Exit List'!$B92)+SUMIFS(Investors!$M:$M,Investors!$I:$I,"&lt;="&amp;'NSST Print'!$B$3,Investors!$J:$J,"",Investors!$A:$A,'Investor Exit List'!$A92,Investors!$E:$E,'Investor Exit List'!$C92,Investors!$L:$L,'Investor Exit List'!$B92))+SUMIFS(Investors!$S:$S,Investors!$O:$O,FALSE,Investors!$P:$P,FALSE,Investors!$K:$K,"&gt;"&amp;'NSST Print'!$B$3,Investors!$I:$I,"&lt;="&amp;'NSST Print'!$B$3,Investors!$A:$A,'Investor Exit List'!$A92,Investors!$E:$E,'Investor Exit List'!$C92,Investors!$L:$L,'Investor Exit List'!$B92)-(SUMIFS(Investors!$S:$S,Investors!$I:$I,"&lt;="&amp;'NSST Print'!$B$3,Investors!$J:$J,"&gt;"&amp;'NSST Print'!$B$3,Investors!$A:$A,'Investor Exit List'!$A92,Investors!$E:$E,'Investor Exit List'!$C92,Investors!$L:$L,'Investor Exit List'!$B92)+SUMIFS(Investors!$S:$S,Investors!$I:$I,"&lt;="&amp;'NSST Print'!$B$3,Investors!$J:$J,"",Investors!$A:$A,'Investor Exit List'!$A92,Investors!$E:$E,'Investor Exit List'!$C92,Investors!$L:$L,'Investor Exit List'!$B92))</f>
        <v>0</v>
      </c>
      <c r="R92" s="117">
        <f t="shared" si="17"/>
        <v>0</v>
      </c>
      <c r="S92" s="117">
        <f>SUMIFS(Investors!$M:$M,Investors!$O:$O,TRUE,Investors!$A:$A,'Investor Exit List'!$A92,Investors!$E:$E,'Investor Exit List'!$C92,Investors!$L:$L,'Investor Exit List'!$B92)+SUMIFS(Investors!$S:$S,Investors!$O:$O,TRUE,Investors!$A:$A,'Investor Exit List'!$A92,Investors!$E:$E,'Investor Exit List'!$C92,Investors!$L:$L,'Investor Exit List'!$B92)</f>
        <v>0</v>
      </c>
      <c r="T92" s="118" t="str">
        <f t="shared" si="18"/>
        <v/>
      </c>
      <c r="U92" s="116" t="b">
        <v>0</v>
      </c>
      <c r="V92" s="117">
        <f t="shared" si="19"/>
        <v>0</v>
      </c>
      <c r="W92" s="116">
        <v>0</v>
      </c>
      <c r="X92" s="116" t="b">
        <v>0</v>
      </c>
      <c r="Y92" s="119">
        <f>IF(H92=FALSE,VLOOKUP($C92,Sales!$C:$F,4,FALSE),1)</f>
        <v>1</v>
      </c>
      <c r="Z92" s="116" t="str">
        <f t="shared" si="20"/>
        <v/>
      </c>
      <c r="AA92" s="118">
        <f t="shared" si="21"/>
        <v>0</v>
      </c>
      <c r="AB92" s="118" t="str">
        <f t="shared" si="22"/>
        <v>HFB106-ZTSO01</v>
      </c>
      <c r="AC92" s="118">
        <f t="shared" si="23"/>
        <v>45082</v>
      </c>
    </row>
    <row r="93" spans="1:29" ht="16" x14ac:dyDescent="0.2">
      <c r="A93" s="116" t="s">
        <v>250</v>
      </c>
      <c r="B93" s="116">
        <v>1</v>
      </c>
      <c r="C93" s="116" t="s">
        <v>246</v>
      </c>
      <c r="D93" s="116" t="s">
        <v>209</v>
      </c>
      <c r="E93" s="116" t="s">
        <v>2078</v>
      </c>
      <c r="F93" s="117">
        <f>SUMIFS(Investors!$M:$M,Investors!$O:$O,FALSE,Investors!$P:$P,FALSE,Investors!$K:$K,"&gt;"&amp;'NSST Print'!$B$3,Investors!$I:$I,"&lt;="&amp;'NSST Print'!$B$3,Investors!$A:$A,'Investor Exit List'!$A93,Investors!$E:$E,'Investor Exit List'!$C93,Investors!$L:$L,'Investor Exit List'!$B93)-(SUMIFS(Investors!$M:$M,Investors!$I:$I,"&lt;="&amp;'NSST Print'!$B$3,Investors!$J:$J,"&gt;"&amp;'NSST Print'!$B$3,Investors!$A:$A,'Investor Exit List'!$A93,Investors!$E:$E,'Investor Exit List'!$C93,Investors!$L:$L,'Investor Exit List'!$B93)+SUMIFS(Investors!$M:$M,Investors!$I:$I,"&lt;="&amp;'NSST Print'!$B$3,Investors!$J:$J,"",Investors!$A:$A,'Investor Exit List'!$A93,Investors!$E:$E,'Investor Exit List'!$C93,Investors!$L:$L,'Investor Exit List'!$B93))</f>
        <v>0</v>
      </c>
      <c r="G93" s="118">
        <v>44352</v>
      </c>
      <c r="H93" s="116" t="b">
        <f>VLOOKUP($C93,Sales!$C:$E,2,FALSE)</f>
        <v>1</v>
      </c>
      <c r="I93" s="116" t="b">
        <f>VLOOKUP($C93,Sales!$C:$E,3,FALSE)</f>
        <v>1</v>
      </c>
      <c r="J93" s="118">
        <f>SUMIFS(Sales!$H:$H,Sales!$C:$C,'Investor Exit List'!$C93)</f>
        <v>45688</v>
      </c>
      <c r="K93" s="118">
        <f t="shared" si="12"/>
        <v>45688</v>
      </c>
      <c r="L93" s="118">
        <f t="shared" si="13"/>
        <v>45082</v>
      </c>
      <c r="M93" s="118">
        <v>45443</v>
      </c>
      <c r="N93" s="119">
        <f t="shared" si="14"/>
        <v>0</v>
      </c>
      <c r="O93" s="119">
        <f t="shared" si="15"/>
        <v>0</v>
      </c>
      <c r="P93" s="117">
        <f t="shared" si="16"/>
        <v>0</v>
      </c>
      <c r="Q93" s="117">
        <f>SUMIFS(Investors!$M:$M,Investors!$O:$O,FALSE,Investors!$P:$P,FALSE,Investors!$K:$K,"&gt;"&amp;'NSST Print'!$B$3,Investors!$I:$I,"&lt;="&amp;'NSST Print'!$B$3,Investors!$A:$A,'Investor Exit List'!$A93,Investors!$E:$E,'Investor Exit List'!$C93,Investors!$L:$L,'Investor Exit List'!$B93)-(SUMIFS(Investors!$M:$M,Investors!$I:$I,"&lt;="&amp;'NSST Print'!$B$3,Investors!$J:$J,"&gt;"&amp;'NSST Print'!$B$3,Investors!$A:$A,'Investor Exit List'!$A93,Investors!$E:$E,'Investor Exit List'!$C93,Investors!$L:$L,'Investor Exit List'!$B93)+SUMIFS(Investors!$M:$M,Investors!$I:$I,"&lt;="&amp;'NSST Print'!$B$3,Investors!$J:$J,"",Investors!$A:$A,'Investor Exit List'!$A93,Investors!$E:$E,'Investor Exit List'!$C93,Investors!$L:$L,'Investor Exit List'!$B93))+SUMIFS(Investors!$S:$S,Investors!$O:$O,FALSE,Investors!$P:$P,FALSE,Investors!$K:$K,"&gt;"&amp;'NSST Print'!$B$3,Investors!$I:$I,"&lt;="&amp;'NSST Print'!$B$3,Investors!$A:$A,'Investor Exit List'!$A93,Investors!$E:$E,'Investor Exit List'!$C93,Investors!$L:$L,'Investor Exit List'!$B93)-(SUMIFS(Investors!$S:$S,Investors!$I:$I,"&lt;="&amp;'NSST Print'!$B$3,Investors!$J:$J,"&gt;"&amp;'NSST Print'!$B$3,Investors!$A:$A,'Investor Exit List'!$A93,Investors!$E:$E,'Investor Exit List'!$C93,Investors!$L:$L,'Investor Exit List'!$B93)+SUMIFS(Investors!$S:$S,Investors!$I:$I,"&lt;="&amp;'NSST Print'!$B$3,Investors!$J:$J,"",Investors!$A:$A,'Investor Exit List'!$A93,Investors!$E:$E,'Investor Exit List'!$C93,Investors!$L:$L,'Investor Exit List'!$B93))</f>
        <v>0</v>
      </c>
      <c r="R93" s="117">
        <f t="shared" si="17"/>
        <v>0</v>
      </c>
      <c r="S93" s="117">
        <f>SUMIFS(Investors!$M:$M,Investors!$O:$O,TRUE,Investors!$A:$A,'Investor Exit List'!$A93,Investors!$E:$E,'Investor Exit List'!$C93,Investors!$L:$L,'Investor Exit List'!$B93)+SUMIFS(Investors!$S:$S,Investors!$O:$O,TRUE,Investors!$A:$A,'Investor Exit List'!$A93,Investors!$E:$E,'Investor Exit List'!$C93,Investors!$L:$L,'Investor Exit List'!$B93)</f>
        <v>0</v>
      </c>
      <c r="T93" s="118" t="str">
        <f t="shared" si="18"/>
        <v/>
      </c>
      <c r="U93" s="116" t="b">
        <v>0</v>
      </c>
      <c r="V93" s="117">
        <f t="shared" si="19"/>
        <v>0</v>
      </c>
      <c r="W93" s="116">
        <v>0</v>
      </c>
      <c r="X93" s="116" t="b">
        <v>0</v>
      </c>
      <c r="Y93" s="119">
        <f>IF(H93=FALSE,VLOOKUP($C93,Sales!$C:$F,4,FALSE),1)</f>
        <v>1</v>
      </c>
      <c r="Z93" s="116" t="str">
        <f t="shared" si="20"/>
        <v/>
      </c>
      <c r="AA93" s="118">
        <f t="shared" si="21"/>
        <v>0</v>
      </c>
      <c r="AB93" s="118" t="str">
        <f t="shared" si="22"/>
        <v>HFB106-ZWAY01</v>
      </c>
      <c r="AC93" s="118">
        <f t="shared" si="23"/>
        <v>45082</v>
      </c>
    </row>
    <row r="94" spans="1:29" ht="16" x14ac:dyDescent="0.2">
      <c r="A94" s="116" t="s">
        <v>253</v>
      </c>
      <c r="B94" s="116">
        <v>6</v>
      </c>
      <c r="C94" s="116" t="s">
        <v>256</v>
      </c>
      <c r="D94" s="116" t="s">
        <v>209</v>
      </c>
      <c r="E94" s="116" t="s">
        <v>2079</v>
      </c>
      <c r="F94" s="117">
        <f>SUMIFS(Investors!$M:$M,Investors!$O:$O,FALSE,Investors!$P:$P,FALSE,Investors!$K:$K,"&gt;"&amp;'NSST Print'!$B$3,Investors!$I:$I,"&lt;="&amp;'NSST Print'!$B$3,Investors!$A:$A,'Investor Exit List'!$A94,Investors!$E:$E,'Investor Exit List'!$C94,Investors!$L:$L,'Investor Exit List'!$B94)-(SUMIFS(Investors!$M:$M,Investors!$I:$I,"&lt;="&amp;'NSST Print'!$B$3,Investors!$J:$J,"&gt;"&amp;'NSST Print'!$B$3,Investors!$A:$A,'Investor Exit List'!$A94,Investors!$E:$E,'Investor Exit List'!$C94,Investors!$L:$L,'Investor Exit List'!$B94)+SUMIFS(Investors!$M:$M,Investors!$I:$I,"&lt;="&amp;'NSST Print'!$B$3,Investors!$J:$J,"",Investors!$A:$A,'Investor Exit List'!$A94,Investors!$E:$E,'Investor Exit List'!$C94,Investors!$L:$L,'Investor Exit List'!$B94))</f>
        <v>0</v>
      </c>
      <c r="G94" s="118">
        <v>44352</v>
      </c>
      <c r="H94" s="116" t="b">
        <f>VLOOKUP($C94,Sales!$C:$E,2,FALSE)</f>
        <v>1</v>
      </c>
      <c r="I94" s="116" t="b">
        <f>VLOOKUP($C94,Sales!$C:$E,3,FALSE)</f>
        <v>1</v>
      </c>
      <c r="J94" s="118">
        <f>SUMIFS(Sales!$H:$H,Sales!$C:$C,'Investor Exit List'!$C94)</f>
        <v>45688</v>
      </c>
      <c r="K94" s="118">
        <f t="shared" si="12"/>
        <v>45688</v>
      </c>
      <c r="L94" s="118">
        <f t="shared" si="13"/>
        <v>45082</v>
      </c>
      <c r="M94" s="118">
        <v>45443</v>
      </c>
      <c r="N94" s="119">
        <f t="shared" si="14"/>
        <v>0</v>
      </c>
      <c r="O94" s="119">
        <f t="shared" si="15"/>
        <v>0</v>
      </c>
      <c r="P94" s="117">
        <f t="shared" si="16"/>
        <v>0</v>
      </c>
      <c r="Q94" s="117">
        <f>SUMIFS(Investors!$M:$M,Investors!$O:$O,FALSE,Investors!$P:$P,FALSE,Investors!$K:$K,"&gt;"&amp;'NSST Print'!$B$3,Investors!$I:$I,"&lt;="&amp;'NSST Print'!$B$3,Investors!$A:$A,'Investor Exit List'!$A94,Investors!$E:$E,'Investor Exit List'!$C94,Investors!$L:$L,'Investor Exit List'!$B94)-(SUMIFS(Investors!$M:$M,Investors!$I:$I,"&lt;="&amp;'NSST Print'!$B$3,Investors!$J:$J,"&gt;"&amp;'NSST Print'!$B$3,Investors!$A:$A,'Investor Exit List'!$A94,Investors!$E:$E,'Investor Exit List'!$C94,Investors!$L:$L,'Investor Exit List'!$B94)+SUMIFS(Investors!$M:$M,Investors!$I:$I,"&lt;="&amp;'NSST Print'!$B$3,Investors!$J:$J,"",Investors!$A:$A,'Investor Exit List'!$A94,Investors!$E:$E,'Investor Exit List'!$C94,Investors!$L:$L,'Investor Exit List'!$B94))+SUMIFS(Investors!$S:$S,Investors!$O:$O,FALSE,Investors!$P:$P,FALSE,Investors!$K:$K,"&gt;"&amp;'NSST Print'!$B$3,Investors!$I:$I,"&lt;="&amp;'NSST Print'!$B$3,Investors!$A:$A,'Investor Exit List'!$A94,Investors!$E:$E,'Investor Exit List'!$C94,Investors!$L:$L,'Investor Exit List'!$B94)-(SUMIFS(Investors!$S:$S,Investors!$I:$I,"&lt;="&amp;'NSST Print'!$B$3,Investors!$J:$J,"&gt;"&amp;'NSST Print'!$B$3,Investors!$A:$A,'Investor Exit List'!$A94,Investors!$E:$E,'Investor Exit List'!$C94,Investors!$L:$L,'Investor Exit List'!$B94)+SUMIFS(Investors!$S:$S,Investors!$I:$I,"&lt;="&amp;'NSST Print'!$B$3,Investors!$J:$J,"",Investors!$A:$A,'Investor Exit List'!$A94,Investors!$E:$E,'Investor Exit List'!$C94,Investors!$L:$L,'Investor Exit List'!$B94))</f>
        <v>0</v>
      </c>
      <c r="R94" s="117">
        <f t="shared" si="17"/>
        <v>0</v>
      </c>
      <c r="S94" s="117">
        <f>SUMIFS(Investors!$M:$M,Investors!$O:$O,TRUE,Investors!$A:$A,'Investor Exit List'!$A94,Investors!$E:$E,'Investor Exit List'!$C94,Investors!$L:$L,'Investor Exit List'!$B94)+SUMIFS(Investors!$S:$S,Investors!$O:$O,TRUE,Investors!$A:$A,'Investor Exit List'!$A94,Investors!$E:$E,'Investor Exit List'!$C94,Investors!$L:$L,'Investor Exit List'!$B94)</f>
        <v>0</v>
      </c>
      <c r="T94" s="118" t="str">
        <f t="shared" si="18"/>
        <v/>
      </c>
      <c r="U94" s="116" t="b">
        <v>0</v>
      </c>
      <c r="V94" s="117">
        <f t="shared" si="19"/>
        <v>0</v>
      </c>
      <c r="W94" s="116">
        <v>0</v>
      </c>
      <c r="X94" s="116" t="b">
        <v>0</v>
      </c>
      <c r="Y94" s="119">
        <f>IF(H94=FALSE,VLOOKUP($C94,Sales!$C:$F,4,FALSE),1)</f>
        <v>1</v>
      </c>
      <c r="Z94" s="116" t="str">
        <f t="shared" si="20"/>
        <v/>
      </c>
      <c r="AA94" s="118">
        <f t="shared" si="21"/>
        <v>0</v>
      </c>
      <c r="AB94" s="118" t="str">
        <f t="shared" si="22"/>
        <v>HFB107-ZDIC01</v>
      </c>
      <c r="AC94" s="118">
        <f t="shared" si="23"/>
        <v>45082</v>
      </c>
    </row>
    <row r="95" spans="1:29" ht="16" x14ac:dyDescent="0.2">
      <c r="A95" s="116" t="s">
        <v>257</v>
      </c>
      <c r="B95" s="116">
        <v>1</v>
      </c>
      <c r="C95" s="116" t="s">
        <v>256</v>
      </c>
      <c r="D95" s="116" t="s">
        <v>209</v>
      </c>
      <c r="E95" s="116" t="s">
        <v>2080</v>
      </c>
      <c r="F95" s="117">
        <f>SUMIFS(Investors!$M:$M,Investors!$O:$O,FALSE,Investors!$P:$P,FALSE,Investors!$K:$K,"&gt;"&amp;'NSST Print'!$B$3,Investors!$I:$I,"&lt;="&amp;'NSST Print'!$B$3,Investors!$A:$A,'Investor Exit List'!$A95,Investors!$E:$E,'Investor Exit List'!$C95,Investors!$L:$L,'Investor Exit List'!$B95)-(SUMIFS(Investors!$M:$M,Investors!$I:$I,"&lt;="&amp;'NSST Print'!$B$3,Investors!$J:$J,"&gt;"&amp;'NSST Print'!$B$3,Investors!$A:$A,'Investor Exit List'!$A95,Investors!$E:$E,'Investor Exit List'!$C95,Investors!$L:$L,'Investor Exit List'!$B95)+SUMIFS(Investors!$M:$M,Investors!$I:$I,"&lt;="&amp;'NSST Print'!$B$3,Investors!$J:$J,"",Investors!$A:$A,'Investor Exit List'!$A95,Investors!$E:$E,'Investor Exit List'!$C95,Investors!$L:$L,'Investor Exit List'!$B95))</f>
        <v>0</v>
      </c>
      <c r="G95" s="118">
        <v>44352</v>
      </c>
      <c r="H95" s="116" t="b">
        <f>VLOOKUP($C95,Sales!$C:$E,2,FALSE)</f>
        <v>1</v>
      </c>
      <c r="I95" s="116" t="b">
        <f>VLOOKUP($C95,Sales!$C:$E,3,FALSE)</f>
        <v>1</v>
      </c>
      <c r="J95" s="118">
        <f>SUMIFS(Sales!$H:$H,Sales!$C:$C,'Investor Exit List'!$C95)</f>
        <v>45688</v>
      </c>
      <c r="K95" s="118">
        <f t="shared" si="12"/>
        <v>45688</v>
      </c>
      <c r="L95" s="118">
        <f t="shared" si="13"/>
        <v>45082</v>
      </c>
      <c r="M95" s="118">
        <v>45443</v>
      </c>
      <c r="N95" s="119">
        <f t="shared" si="14"/>
        <v>0</v>
      </c>
      <c r="O95" s="119">
        <f t="shared" si="15"/>
        <v>0</v>
      </c>
      <c r="P95" s="117">
        <f t="shared" si="16"/>
        <v>0</v>
      </c>
      <c r="Q95" s="117">
        <f>SUMIFS(Investors!$M:$M,Investors!$O:$O,FALSE,Investors!$P:$P,FALSE,Investors!$K:$K,"&gt;"&amp;'NSST Print'!$B$3,Investors!$I:$I,"&lt;="&amp;'NSST Print'!$B$3,Investors!$A:$A,'Investor Exit List'!$A95,Investors!$E:$E,'Investor Exit List'!$C95,Investors!$L:$L,'Investor Exit List'!$B95)-(SUMIFS(Investors!$M:$M,Investors!$I:$I,"&lt;="&amp;'NSST Print'!$B$3,Investors!$J:$J,"&gt;"&amp;'NSST Print'!$B$3,Investors!$A:$A,'Investor Exit List'!$A95,Investors!$E:$E,'Investor Exit List'!$C95,Investors!$L:$L,'Investor Exit List'!$B95)+SUMIFS(Investors!$M:$M,Investors!$I:$I,"&lt;="&amp;'NSST Print'!$B$3,Investors!$J:$J,"",Investors!$A:$A,'Investor Exit List'!$A95,Investors!$E:$E,'Investor Exit List'!$C95,Investors!$L:$L,'Investor Exit List'!$B95))+SUMIFS(Investors!$S:$S,Investors!$O:$O,FALSE,Investors!$P:$P,FALSE,Investors!$K:$K,"&gt;"&amp;'NSST Print'!$B$3,Investors!$I:$I,"&lt;="&amp;'NSST Print'!$B$3,Investors!$A:$A,'Investor Exit List'!$A95,Investors!$E:$E,'Investor Exit List'!$C95,Investors!$L:$L,'Investor Exit List'!$B95)-(SUMIFS(Investors!$S:$S,Investors!$I:$I,"&lt;="&amp;'NSST Print'!$B$3,Investors!$J:$J,"&gt;"&amp;'NSST Print'!$B$3,Investors!$A:$A,'Investor Exit List'!$A95,Investors!$E:$E,'Investor Exit List'!$C95,Investors!$L:$L,'Investor Exit List'!$B95)+SUMIFS(Investors!$S:$S,Investors!$I:$I,"&lt;="&amp;'NSST Print'!$B$3,Investors!$J:$J,"",Investors!$A:$A,'Investor Exit List'!$A95,Investors!$E:$E,'Investor Exit List'!$C95,Investors!$L:$L,'Investor Exit List'!$B95))</f>
        <v>0</v>
      </c>
      <c r="R95" s="117">
        <f t="shared" si="17"/>
        <v>0</v>
      </c>
      <c r="S95" s="117">
        <f>SUMIFS(Investors!$M:$M,Investors!$O:$O,TRUE,Investors!$A:$A,'Investor Exit List'!$A95,Investors!$E:$E,'Investor Exit List'!$C95,Investors!$L:$L,'Investor Exit List'!$B95)+SUMIFS(Investors!$S:$S,Investors!$O:$O,TRUE,Investors!$A:$A,'Investor Exit List'!$A95,Investors!$E:$E,'Investor Exit List'!$C95,Investors!$L:$L,'Investor Exit List'!$B95)</f>
        <v>659119.8630136986</v>
      </c>
      <c r="T95" s="118">
        <f t="shared" si="18"/>
        <v>45688</v>
      </c>
      <c r="U95" s="116" t="b">
        <v>1</v>
      </c>
      <c r="V95" s="117">
        <f t="shared" si="19"/>
        <v>659119.8630136986</v>
      </c>
      <c r="W95" s="116">
        <v>0</v>
      </c>
      <c r="X95" s="116" t="b">
        <v>0</v>
      </c>
      <c r="Y95" s="119">
        <f>IF(H95=FALSE,VLOOKUP($C95,Sales!$C:$F,4,FALSE),1)</f>
        <v>1</v>
      </c>
      <c r="Z95" s="116" t="str">
        <f t="shared" si="20"/>
        <v/>
      </c>
      <c r="AA95" s="118">
        <f t="shared" si="21"/>
        <v>0</v>
      </c>
      <c r="AB95" s="118" t="str">
        <f t="shared" si="22"/>
        <v>HFB107-ZJOR01</v>
      </c>
      <c r="AC95" s="118">
        <f t="shared" si="23"/>
        <v>45082</v>
      </c>
    </row>
    <row r="96" spans="1:29" ht="16" x14ac:dyDescent="0.2">
      <c r="A96" s="116" t="s">
        <v>58</v>
      </c>
      <c r="B96" s="116">
        <v>5</v>
      </c>
      <c r="C96" s="116" t="s">
        <v>256</v>
      </c>
      <c r="D96" s="116" t="s">
        <v>209</v>
      </c>
      <c r="E96" s="116" t="s">
        <v>2017</v>
      </c>
      <c r="F96" s="117">
        <f>SUMIFS(Investors!$M:$M,Investors!$O:$O,FALSE,Investors!$P:$P,FALSE,Investors!$K:$K,"&gt;"&amp;'NSST Print'!$B$3,Investors!$I:$I,"&lt;="&amp;'NSST Print'!$B$3,Investors!$A:$A,'Investor Exit List'!$A96,Investors!$E:$E,'Investor Exit List'!$C96,Investors!$L:$L,'Investor Exit List'!$B96)-(SUMIFS(Investors!$M:$M,Investors!$I:$I,"&lt;="&amp;'NSST Print'!$B$3,Investors!$J:$J,"&gt;"&amp;'NSST Print'!$B$3,Investors!$A:$A,'Investor Exit List'!$A96,Investors!$E:$E,'Investor Exit List'!$C96,Investors!$L:$L,'Investor Exit List'!$B96)+SUMIFS(Investors!$M:$M,Investors!$I:$I,"&lt;="&amp;'NSST Print'!$B$3,Investors!$J:$J,"",Investors!$A:$A,'Investor Exit List'!$A96,Investors!$E:$E,'Investor Exit List'!$C96,Investors!$L:$L,'Investor Exit List'!$B96))</f>
        <v>0</v>
      </c>
      <c r="G96" s="118">
        <v>44352</v>
      </c>
      <c r="H96" s="116" t="b">
        <f>VLOOKUP($C96,Sales!$C:$E,2,FALSE)</f>
        <v>1</v>
      </c>
      <c r="I96" s="116" t="b">
        <f>VLOOKUP($C96,Sales!$C:$E,3,FALSE)</f>
        <v>1</v>
      </c>
      <c r="J96" s="118">
        <f>SUMIFS(Sales!$H:$H,Sales!$C:$C,'Investor Exit List'!$C96)</f>
        <v>45688</v>
      </c>
      <c r="K96" s="118">
        <f t="shared" si="12"/>
        <v>45688</v>
      </c>
      <c r="L96" s="118">
        <f t="shared" si="13"/>
        <v>45082</v>
      </c>
      <c r="M96" s="118">
        <v>45443</v>
      </c>
      <c r="N96" s="119">
        <f t="shared" si="14"/>
        <v>0</v>
      </c>
      <c r="O96" s="119">
        <f t="shared" si="15"/>
        <v>0</v>
      </c>
      <c r="P96" s="117">
        <f t="shared" si="16"/>
        <v>0</v>
      </c>
      <c r="Q96" s="117">
        <f>SUMIFS(Investors!$M:$M,Investors!$O:$O,FALSE,Investors!$P:$P,FALSE,Investors!$K:$K,"&gt;"&amp;'NSST Print'!$B$3,Investors!$I:$I,"&lt;="&amp;'NSST Print'!$B$3,Investors!$A:$A,'Investor Exit List'!$A96,Investors!$E:$E,'Investor Exit List'!$C96,Investors!$L:$L,'Investor Exit List'!$B96)-(SUMIFS(Investors!$M:$M,Investors!$I:$I,"&lt;="&amp;'NSST Print'!$B$3,Investors!$J:$J,"&gt;"&amp;'NSST Print'!$B$3,Investors!$A:$A,'Investor Exit List'!$A96,Investors!$E:$E,'Investor Exit List'!$C96,Investors!$L:$L,'Investor Exit List'!$B96)+SUMIFS(Investors!$M:$M,Investors!$I:$I,"&lt;="&amp;'NSST Print'!$B$3,Investors!$J:$J,"",Investors!$A:$A,'Investor Exit List'!$A96,Investors!$E:$E,'Investor Exit List'!$C96,Investors!$L:$L,'Investor Exit List'!$B96))+SUMIFS(Investors!$S:$S,Investors!$O:$O,FALSE,Investors!$P:$P,FALSE,Investors!$K:$K,"&gt;"&amp;'NSST Print'!$B$3,Investors!$I:$I,"&lt;="&amp;'NSST Print'!$B$3,Investors!$A:$A,'Investor Exit List'!$A96,Investors!$E:$E,'Investor Exit List'!$C96,Investors!$L:$L,'Investor Exit List'!$B96)-(SUMIFS(Investors!$S:$S,Investors!$I:$I,"&lt;="&amp;'NSST Print'!$B$3,Investors!$J:$J,"&gt;"&amp;'NSST Print'!$B$3,Investors!$A:$A,'Investor Exit List'!$A96,Investors!$E:$E,'Investor Exit List'!$C96,Investors!$L:$L,'Investor Exit List'!$B96)+SUMIFS(Investors!$S:$S,Investors!$I:$I,"&lt;="&amp;'NSST Print'!$B$3,Investors!$J:$J,"",Investors!$A:$A,'Investor Exit List'!$A96,Investors!$E:$E,'Investor Exit List'!$C96,Investors!$L:$L,'Investor Exit List'!$B96))</f>
        <v>0</v>
      </c>
      <c r="R96" s="117">
        <f t="shared" si="17"/>
        <v>0</v>
      </c>
      <c r="S96" s="117">
        <f>SUMIFS(Investors!$M:$M,Investors!$O:$O,TRUE,Investors!$A:$A,'Investor Exit List'!$A96,Investors!$E:$E,'Investor Exit List'!$C96,Investors!$L:$L,'Investor Exit List'!$B96)+SUMIFS(Investors!$S:$S,Investors!$O:$O,TRUE,Investors!$A:$A,'Investor Exit List'!$A96,Investors!$E:$E,'Investor Exit List'!$C96,Investors!$L:$L,'Investor Exit List'!$B96)</f>
        <v>0</v>
      </c>
      <c r="T96" s="118" t="str">
        <f t="shared" si="18"/>
        <v/>
      </c>
      <c r="U96" s="116" t="b">
        <v>0</v>
      </c>
      <c r="V96" s="117">
        <f t="shared" si="19"/>
        <v>0</v>
      </c>
      <c r="W96" s="116">
        <v>0</v>
      </c>
      <c r="X96" s="116" t="b">
        <v>0</v>
      </c>
      <c r="Y96" s="119">
        <f>IF(H96=FALSE,VLOOKUP($C96,Sales!$C:$F,4,FALSE),1)</f>
        <v>1</v>
      </c>
      <c r="Z96" s="116" t="str">
        <f t="shared" si="20"/>
        <v/>
      </c>
      <c r="AA96" s="118">
        <f t="shared" si="21"/>
        <v>0</v>
      </c>
      <c r="AB96" s="118" t="str">
        <f t="shared" si="22"/>
        <v>HFB107-ZLUN01</v>
      </c>
      <c r="AC96" s="118">
        <f t="shared" si="23"/>
        <v>45082</v>
      </c>
    </row>
    <row r="97" spans="1:29" ht="16" x14ac:dyDescent="0.2">
      <c r="A97" s="116" t="s">
        <v>52</v>
      </c>
      <c r="B97" s="116">
        <v>3</v>
      </c>
      <c r="C97" s="116" t="s">
        <v>260</v>
      </c>
      <c r="D97" s="116" t="s">
        <v>209</v>
      </c>
      <c r="E97" s="116" t="s">
        <v>2017</v>
      </c>
      <c r="F97" s="117">
        <f>SUMIFS(Investors!$M:$M,Investors!$O:$O,FALSE,Investors!$P:$P,FALSE,Investors!$K:$K,"&gt;"&amp;'NSST Print'!$B$3,Investors!$I:$I,"&lt;="&amp;'NSST Print'!$B$3,Investors!$A:$A,'Investor Exit List'!$A97,Investors!$E:$E,'Investor Exit List'!$C97,Investors!$L:$L,'Investor Exit List'!$B97)-(SUMIFS(Investors!$M:$M,Investors!$I:$I,"&lt;="&amp;'NSST Print'!$B$3,Investors!$J:$J,"&gt;"&amp;'NSST Print'!$B$3,Investors!$A:$A,'Investor Exit List'!$A97,Investors!$E:$E,'Investor Exit List'!$C97,Investors!$L:$L,'Investor Exit List'!$B97)+SUMIFS(Investors!$M:$M,Investors!$I:$I,"&lt;="&amp;'NSST Print'!$B$3,Investors!$J:$J,"",Investors!$A:$A,'Investor Exit List'!$A97,Investors!$E:$E,'Investor Exit List'!$C97,Investors!$L:$L,'Investor Exit List'!$B97))</f>
        <v>0</v>
      </c>
      <c r="G97" s="118">
        <v>44352</v>
      </c>
      <c r="H97" s="116" t="b">
        <f>VLOOKUP($C97,Sales!$C:$E,2,FALSE)</f>
        <v>1</v>
      </c>
      <c r="I97" s="116" t="b">
        <f>VLOOKUP($C97,Sales!$C:$E,3,FALSE)</f>
        <v>1</v>
      </c>
      <c r="J97" s="118">
        <f>SUMIFS(Sales!$H:$H,Sales!$C:$C,'Investor Exit List'!$C97)</f>
        <v>45688</v>
      </c>
      <c r="K97" s="118">
        <f t="shared" si="12"/>
        <v>45688</v>
      </c>
      <c r="L97" s="118">
        <f t="shared" si="13"/>
        <v>45082</v>
      </c>
      <c r="M97" s="118">
        <v>45443</v>
      </c>
      <c r="N97" s="119">
        <f t="shared" si="14"/>
        <v>0</v>
      </c>
      <c r="O97" s="119">
        <f t="shared" si="15"/>
        <v>0</v>
      </c>
      <c r="P97" s="117">
        <f t="shared" si="16"/>
        <v>0</v>
      </c>
      <c r="Q97" s="117">
        <f>SUMIFS(Investors!$M:$M,Investors!$O:$O,FALSE,Investors!$P:$P,FALSE,Investors!$K:$K,"&gt;"&amp;'NSST Print'!$B$3,Investors!$I:$I,"&lt;="&amp;'NSST Print'!$B$3,Investors!$A:$A,'Investor Exit List'!$A97,Investors!$E:$E,'Investor Exit List'!$C97,Investors!$L:$L,'Investor Exit List'!$B97)-(SUMIFS(Investors!$M:$M,Investors!$I:$I,"&lt;="&amp;'NSST Print'!$B$3,Investors!$J:$J,"&gt;"&amp;'NSST Print'!$B$3,Investors!$A:$A,'Investor Exit List'!$A97,Investors!$E:$E,'Investor Exit List'!$C97,Investors!$L:$L,'Investor Exit List'!$B97)+SUMIFS(Investors!$M:$M,Investors!$I:$I,"&lt;="&amp;'NSST Print'!$B$3,Investors!$J:$J,"",Investors!$A:$A,'Investor Exit List'!$A97,Investors!$E:$E,'Investor Exit List'!$C97,Investors!$L:$L,'Investor Exit List'!$B97))+SUMIFS(Investors!$S:$S,Investors!$O:$O,FALSE,Investors!$P:$P,FALSE,Investors!$K:$K,"&gt;"&amp;'NSST Print'!$B$3,Investors!$I:$I,"&lt;="&amp;'NSST Print'!$B$3,Investors!$A:$A,'Investor Exit List'!$A97,Investors!$E:$E,'Investor Exit List'!$C97,Investors!$L:$L,'Investor Exit List'!$B97)-(SUMIFS(Investors!$S:$S,Investors!$I:$I,"&lt;="&amp;'NSST Print'!$B$3,Investors!$J:$J,"&gt;"&amp;'NSST Print'!$B$3,Investors!$A:$A,'Investor Exit List'!$A97,Investors!$E:$E,'Investor Exit List'!$C97,Investors!$L:$L,'Investor Exit List'!$B97)+SUMIFS(Investors!$S:$S,Investors!$I:$I,"&lt;="&amp;'NSST Print'!$B$3,Investors!$J:$J,"",Investors!$A:$A,'Investor Exit List'!$A97,Investors!$E:$E,'Investor Exit List'!$C97,Investors!$L:$L,'Investor Exit List'!$B97))</f>
        <v>0</v>
      </c>
      <c r="R97" s="117">
        <f t="shared" si="17"/>
        <v>0</v>
      </c>
      <c r="S97" s="117">
        <f>SUMIFS(Investors!$M:$M,Investors!$O:$O,TRUE,Investors!$A:$A,'Investor Exit List'!$A97,Investors!$E:$E,'Investor Exit List'!$C97,Investors!$L:$L,'Investor Exit List'!$B97)+SUMIFS(Investors!$S:$S,Investors!$O:$O,TRUE,Investors!$A:$A,'Investor Exit List'!$A97,Investors!$E:$E,'Investor Exit List'!$C97,Investors!$L:$L,'Investor Exit List'!$B97)</f>
        <v>144222.05479452055</v>
      </c>
      <c r="T97" s="118">
        <f t="shared" si="18"/>
        <v>45688</v>
      </c>
      <c r="U97" s="116" t="b">
        <v>1</v>
      </c>
      <c r="V97" s="117">
        <f t="shared" si="19"/>
        <v>144222.05479452055</v>
      </c>
      <c r="W97" s="116">
        <v>0</v>
      </c>
      <c r="X97" s="116" t="b">
        <v>0</v>
      </c>
      <c r="Y97" s="119">
        <f>IF(H97=FALSE,VLOOKUP($C97,Sales!$C:$F,4,FALSE),1)</f>
        <v>1</v>
      </c>
      <c r="Z97" s="116" t="str">
        <f t="shared" si="20"/>
        <v/>
      </c>
      <c r="AA97" s="118">
        <f t="shared" si="21"/>
        <v>0</v>
      </c>
      <c r="AB97" s="118" t="str">
        <f t="shared" si="22"/>
        <v>HFB108-ZCRO01</v>
      </c>
      <c r="AC97" s="118">
        <f t="shared" si="23"/>
        <v>45082</v>
      </c>
    </row>
    <row r="98" spans="1:29" ht="16" x14ac:dyDescent="0.2">
      <c r="A98" s="116" t="s">
        <v>261</v>
      </c>
      <c r="B98" s="116">
        <v>1</v>
      </c>
      <c r="C98" s="116" t="s">
        <v>260</v>
      </c>
      <c r="D98" s="116" t="s">
        <v>209</v>
      </c>
      <c r="E98" s="116" t="s">
        <v>2081</v>
      </c>
      <c r="F98" s="117">
        <f>SUMIFS(Investors!$M:$M,Investors!$O:$O,FALSE,Investors!$P:$P,FALSE,Investors!$K:$K,"&gt;"&amp;'NSST Print'!$B$3,Investors!$I:$I,"&lt;="&amp;'NSST Print'!$B$3,Investors!$A:$A,'Investor Exit List'!$A98,Investors!$E:$E,'Investor Exit List'!$C98,Investors!$L:$L,'Investor Exit List'!$B98)-(SUMIFS(Investors!$M:$M,Investors!$I:$I,"&lt;="&amp;'NSST Print'!$B$3,Investors!$J:$J,"&gt;"&amp;'NSST Print'!$B$3,Investors!$A:$A,'Investor Exit List'!$A98,Investors!$E:$E,'Investor Exit List'!$C98,Investors!$L:$L,'Investor Exit List'!$B98)+SUMIFS(Investors!$M:$M,Investors!$I:$I,"&lt;="&amp;'NSST Print'!$B$3,Investors!$J:$J,"",Investors!$A:$A,'Investor Exit List'!$A98,Investors!$E:$E,'Investor Exit List'!$C98,Investors!$L:$L,'Investor Exit List'!$B98))</f>
        <v>0</v>
      </c>
      <c r="G98" s="118">
        <v>44352</v>
      </c>
      <c r="H98" s="116" t="b">
        <f>VLOOKUP($C98,Sales!$C:$E,2,FALSE)</f>
        <v>1</v>
      </c>
      <c r="I98" s="116" t="b">
        <f>VLOOKUP($C98,Sales!$C:$E,3,FALSE)</f>
        <v>1</v>
      </c>
      <c r="J98" s="118">
        <f>SUMIFS(Sales!$H:$H,Sales!$C:$C,'Investor Exit List'!$C98)</f>
        <v>45688</v>
      </c>
      <c r="K98" s="118">
        <f t="shared" si="12"/>
        <v>45688</v>
      </c>
      <c r="L98" s="118">
        <f t="shared" si="13"/>
        <v>45082</v>
      </c>
      <c r="M98" s="118">
        <v>45443</v>
      </c>
      <c r="N98" s="119">
        <f t="shared" si="14"/>
        <v>0</v>
      </c>
      <c r="O98" s="119">
        <f t="shared" si="15"/>
        <v>0</v>
      </c>
      <c r="P98" s="117">
        <f t="shared" si="16"/>
        <v>0</v>
      </c>
      <c r="Q98" s="117">
        <f>SUMIFS(Investors!$M:$M,Investors!$O:$O,FALSE,Investors!$P:$P,FALSE,Investors!$K:$K,"&gt;"&amp;'NSST Print'!$B$3,Investors!$I:$I,"&lt;="&amp;'NSST Print'!$B$3,Investors!$A:$A,'Investor Exit List'!$A98,Investors!$E:$E,'Investor Exit List'!$C98,Investors!$L:$L,'Investor Exit List'!$B98)-(SUMIFS(Investors!$M:$M,Investors!$I:$I,"&lt;="&amp;'NSST Print'!$B$3,Investors!$J:$J,"&gt;"&amp;'NSST Print'!$B$3,Investors!$A:$A,'Investor Exit List'!$A98,Investors!$E:$E,'Investor Exit List'!$C98,Investors!$L:$L,'Investor Exit List'!$B98)+SUMIFS(Investors!$M:$M,Investors!$I:$I,"&lt;="&amp;'NSST Print'!$B$3,Investors!$J:$J,"",Investors!$A:$A,'Investor Exit List'!$A98,Investors!$E:$E,'Investor Exit List'!$C98,Investors!$L:$L,'Investor Exit List'!$B98))+SUMIFS(Investors!$S:$S,Investors!$O:$O,FALSE,Investors!$P:$P,FALSE,Investors!$K:$K,"&gt;"&amp;'NSST Print'!$B$3,Investors!$I:$I,"&lt;="&amp;'NSST Print'!$B$3,Investors!$A:$A,'Investor Exit List'!$A98,Investors!$E:$E,'Investor Exit List'!$C98,Investors!$L:$L,'Investor Exit List'!$B98)-(SUMIFS(Investors!$S:$S,Investors!$I:$I,"&lt;="&amp;'NSST Print'!$B$3,Investors!$J:$J,"&gt;"&amp;'NSST Print'!$B$3,Investors!$A:$A,'Investor Exit List'!$A98,Investors!$E:$E,'Investor Exit List'!$C98,Investors!$L:$L,'Investor Exit List'!$B98)+SUMIFS(Investors!$S:$S,Investors!$I:$I,"&lt;="&amp;'NSST Print'!$B$3,Investors!$J:$J,"",Investors!$A:$A,'Investor Exit List'!$A98,Investors!$E:$E,'Investor Exit List'!$C98,Investors!$L:$L,'Investor Exit List'!$B98))</f>
        <v>0</v>
      </c>
      <c r="R98" s="117">
        <f t="shared" si="17"/>
        <v>0</v>
      </c>
      <c r="S98" s="117">
        <f>SUMIFS(Investors!$M:$M,Investors!$O:$O,TRUE,Investors!$A:$A,'Investor Exit List'!$A98,Investors!$E:$E,'Investor Exit List'!$C98,Investors!$L:$L,'Investor Exit List'!$B98)+SUMIFS(Investors!$S:$S,Investors!$O:$O,TRUE,Investors!$A:$A,'Investor Exit List'!$A98,Investors!$E:$E,'Investor Exit List'!$C98,Investors!$L:$L,'Investor Exit List'!$B98)</f>
        <v>0</v>
      </c>
      <c r="T98" s="118" t="str">
        <f t="shared" si="18"/>
        <v/>
      </c>
      <c r="U98" s="116" t="b">
        <v>0</v>
      </c>
      <c r="V98" s="117">
        <f t="shared" si="19"/>
        <v>0</v>
      </c>
      <c r="W98" s="116">
        <v>0</v>
      </c>
      <c r="X98" s="116" t="b">
        <v>0</v>
      </c>
      <c r="Y98" s="119">
        <f>IF(H98=FALSE,VLOOKUP($C98,Sales!$C:$F,4,FALSE),1)</f>
        <v>1</v>
      </c>
      <c r="Z98" s="116" t="str">
        <f t="shared" si="20"/>
        <v/>
      </c>
      <c r="AA98" s="118">
        <f t="shared" si="21"/>
        <v>0</v>
      </c>
      <c r="AB98" s="118" t="str">
        <f t="shared" si="22"/>
        <v>HFB108-ZDEK01</v>
      </c>
      <c r="AC98" s="118">
        <f t="shared" si="23"/>
        <v>45082</v>
      </c>
    </row>
    <row r="99" spans="1:29" ht="16" x14ac:dyDescent="0.2">
      <c r="A99" s="116" t="s">
        <v>69</v>
      </c>
      <c r="B99" s="116">
        <v>4</v>
      </c>
      <c r="C99" s="116" t="s">
        <v>260</v>
      </c>
      <c r="D99" s="116" t="s">
        <v>209</v>
      </c>
      <c r="E99" s="116" t="s">
        <v>2022</v>
      </c>
      <c r="F99" s="117">
        <f>SUMIFS(Investors!$M:$M,Investors!$O:$O,FALSE,Investors!$P:$P,FALSE,Investors!$K:$K,"&gt;"&amp;'NSST Print'!$B$3,Investors!$I:$I,"&lt;="&amp;'NSST Print'!$B$3,Investors!$A:$A,'Investor Exit List'!$A99,Investors!$E:$E,'Investor Exit List'!$C99,Investors!$L:$L,'Investor Exit List'!$B99)-(SUMIFS(Investors!$M:$M,Investors!$I:$I,"&lt;="&amp;'NSST Print'!$B$3,Investors!$J:$J,"&gt;"&amp;'NSST Print'!$B$3,Investors!$A:$A,'Investor Exit List'!$A99,Investors!$E:$E,'Investor Exit List'!$C99,Investors!$L:$L,'Investor Exit List'!$B99)+SUMIFS(Investors!$M:$M,Investors!$I:$I,"&lt;="&amp;'NSST Print'!$B$3,Investors!$J:$J,"",Investors!$A:$A,'Investor Exit List'!$A99,Investors!$E:$E,'Investor Exit List'!$C99,Investors!$L:$L,'Investor Exit List'!$B99))</f>
        <v>0</v>
      </c>
      <c r="G99" s="118">
        <v>44316</v>
      </c>
      <c r="H99" s="116" t="b">
        <f>VLOOKUP($C99,Sales!$C:$E,2,FALSE)</f>
        <v>1</v>
      </c>
      <c r="I99" s="116" t="b">
        <f>VLOOKUP($C99,Sales!$C:$E,3,FALSE)</f>
        <v>1</v>
      </c>
      <c r="J99" s="118">
        <f>SUMIFS(Sales!$H:$H,Sales!$C:$C,'Investor Exit List'!$C99)</f>
        <v>45688</v>
      </c>
      <c r="K99" s="118">
        <f t="shared" si="12"/>
        <v>45688</v>
      </c>
      <c r="L99" s="118">
        <f t="shared" si="13"/>
        <v>45046</v>
      </c>
      <c r="M99" s="118">
        <v>45443</v>
      </c>
      <c r="N99" s="119">
        <f t="shared" si="14"/>
        <v>0</v>
      </c>
      <c r="O99" s="119">
        <f t="shared" si="15"/>
        <v>0</v>
      </c>
      <c r="P99" s="117">
        <f t="shared" si="16"/>
        <v>0</v>
      </c>
      <c r="Q99" s="117">
        <f>SUMIFS(Investors!$M:$M,Investors!$O:$O,FALSE,Investors!$P:$P,FALSE,Investors!$K:$K,"&gt;"&amp;'NSST Print'!$B$3,Investors!$I:$I,"&lt;="&amp;'NSST Print'!$B$3,Investors!$A:$A,'Investor Exit List'!$A99,Investors!$E:$E,'Investor Exit List'!$C99,Investors!$L:$L,'Investor Exit List'!$B99)-(SUMIFS(Investors!$M:$M,Investors!$I:$I,"&lt;="&amp;'NSST Print'!$B$3,Investors!$J:$J,"&gt;"&amp;'NSST Print'!$B$3,Investors!$A:$A,'Investor Exit List'!$A99,Investors!$E:$E,'Investor Exit List'!$C99,Investors!$L:$L,'Investor Exit List'!$B99)+SUMIFS(Investors!$M:$M,Investors!$I:$I,"&lt;="&amp;'NSST Print'!$B$3,Investors!$J:$J,"",Investors!$A:$A,'Investor Exit List'!$A99,Investors!$E:$E,'Investor Exit List'!$C99,Investors!$L:$L,'Investor Exit List'!$B99))+SUMIFS(Investors!$S:$S,Investors!$O:$O,FALSE,Investors!$P:$P,FALSE,Investors!$K:$K,"&gt;"&amp;'NSST Print'!$B$3,Investors!$I:$I,"&lt;="&amp;'NSST Print'!$B$3,Investors!$A:$A,'Investor Exit List'!$A99,Investors!$E:$E,'Investor Exit List'!$C99,Investors!$L:$L,'Investor Exit List'!$B99)-(SUMIFS(Investors!$S:$S,Investors!$I:$I,"&lt;="&amp;'NSST Print'!$B$3,Investors!$J:$J,"&gt;"&amp;'NSST Print'!$B$3,Investors!$A:$A,'Investor Exit List'!$A99,Investors!$E:$E,'Investor Exit List'!$C99,Investors!$L:$L,'Investor Exit List'!$B99)+SUMIFS(Investors!$S:$S,Investors!$I:$I,"&lt;="&amp;'NSST Print'!$B$3,Investors!$J:$J,"",Investors!$A:$A,'Investor Exit List'!$A99,Investors!$E:$E,'Investor Exit List'!$C99,Investors!$L:$L,'Investor Exit List'!$B99))</f>
        <v>0</v>
      </c>
      <c r="R99" s="117">
        <f t="shared" si="17"/>
        <v>0</v>
      </c>
      <c r="S99" s="117">
        <f>SUMIFS(Investors!$M:$M,Investors!$O:$O,TRUE,Investors!$A:$A,'Investor Exit List'!$A99,Investors!$E:$E,'Investor Exit List'!$C99,Investors!$L:$L,'Investor Exit List'!$B99)+SUMIFS(Investors!$S:$S,Investors!$O:$O,TRUE,Investors!$A:$A,'Investor Exit List'!$A99,Investors!$E:$E,'Investor Exit List'!$C99,Investors!$L:$L,'Investor Exit List'!$B99)</f>
        <v>148378.69863013699</v>
      </c>
      <c r="T99" s="118">
        <f t="shared" si="18"/>
        <v>45688</v>
      </c>
      <c r="U99" s="116" t="b">
        <v>1</v>
      </c>
      <c r="V99" s="117">
        <f t="shared" si="19"/>
        <v>148378.69863013699</v>
      </c>
      <c r="W99" s="116">
        <v>0</v>
      </c>
      <c r="X99" s="116" t="b">
        <v>0</v>
      </c>
      <c r="Y99" s="119">
        <f>IF(H99=FALSE,VLOOKUP($C99,Sales!$C:$F,4,FALSE),1)</f>
        <v>1</v>
      </c>
      <c r="Z99" s="116" t="str">
        <f t="shared" si="20"/>
        <v/>
      </c>
      <c r="AA99" s="118">
        <f t="shared" si="21"/>
        <v>0</v>
      </c>
      <c r="AB99" s="118" t="str">
        <f t="shared" si="22"/>
        <v>HFB108-ZJOH01</v>
      </c>
      <c r="AC99" s="118">
        <f t="shared" si="23"/>
        <v>45046</v>
      </c>
    </row>
    <row r="100" spans="1:29" ht="16" x14ac:dyDescent="0.2">
      <c r="A100" s="116" t="s">
        <v>264</v>
      </c>
      <c r="B100" s="116">
        <v>1</v>
      </c>
      <c r="C100" s="116" t="s">
        <v>260</v>
      </c>
      <c r="D100" s="116" t="s">
        <v>209</v>
      </c>
      <c r="E100" s="116" t="s">
        <v>2082</v>
      </c>
      <c r="F100" s="117">
        <f>SUMIFS(Investors!$M:$M,Investors!$O:$O,FALSE,Investors!$P:$P,FALSE,Investors!$K:$K,"&gt;"&amp;'NSST Print'!$B$3,Investors!$I:$I,"&lt;="&amp;'NSST Print'!$B$3,Investors!$A:$A,'Investor Exit List'!$A100,Investors!$E:$E,'Investor Exit List'!$C100,Investors!$L:$L,'Investor Exit List'!$B100)-(SUMIFS(Investors!$M:$M,Investors!$I:$I,"&lt;="&amp;'NSST Print'!$B$3,Investors!$J:$J,"&gt;"&amp;'NSST Print'!$B$3,Investors!$A:$A,'Investor Exit List'!$A100,Investors!$E:$E,'Investor Exit List'!$C100,Investors!$L:$L,'Investor Exit List'!$B100)+SUMIFS(Investors!$M:$M,Investors!$I:$I,"&lt;="&amp;'NSST Print'!$B$3,Investors!$J:$J,"",Investors!$A:$A,'Investor Exit List'!$A100,Investors!$E:$E,'Investor Exit List'!$C100,Investors!$L:$L,'Investor Exit List'!$B100))</f>
        <v>0</v>
      </c>
      <c r="G100" s="118">
        <v>44532</v>
      </c>
      <c r="H100" s="116" t="b">
        <f>VLOOKUP($C100,Sales!$C:$E,2,FALSE)</f>
        <v>1</v>
      </c>
      <c r="I100" s="116" t="b">
        <f>VLOOKUP($C100,Sales!$C:$E,3,FALSE)</f>
        <v>1</v>
      </c>
      <c r="J100" s="118">
        <f>SUMIFS(Sales!$H:$H,Sales!$C:$C,'Investor Exit List'!$C100)</f>
        <v>45688</v>
      </c>
      <c r="K100" s="118">
        <f t="shared" si="12"/>
        <v>45688</v>
      </c>
      <c r="L100" s="118">
        <f t="shared" si="13"/>
        <v>45262</v>
      </c>
      <c r="M100" s="118">
        <v>45443</v>
      </c>
      <c r="N100" s="119">
        <f t="shared" si="14"/>
        <v>0</v>
      </c>
      <c r="O100" s="119">
        <f t="shared" si="15"/>
        <v>0</v>
      </c>
      <c r="P100" s="117">
        <f t="shared" si="16"/>
        <v>0</v>
      </c>
      <c r="Q100" s="117">
        <f>SUMIFS(Investors!$M:$M,Investors!$O:$O,FALSE,Investors!$P:$P,FALSE,Investors!$K:$K,"&gt;"&amp;'NSST Print'!$B$3,Investors!$I:$I,"&lt;="&amp;'NSST Print'!$B$3,Investors!$A:$A,'Investor Exit List'!$A100,Investors!$E:$E,'Investor Exit List'!$C100,Investors!$L:$L,'Investor Exit List'!$B100)-(SUMIFS(Investors!$M:$M,Investors!$I:$I,"&lt;="&amp;'NSST Print'!$B$3,Investors!$J:$J,"&gt;"&amp;'NSST Print'!$B$3,Investors!$A:$A,'Investor Exit List'!$A100,Investors!$E:$E,'Investor Exit List'!$C100,Investors!$L:$L,'Investor Exit List'!$B100)+SUMIFS(Investors!$M:$M,Investors!$I:$I,"&lt;="&amp;'NSST Print'!$B$3,Investors!$J:$J,"",Investors!$A:$A,'Investor Exit List'!$A100,Investors!$E:$E,'Investor Exit List'!$C100,Investors!$L:$L,'Investor Exit List'!$B100))+SUMIFS(Investors!$S:$S,Investors!$O:$O,FALSE,Investors!$P:$P,FALSE,Investors!$K:$K,"&gt;"&amp;'NSST Print'!$B$3,Investors!$I:$I,"&lt;="&amp;'NSST Print'!$B$3,Investors!$A:$A,'Investor Exit List'!$A100,Investors!$E:$E,'Investor Exit List'!$C100,Investors!$L:$L,'Investor Exit List'!$B100)-(SUMIFS(Investors!$S:$S,Investors!$I:$I,"&lt;="&amp;'NSST Print'!$B$3,Investors!$J:$J,"&gt;"&amp;'NSST Print'!$B$3,Investors!$A:$A,'Investor Exit List'!$A100,Investors!$E:$E,'Investor Exit List'!$C100,Investors!$L:$L,'Investor Exit List'!$B100)+SUMIFS(Investors!$S:$S,Investors!$I:$I,"&lt;="&amp;'NSST Print'!$B$3,Investors!$J:$J,"",Investors!$A:$A,'Investor Exit List'!$A100,Investors!$E:$E,'Investor Exit List'!$C100,Investors!$L:$L,'Investor Exit List'!$B100))</f>
        <v>0</v>
      </c>
      <c r="R100" s="117">
        <f t="shared" si="17"/>
        <v>0</v>
      </c>
      <c r="S100" s="117">
        <f>SUMIFS(Investors!$M:$M,Investors!$O:$O,TRUE,Investors!$A:$A,'Investor Exit List'!$A100,Investors!$E:$E,'Investor Exit List'!$C100,Investors!$L:$L,'Investor Exit List'!$B100)+SUMIFS(Investors!$S:$S,Investors!$O:$O,TRUE,Investors!$A:$A,'Investor Exit List'!$A100,Investors!$E:$E,'Investor Exit List'!$C100,Investors!$L:$L,'Investor Exit List'!$B100)</f>
        <v>0</v>
      </c>
      <c r="T100" s="118" t="str">
        <f t="shared" si="18"/>
        <v/>
      </c>
      <c r="U100" s="116" t="b">
        <v>0</v>
      </c>
      <c r="V100" s="117">
        <f t="shared" si="19"/>
        <v>0</v>
      </c>
      <c r="W100" s="116">
        <v>0</v>
      </c>
      <c r="X100" s="116" t="b">
        <v>0</v>
      </c>
      <c r="Y100" s="119">
        <f>IF(H100=FALSE,VLOOKUP($C100,Sales!$C:$F,4,FALSE),1)</f>
        <v>1</v>
      </c>
      <c r="Z100" s="116" t="str">
        <f t="shared" si="20"/>
        <v/>
      </c>
      <c r="AA100" s="118">
        <f t="shared" si="21"/>
        <v>0</v>
      </c>
      <c r="AB100" s="118" t="str">
        <f t="shared" si="22"/>
        <v>HFB108-ZSCA01</v>
      </c>
      <c r="AC100" s="118">
        <f t="shared" si="23"/>
        <v>45262</v>
      </c>
    </row>
    <row r="101" spans="1:29" ht="16" x14ac:dyDescent="0.2">
      <c r="A101" s="116" t="s">
        <v>52</v>
      </c>
      <c r="B101" s="116">
        <v>4</v>
      </c>
      <c r="C101" s="116" t="s">
        <v>267</v>
      </c>
      <c r="D101" s="116" t="s">
        <v>209</v>
      </c>
      <c r="E101" s="116" t="s">
        <v>2017</v>
      </c>
      <c r="F101" s="117">
        <f>SUMIFS(Investors!$M:$M,Investors!$O:$O,FALSE,Investors!$P:$P,FALSE,Investors!$K:$K,"&gt;"&amp;'NSST Print'!$B$3,Investors!$I:$I,"&lt;="&amp;'NSST Print'!$B$3,Investors!$A:$A,'Investor Exit List'!$A101,Investors!$E:$E,'Investor Exit List'!$C101,Investors!$L:$L,'Investor Exit List'!$B101)-(SUMIFS(Investors!$M:$M,Investors!$I:$I,"&lt;="&amp;'NSST Print'!$B$3,Investors!$J:$J,"&gt;"&amp;'NSST Print'!$B$3,Investors!$A:$A,'Investor Exit List'!$A101,Investors!$E:$E,'Investor Exit List'!$C101,Investors!$L:$L,'Investor Exit List'!$B101)+SUMIFS(Investors!$M:$M,Investors!$I:$I,"&lt;="&amp;'NSST Print'!$B$3,Investors!$J:$J,"",Investors!$A:$A,'Investor Exit List'!$A101,Investors!$E:$E,'Investor Exit List'!$C101,Investors!$L:$L,'Investor Exit List'!$B101))</f>
        <v>0</v>
      </c>
      <c r="G101" s="118">
        <v>44352</v>
      </c>
      <c r="H101" s="116" t="b">
        <f>VLOOKUP($C101,Sales!$C:$E,2,FALSE)</f>
        <v>1</v>
      </c>
      <c r="I101" s="116" t="b">
        <f>VLOOKUP($C101,Sales!$C:$E,3,FALSE)</f>
        <v>1</v>
      </c>
      <c r="J101" s="118">
        <f>SUMIFS(Sales!$H:$H,Sales!$C:$C,'Investor Exit List'!$C101)</f>
        <v>45688</v>
      </c>
      <c r="K101" s="118">
        <f t="shared" si="12"/>
        <v>45688</v>
      </c>
      <c r="L101" s="118">
        <f t="shared" si="13"/>
        <v>45082</v>
      </c>
      <c r="M101" s="118">
        <v>45443</v>
      </c>
      <c r="N101" s="119">
        <f t="shared" si="14"/>
        <v>0</v>
      </c>
      <c r="O101" s="119">
        <f t="shared" si="15"/>
        <v>0</v>
      </c>
      <c r="P101" s="117">
        <f t="shared" si="16"/>
        <v>0</v>
      </c>
      <c r="Q101" s="117">
        <f>SUMIFS(Investors!$M:$M,Investors!$O:$O,FALSE,Investors!$P:$P,FALSE,Investors!$K:$K,"&gt;"&amp;'NSST Print'!$B$3,Investors!$I:$I,"&lt;="&amp;'NSST Print'!$B$3,Investors!$A:$A,'Investor Exit List'!$A101,Investors!$E:$E,'Investor Exit List'!$C101,Investors!$L:$L,'Investor Exit List'!$B101)-(SUMIFS(Investors!$M:$M,Investors!$I:$I,"&lt;="&amp;'NSST Print'!$B$3,Investors!$J:$J,"&gt;"&amp;'NSST Print'!$B$3,Investors!$A:$A,'Investor Exit List'!$A101,Investors!$E:$E,'Investor Exit List'!$C101,Investors!$L:$L,'Investor Exit List'!$B101)+SUMIFS(Investors!$M:$M,Investors!$I:$I,"&lt;="&amp;'NSST Print'!$B$3,Investors!$J:$J,"",Investors!$A:$A,'Investor Exit List'!$A101,Investors!$E:$E,'Investor Exit List'!$C101,Investors!$L:$L,'Investor Exit List'!$B101))+SUMIFS(Investors!$S:$S,Investors!$O:$O,FALSE,Investors!$P:$P,FALSE,Investors!$K:$K,"&gt;"&amp;'NSST Print'!$B$3,Investors!$I:$I,"&lt;="&amp;'NSST Print'!$B$3,Investors!$A:$A,'Investor Exit List'!$A101,Investors!$E:$E,'Investor Exit List'!$C101,Investors!$L:$L,'Investor Exit List'!$B101)-(SUMIFS(Investors!$S:$S,Investors!$I:$I,"&lt;="&amp;'NSST Print'!$B$3,Investors!$J:$J,"&gt;"&amp;'NSST Print'!$B$3,Investors!$A:$A,'Investor Exit List'!$A101,Investors!$E:$E,'Investor Exit List'!$C101,Investors!$L:$L,'Investor Exit List'!$B101)+SUMIFS(Investors!$S:$S,Investors!$I:$I,"&lt;="&amp;'NSST Print'!$B$3,Investors!$J:$J,"",Investors!$A:$A,'Investor Exit List'!$A101,Investors!$E:$E,'Investor Exit List'!$C101,Investors!$L:$L,'Investor Exit List'!$B101))</f>
        <v>0</v>
      </c>
      <c r="R101" s="117">
        <f t="shared" si="17"/>
        <v>0</v>
      </c>
      <c r="S101" s="117">
        <f>SUMIFS(Investors!$M:$M,Investors!$O:$O,TRUE,Investors!$A:$A,'Investor Exit List'!$A101,Investors!$E:$E,'Investor Exit List'!$C101,Investors!$L:$L,'Investor Exit List'!$B101)+SUMIFS(Investors!$S:$S,Investors!$O:$O,TRUE,Investors!$A:$A,'Investor Exit List'!$A101,Investors!$E:$E,'Investor Exit List'!$C101,Investors!$L:$L,'Investor Exit List'!$B101)</f>
        <v>0</v>
      </c>
      <c r="T101" s="118" t="str">
        <f t="shared" si="18"/>
        <v/>
      </c>
      <c r="U101" s="116" t="b">
        <v>0</v>
      </c>
      <c r="V101" s="117">
        <f t="shared" si="19"/>
        <v>0</v>
      </c>
      <c r="W101" s="116">
        <v>0</v>
      </c>
      <c r="X101" s="116" t="b">
        <v>0</v>
      </c>
      <c r="Y101" s="119">
        <f>IF(H101=FALSE,VLOOKUP($C101,Sales!$C:$F,4,FALSE),1)</f>
        <v>1</v>
      </c>
      <c r="Z101" s="116" t="str">
        <f t="shared" si="20"/>
        <v/>
      </c>
      <c r="AA101" s="118">
        <f t="shared" si="21"/>
        <v>0</v>
      </c>
      <c r="AB101" s="118" t="str">
        <f t="shared" si="22"/>
        <v>HFB109-ZCRO01</v>
      </c>
      <c r="AC101" s="118">
        <f t="shared" si="23"/>
        <v>45082</v>
      </c>
    </row>
    <row r="102" spans="1:29" ht="16" x14ac:dyDescent="0.2">
      <c r="A102" s="116" t="s">
        <v>268</v>
      </c>
      <c r="B102" s="116">
        <v>1</v>
      </c>
      <c r="C102" s="116" t="s">
        <v>267</v>
      </c>
      <c r="D102" s="116" t="s">
        <v>209</v>
      </c>
      <c r="E102" s="116" t="s">
        <v>2083</v>
      </c>
      <c r="F102" s="117">
        <f>SUMIFS(Investors!$M:$M,Investors!$O:$O,FALSE,Investors!$P:$P,FALSE,Investors!$K:$K,"&gt;"&amp;'NSST Print'!$B$3,Investors!$I:$I,"&lt;="&amp;'NSST Print'!$B$3,Investors!$A:$A,'Investor Exit List'!$A102,Investors!$E:$E,'Investor Exit List'!$C102,Investors!$L:$L,'Investor Exit List'!$B102)-(SUMIFS(Investors!$M:$M,Investors!$I:$I,"&lt;="&amp;'NSST Print'!$B$3,Investors!$J:$J,"&gt;"&amp;'NSST Print'!$B$3,Investors!$A:$A,'Investor Exit List'!$A102,Investors!$E:$E,'Investor Exit List'!$C102,Investors!$L:$L,'Investor Exit List'!$B102)+SUMIFS(Investors!$M:$M,Investors!$I:$I,"&lt;="&amp;'NSST Print'!$B$3,Investors!$J:$J,"",Investors!$A:$A,'Investor Exit List'!$A102,Investors!$E:$E,'Investor Exit List'!$C102,Investors!$L:$L,'Investor Exit List'!$B102))</f>
        <v>0</v>
      </c>
      <c r="G102" s="118">
        <v>44352</v>
      </c>
      <c r="H102" s="116" t="b">
        <f>VLOOKUP($C102,Sales!$C:$E,2,FALSE)</f>
        <v>1</v>
      </c>
      <c r="I102" s="116" t="b">
        <f>VLOOKUP($C102,Sales!$C:$E,3,FALSE)</f>
        <v>1</v>
      </c>
      <c r="J102" s="118">
        <f>SUMIFS(Sales!$H:$H,Sales!$C:$C,'Investor Exit List'!$C102)</f>
        <v>45688</v>
      </c>
      <c r="K102" s="118">
        <f t="shared" si="12"/>
        <v>45688</v>
      </c>
      <c r="L102" s="118">
        <f t="shared" si="13"/>
        <v>45082</v>
      </c>
      <c r="M102" s="118">
        <v>45443</v>
      </c>
      <c r="N102" s="119">
        <f t="shared" si="14"/>
        <v>0</v>
      </c>
      <c r="O102" s="119">
        <f t="shared" si="15"/>
        <v>0</v>
      </c>
      <c r="P102" s="117">
        <f t="shared" si="16"/>
        <v>0</v>
      </c>
      <c r="Q102" s="117">
        <f>SUMIFS(Investors!$M:$M,Investors!$O:$O,FALSE,Investors!$P:$P,FALSE,Investors!$K:$K,"&gt;"&amp;'NSST Print'!$B$3,Investors!$I:$I,"&lt;="&amp;'NSST Print'!$B$3,Investors!$A:$A,'Investor Exit List'!$A102,Investors!$E:$E,'Investor Exit List'!$C102,Investors!$L:$L,'Investor Exit List'!$B102)-(SUMIFS(Investors!$M:$M,Investors!$I:$I,"&lt;="&amp;'NSST Print'!$B$3,Investors!$J:$J,"&gt;"&amp;'NSST Print'!$B$3,Investors!$A:$A,'Investor Exit List'!$A102,Investors!$E:$E,'Investor Exit List'!$C102,Investors!$L:$L,'Investor Exit List'!$B102)+SUMIFS(Investors!$M:$M,Investors!$I:$I,"&lt;="&amp;'NSST Print'!$B$3,Investors!$J:$J,"",Investors!$A:$A,'Investor Exit List'!$A102,Investors!$E:$E,'Investor Exit List'!$C102,Investors!$L:$L,'Investor Exit List'!$B102))+SUMIFS(Investors!$S:$S,Investors!$O:$O,FALSE,Investors!$P:$P,FALSE,Investors!$K:$K,"&gt;"&amp;'NSST Print'!$B$3,Investors!$I:$I,"&lt;="&amp;'NSST Print'!$B$3,Investors!$A:$A,'Investor Exit List'!$A102,Investors!$E:$E,'Investor Exit List'!$C102,Investors!$L:$L,'Investor Exit List'!$B102)-(SUMIFS(Investors!$S:$S,Investors!$I:$I,"&lt;="&amp;'NSST Print'!$B$3,Investors!$J:$J,"&gt;"&amp;'NSST Print'!$B$3,Investors!$A:$A,'Investor Exit List'!$A102,Investors!$E:$E,'Investor Exit List'!$C102,Investors!$L:$L,'Investor Exit List'!$B102)+SUMIFS(Investors!$S:$S,Investors!$I:$I,"&lt;="&amp;'NSST Print'!$B$3,Investors!$J:$J,"",Investors!$A:$A,'Investor Exit List'!$A102,Investors!$E:$E,'Investor Exit List'!$C102,Investors!$L:$L,'Investor Exit List'!$B102))</f>
        <v>0</v>
      </c>
      <c r="R102" s="117">
        <f t="shared" si="17"/>
        <v>0</v>
      </c>
      <c r="S102" s="117">
        <f>SUMIFS(Investors!$M:$M,Investors!$O:$O,TRUE,Investors!$A:$A,'Investor Exit List'!$A102,Investors!$E:$E,'Investor Exit List'!$C102,Investors!$L:$L,'Investor Exit List'!$B102)+SUMIFS(Investors!$S:$S,Investors!$O:$O,TRUE,Investors!$A:$A,'Investor Exit List'!$A102,Investors!$E:$E,'Investor Exit List'!$C102,Investors!$L:$L,'Investor Exit List'!$B102)</f>
        <v>0</v>
      </c>
      <c r="T102" s="118" t="str">
        <f t="shared" si="18"/>
        <v/>
      </c>
      <c r="U102" s="116" t="b">
        <v>0</v>
      </c>
      <c r="V102" s="117">
        <f t="shared" si="19"/>
        <v>0</v>
      </c>
      <c r="W102" s="116">
        <v>0</v>
      </c>
      <c r="X102" s="116" t="b">
        <v>0</v>
      </c>
      <c r="Y102" s="119">
        <f>IF(H102=FALSE,VLOOKUP($C102,Sales!$C:$F,4,FALSE),1)</f>
        <v>1</v>
      </c>
      <c r="Z102" s="116" t="str">
        <f t="shared" si="20"/>
        <v/>
      </c>
      <c r="AA102" s="118">
        <f t="shared" si="21"/>
        <v>0</v>
      </c>
      <c r="AB102" s="118" t="str">
        <f t="shared" si="22"/>
        <v>HFB109-ZGIL01</v>
      </c>
      <c r="AC102" s="118">
        <f t="shared" si="23"/>
        <v>45082</v>
      </c>
    </row>
    <row r="103" spans="1:29" ht="16" x14ac:dyDescent="0.2">
      <c r="A103" s="116" t="s">
        <v>271</v>
      </c>
      <c r="B103" s="116">
        <v>1</v>
      </c>
      <c r="C103" s="116" t="s">
        <v>267</v>
      </c>
      <c r="D103" s="116" t="s">
        <v>209</v>
      </c>
      <c r="E103" s="116" t="s">
        <v>2084</v>
      </c>
      <c r="F103" s="117">
        <f>SUMIFS(Investors!$M:$M,Investors!$O:$O,FALSE,Investors!$P:$P,FALSE,Investors!$K:$K,"&gt;"&amp;'NSST Print'!$B$3,Investors!$I:$I,"&lt;="&amp;'NSST Print'!$B$3,Investors!$A:$A,'Investor Exit List'!$A103,Investors!$E:$E,'Investor Exit List'!$C103,Investors!$L:$L,'Investor Exit List'!$B103)-(SUMIFS(Investors!$M:$M,Investors!$I:$I,"&lt;="&amp;'NSST Print'!$B$3,Investors!$J:$J,"&gt;"&amp;'NSST Print'!$B$3,Investors!$A:$A,'Investor Exit List'!$A103,Investors!$E:$E,'Investor Exit List'!$C103,Investors!$L:$L,'Investor Exit List'!$B103)+SUMIFS(Investors!$M:$M,Investors!$I:$I,"&lt;="&amp;'NSST Print'!$B$3,Investors!$J:$J,"",Investors!$A:$A,'Investor Exit List'!$A103,Investors!$E:$E,'Investor Exit List'!$C103,Investors!$L:$L,'Investor Exit List'!$B103))</f>
        <v>0</v>
      </c>
      <c r="G103" s="118">
        <v>44352</v>
      </c>
      <c r="H103" s="116" t="b">
        <f>VLOOKUP($C103,Sales!$C:$E,2,FALSE)</f>
        <v>1</v>
      </c>
      <c r="I103" s="116" t="b">
        <f>VLOOKUP($C103,Sales!$C:$E,3,FALSE)</f>
        <v>1</v>
      </c>
      <c r="J103" s="118">
        <f>SUMIFS(Sales!$H:$H,Sales!$C:$C,'Investor Exit List'!$C103)</f>
        <v>45688</v>
      </c>
      <c r="K103" s="118">
        <f t="shared" si="12"/>
        <v>45688</v>
      </c>
      <c r="L103" s="118">
        <f t="shared" si="13"/>
        <v>45082</v>
      </c>
      <c r="M103" s="118">
        <v>45443</v>
      </c>
      <c r="N103" s="119">
        <f t="shared" si="14"/>
        <v>0</v>
      </c>
      <c r="O103" s="119">
        <f t="shared" si="15"/>
        <v>0</v>
      </c>
      <c r="P103" s="117">
        <f t="shared" si="16"/>
        <v>0</v>
      </c>
      <c r="Q103" s="117">
        <f>SUMIFS(Investors!$M:$M,Investors!$O:$O,FALSE,Investors!$P:$P,FALSE,Investors!$K:$K,"&gt;"&amp;'NSST Print'!$B$3,Investors!$I:$I,"&lt;="&amp;'NSST Print'!$B$3,Investors!$A:$A,'Investor Exit List'!$A103,Investors!$E:$E,'Investor Exit List'!$C103,Investors!$L:$L,'Investor Exit List'!$B103)-(SUMIFS(Investors!$M:$M,Investors!$I:$I,"&lt;="&amp;'NSST Print'!$B$3,Investors!$J:$J,"&gt;"&amp;'NSST Print'!$B$3,Investors!$A:$A,'Investor Exit List'!$A103,Investors!$E:$E,'Investor Exit List'!$C103,Investors!$L:$L,'Investor Exit List'!$B103)+SUMIFS(Investors!$M:$M,Investors!$I:$I,"&lt;="&amp;'NSST Print'!$B$3,Investors!$J:$J,"",Investors!$A:$A,'Investor Exit List'!$A103,Investors!$E:$E,'Investor Exit List'!$C103,Investors!$L:$L,'Investor Exit List'!$B103))+SUMIFS(Investors!$S:$S,Investors!$O:$O,FALSE,Investors!$P:$P,FALSE,Investors!$K:$K,"&gt;"&amp;'NSST Print'!$B$3,Investors!$I:$I,"&lt;="&amp;'NSST Print'!$B$3,Investors!$A:$A,'Investor Exit List'!$A103,Investors!$E:$E,'Investor Exit List'!$C103,Investors!$L:$L,'Investor Exit List'!$B103)-(SUMIFS(Investors!$S:$S,Investors!$I:$I,"&lt;="&amp;'NSST Print'!$B$3,Investors!$J:$J,"&gt;"&amp;'NSST Print'!$B$3,Investors!$A:$A,'Investor Exit List'!$A103,Investors!$E:$E,'Investor Exit List'!$C103,Investors!$L:$L,'Investor Exit List'!$B103)+SUMIFS(Investors!$S:$S,Investors!$I:$I,"&lt;="&amp;'NSST Print'!$B$3,Investors!$J:$J,"",Investors!$A:$A,'Investor Exit List'!$A103,Investors!$E:$E,'Investor Exit List'!$C103,Investors!$L:$L,'Investor Exit List'!$B103))</f>
        <v>0</v>
      </c>
      <c r="R103" s="117">
        <f t="shared" si="17"/>
        <v>0</v>
      </c>
      <c r="S103" s="117">
        <f>SUMIFS(Investors!$M:$M,Investors!$O:$O,TRUE,Investors!$A:$A,'Investor Exit List'!$A103,Investors!$E:$E,'Investor Exit List'!$C103,Investors!$L:$L,'Investor Exit List'!$B103)+SUMIFS(Investors!$S:$S,Investors!$O:$O,TRUE,Investors!$A:$A,'Investor Exit List'!$A103,Investors!$E:$E,'Investor Exit List'!$C103,Investors!$L:$L,'Investor Exit List'!$B103)</f>
        <v>0</v>
      </c>
      <c r="T103" s="118" t="str">
        <f t="shared" si="18"/>
        <v/>
      </c>
      <c r="U103" s="116" t="b">
        <v>0</v>
      </c>
      <c r="V103" s="117">
        <f t="shared" si="19"/>
        <v>0</v>
      </c>
      <c r="W103" s="116">
        <v>0</v>
      </c>
      <c r="X103" s="116" t="b">
        <v>0</v>
      </c>
      <c r="Y103" s="119">
        <f>IF(H103=FALSE,VLOOKUP($C103,Sales!$C:$F,4,FALSE),1)</f>
        <v>1</v>
      </c>
      <c r="Z103" s="116" t="str">
        <f t="shared" si="20"/>
        <v/>
      </c>
      <c r="AA103" s="118">
        <f t="shared" si="21"/>
        <v>0</v>
      </c>
      <c r="AB103" s="118" t="str">
        <f t="shared" si="22"/>
        <v>HFB109-ZHAM01</v>
      </c>
      <c r="AC103" s="118">
        <f t="shared" si="23"/>
        <v>45082</v>
      </c>
    </row>
    <row r="104" spans="1:29" ht="16" x14ac:dyDescent="0.2">
      <c r="A104" s="116" t="s">
        <v>207</v>
      </c>
      <c r="B104" s="116">
        <v>6</v>
      </c>
      <c r="C104" s="116" t="s">
        <v>267</v>
      </c>
      <c r="D104" s="116" t="s">
        <v>209</v>
      </c>
      <c r="E104" s="116" t="s">
        <v>2017</v>
      </c>
      <c r="F104" s="117">
        <f>SUMIFS(Investors!$M:$M,Investors!$O:$O,FALSE,Investors!$P:$P,FALSE,Investors!$K:$K,"&gt;"&amp;'NSST Print'!$B$3,Investors!$I:$I,"&lt;="&amp;'NSST Print'!$B$3,Investors!$A:$A,'Investor Exit List'!$A104,Investors!$E:$E,'Investor Exit List'!$C104,Investors!$L:$L,'Investor Exit List'!$B104)-(SUMIFS(Investors!$M:$M,Investors!$I:$I,"&lt;="&amp;'NSST Print'!$B$3,Investors!$J:$J,"&gt;"&amp;'NSST Print'!$B$3,Investors!$A:$A,'Investor Exit List'!$A104,Investors!$E:$E,'Investor Exit List'!$C104,Investors!$L:$L,'Investor Exit List'!$B104)+SUMIFS(Investors!$M:$M,Investors!$I:$I,"&lt;="&amp;'NSST Print'!$B$3,Investors!$J:$J,"",Investors!$A:$A,'Investor Exit List'!$A104,Investors!$E:$E,'Investor Exit List'!$C104,Investors!$L:$L,'Investor Exit List'!$B104))</f>
        <v>0</v>
      </c>
      <c r="G104" s="118">
        <v>44316</v>
      </c>
      <c r="H104" s="116" t="b">
        <f>VLOOKUP($C104,Sales!$C:$E,2,FALSE)</f>
        <v>1</v>
      </c>
      <c r="I104" s="116" t="b">
        <f>VLOOKUP($C104,Sales!$C:$E,3,FALSE)</f>
        <v>1</v>
      </c>
      <c r="J104" s="118">
        <f>SUMIFS(Sales!$H:$H,Sales!$C:$C,'Investor Exit List'!$C104)</f>
        <v>45688</v>
      </c>
      <c r="K104" s="118">
        <f t="shared" si="12"/>
        <v>45688</v>
      </c>
      <c r="L104" s="118">
        <f t="shared" si="13"/>
        <v>45046</v>
      </c>
      <c r="M104" s="118">
        <v>45443</v>
      </c>
      <c r="N104" s="119">
        <f t="shared" si="14"/>
        <v>0</v>
      </c>
      <c r="O104" s="119">
        <f t="shared" si="15"/>
        <v>0</v>
      </c>
      <c r="P104" s="117">
        <f t="shared" si="16"/>
        <v>0</v>
      </c>
      <c r="Q104" s="117">
        <f>SUMIFS(Investors!$M:$M,Investors!$O:$O,FALSE,Investors!$P:$P,FALSE,Investors!$K:$K,"&gt;"&amp;'NSST Print'!$B$3,Investors!$I:$I,"&lt;="&amp;'NSST Print'!$B$3,Investors!$A:$A,'Investor Exit List'!$A104,Investors!$E:$E,'Investor Exit List'!$C104,Investors!$L:$L,'Investor Exit List'!$B104)-(SUMIFS(Investors!$M:$M,Investors!$I:$I,"&lt;="&amp;'NSST Print'!$B$3,Investors!$J:$J,"&gt;"&amp;'NSST Print'!$B$3,Investors!$A:$A,'Investor Exit List'!$A104,Investors!$E:$E,'Investor Exit List'!$C104,Investors!$L:$L,'Investor Exit List'!$B104)+SUMIFS(Investors!$M:$M,Investors!$I:$I,"&lt;="&amp;'NSST Print'!$B$3,Investors!$J:$J,"",Investors!$A:$A,'Investor Exit List'!$A104,Investors!$E:$E,'Investor Exit List'!$C104,Investors!$L:$L,'Investor Exit List'!$B104))+SUMIFS(Investors!$S:$S,Investors!$O:$O,FALSE,Investors!$P:$P,FALSE,Investors!$K:$K,"&gt;"&amp;'NSST Print'!$B$3,Investors!$I:$I,"&lt;="&amp;'NSST Print'!$B$3,Investors!$A:$A,'Investor Exit List'!$A104,Investors!$E:$E,'Investor Exit List'!$C104,Investors!$L:$L,'Investor Exit List'!$B104)-(SUMIFS(Investors!$S:$S,Investors!$I:$I,"&lt;="&amp;'NSST Print'!$B$3,Investors!$J:$J,"&gt;"&amp;'NSST Print'!$B$3,Investors!$A:$A,'Investor Exit List'!$A104,Investors!$E:$E,'Investor Exit List'!$C104,Investors!$L:$L,'Investor Exit List'!$B104)+SUMIFS(Investors!$S:$S,Investors!$I:$I,"&lt;="&amp;'NSST Print'!$B$3,Investors!$J:$J,"",Investors!$A:$A,'Investor Exit List'!$A104,Investors!$E:$E,'Investor Exit List'!$C104,Investors!$L:$L,'Investor Exit List'!$B104))</f>
        <v>0</v>
      </c>
      <c r="R104" s="117">
        <f t="shared" si="17"/>
        <v>0</v>
      </c>
      <c r="S104" s="117">
        <f>SUMIFS(Investors!$M:$M,Investors!$O:$O,TRUE,Investors!$A:$A,'Investor Exit List'!$A104,Investors!$E:$E,'Investor Exit List'!$C104,Investors!$L:$L,'Investor Exit List'!$B104)+SUMIFS(Investors!$S:$S,Investors!$O:$O,TRUE,Investors!$A:$A,'Investor Exit List'!$A104,Investors!$E:$E,'Investor Exit List'!$C104,Investors!$L:$L,'Investor Exit List'!$B104)</f>
        <v>0</v>
      </c>
      <c r="T104" s="118" t="str">
        <f t="shared" si="18"/>
        <v/>
      </c>
      <c r="U104" s="116" t="b">
        <v>0</v>
      </c>
      <c r="V104" s="117">
        <f t="shared" si="19"/>
        <v>0</v>
      </c>
      <c r="W104" s="116">
        <v>0</v>
      </c>
      <c r="X104" s="116" t="b">
        <v>0</v>
      </c>
      <c r="Y104" s="119">
        <f>IF(H104=FALSE,VLOOKUP($C104,Sales!$C:$F,4,FALSE),1)</f>
        <v>1</v>
      </c>
      <c r="Z104" s="116" t="str">
        <f t="shared" si="20"/>
        <v/>
      </c>
      <c r="AA104" s="118">
        <f t="shared" si="21"/>
        <v>0</v>
      </c>
      <c r="AB104" s="118" t="str">
        <f t="shared" si="22"/>
        <v>HFB109-ZINT01</v>
      </c>
      <c r="AC104" s="118">
        <f t="shared" si="23"/>
        <v>45046</v>
      </c>
    </row>
    <row r="105" spans="1:29" ht="16" x14ac:dyDescent="0.2">
      <c r="A105" s="116" t="s">
        <v>179</v>
      </c>
      <c r="B105" s="116">
        <v>2</v>
      </c>
      <c r="C105" s="116" t="s">
        <v>274</v>
      </c>
      <c r="D105" s="116" t="s">
        <v>209</v>
      </c>
      <c r="E105" s="116" t="s">
        <v>2056</v>
      </c>
      <c r="F105" s="117">
        <f>SUMIFS(Investors!$M:$M,Investors!$O:$O,FALSE,Investors!$P:$P,FALSE,Investors!$K:$K,"&gt;"&amp;'NSST Print'!$B$3,Investors!$I:$I,"&lt;="&amp;'NSST Print'!$B$3,Investors!$A:$A,'Investor Exit List'!$A105,Investors!$E:$E,'Investor Exit List'!$C105,Investors!$L:$L,'Investor Exit List'!$B105)-(SUMIFS(Investors!$M:$M,Investors!$I:$I,"&lt;="&amp;'NSST Print'!$B$3,Investors!$J:$J,"&gt;"&amp;'NSST Print'!$B$3,Investors!$A:$A,'Investor Exit List'!$A105,Investors!$E:$E,'Investor Exit List'!$C105,Investors!$L:$L,'Investor Exit List'!$B105)+SUMIFS(Investors!$M:$M,Investors!$I:$I,"&lt;="&amp;'NSST Print'!$B$3,Investors!$J:$J,"",Investors!$A:$A,'Investor Exit List'!$A105,Investors!$E:$E,'Investor Exit List'!$C105,Investors!$L:$L,'Investor Exit List'!$B105))</f>
        <v>0</v>
      </c>
      <c r="G105" s="118">
        <v>44352</v>
      </c>
      <c r="H105" s="116" t="b">
        <f>VLOOKUP($C105,Sales!$C:$E,2,FALSE)</f>
        <v>1</v>
      </c>
      <c r="I105" s="116" t="b">
        <f>VLOOKUP($C105,Sales!$C:$E,3,FALSE)</f>
        <v>1</v>
      </c>
      <c r="J105" s="118">
        <f>SUMIFS(Sales!$H:$H,Sales!$C:$C,'Investor Exit List'!$C105)</f>
        <v>45688</v>
      </c>
      <c r="K105" s="118">
        <f t="shared" si="12"/>
        <v>45688</v>
      </c>
      <c r="L105" s="118">
        <f t="shared" si="13"/>
        <v>45082</v>
      </c>
      <c r="M105" s="118">
        <v>45443</v>
      </c>
      <c r="N105" s="119">
        <f t="shared" si="14"/>
        <v>0</v>
      </c>
      <c r="O105" s="119">
        <f t="shared" si="15"/>
        <v>0</v>
      </c>
      <c r="P105" s="117">
        <f t="shared" si="16"/>
        <v>0</v>
      </c>
      <c r="Q105" s="117">
        <f>SUMIFS(Investors!$M:$M,Investors!$O:$O,FALSE,Investors!$P:$P,FALSE,Investors!$K:$K,"&gt;"&amp;'NSST Print'!$B$3,Investors!$I:$I,"&lt;="&amp;'NSST Print'!$B$3,Investors!$A:$A,'Investor Exit List'!$A105,Investors!$E:$E,'Investor Exit List'!$C105,Investors!$L:$L,'Investor Exit List'!$B105)-(SUMIFS(Investors!$M:$M,Investors!$I:$I,"&lt;="&amp;'NSST Print'!$B$3,Investors!$J:$J,"&gt;"&amp;'NSST Print'!$B$3,Investors!$A:$A,'Investor Exit List'!$A105,Investors!$E:$E,'Investor Exit List'!$C105,Investors!$L:$L,'Investor Exit List'!$B105)+SUMIFS(Investors!$M:$M,Investors!$I:$I,"&lt;="&amp;'NSST Print'!$B$3,Investors!$J:$J,"",Investors!$A:$A,'Investor Exit List'!$A105,Investors!$E:$E,'Investor Exit List'!$C105,Investors!$L:$L,'Investor Exit List'!$B105))+SUMIFS(Investors!$S:$S,Investors!$O:$O,FALSE,Investors!$P:$P,FALSE,Investors!$K:$K,"&gt;"&amp;'NSST Print'!$B$3,Investors!$I:$I,"&lt;="&amp;'NSST Print'!$B$3,Investors!$A:$A,'Investor Exit List'!$A105,Investors!$E:$E,'Investor Exit List'!$C105,Investors!$L:$L,'Investor Exit List'!$B105)-(SUMIFS(Investors!$S:$S,Investors!$I:$I,"&lt;="&amp;'NSST Print'!$B$3,Investors!$J:$J,"&gt;"&amp;'NSST Print'!$B$3,Investors!$A:$A,'Investor Exit List'!$A105,Investors!$E:$E,'Investor Exit List'!$C105,Investors!$L:$L,'Investor Exit List'!$B105)+SUMIFS(Investors!$S:$S,Investors!$I:$I,"&lt;="&amp;'NSST Print'!$B$3,Investors!$J:$J,"",Investors!$A:$A,'Investor Exit List'!$A105,Investors!$E:$E,'Investor Exit List'!$C105,Investors!$L:$L,'Investor Exit List'!$B105))</f>
        <v>0</v>
      </c>
      <c r="R105" s="117">
        <f t="shared" si="17"/>
        <v>0</v>
      </c>
      <c r="S105" s="117">
        <f>SUMIFS(Investors!$M:$M,Investors!$O:$O,TRUE,Investors!$A:$A,'Investor Exit List'!$A105,Investors!$E:$E,'Investor Exit List'!$C105,Investors!$L:$L,'Investor Exit List'!$B105)+SUMIFS(Investors!$S:$S,Investors!$O:$O,TRUE,Investors!$A:$A,'Investor Exit List'!$A105,Investors!$E:$E,'Investor Exit List'!$C105,Investors!$L:$L,'Investor Exit List'!$B105)</f>
        <v>0</v>
      </c>
      <c r="T105" s="118" t="str">
        <f t="shared" si="18"/>
        <v/>
      </c>
      <c r="U105" s="116" t="b">
        <v>0</v>
      </c>
      <c r="V105" s="117">
        <f t="shared" si="19"/>
        <v>0</v>
      </c>
      <c r="W105" s="116">
        <v>0</v>
      </c>
      <c r="X105" s="116" t="b">
        <v>0</v>
      </c>
      <c r="Y105" s="119">
        <f>IF(H105=FALSE,VLOOKUP($C105,Sales!$C:$F,4,FALSE),1)</f>
        <v>1</v>
      </c>
      <c r="Z105" s="116" t="str">
        <f t="shared" si="20"/>
        <v/>
      </c>
      <c r="AA105" s="118">
        <f t="shared" si="21"/>
        <v>0</v>
      </c>
      <c r="AB105" s="118" t="str">
        <f t="shared" si="22"/>
        <v>HFB110-ZPED01</v>
      </c>
      <c r="AC105" s="118">
        <f t="shared" si="23"/>
        <v>45082</v>
      </c>
    </row>
    <row r="106" spans="1:29" ht="16" x14ac:dyDescent="0.2">
      <c r="A106" s="116" t="s">
        <v>52</v>
      </c>
      <c r="B106" s="116">
        <v>5</v>
      </c>
      <c r="C106" s="116" t="s">
        <v>275</v>
      </c>
      <c r="D106" s="116" t="s">
        <v>209</v>
      </c>
      <c r="E106" s="116" t="s">
        <v>2017</v>
      </c>
      <c r="F106" s="117">
        <f>SUMIFS(Investors!$M:$M,Investors!$O:$O,FALSE,Investors!$P:$P,FALSE,Investors!$K:$K,"&gt;"&amp;'NSST Print'!$B$3,Investors!$I:$I,"&lt;="&amp;'NSST Print'!$B$3,Investors!$A:$A,'Investor Exit List'!$A106,Investors!$E:$E,'Investor Exit List'!$C106,Investors!$L:$L,'Investor Exit List'!$B106)-(SUMIFS(Investors!$M:$M,Investors!$I:$I,"&lt;="&amp;'NSST Print'!$B$3,Investors!$J:$J,"&gt;"&amp;'NSST Print'!$B$3,Investors!$A:$A,'Investor Exit List'!$A106,Investors!$E:$E,'Investor Exit List'!$C106,Investors!$L:$L,'Investor Exit List'!$B106)+SUMIFS(Investors!$M:$M,Investors!$I:$I,"&lt;="&amp;'NSST Print'!$B$3,Investors!$J:$J,"",Investors!$A:$A,'Investor Exit List'!$A106,Investors!$E:$E,'Investor Exit List'!$C106,Investors!$L:$L,'Investor Exit List'!$B106))</f>
        <v>0</v>
      </c>
      <c r="G106" s="118">
        <v>44352</v>
      </c>
      <c r="H106" s="116" t="b">
        <f>VLOOKUP($C106,Sales!$C:$E,2,FALSE)</f>
        <v>1</v>
      </c>
      <c r="I106" s="116" t="b">
        <f>VLOOKUP($C106,Sales!$C:$E,3,FALSE)</f>
        <v>1</v>
      </c>
      <c r="J106" s="118">
        <f>SUMIFS(Sales!$H:$H,Sales!$C:$C,'Investor Exit List'!$C106)</f>
        <v>45688</v>
      </c>
      <c r="K106" s="118">
        <f t="shared" si="12"/>
        <v>45688</v>
      </c>
      <c r="L106" s="118">
        <f t="shared" si="13"/>
        <v>45082</v>
      </c>
      <c r="M106" s="118">
        <v>45443</v>
      </c>
      <c r="N106" s="119">
        <f t="shared" si="14"/>
        <v>0</v>
      </c>
      <c r="O106" s="119">
        <f t="shared" si="15"/>
        <v>0</v>
      </c>
      <c r="P106" s="117">
        <f t="shared" si="16"/>
        <v>0</v>
      </c>
      <c r="Q106" s="117">
        <f>SUMIFS(Investors!$M:$M,Investors!$O:$O,FALSE,Investors!$P:$P,FALSE,Investors!$K:$K,"&gt;"&amp;'NSST Print'!$B$3,Investors!$I:$I,"&lt;="&amp;'NSST Print'!$B$3,Investors!$A:$A,'Investor Exit List'!$A106,Investors!$E:$E,'Investor Exit List'!$C106,Investors!$L:$L,'Investor Exit List'!$B106)-(SUMIFS(Investors!$M:$M,Investors!$I:$I,"&lt;="&amp;'NSST Print'!$B$3,Investors!$J:$J,"&gt;"&amp;'NSST Print'!$B$3,Investors!$A:$A,'Investor Exit List'!$A106,Investors!$E:$E,'Investor Exit List'!$C106,Investors!$L:$L,'Investor Exit List'!$B106)+SUMIFS(Investors!$M:$M,Investors!$I:$I,"&lt;="&amp;'NSST Print'!$B$3,Investors!$J:$J,"",Investors!$A:$A,'Investor Exit List'!$A106,Investors!$E:$E,'Investor Exit List'!$C106,Investors!$L:$L,'Investor Exit List'!$B106))+SUMIFS(Investors!$S:$S,Investors!$O:$O,FALSE,Investors!$P:$P,FALSE,Investors!$K:$K,"&gt;"&amp;'NSST Print'!$B$3,Investors!$I:$I,"&lt;="&amp;'NSST Print'!$B$3,Investors!$A:$A,'Investor Exit List'!$A106,Investors!$E:$E,'Investor Exit List'!$C106,Investors!$L:$L,'Investor Exit List'!$B106)-(SUMIFS(Investors!$S:$S,Investors!$I:$I,"&lt;="&amp;'NSST Print'!$B$3,Investors!$J:$J,"&gt;"&amp;'NSST Print'!$B$3,Investors!$A:$A,'Investor Exit List'!$A106,Investors!$E:$E,'Investor Exit List'!$C106,Investors!$L:$L,'Investor Exit List'!$B106)+SUMIFS(Investors!$S:$S,Investors!$I:$I,"&lt;="&amp;'NSST Print'!$B$3,Investors!$J:$J,"",Investors!$A:$A,'Investor Exit List'!$A106,Investors!$E:$E,'Investor Exit List'!$C106,Investors!$L:$L,'Investor Exit List'!$B106))</f>
        <v>0</v>
      </c>
      <c r="R106" s="117">
        <f t="shared" si="17"/>
        <v>0</v>
      </c>
      <c r="S106" s="117">
        <f>SUMIFS(Investors!$M:$M,Investors!$O:$O,TRUE,Investors!$A:$A,'Investor Exit List'!$A106,Investors!$E:$E,'Investor Exit List'!$C106,Investors!$L:$L,'Investor Exit List'!$B106)+SUMIFS(Investors!$S:$S,Investors!$O:$O,TRUE,Investors!$A:$A,'Investor Exit List'!$A106,Investors!$E:$E,'Investor Exit List'!$C106,Investors!$L:$L,'Investor Exit List'!$B106)</f>
        <v>0</v>
      </c>
      <c r="T106" s="118" t="str">
        <f t="shared" si="18"/>
        <v/>
      </c>
      <c r="U106" s="116" t="b">
        <v>0</v>
      </c>
      <c r="V106" s="117">
        <f t="shared" si="19"/>
        <v>0</v>
      </c>
      <c r="W106" s="116">
        <v>0</v>
      </c>
      <c r="X106" s="116" t="b">
        <v>0</v>
      </c>
      <c r="Y106" s="119">
        <f>IF(H106=FALSE,VLOOKUP($C106,Sales!$C:$F,4,FALSE),1)</f>
        <v>1</v>
      </c>
      <c r="Z106" s="116" t="str">
        <f t="shared" si="20"/>
        <v/>
      </c>
      <c r="AA106" s="118">
        <f t="shared" si="21"/>
        <v>0</v>
      </c>
      <c r="AB106" s="118" t="str">
        <f t="shared" si="22"/>
        <v>HFB111-ZCRO01</v>
      </c>
      <c r="AC106" s="118">
        <f t="shared" si="23"/>
        <v>45082</v>
      </c>
    </row>
    <row r="107" spans="1:29" ht="16" x14ac:dyDescent="0.2">
      <c r="A107" s="116" t="s">
        <v>58</v>
      </c>
      <c r="B107" s="116">
        <v>6</v>
      </c>
      <c r="C107" s="116" t="s">
        <v>275</v>
      </c>
      <c r="D107" s="116" t="s">
        <v>209</v>
      </c>
      <c r="E107" s="116" t="s">
        <v>2017</v>
      </c>
      <c r="F107" s="117">
        <f>SUMIFS(Investors!$M:$M,Investors!$O:$O,FALSE,Investors!$P:$P,FALSE,Investors!$K:$K,"&gt;"&amp;'NSST Print'!$B$3,Investors!$I:$I,"&lt;="&amp;'NSST Print'!$B$3,Investors!$A:$A,'Investor Exit List'!$A107,Investors!$E:$E,'Investor Exit List'!$C107,Investors!$L:$L,'Investor Exit List'!$B107)-(SUMIFS(Investors!$M:$M,Investors!$I:$I,"&lt;="&amp;'NSST Print'!$B$3,Investors!$J:$J,"&gt;"&amp;'NSST Print'!$B$3,Investors!$A:$A,'Investor Exit List'!$A107,Investors!$E:$E,'Investor Exit List'!$C107,Investors!$L:$L,'Investor Exit List'!$B107)+SUMIFS(Investors!$M:$M,Investors!$I:$I,"&lt;="&amp;'NSST Print'!$B$3,Investors!$J:$J,"",Investors!$A:$A,'Investor Exit List'!$A107,Investors!$E:$E,'Investor Exit List'!$C107,Investors!$L:$L,'Investor Exit List'!$B107))</f>
        <v>0</v>
      </c>
      <c r="G107" s="118">
        <v>44352</v>
      </c>
      <c r="H107" s="116" t="b">
        <f>VLOOKUP($C107,Sales!$C:$E,2,FALSE)</f>
        <v>1</v>
      </c>
      <c r="I107" s="116" t="b">
        <f>VLOOKUP($C107,Sales!$C:$E,3,FALSE)</f>
        <v>1</v>
      </c>
      <c r="J107" s="118">
        <f>SUMIFS(Sales!$H:$H,Sales!$C:$C,'Investor Exit List'!$C107)</f>
        <v>45688</v>
      </c>
      <c r="K107" s="118">
        <f t="shared" si="12"/>
        <v>45688</v>
      </c>
      <c r="L107" s="118">
        <f t="shared" si="13"/>
        <v>45082</v>
      </c>
      <c r="M107" s="118">
        <v>45443</v>
      </c>
      <c r="N107" s="119">
        <f t="shared" si="14"/>
        <v>0</v>
      </c>
      <c r="O107" s="119">
        <f t="shared" si="15"/>
        <v>0</v>
      </c>
      <c r="P107" s="117">
        <f t="shared" si="16"/>
        <v>0</v>
      </c>
      <c r="Q107" s="117">
        <f>SUMIFS(Investors!$M:$M,Investors!$O:$O,FALSE,Investors!$P:$P,FALSE,Investors!$K:$K,"&gt;"&amp;'NSST Print'!$B$3,Investors!$I:$I,"&lt;="&amp;'NSST Print'!$B$3,Investors!$A:$A,'Investor Exit List'!$A107,Investors!$E:$E,'Investor Exit List'!$C107,Investors!$L:$L,'Investor Exit List'!$B107)-(SUMIFS(Investors!$M:$M,Investors!$I:$I,"&lt;="&amp;'NSST Print'!$B$3,Investors!$J:$J,"&gt;"&amp;'NSST Print'!$B$3,Investors!$A:$A,'Investor Exit List'!$A107,Investors!$E:$E,'Investor Exit List'!$C107,Investors!$L:$L,'Investor Exit List'!$B107)+SUMIFS(Investors!$M:$M,Investors!$I:$I,"&lt;="&amp;'NSST Print'!$B$3,Investors!$J:$J,"",Investors!$A:$A,'Investor Exit List'!$A107,Investors!$E:$E,'Investor Exit List'!$C107,Investors!$L:$L,'Investor Exit List'!$B107))+SUMIFS(Investors!$S:$S,Investors!$O:$O,FALSE,Investors!$P:$P,FALSE,Investors!$K:$K,"&gt;"&amp;'NSST Print'!$B$3,Investors!$I:$I,"&lt;="&amp;'NSST Print'!$B$3,Investors!$A:$A,'Investor Exit List'!$A107,Investors!$E:$E,'Investor Exit List'!$C107,Investors!$L:$L,'Investor Exit List'!$B107)-(SUMIFS(Investors!$S:$S,Investors!$I:$I,"&lt;="&amp;'NSST Print'!$B$3,Investors!$J:$J,"&gt;"&amp;'NSST Print'!$B$3,Investors!$A:$A,'Investor Exit List'!$A107,Investors!$E:$E,'Investor Exit List'!$C107,Investors!$L:$L,'Investor Exit List'!$B107)+SUMIFS(Investors!$S:$S,Investors!$I:$I,"&lt;="&amp;'NSST Print'!$B$3,Investors!$J:$J,"",Investors!$A:$A,'Investor Exit List'!$A107,Investors!$E:$E,'Investor Exit List'!$C107,Investors!$L:$L,'Investor Exit List'!$B107))</f>
        <v>0</v>
      </c>
      <c r="R107" s="117">
        <f t="shared" si="17"/>
        <v>0</v>
      </c>
      <c r="S107" s="117">
        <f>SUMIFS(Investors!$M:$M,Investors!$O:$O,TRUE,Investors!$A:$A,'Investor Exit List'!$A107,Investors!$E:$E,'Investor Exit List'!$C107,Investors!$L:$L,'Investor Exit List'!$B107)+SUMIFS(Investors!$S:$S,Investors!$O:$O,TRUE,Investors!$A:$A,'Investor Exit List'!$A107,Investors!$E:$E,'Investor Exit List'!$C107,Investors!$L:$L,'Investor Exit List'!$B107)</f>
        <v>0</v>
      </c>
      <c r="T107" s="118" t="str">
        <f t="shared" si="18"/>
        <v/>
      </c>
      <c r="U107" s="116" t="b">
        <v>0</v>
      </c>
      <c r="V107" s="117">
        <f t="shared" si="19"/>
        <v>0</v>
      </c>
      <c r="W107" s="116">
        <v>0</v>
      </c>
      <c r="X107" s="116" t="b">
        <v>0</v>
      </c>
      <c r="Y107" s="119">
        <f>IF(H107=FALSE,VLOOKUP($C107,Sales!$C:$F,4,FALSE),1)</f>
        <v>1</v>
      </c>
      <c r="Z107" s="116" t="str">
        <f t="shared" si="20"/>
        <v/>
      </c>
      <c r="AA107" s="118">
        <f t="shared" si="21"/>
        <v>0</v>
      </c>
      <c r="AB107" s="118" t="str">
        <f t="shared" si="22"/>
        <v>HFB111-ZLUN01</v>
      </c>
      <c r="AC107" s="118">
        <f t="shared" si="23"/>
        <v>45082</v>
      </c>
    </row>
    <row r="108" spans="1:29" ht="16" x14ac:dyDescent="0.2">
      <c r="A108" s="116" t="s">
        <v>276</v>
      </c>
      <c r="B108" s="116">
        <v>1</v>
      </c>
      <c r="C108" s="116" t="s">
        <v>275</v>
      </c>
      <c r="D108" s="116" t="s">
        <v>209</v>
      </c>
      <c r="E108" s="116" t="s">
        <v>2085</v>
      </c>
      <c r="F108" s="117">
        <f>SUMIFS(Investors!$M:$M,Investors!$O:$O,FALSE,Investors!$P:$P,FALSE,Investors!$K:$K,"&gt;"&amp;'NSST Print'!$B$3,Investors!$I:$I,"&lt;="&amp;'NSST Print'!$B$3,Investors!$A:$A,'Investor Exit List'!$A108,Investors!$E:$E,'Investor Exit List'!$C108,Investors!$L:$L,'Investor Exit List'!$B108)-(SUMIFS(Investors!$M:$M,Investors!$I:$I,"&lt;="&amp;'NSST Print'!$B$3,Investors!$J:$J,"&gt;"&amp;'NSST Print'!$B$3,Investors!$A:$A,'Investor Exit List'!$A108,Investors!$E:$E,'Investor Exit List'!$C108,Investors!$L:$L,'Investor Exit List'!$B108)+SUMIFS(Investors!$M:$M,Investors!$I:$I,"&lt;="&amp;'NSST Print'!$B$3,Investors!$J:$J,"",Investors!$A:$A,'Investor Exit List'!$A108,Investors!$E:$E,'Investor Exit List'!$C108,Investors!$L:$L,'Investor Exit List'!$B108))</f>
        <v>0</v>
      </c>
      <c r="G108" s="118">
        <v>44508</v>
      </c>
      <c r="H108" s="116" t="b">
        <f>VLOOKUP($C108,Sales!$C:$E,2,FALSE)</f>
        <v>1</v>
      </c>
      <c r="I108" s="116" t="b">
        <f>VLOOKUP($C108,Sales!$C:$E,3,FALSE)</f>
        <v>1</v>
      </c>
      <c r="J108" s="118">
        <f>SUMIFS(Sales!$H:$H,Sales!$C:$C,'Investor Exit List'!$C108)</f>
        <v>45688</v>
      </c>
      <c r="K108" s="118">
        <f t="shared" si="12"/>
        <v>45688</v>
      </c>
      <c r="L108" s="118">
        <f t="shared" si="13"/>
        <v>45238</v>
      </c>
      <c r="M108" s="118">
        <v>45443</v>
      </c>
      <c r="N108" s="119">
        <f t="shared" si="14"/>
        <v>0</v>
      </c>
      <c r="O108" s="119">
        <f t="shared" si="15"/>
        <v>0</v>
      </c>
      <c r="P108" s="117">
        <f t="shared" si="16"/>
        <v>0</v>
      </c>
      <c r="Q108" s="117">
        <f>SUMIFS(Investors!$M:$M,Investors!$O:$O,FALSE,Investors!$P:$P,FALSE,Investors!$K:$K,"&gt;"&amp;'NSST Print'!$B$3,Investors!$I:$I,"&lt;="&amp;'NSST Print'!$B$3,Investors!$A:$A,'Investor Exit List'!$A108,Investors!$E:$E,'Investor Exit List'!$C108,Investors!$L:$L,'Investor Exit List'!$B108)-(SUMIFS(Investors!$M:$M,Investors!$I:$I,"&lt;="&amp;'NSST Print'!$B$3,Investors!$J:$J,"&gt;"&amp;'NSST Print'!$B$3,Investors!$A:$A,'Investor Exit List'!$A108,Investors!$E:$E,'Investor Exit List'!$C108,Investors!$L:$L,'Investor Exit List'!$B108)+SUMIFS(Investors!$M:$M,Investors!$I:$I,"&lt;="&amp;'NSST Print'!$B$3,Investors!$J:$J,"",Investors!$A:$A,'Investor Exit List'!$A108,Investors!$E:$E,'Investor Exit List'!$C108,Investors!$L:$L,'Investor Exit List'!$B108))+SUMIFS(Investors!$S:$S,Investors!$O:$O,FALSE,Investors!$P:$P,FALSE,Investors!$K:$K,"&gt;"&amp;'NSST Print'!$B$3,Investors!$I:$I,"&lt;="&amp;'NSST Print'!$B$3,Investors!$A:$A,'Investor Exit List'!$A108,Investors!$E:$E,'Investor Exit List'!$C108,Investors!$L:$L,'Investor Exit List'!$B108)-(SUMIFS(Investors!$S:$S,Investors!$I:$I,"&lt;="&amp;'NSST Print'!$B$3,Investors!$J:$J,"&gt;"&amp;'NSST Print'!$B$3,Investors!$A:$A,'Investor Exit List'!$A108,Investors!$E:$E,'Investor Exit List'!$C108,Investors!$L:$L,'Investor Exit List'!$B108)+SUMIFS(Investors!$S:$S,Investors!$I:$I,"&lt;="&amp;'NSST Print'!$B$3,Investors!$J:$J,"",Investors!$A:$A,'Investor Exit List'!$A108,Investors!$E:$E,'Investor Exit List'!$C108,Investors!$L:$L,'Investor Exit List'!$B108))</f>
        <v>0</v>
      </c>
      <c r="R108" s="117">
        <f t="shared" si="17"/>
        <v>0</v>
      </c>
      <c r="S108" s="117">
        <f>SUMIFS(Investors!$M:$M,Investors!$O:$O,TRUE,Investors!$A:$A,'Investor Exit List'!$A108,Investors!$E:$E,'Investor Exit List'!$C108,Investors!$L:$L,'Investor Exit List'!$B108)+SUMIFS(Investors!$S:$S,Investors!$O:$O,TRUE,Investors!$A:$A,'Investor Exit List'!$A108,Investors!$E:$E,'Investor Exit List'!$C108,Investors!$L:$L,'Investor Exit List'!$B108)</f>
        <v>0</v>
      </c>
      <c r="T108" s="118" t="str">
        <f t="shared" si="18"/>
        <v/>
      </c>
      <c r="U108" s="116" t="b">
        <v>0</v>
      </c>
      <c r="V108" s="117">
        <f t="shared" si="19"/>
        <v>0</v>
      </c>
      <c r="W108" s="116">
        <v>0</v>
      </c>
      <c r="X108" s="116" t="b">
        <v>0</v>
      </c>
      <c r="Y108" s="119">
        <f>IF(H108=FALSE,VLOOKUP($C108,Sales!$C:$F,4,FALSE),1)</f>
        <v>1</v>
      </c>
      <c r="Z108" s="116" t="str">
        <f t="shared" si="20"/>
        <v/>
      </c>
      <c r="AA108" s="118">
        <f t="shared" si="21"/>
        <v>0</v>
      </c>
      <c r="AB108" s="118" t="str">
        <f t="shared" si="22"/>
        <v>HFB111-ZSCA02</v>
      </c>
      <c r="AC108" s="118">
        <f t="shared" si="23"/>
        <v>45238</v>
      </c>
    </row>
    <row r="109" spans="1:29" ht="16" x14ac:dyDescent="0.2">
      <c r="A109" s="116" t="s">
        <v>278</v>
      </c>
      <c r="B109" s="116">
        <v>1</v>
      </c>
      <c r="C109" s="116" t="s">
        <v>275</v>
      </c>
      <c r="D109" s="116" t="s">
        <v>209</v>
      </c>
      <c r="E109" s="116" t="s">
        <v>2086</v>
      </c>
      <c r="F109" s="117">
        <f>SUMIFS(Investors!$M:$M,Investors!$O:$O,FALSE,Investors!$P:$P,FALSE,Investors!$K:$K,"&gt;"&amp;'NSST Print'!$B$3,Investors!$I:$I,"&lt;="&amp;'NSST Print'!$B$3,Investors!$A:$A,'Investor Exit List'!$A109,Investors!$E:$E,'Investor Exit List'!$C109,Investors!$L:$L,'Investor Exit List'!$B109)-(SUMIFS(Investors!$M:$M,Investors!$I:$I,"&lt;="&amp;'NSST Print'!$B$3,Investors!$J:$J,"&gt;"&amp;'NSST Print'!$B$3,Investors!$A:$A,'Investor Exit List'!$A109,Investors!$E:$E,'Investor Exit List'!$C109,Investors!$L:$L,'Investor Exit List'!$B109)+SUMIFS(Investors!$M:$M,Investors!$I:$I,"&lt;="&amp;'NSST Print'!$B$3,Investors!$J:$J,"",Investors!$A:$A,'Investor Exit List'!$A109,Investors!$E:$E,'Investor Exit List'!$C109,Investors!$L:$L,'Investor Exit List'!$B109))</f>
        <v>0</v>
      </c>
      <c r="G109" s="118">
        <v>44352</v>
      </c>
      <c r="H109" s="116" t="b">
        <f>VLOOKUP($C109,Sales!$C:$E,2,FALSE)</f>
        <v>1</v>
      </c>
      <c r="I109" s="116" t="b">
        <f>VLOOKUP($C109,Sales!$C:$E,3,FALSE)</f>
        <v>1</v>
      </c>
      <c r="J109" s="118">
        <f>SUMIFS(Sales!$H:$H,Sales!$C:$C,'Investor Exit List'!$C109)</f>
        <v>45688</v>
      </c>
      <c r="K109" s="118">
        <f t="shared" si="12"/>
        <v>45688</v>
      </c>
      <c r="L109" s="118">
        <f t="shared" si="13"/>
        <v>45082</v>
      </c>
      <c r="M109" s="118">
        <v>45443</v>
      </c>
      <c r="N109" s="119">
        <f t="shared" si="14"/>
        <v>0</v>
      </c>
      <c r="O109" s="119">
        <f t="shared" si="15"/>
        <v>0</v>
      </c>
      <c r="P109" s="117">
        <f t="shared" si="16"/>
        <v>0</v>
      </c>
      <c r="Q109" s="117">
        <f>SUMIFS(Investors!$M:$M,Investors!$O:$O,FALSE,Investors!$P:$P,FALSE,Investors!$K:$K,"&gt;"&amp;'NSST Print'!$B$3,Investors!$I:$I,"&lt;="&amp;'NSST Print'!$B$3,Investors!$A:$A,'Investor Exit List'!$A109,Investors!$E:$E,'Investor Exit List'!$C109,Investors!$L:$L,'Investor Exit List'!$B109)-(SUMIFS(Investors!$M:$M,Investors!$I:$I,"&lt;="&amp;'NSST Print'!$B$3,Investors!$J:$J,"&gt;"&amp;'NSST Print'!$B$3,Investors!$A:$A,'Investor Exit List'!$A109,Investors!$E:$E,'Investor Exit List'!$C109,Investors!$L:$L,'Investor Exit List'!$B109)+SUMIFS(Investors!$M:$M,Investors!$I:$I,"&lt;="&amp;'NSST Print'!$B$3,Investors!$J:$J,"",Investors!$A:$A,'Investor Exit List'!$A109,Investors!$E:$E,'Investor Exit List'!$C109,Investors!$L:$L,'Investor Exit List'!$B109))+SUMIFS(Investors!$S:$S,Investors!$O:$O,FALSE,Investors!$P:$P,FALSE,Investors!$K:$K,"&gt;"&amp;'NSST Print'!$B$3,Investors!$I:$I,"&lt;="&amp;'NSST Print'!$B$3,Investors!$A:$A,'Investor Exit List'!$A109,Investors!$E:$E,'Investor Exit List'!$C109,Investors!$L:$L,'Investor Exit List'!$B109)-(SUMIFS(Investors!$S:$S,Investors!$I:$I,"&lt;="&amp;'NSST Print'!$B$3,Investors!$J:$J,"&gt;"&amp;'NSST Print'!$B$3,Investors!$A:$A,'Investor Exit List'!$A109,Investors!$E:$E,'Investor Exit List'!$C109,Investors!$L:$L,'Investor Exit List'!$B109)+SUMIFS(Investors!$S:$S,Investors!$I:$I,"&lt;="&amp;'NSST Print'!$B$3,Investors!$J:$J,"",Investors!$A:$A,'Investor Exit List'!$A109,Investors!$E:$E,'Investor Exit List'!$C109,Investors!$L:$L,'Investor Exit List'!$B109))</f>
        <v>0</v>
      </c>
      <c r="R109" s="117">
        <f t="shared" si="17"/>
        <v>0</v>
      </c>
      <c r="S109" s="117">
        <f>SUMIFS(Investors!$M:$M,Investors!$O:$O,TRUE,Investors!$A:$A,'Investor Exit List'!$A109,Investors!$E:$E,'Investor Exit List'!$C109,Investors!$L:$L,'Investor Exit List'!$B109)+SUMIFS(Investors!$S:$S,Investors!$O:$O,TRUE,Investors!$A:$A,'Investor Exit List'!$A109,Investors!$E:$E,'Investor Exit List'!$C109,Investors!$L:$L,'Investor Exit List'!$B109)</f>
        <v>0</v>
      </c>
      <c r="T109" s="118" t="str">
        <f t="shared" si="18"/>
        <v/>
      </c>
      <c r="U109" s="116" t="b">
        <v>0</v>
      </c>
      <c r="V109" s="117">
        <f t="shared" si="19"/>
        <v>0</v>
      </c>
      <c r="W109" s="116">
        <v>0</v>
      </c>
      <c r="X109" s="116" t="b">
        <v>0</v>
      </c>
      <c r="Y109" s="119">
        <f>IF(H109=FALSE,VLOOKUP($C109,Sales!$C:$F,4,FALSE),1)</f>
        <v>1</v>
      </c>
      <c r="Z109" s="116" t="str">
        <f t="shared" si="20"/>
        <v/>
      </c>
      <c r="AA109" s="118">
        <f t="shared" si="21"/>
        <v>0</v>
      </c>
      <c r="AB109" s="118" t="str">
        <f t="shared" si="22"/>
        <v>HFB111-ZSCH03</v>
      </c>
      <c r="AC109" s="118">
        <f t="shared" si="23"/>
        <v>45082</v>
      </c>
    </row>
    <row r="110" spans="1:29" ht="16" x14ac:dyDescent="0.2">
      <c r="A110" s="116" t="s">
        <v>281</v>
      </c>
      <c r="B110" s="116">
        <v>1</v>
      </c>
      <c r="C110" s="116" t="s">
        <v>284</v>
      </c>
      <c r="D110" s="116" t="s">
        <v>209</v>
      </c>
      <c r="E110" s="116" t="s">
        <v>2087</v>
      </c>
      <c r="F110" s="117">
        <f>SUMIFS(Investors!$M:$M,Investors!$O:$O,FALSE,Investors!$P:$P,FALSE,Investors!$K:$K,"&gt;"&amp;'NSST Print'!$B$3,Investors!$I:$I,"&lt;="&amp;'NSST Print'!$B$3,Investors!$A:$A,'Investor Exit List'!$A110,Investors!$E:$E,'Investor Exit List'!$C110,Investors!$L:$L,'Investor Exit List'!$B110)-(SUMIFS(Investors!$M:$M,Investors!$I:$I,"&lt;="&amp;'NSST Print'!$B$3,Investors!$J:$J,"&gt;"&amp;'NSST Print'!$B$3,Investors!$A:$A,'Investor Exit List'!$A110,Investors!$E:$E,'Investor Exit List'!$C110,Investors!$L:$L,'Investor Exit List'!$B110)+SUMIFS(Investors!$M:$M,Investors!$I:$I,"&lt;="&amp;'NSST Print'!$B$3,Investors!$J:$J,"",Investors!$A:$A,'Investor Exit List'!$A110,Investors!$E:$E,'Investor Exit List'!$C110,Investors!$L:$L,'Investor Exit List'!$B110))</f>
        <v>0</v>
      </c>
      <c r="G110" s="118">
        <v>44352</v>
      </c>
      <c r="H110" s="116" t="b">
        <f>VLOOKUP($C110,Sales!$C:$E,2,FALSE)</f>
        <v>1</v>
      </c>
      <c r="I110" s="116" t="b">
        <f>VLOOKUP($C110,Sales!$C:$E,3,FALSE)</f>
        <v>1</v>
      </c>
      <c r="J110" s="118">
        <f>SUMIFS(Sales!$H:$H,Sales!$C:$C,'Investor Exit List'!$C110)</f>
        <v>45688</v>
      </c>
      <c r="K110" s="118">
        <f t="shared" si="12"/>
        <v>45688</v>
      </c>
      <c r="L110" s="118">
        <f t="shared" si="13"/>
        <v>45082</v>
      </c>
      <c r="M110" s="118">
        <v>45443</v>
      </c>
      <c r="N110" s="119">
        <f t="shared" si="14"/>
        <v>0</v>
      </c>
      <c r="O110" s="119">
        <f t="shared" si="15"/>
        <v>0</v>
      </c>
      <c r="P110" s="117">
        <f t="shared" si="16"/>
        <v>0</v>
      </c>
      <c r="Q110" s="117">
        <f>SUMIFS(Investors!$M:$M,Investors!$O:$O,FALSE,Investors!$P:$P,FALSE,Investors!$K:$K,"&gt;"&amp;'NSST Print'!$B$3,Investors!$I:$I,"&lt;="&amp;'NSST Print'!$B$3,Investors!$A:$A,'Investor Exit List'!$A110,Investors!$E:$E,'Investor Exit List'!$C110,Investors!$L:$L,'Investor Exit List'!$B110)-(SUMIFS(Investors!$M:$M,Investors!$I:$I,"&lt;="&amp;'NSST Print'!$B$3,Investors!$J:$J,"&gt;"&amp;'NSST Print'!$B$3,Investors!$A:$A,'Investor Exit List'!$A110,Investors!$E:$E,'Investor Exit List'!$C110,Investors!$L:$L,'Investor Exit List'!$B110)+SUMIFS(Investors!$M:$M,Investors!$I:$I,"&lt;="&amp;'NSST Print'!$B$3,Investors!$J:$J,"",Investors!$A:$A,'Investor Exit List'!$A110,Investors!$E:$E,'Investor Exit List'!$C110,Investors!$L:$L,'Investor Exit List'!$B110))+SUMIFS(Investors!$S:$S,Investors!$O:$O,FALSE,Investors!$P:$P,FALSE,Investors!$K:$K,"&gt;"&amp;'NSST Print'!$B$3,Investors!$I:$I,"&lt;="&amp;'NSST Print'!$B$3,Investors!$A:$A,'Investor Exit List'!$A110,Investors!$E:$E,'Investor Exit List'!$C110,Investors!$L:$L,'Investor Exit List'!$B110)-(SUMIFS(Investors!$S:$S,Investors!$I:$I,"&lt;="&amp;'NSST Print'!$B$3,Investors!$J:$J,"&gt;"&amp;'NSST Print'!$B$3,Investors!$A:$A,'Investor Exit List'!$A110,Investors!$E:$E,'Investor Exit List'!$C110,Investors!$L:$L,'Investor Exit List'!$B110)+SUMIFS(Investors!$S:$S,Investors!$I:$I,"&lt;="&amp;'NSST Print'!$B$3,Investors!$J:$J,"",Investors!$A:$A,'Investor Exit List'!$A110,Investors!$E:$E,'Investor Exit List'!$C110,Investors!$L:$L,'Investor Exit List'!$B110))</f>
        <v>0</v>
      </c>
      <c r="R110" s="117">
        <f t="shared" si="17"/>
        <v>0</v>
      </c>
      <c r="S110" s="117">
        <f>SUMIFS(Investors!$M:$M,Investors!$O:$O,TRUE,Investors!$A:$A,'Investor Exit List'!$A110,Investors!$E:$E,'Investor Exit List'!$C110,Investors!$L:$L,'Investor Exit List'!$B110)+SUMIFS(Investors!$S:$S,Investors!$O:$O,TRUE,Investors!$A:$A,'Investor Exit List'!$A110,Investors!$E:$E,'Investor Exit List'!$C110,Investors!$L:$L,'Investor Exit List'!$B110)</f>
        <v>0</v>
      </c>
      <c r="T110" s="118" t="str">
        <f t="shared" si="18"/>
        <v/>
      </c>
      <c r="U110" s="116" t="b">
        <v>0</v>
      </c>
      <c r="V110" s="117">
        <f t="shared" si="19"/>
        <v>0</v>
      </c>
      <c r="W110" s="116">
        <v>0</v>
      </c>
      <c r="X110" s="116" t="b">
        <v>0</v>
      </c>
      <c r="Y110" s="119">
        <f>IF(H110=FALSE,VLOOKUP($C110,Sales!$C:$F,4,FALSE),1)</f>
        <v>1</v>
      </c>
      <c r="Z110" s="116" t="str">
        <f t="shared" si="20"/>
        <v/>
      </c>
      <c r="AA110" s="118">
        <f t="shared" si="21"/>
        <v>0</v>
      </c>
      <c r="AB110" s="118" t="str">
        <f t="shared" si="22"/>
        <v>HFB201-ZBEN01</v>
      </c>
      <c r="AC110" s="118">
        <f t="shared" si="23"/>
        <v>45082</v>
      </c>
    </row>
    <row r="111" spans="1:29" ht="16" x14ac:dyDescent="0.2">
      <c r="A111" s="116" t="s">
        <v>285</v>
      </c>
      <c r="B111" s="116">
        <v>1</v>
      </c>
      <c r="C111" s="116" t="s">
        <v>284</v>
      </c>
      <c r="D111" s="116" t="s">
        <v>209</v>
      </c>
      <c r="E111" s="116" t="s">
        <v>2088</v>
      </c>
      <c r="F111" s="117">
        <f>SUMIFS(Investors!$M:$M,Investors!$O:$O,FALSE,Investors!$P:$P,FALSE,Investors!$K:$K,"&gt;"&amp;'NSST Print'!$B$3,Investors!$I:$I,"&lt;="&amp;'NSST Print'!$B$3,Investors!$A:$A,'Investor Exit List'!$A111,Investors!$E:$E,'Investor Exit List'!$C111,Investors!$L:$L,'Investor Exit List'!$B111)-(SUMIFS(Investors!$M:$M,Investors!$I:$I,"&lt;="&amp;'NSST Print'!$B$3,Investors!$J:$J,"&gt;"&amp;'NSST Print'!$B$3,Investors!$A:$A,'Investor Exit List'!$A111,Investors!$E:$E,'Investor Exit List'!$C111,Investors!$L:$L,'Investor Exit List'!$B111)+SUMIFS(Investors!$M:$M,Investors!$I:$I,"&lt;="&amp;'NSST Print'!$B$3,Investors!$J:$J,"",Investors!$A:$A,'Investor Exit List'!$A111,Investors!$E:$E,'Investor Exit List'!$C111,Investors!$L:$L,'Investor Exit List'!$B111))</f>
        <v>0</v>
      </c>
      <c r="G111" s="118">
        <v>44378</v>
      </c>
      <c r="H111" s="116" t="b">
        <f>VLOOKUP($C111,Sales!$C:$E,2,FALSE)</f>
        <v>1</v>
      </c>
      <c r="I111" s="116" t="b">
        <f>VLOOKUP($C111,Sales!$C:$E,3,FALSE)</f>
        <v>1</v>
      </c>
      <c r="J111" s="118">
        <f>SUMIFS(Sales!$H:$H,Sales!$C:$C,'Investor Exit List'!$C111)</f>
        <v>45688</v>
      </c>
      <c r="K111" s="118">
        <f t="shared" si="12"/>
        <v>45688</v>
      </c>
      <c r="L111" s="118">
        <f t="shared" si="13"/>
        <v>45108</v>
      </c>
      <c r="M111" s="118">
        <v>45443</v>
      </c>
      <c r="N111" s="119">
        <f t="shared" si="14"/>
        <v>0</v>
      </c>
      <c r="O111" s="119">
        <f t="shared" si="15"/>
        <v>0</v>
      </c>
      <c r="P111" s="117">
        <f t="shared" si="16"/>
        <v>0</v>
      </c>
      <c r="Q111" s="117">
        <f>SUMIFS(Investors!$M:$M,Investors!$O:$O,FALSE,Investors!$P:$P,FALSE,Investors!$K:$K,"&gt;"&amp;'NSST Print'!$B$3,Investors!$I:$I,"&lt;="&amp;'NSST Print'!$B$3,Investors!$A:$A,'Investor Exit List'!$A111,Investors!$E:$E,'Investor Exit List'!$C111,Investors!$L:$L,'Investor Exit List'!$B111)-(SUMIFS(Investors!$M:$M,Investors!$I:$I,"&lt;="&amp;'NSST Print'!$B$3,Investors!$J:$J,"&gt;"&amp;'NSST Print'!$B$3,Investors!$A:$A,'Investor Exit List'!$A111,Investors!$E:$E,'Investor Exit List'!$C111,Investors!$L:$L,'Investor Exit List'!$B111)+SUMIFS(Investors!$M:$M,Investors!$I:$I,"&lt;="&amp;'NSST Print'!$B$3,Investors!$J:$J,"",Investors!$A:$A,'Investor Exit List'!$A111,Investors!$E:$E,'Investor Exit List'!$C111,Investors!$L:$L,'Investor Exit List'!$B111))+SUMIFS(Investors!$S:$S,Investors!$O:$O,FALSE,Investors!$P:$P,FALSE,Investors!$K:$K,"&gt;"&amp;'NSST Print'!$B$3,Investors!$I:$I,"&lt;="&amp;'NSST Print'!$B$3,Investors!$A:$A,'Investor Exit List'!$A111,Investors!$E:$E,'Investor Exit List'!$C111,Investors!$L:$L,'Investor Exit List'!$B111)-(SUMIFS(Investors!$S:$S,Investors!$I:$I,"&lt;="&amp;'NSST Print'!$B$3,Investors!$J:$J,"&gt;"&amp;'NSST Print'!$B$3,Investors!$A:$A,'Investor Exit List'!$A111,Investors!$E:$E,'Investor Exit List'!$C111,Investors!$L:$L,'Investor Exit List'!$B111)+SUMIFS(Investors!$S:$S,Investors!$I:$I,"&lt;="&amp;'NSST Print'!$B$3,Investors!$J:$J,"",Investors!$A:$A,'Investor Exit List'!$A111,Investors!$E:$E,'Investor Exit List'!$C111,Investors!$L:$L,'Investor Exit List'!$B111))</f>
        <v>0</v>
      </c>
      <c r="R111" s="117">
        <f t="shared" si="17"/>
        <v>0</v>
      </c>
      <c r="S111" s="117">
        <f>SUMIFS(Investors!$M:$M,Investors!$O:$O,TRUE,Investors!$A:$A,'Investor Exit List'!$A111,Investors!$E:$E,'Investor Exit List'!$C111,Investors!$L:$L,'Investor Exit List'!$B111)+SUMIFS(Investors!$S:$S,Investors!$O:$O,TRUE,Investors!$A:$A,'Investor Exit List'!$A111,Investors!$E:$E,'Investor Exit List'!$C111,Investors!$L:$L,'Investor Exit List'!$B111)</f>
        <v>0</v>
      </c>
      <c r="T111" s="118" t="str">
        <f t="shared" si="18"/>
        <v/>
      </c>
      <c r="U111" s="116" t="b">
        <v>0</v>
      </c>
      <c r="V111" s="117">
        <f t="shared" si="19"/>
        <v>0</v>
      </c>
      <c r="W111" s="116">
        <v>0</v>
      </c>
      <c r="X111" s="116" t="b">
        <v>0</v>
      </c>
      <c r="Y111" s="119">
        <f>IF(H111=FALSE,VLOOKUP($C111,Sales!$C:$F,4,FALSE),1)</f>
        <v>1</v>
      </c>
      <c r="Z111" s="116" t="str">
        <f t="shared" si="20"/>
        <v/>
      </c>
      <c r="AA111" s="118">
        <f t="shared" si="21"/>
        <v>0</v>
      </c>
      <c r="AB111" s="118" t="str">
        <f t="shared" si="22"/>
        <v>HFB201-ZGLO01</v>
      </c>
      <c r="AC111" s="118">
        <f t="shared" si="23"/>
        <v>45108</v>
      </c>
    </row>
    <row r="112" spans="1:29" ht="16" x14ac:dyDescent="0.2">
      <c r="A112" s="116" t="s">
        <v>288</v>
      </c>
      <c r="B112" s="116">
        <v>1</v>
      </c>
      <c r="C112" s="116" t="s">
        <v>291</v>
      </c>
      <c r="D112" s="116" t="s">
        <v>209</v>
      </c>
      <c r="E112" s="116" t="s">
        <v>2089</v>
      </c>
      <c r="F112" s="117">
        <f>SUMIFS(Investors!$M:$M,Investors!$O:$O,FALSE,Investors!$P:$P,FALSE,Investors!$K:$K,"&gt;"&amp;'NSST Print'!$B$3,Investors!$I:$I,"&lt;="&amp;'NSST Print'!$B$3,Investors!$A:$A,'Investor Exit List'!$A112,Investors!$E:$E,'Investor Exit List'!$C112,Investors!$L:$L,'Investor Exit List'!$B112)-(SUMIFS(Investors!$M:$M,Investors!$I:$I,"&lt;="&amp;'NSST Print'!$B$3,Investors!$J:$J,"&gt;"&amp;'NSST Print'!$B$3,Investors!$A:$A,'Investor Exit List'!$A112,Investors!$E:$E,'Investor Exit List'!$C112,Investors!$L:$L,'Investor Exit List'!$B112)+SUMIFS(Investors!$M:$M,Investors!$I:$I,"&lt;="&amp;'NSST Print'!$B$3,Investors!$J:$J,"",Investors!$A:$A,'Investor Exit List'!$A112,Investors!$E:$E,'Investor Exit List'!$C112,Investors!$L:$L,'Investor Exit List'!$B112))</f>
        <v>0</v>
      </c>
      <c r="G112" s="118">
        <v>44378</v>
      </c>
      <c r="H112" s="116" t="b">
        <f>VLOOKUP($C112,Sales!$C:$E,2,FALSE)</f>
        <v>1</v>
      </c>
      <c r="I112" s="116" t="b">
        <f>VLOOKUP($C112,Sales!$C:$E,3,FALSE)</f>
        <v>1</v>
      </c>
      <c r="J112" s="118">
        <f>SUMIFS(Sales!$H:$H,Sales!$C:$C,'Investor Exit List'!$C112)</f>
        <v>45688</v>
      </c>
      <c r="K112" s="118">
        <f t="shared" si="12"/>
        <v>45688</v>
      </c>
      <c r="L112" s="118">
        <f t="shared" si="13"/>
        <v>45108</v>
      </c>
      <c r="M112" s="118">
        <v>45443</v>
      </c>
      <c r="N112" s="119">
        <f t="shared" si="14"/>
        <v>0</v>
      </c>
      <c r="O112" s="119">
        <f t="shared" si="15"/>
        <v>0</v>
      </c>
      <c r="P112" s="117">
        <f t="shared" si="16"/>
        <v>0</v>
      </c>
      <c r="Q112" s="117">
        <f>SUMIFS(Investors!$M:$M,Investors!$O:$O,FALSE,Investors!$P:$P,FALSE,Investors!$K:$K,"&gt;"&amp;'NSST Print'!$B$3,Investors!$I:$I,"&lt;="&amp;'NSST Print'!$B$3,Investors!$A:$A,'Investor Exit List'!$A112,Investors!$E:$E,'Investor Exit List'!$C112,Investors!$L:$L,'Investor Exit List'!$B112)-(SUMIFS(Investors!$M:$M,Investors!$I:$I,"&lt;="&amp;'NSST Print'!$B$3,Investors!$J:$J,"&gt;"&amp;'NSST Print'!$B$3,Investors!$A:$A,'Investor Exit List'!$A112,Investors!$E:$E,'Investor Exit List'!$C112,Investors!$L:$L,'Investor Exit List'!$B112)+SUMIFS(Investors!$M:$M,Investors!$I:$I,"&lt;="&amp;'NSST Print'!$B$3,Investors!$J:$J,"",Investors!$A:$A,'Investor Exit List'!$A112,Investors!$E:$E,'Investor Exit List'!$C112,Investors!$L:$L,'Investor Exit List'!$B112))+SUMIFS(Investors!$S:$S,Investors!$O:$O,FALSE,Investors!$P:$P,FALSE,Investors!$K:$K,"&gt;"&amp;'NSST Print'!$B$3,Investors!$I:$I,"&lt;="&amp;'NSST Print'!$B$3,Investors!$A:$A,'Investor Exit List'!$A112,Investors!$E:$E,'Investor Exit List'!$C112,Investors!$L:$L,'Investor Exit List'!$B112)-(SUMIFS(Investors!$S:$S,Investors!$I:$I,"&lt;="&amp;'NSST Print'!$B$3,Investors!$J:$J,"&gt;"&amp;'NSST Print'!$B$3,Investors!$A:$A,'Investor Exit List'!$A112,Investors!$E:$E,'Investor Exit List'!$C112,Investors!$L:$L,'Investor Exit List'!$B112)+SUMIFS(Investors!$S:$S,Investors!$I:$I,"&lt;="&amp;'NSST Print'!$B$3,Investors!$J:$J,"",Investors!$A:$A,'Investor Exit List'!$A112,Investors!$E:$E,'Investor Exit List'!$C112,Investors!$L:$L,'Investor Exit List'!$B112))</f>
        <v>0</v>
      </c>
      <c r="R112" s="117">
        <f t="shared" si="17"/>
        <v>0</v>
      </c>
      <c r="S112" s="117">
        <f>SUMIFS(Investors!$M:$M,Investors!$O:$O,TRUE,Investors!$A:$A,'Investor Exit List'!$A112,Investors!$E:$E,'Investor Exit List'!$C112,Investors!$L:$L,'Investor Exit List'!$B112)+SUMIFS(Investors!$S:$S,Investors!$O:$O,TRUE,Investors!$A:$A,'Investor Exit List'!$A112,Investors!$E:$E,'Investor Exit List'!$C112,Investors!$L:$L,'Investor Exit List'!$B112)</f>
        <v>635869.8630136986</v>
      </c>
      <c r="T112" s="118">
        <f t="shared" si="18"/>
        <v>45688</v>
      </c>
      <c r="U112" s="116" t="b">
        <v>1</v>
      </c>
      <c r="V112" s="117">
        <f t="shared" si="19"/>
        <v>635869.8630136986</v>
      </c>
      <c r="W112" s="116">
        <v>0</v>
      </c>
      <c r="X112" s="116" t="b">
        <v>0</v>
      </c>
      <c r="Y112" s="119">
        <f>IF(H112=FALSE,VLOOKUP($C112,Sales!$C:$F,4,FALSE),1)</f>
        <v>1</v>
      </c>
      <c r="Z112" s="116" t="str">
        <f t="shared" si="20"/>
        <v/>
      </c>
      <c r="AA112" s="118">
        <f t="shared" si="21"/>
        <v>0</v>
      </c>
      <c r="AB112" s="118" t="str">
        <f t="shared" si="22"/>
        <v>HFB202-ZMIN01</v>
      </c>
      <c r="AC112" s="118">
        <f t="shared" si="23"/>
        <v>45108</v>
      </c>
    </row>
    <row r="113" spans="1:29" ht="16" x14ac:dyDescent="0.2">
      <c r="A113" s="116" t="s">
        <v>292</v>
      </c>
      <c r="B113" s="116">
        <v>1</v>
      </c>
      <c r="C113" s="116" t="s">
        <v>291</v>
      </c>
      <c r="D113" s="116" t="s">
        <v>209</v>
      </c>
      <c r="E113" s="116" t="s">
        <v>2090</v>
      </c>
      <c r="F113" s="117">
        <f>SUMIFS(Investors!$M:$M,Investors!$O:$O,FALSE,Investors!$P:$P,FALSE,Investors!$K:$K,"&gt;"&amp;'NSST Print'!$B$3,Investors!$I:$I,"&lt;="&amp;'NSST Print'!$B$3,Investors!$A:$A,'Investor Exit List'!$A113,Investors!$E:$E,'Investor Exit List'!$C113,Investors!$L:$L,'Investor Exit List'!$B113)-(SUMIFS(Investors!$M:$M,Investors!$I:$I,"&lt;="&amp;'NSST Print'!$B$3,Investors!$J:$J,"&gt;"&amp;'NSST Print'!$B$3,Investors!$A:$A,'Investor Exit List'!$A113,Investors!$E:$E,'Investor Exit List'!$C113,Investors!$L:$L,'Investor Exit List'!$B113)+SUMIFS(Investors!$M:$M,Investors!$I:$I,"&lt;="&amp;'NSST Print'!$B$3,Investors!$J:$J,"",Investors!$A:$A,'Investor Exit List'!$A113,Investors!$E:$E,'Investor Exit List'!$C113,Investors!$L:$L,'Investor Exit List'!$B113))</f>
        <v>0</v>
      </c>
      <c r="G113" s="118">
        <v>44352</v>
      </c>
      <c r="H113" s="116" t="b">
        <f>VLOOKUP($C113,Sales!$C:$E,2,FALSE)</f>
        <v>1</v>
      </c>
      <c r="I113" s="116" t="b">
        <f>VLOOKUP($C113,Sales!$C:$E,3,FALSE)</f>
        <v>1</v>
      </c>
      <c r="J113" s="118">
        <f>SUMIFS(Sales!$H:$H,Sales!$C:$C,'Investor Exit List'!$C113)</f>
        <v>45688</v>
      </c>
      <c r="K113" s="118">
        <f t="shared" si="12"/>
        <v>45688</v>
      </c>
      <c r="L113" s="118">
        <f t="shared" si="13"/>
        <v>45082</v>
      </c>
      <c r="M113" s="118">
        <v>45443</v>
      </c>
      <c r="N113" s="119">
        <f t="shared" si="14"/>
        <v>0</v>
      </c>
      <c r="O113" s="119">
        <f t="shared" si="15"/>
        <v>0</v>
      </c>
      <c r="P113" s="117">
        <f t="shared" si="16"/>
        <v>0</v>
      </c>
      <c r="Q113" s="117">
        <f>SUMIFS(Investors!$M:$M,Investors!$O:$O,FALSE,Investors!$P:$P,FALSE,Investors!$K:$K,"&gt;"&amp;'NSST Print'!$B$3,Investors!$I:$I,"&lt;="&amp;'NSST Print'!$B$3,Investors!$A:$A,'Investor Exit List'!$A113,Investors!$E:$E,'Investor Exit List'!$C113,Investors!$L:$L,'Investor Exit List'!$B113)-(SUMIFS(Investors!$M:$M,Investors!$I:$I,"&lt;="&amp;'NSST Print'!$B$3,Investors!$J:$J,"&gt;"&amp;'NSST Print'!$B$3,Investors!$A:$A,'Investor Exit List'!$A113,Investors!$E:$E,'Investor Exit List'!$C113,Investors!$L:$L,'Investor Exit List'!$B113)+SUMIFS(Investors!$M:$M,Investors!$I:$I,"&lt;="&amp;'NSST Print'!$B$3,Investors!$J:$J,"",Investors!$A:$A,'Investor Exit List'!$A113,Investors!$E:$E,'Investor Exit List'!$C113,Investors!$L:$L,'Investor Exit List'!$B113))+SUMIFS(Investors!$S:$S,Investors!$O:$O,FALSE,Investors!$P:$P,FALSE,Investors!$K:$K,"&gt;"&amp;'NSST Print'!$B$3,Investors!$I:$I,"&lt;="&amp;'NSST Print'!$B$3,Investors!$A:$A,'Investor Exit List'!$A113,Investors!$E:$E,'Investor Exit List'!$C113,Investors!$L:$L,'Investor Exit List'!$B113)-(SUMIFS(Investors!$S:$S,Investors!$I:$I,"&lt;="&amp;'NSST Print'!$B$3,Investors!$J:$J,"&gt;"&amp;'NSST Print'!$B$3,Investors!$A:$A,'Investor Exit List'!$A113,Investors!$E:$E,'Investor Exit List'!$C113,Investors!$L:$L,'Investor Exit List'!$B113)+SUMIFS(Investors!$S:$S,Investors!$I:$I,"&lt;="&amp;'NSST Print'!$B$3,Investors!$J:$J,"",Investors!$A:$A,'Investor Exit List'!$A113,Investors!$E:$E,'Investor Exit List'!$C113,Investors!$L:$L,'Investor Exit List'!$B113))</f>
        <v>0</v>
      </c>
      <c r="R113" s="117">
        <f t="shared" si="17"/>
        <v>0</v>
      </c>
      <c r="S113" s="117">
        <f>SUMIFS(Investors!$M:$M,Investors!$O:$O,TRUE,Investors!$A:$A,'Investor Exit List'!$A113,Investors!$E:$E,'Investor Exit List'!$C113,Investors!$L:$L,'Investor Exit List'!$B113)+SUMIFS(Investors!$S:$S,Investors!$O:$O,TRUE,Investors!$A:$A,'Investor Exit List'!$A113,Investors!$E:$E,'Investor Exit List'!$C113,Investors!$L:$L,'Investor Exit List'!$B113)</f>
        <v>0</v>
      </c>
      <c r="T113" s="118" t="str">
        <f t="shared" si="18"/>
        <v/>
      </c>
      <c r="U113" s="116" t="b">
        <v>0</v>
      </c>
      <c r="V113" s="117">
        <f t="shared" si="19"/>
        <v>0</v>
      </c>
      <c r="W113" s="116">
        <v>0</v>
      </c>
      <c r="X113" s="116" t="b">
        <v>0</v>
      </c>
      <c r="Y113" s="119">
        <f>IF(H113=FALSE,VLOOKUP($C113,Sales!$C:$F,4,FALSE),1)</f>
        <v>1</v>
      </c>
      <c r="Z113" s="116" t="str">
        <f t="shared" si="20"/>
        <v/>
      </c>
      <c r="AA113" s="118">
        <f t="shared" si="21"/>
        <v>0</v>
      </c>
      <c r="AB113" s="118" t="str">
        <f t="shared" si="22"/>
        <v>HFB202-ZRUS01</v>
      </c>
      <c r="AC113" s="118">
        <f t="shared" si="23"/>
        <v>45082</v>
      </c>
    </row>
    <row r="114" spans="1:29" ht="16" x14ac:dyDescent="0.2">
      <c r="A114" s="116" t="s">
        <v>295</v>
      </c>
      <c r="B114" s="116">
        <v>1</v>
      </c>
      <c r="C114" s="116" t="s">
        <v>291</v>
      </c>
      <c r="D114" s="116" t="s">
        <v>209</v>
      </c>
      <c r="E114" s="116" t="s">
        <v>2091</v>
      </c>
      <c r="F114" s="117">
        <f>SUMIFS(Investors!$M:$M,Investors!$O:$O,FALSE,Investors!$P:$P,FALSE,Investors!$K:$K,"&gt;"&amp;'NSST Print'!$B$3,Investors!$I:$I,"&lt;="&amp;'NSST Print'!$B$3,Investors!$A:$A,'Investor Exit List'!$A114,Investors!$E:$E,'Investor Exit List'!$C114,Investors!$L:$L,'Investor Exit List'!$B114)-(SUMIFS(Investors!$M:$M,Investors!$I:$I,"&lt;="&amp;'NSST Print'!$B$3,Investors!$J:$J,"&gt;"&amp;'NSST Print'!$B$3,Investors!$A:$A,'Investor Exit List'!$A114,Investors!$E:$E,'Investor Exit List'!$C114,Investors!$L:$L,'Investor Exit List'!$B114)+SUMIFS(Investors!$M:$M,Investors!$I:$I,"&lt;="&amp;'NSST Print'!$B$3,Investors!$J:$J,"",Investors!$A:$A,'Investor Exit List'!$A114,Investors!$E:$E,'Investor Exit List'!$C114,Investors!$L:$L,'Investor Exit List'!$B114))</f>
        <v>0</v>
      </c>
      <c r="G114" s="118">
        <v>44352</v>
      </c>
      <c r="H114" s="116" t="b">
        <f>VLOOKUP($C114,Sales!$C:$E,2,FALSE)</f>
        <v>1</v>
      </c>
      <c r="I114" s="116" t="b">
        <f>VLOOKUP($C114,Sales!$C:$E,3,FALSE)</f>
        <v>1</v>
      </c>
      <c r="J114" s="118">
        <f>SUMIFS(Sales!$H:$H,Sales!$C:$C,'Investor Exit List'!$C114)</f>
        <v>45688</v>
      </c>
      <c r="K114" s="118">
        <f t="shared" si="12"/>
        <v>45688</v>
      </c>
      <c r="L114" s="118">
        <f t="shared" si="13"/>
        <v>45082</v>
      </c>
      <c r="M114" s="118">
        <v>45443</v>
      </c>
      <c r="N114" s="119">
        <f t="shared" si="14"/>
        <v>0</v>
      </c>
      <c r="O114" s="119">
        <f t="shared" si="15"/>
        <v>0</v>
      </c>
      <c r="P114" s="117">
        <f t="shared" si="16"/>
        <v>0</v>
      </c>
      <c r="Q114" s="117">
        <f>SUMIFS(Investors!$M:$M,Investors!$O:$O,FALSE,Investors!$P:$P,FALSE,Investors!$K:$K,"&gt;"&amp;'NSST Print'!$B$3,Investors!$I:$I,"&lt;="&amp;'NSST Print'!$B$3,Investors!$A:$A,'Investor Exit List'!$A114,Investors!$E:$E,'Investor Exit List'!$C114,Investors!$L:$L,'Investor Exit List'!$B114)-(SUMIFS(Investors!$M:$M,Investors!$I:$I,"&lt;="&amp;'NSST Print'!$B$3,Investors!$J:$J,"&gt;"&amp;'NSST Print'!$B$3,Investors!$A:$A,'Investor Exit List'!$A114,Investors!$E:$E,'Investor Exit List'!$C114,Investors!$L:$L,'Investor Exit List'!$B114)+SUMIFS(Investors!$M:$M,Investors!$I:$I,"&lt;="&amp;'NSST Print'!$B$3,Investors!$J:$J,"",Investors!$A:$A,'Investor Exit List'!$A114,Investors!$E:$E,'Investor Exit List'!$C114,Investors!$L:$L,'Investor Exit List'!$B114))+SUMIFS(Investors!$S:$S,Investors!$O:$O,FALSE,Investors!$P:$P,FALSE,Investors!$K:$K,"&gt;"&amp;'NSST Print'!$B$3,Investors!$I:$I,"&lt;="&amp;'NSST Print'!$B$3,Investors!$A:$A,'Investor Exit List'!$A114,Investors!$E:$E,'Investor Exit List'!$C114,Investors!$L:$L,'Investor Exit List'!$B114)-(SUMIFS(Investors!$S:$S,Investors!$I:$I,"&lt;="&amp;'NSST Print'!$B$3,Investors!$J:$J,"&gt;"&amp;'NSST Print'!$B$3,Investors!$A:$A,'Investor Exit List'!$A114,Investors!$E:$E,'Investor Exit List'!$C114,Investors!$L:$L,'Investor Exit List'!$B114)+SUMIFS(Investors!$S:$S,Investors!$I:$I,"&lt;="&amp;'NSST Print'!$B$3,Investors!$J:$J,"",Investors!$A:$A,'Investor Exit List'!$A114,Investors!$E:$E,'Investor Exit List'!$C114,Investors!$L:$L,'Investor Exit List'!$B114))</f>
        <v>0</v>
      </c>
      <c r="R114" s="117">
        <f t="shared" si="17"/>
        <v>0</v>
      </c>
      <c r="S114" s="117">
        <f>SUMIFS(Investors!$M:$M,Investors!$O:$O,TRUE,Investors!$A:$A,'Investor Exit List'!$A114,Investors!$E:$E,'Investor Exit List'!$C114,Investors!$L:$L,'Investor Exit List'!$B114)+SUMIFS(Investors!$S:$S,Investors!$O:$O,TRUE,Investors!$A:$A,'Investor Exit List'!$A114,Investors!$E:$E,'Investor Exit List'!$C114,Investors!$L:$L,'Investor Exit List'!$B114)</f>
        <v>0</v>
      </c>
      <c r="T114" s="118" t="str">
        <f t="shared" si="18"/>
        <v/>
      </c>
      <c r="U114" s="116" t="b">
        <v>0</v>
      </c>
      <c r="V114" s="117">
        <f t="shared" si="19"/>
        <v>0</v>
      </c>
      <c r="W114" s="116">
        <v>0</v>
      </c>
      <c r="X114" s="116" t="b">
        <v>0</v>
      </c>
      <c r="Y114" s="119">
        <f>IF(H114=FALSE,VLOOKUP($C114,Sales!$C:$F,4,FALSE),1)</f>
        <v>1</v>
      </c>
      <c r="Z114" s="116" t="str">
        <f t="shared" si="20"/>
        <v/>
      </c>
      <c r="AA114" s="118">
        <f t="shared" si="21"/>
        <v>0</v>
      </c>
      <c r="AB114" s="118" t="str">
        <f t="shared" si="22"/>
        <v>HFB202-ZVAL01</v>
      </c>
      <c r="AC114" s="118">
        <f t="shared" si="23"/>
        <v>45082</v>
      </c>
    </row>
    <row r="115" spans="1:29" ht="16" x14ac:dyDescent="0.2">
      <c r="A115" s="116" t="s">
        <v>253</v>
      </c>
      <c r="B115" s="116">
        <v>4</v>
      </c>
      <c r="C115" s="116" t="s">
        <v>298</v>
      </c>
      <c r="D115" s="116" t="s">
        <v>209</v>
      </c>
      <c r="E115" s="116" t="s">
        <v>2079</v>
      </c>
      <c r="F115" s="117">
        <f>SUMIFS(Investors!$M:$M,Investors!$O:$O,FALSE,Investors!$P:$P,FALSE,Investors!$K:$K,"&gt;"&amp;'NSST Print'!$B$3,Investors!$I:$I,"&lt;="&amp;'NSST Print'!$B$3,Investors!$A:$A,'Investor Exit List'!$A115,Investors!$E:$E,'Investor Exit List'!$C115,Investors!$L:$L,'Investor Exit List'!$B115)-(SUMIFS(Investors!$M:$M,Investors!$I:$I,"&lt;="&amp;'NSST Print'!$B$3,Investors!$J:$J,"&gt;"&amp;'NSST Print'!$B$3,Investors!$A:$A,'Investor Exit List'!$A115,Investors!$E:$E,'Investor Exit List'!$C115,Investors!$L:$L,'Investor Exit List'!$B115)+SUMIFS(Investors!$M:$M,Investors!$I:$I,"&lt;="&amp;'NSST Print'!$B$3,Investors!$J:$J,"",Investors!$A:$A,'Investor Exit List'!$A115,Investors!$E:$E,'Investor Exit List'!$C115,Investors!$L:$L,'Investor Exit List'!$B115))</f>
        <v>0</v>
      </c>
      <c r="G115" s="118">
        <v>44352</v>
      </c>
      <c r="H115" s="116" t="b">
        <f>VLOOKUP($C115,Sales!$C:$E,2,FALSE)</f>
        <v>1</v>
      </c>
      <c r="I115" s="116" t="b">
        <f>VLOOKUP($C115,Sales!$C:$E,3,FALSE)</f>
        <v>1</v>
      </c>
      <c r="J115" s="118">
        <f>SUMIFS(Sales!$H:$H,Sales!$C:$C,'Investor Exit List'!$C115)</f>
        <v>45688</v>
      </c>
      <c r="K115" s="118">
        <f t="shared" si="12"/>
        <v>45688</v>
      </c>
      <c r="L115" s="118">
        <f t="shared" si="13"/>
        <v>45082</v>
      </c>
      <c r="M115" s="118">
        <v>45443</v>
      </c>
      <c r="N115" s="119">
        <f t="shared" si="14"/>
        <v>0</v>
      </c>
      <c r="O115" s="119">
        <f t="shared" si="15"/>
        <v>0</v>
      </c>
      <c r="P115" s="117">
        <f t="shared" si="16"/>
        <v>0</v>
      </c>
      <c r="Q115" s="117">
        <f>SUMIFS(Investors!$M:$M,Investors!$O:$O,FALSE,Investors!$P:$P,FALSE,Investors!$K:$K,"&gt;"&amp;'NSST Print'!$B$3,Investors!$I:$I,"&lt;="&amp;'NSST Print'!$B$3,Investors!$A:$A,'Investor Exit List'!$A115,Investors!$E:$E,'Investor Exit List'!$C115,Investors!$L:$L,'Investor Exit List'!$B115)-(SUMIFS(Investors!$M:$M,Investors!$I:$I,"&lt;="&amp;'NSST Print'!$B$3,Investors!$J:$J,"&gt;"&amp;'NSST Print'!$B$3,Investors!$A:$A,'Investor Exit List'!$A115,Investors!$E:$E,'Investor Exit List'!$C115,Investors!$L:$L,'Investor Exit List'!$B115)+SUMIFS(Investors!$M:$M,Investors!$I:$I,"&lt;="&amp;'NSST Print'!$B$3,Investors!$J:$J,"",Investors!$A:$A,'Investor Exit List'!$A115,Investors!$E:$E,'Investor Exit List'!$C115,Investors!$L:$L,'Investor Exit List'!$B115))+SUMIFS(Investors!$S:$S,Investors!$O:$O,FALSE,Investors!$P:$P,FALSE,Investors!$K:$K,"&gt;"&amp;'NSST Print'!$B$3,Investors!$I:$I,"&lt;="&amp;'NSST Print'!$B$3,Investors!$A:$A,'Investor Exit List'!$A115,Investors!$E:$E,'Investor Exit List'!$C115,Investors!$L:$L,'Investor Exit List'!$B115)-(SUMIFS(Investors!$S:$S,Investors!$I:$I,"&lt;="&amp;'NSST Print'!$B$3,Investors!$J:$J,"&gt;"&amp;'NSST Print'!$B$3,Investors!$A:$A,'Investor Exit List'!$A115,Investors!$E:$E,'Investor Exit List'!$C115,Investors!$L:$L,'Investor Exit List'!$B115)+SUMIFS(Investors!$S:$S,Investors!$I:$I,"&lt;="&amp;'NSST Print'!$B$3,Investors!$J:$J,"",Investors!$A:$A,'Investor Exit List'!$A115,Investors!$E:$E,'Investor Exit List'!$C115,Investors!$L:$L,'Investor Exit List'!$B115))</f>
        <v>0</v>
      </c>
      <c r="R115" s="117">
        <f t="shared" si="17"/>
        <v>0</v>
      </c>
      <c r="S115" s="117">
        <f>SUMIFS(Investors!$M:$M,Investors!$O:$O,TRUE,Investors!$A:$A,'Investor Exit List'!$A115,Investors!$E:$E,'Investor Exit List'!$C115,Investors!$L:$L,'Investor Exit List'!$B115)+SUMIFS(Investors!$S:$S,Investors!$O:$O,TRUE,Investors!$A:$A,'Investor Exit List'!$A115,Investors!$E:$E,'Investor Exit List'!$C115,Investors!$L:$L,'Investor Exit List'!$B115)</f>
        <v>767449.31506849313</v>
      </c>
      <c r="T115" s="118">
        <f t="shared" si="18"/>
        <v>45688</v>
      </c>
      <c r="U115" s="116" t="b">
        <v>1</v>
      </c>
      <c r="V115" s="117">
        <f t="shared" si="19"/>
        <v>767449.31506849313</v>
      </c>
      <c r="W115" s="116">
        <v>0</v>
      </c>
      <c r="X115" s="116" t="b">
        <v>0</v>
      </c>
      <c r="Y115" s="119">
        <f>IF(H115=FALSE,VLOOKUP($C115,Sales!$C:$F,4,FALSE),1)</f>
        <v>1</v>
      </c>
      <c r="Z115" s="116" t="str">
        <f t="shared" si="20"/>
        <v/>
      </c>
      <c r="AA115" s="118">
        <f t="shared" si="21"/>
        <v>0</v>
      </c>
      <c r="AB115" s="118" t="str">
        <f t="shared" si="22"/>
        <v>HFB203-ZDIC01</v>
      </c>
      <c r="AC115" s="118">
        <f t="shared" si="23"/>
        <v>45082</v>
      </c>
    </row>
    <row r="116" spans="1:29" ht="16" x14ac:dyDescent="0.2">
      <c r="A116" s="116" t="s">
        <v>299</v>
      </c>
      <c r="B116" s="116">
        <v>1</v>
      </c>
      <c r="C116" s="116" t="s">
        <v>298</v>
      </c>
      <c r="D116" s="116" t="s">
        <v>209</v>
      </c>
      <c r="E116" s="116" t="s">
        <v>2092</v>
      </c>
      <c r="F116" s="117">
        <f>SUMIFS(Investors!$M:$M,Investors!$O:$O,FALSE,Investors!$P:$P,FALSE,Investors!$K:$K,"&gt;"&amp;'NSST Print'!$B$3,Investors!$I:$I,"&lt;="&amp;'NSST Print'!$B$3,Investors!$A:$A,'Investor Exit List'!$A116,Investors!$E:$E,'Investor Exit List'!$C116,Investors!$L:$L,'Investor Exit List'!$B116)-(SUMIFS(Investors!$M:$M,Investors!$I:$I,"&lt;="&amp;'NSST Print'!$B$3,Investors!$J:$J,"&gt;"&amp;'NSST Print'!$B$3,Investors!$A:$A,'Investor Exit List'!$A116,Investors!$E:$E,'Investor Exit List'!$C116,Investors!$L:$L,'Investor Exit List'!$B116)+SUMIFS(Investors!$M:$M,Investors!$I:$I,"&lt;="&amp;'NSST Print'!$B$3,Investors!$J:$J,"",Investors!$A:$A,'Investor Exit List'!$A116,Investors!$E:$E,'Investor Exit List'!$C116,Investors!$L:$L,'Investor Exit List'!$B116))</f>
        <v>0</v>
      </c>
      <c r="G116" s="118">
        <v>44352</v>
      </c>
      <c r="H116" s="116" t="b">
        <f>VLOOKUP($C116,Sales!$C:$E,2,FALSE)</f>
        <v>1</v>
      </c>
      <c r="I116" s="116" t="b">
        <f>VLOOKUP($C116,Sales!$C:$E,3,FALSE)</f>
        <v>1</v>
      </c>
      <c r="J116" s="118">
        <f>SUMIFS(Sales!$H:$H,Sales!$C:$C,'Investor Exit List'!$C116)</f>
        <v>45688</v>
      </c>
      <c r="K116" s="118">
        <f t="shared" si="12"/>
        <v>45688</v>
      </c>
      <c r="L116" s="118">
        <f t="shared" si="13"/>
        <v>45082</v>
      </c>
      <c r="M116" s="118">
        <v>45443</v>
      </c>
      <c r="N116" s="119">
        <f t="shared" si="14"/>
        <v>0</v>
      </c>
      <c r="O116" s="119">
        <f t="shared" si="15"/>
        <v>0</v>
      </c>
      <c r="P116" s="117">
        <f t="shared" si="16"/>
        <v>0</v>
      </c>
      <c r="Q116" s="117">
        <f>SUMIFS(Investors!$M:$M,Investors!$O:$O,FALSE,Investors!$P:$P,FALSE,Investors!$K:$K,"&gt;"&amp;'NSST Print'!$B$3,Investors!$I:$I,"&lt;="&amp;'NSST Print'!$B$3,Investors!$A:$A,'Investor Exit List'!$A116,Investors!$E:$E,'Investor Exit List'!$C116,Investors!$L:$L,'Investor Exit List'!$B116)-(SUMIFS(Investors!$M:$M,Investors!$I:$I,"&lt;="&amp;'NSST Print'!$B$3,Investors!$J:$J,"&gt;"&amp;'NSST Print'!$B$3,Investors!$A:$A,'Investor Exit List'!$A116,Investors!$E:$E,'Investor Exit List'!$C116,Investors!$L:$L,'Investor Exit List'!$B116)+SUMIFS(Investors!$M:$M,Investors!$I:$I,"&lt;="&amp;'NSST Print'!$B$3,Investors!$J:$J,"",Investors!$A:$A,'Investor Exit List'!$A116,Investors!$E:$E,'Investor Exit List'!$C116,Investors!$L:$L,'Investor Exit List'!$B116))+SUMIFS(Investors!$S:$S,Investors!$O:$O,FALSE,Investors!$P:$P,FALSE,Investors!$K:$K,"&gt;"&amp;'NSST Print'!$B$3,Investors!$I:$I,"&lt;="&amp;'NSST Print'!$B$3,Investors!$A:$A,'Investor Exit List'!$A116,Investors!$E:$E,'Investor Exit List'!$C116,Investors!$L:$L,'Investor Exit List'!$B116)-(SUMIFS(Investors!$S:$S,Investors!$I:$I,"&lt;="&amp;'NSST Print'!$B$3,Investors!$J:$J,"&gt;"&amp;'NSST Print'!$B$3,Investors!$A:$A,'Investor Exit List'!$A116,Investors!$E:$E,'Investor Exit List'!$C116,Investors!$L:$L,'Investor Exit List'!$B116)+SUMIFS(Investors!$S:$S,Investors!$I:$I,"&lt;="&amp;'NSST Print'!$B$3,Investors!$J:$J,"",Investors!$A:$A,'Investor Exit List'!$A116,Investors!$E:$E,'Investor Exit List'!$C116,Investors!$L:$L,'Investor Exit List'!$B116))</f>
        <v>0</v>
      </c>
      <c r="R116" s="117">
        <f t="shared" si="17"/>
        <v>0</v>
      </c>
      <c r="S116" s="117">
        <f>SUMIFS(Investors!$M:$M,Investors!$O:$O,TRUE,Investors!$A:$A,'Investor Exit List'!$A116,Investors!$E:$E,'Investor Exit List'!$C116,Investors!$L:$L,'Investor Exit List'!$B116)+SUMIFS(Investors!$S:$S,Investors!$O:$O,TRUE,Investors!$A:$A,'Investor Exit List'!$A116,Investors!$E:$E,'Investor Exit List'!$C116,Investors!$L:$L,'Investor Exit List'!$B116)</f>
        <v>0</v>
      </c>
      <c r="T116" s="118" t="str">
        <f t="shared" si="18"/>
        <v/>
      </c>
      <c r="U116" s="116" t="b">
        <v>0</v>
      </c>
      <c r="V116" s="117">
        <f t="shared" si="19"/>
        <v>0</v>
      </c>
      <c r="W116" s="116">
        <v>0</v>
      </c>
      <c r="X116" s="116" t="b">
        <v>0</v>
      </c>
      <c r="Y116" s="119">
        <f>IF(H116=FALSE,VLOOKUP($C116,Sales!$C:$F,4,FALSE),1)</f>
        <v>1</v>
      </c>
      <c r="Z116" s="116" t="str">
        <f t="shared" si="20"/>
        <v/>
      </c>
      <c r="AA116" s="118">
        <f t="shared" si="21"/>
        <v>0</v>
      </c>
      <c r="AB116" s="118" t="str">
        <f t="shared" si="22"/>
        <v>HFB203-ZWAL01</v>
      </c>
      <c r="AC116" s="118">
        <f t="shared" si="23"/>
        <v>45082</v>
      </c>
    </row>
    <row r="117" spans="1:29" ht="16" x14ac:dyDescent="0.2">
      <c r="A117" s="116" t="s">
        <v>44</v>
      </c>
      <c r="B117" s="116">
        <v>2</v>
      </c>
      <c r="C117" s="116" t="s">
        <v>302</v>
      </c>
      <c r="D117" s="116" t="s">
        <v>209</v>
      </c>
      <c r="E117" s="116" t="s">
        <v>2015</v>
      </c>
      <c r="F117" s="117">
        <f>SUMIFS(Investors!$M:$M,Investors!$O:$O,FALSE,Investors!$P:$P,FALSE,Investors!$K:$K,"&gt;"&amp;'NSST Print'!$B$3,Investors!$I:$I,"&lt;="&amp;'NSST Print'!$B$3,Investors!$A:$A,'Investor Exit List'!$A117,Investors!$E:$E,'Investor Exit List'!$C117,Investors!$L:$L,'Investor Exit List'!$B117)-(SUMIFS(Investors!$M:$M,Investors!$I:$I,"&lt;="&amp;'NSST Print'!$B$3,Investors!$J:$J,"&gt;"&amp;'NSST Print'!$B$3,Investors!$A:$A,'Investor Exit List'!$A117,Investors!$E:$E,'Investor Exit List'!$C117,Investors!$L:$L,'Investor Exit List'!$B117)+SUMIFS(Investors!$M:$M,Investors!$I:$I,"&lt;="&amp;'NSST Print'!$B$3,Investors!$J:$J,"",Investors!$A:$A,'Investor Exit List'!$A117,Investors!$E:$E,'Investor Exit List'!$C117,Investors!$L:$L,'Investor Exit List'!$B117))</f>
        <v>0</v>
      </c>
      <c r="G117" s="118">
        <v>44352</v>
      </c>
      <c r="H117" s="116" t="b">
        <f>VLOOKUP($C117,Sales!$C:$E,2,FALSE)</f>
        <v>1</v>
      </c>
      <c r="I117" s="116" t="b">
        <f>VLOOKUP($C117,Sales!$C:$E,3,FALSE)</f>
        <v>1</v>
      </c>
      <c r="J117" s="118">
        <f>SUMIFS(Sales!$H:$H,Sales!$C:$C,'Investor Exit List'!$C117)</f>
        <v>45688</v>
      </c>
      <c r="K117" s="118">
        <f t="shared" si="12"/>
        <v>45688</v>
      </c>
      <c r="L117" s="118">
        <f t="shared" si="13"/>
        <v>45082</v>
      </c>
      <c r="M117" s="118">
        <v>45443</v>
      </c>
      <c r="N117" s="119">
        <f t="shared" si="14"/>
        <v>0</v>
      </c>
      <c r="O117" s="119">
        <f t="shared" si="15"/>
        <v>0</v>
      </c>
      <c r="P117" s="117">
        <f t="shared" si="16"/>
        <v>0</v>
      </c>
      <c r="Q117" s="117">
        <f>SUMIFS(Investors!$M:$M,Investors!$O:$O,FALSE,Investors!$P:$P,FALSE,Investors!$K:$K,"&gt;"&amp;'NSST Print'!$B$3,Investors!$I:$I,"&lt;="&amp;'NSST Print'!$B$3,Investors!$A:$A,'Investor Exit List'!$A117,Investors!$E:$E,'Investor Exit List'!$C117,Investors!$L:$L,'Investor Exit List'!$B117)-(SUMIFS(Investors!$M:$M,Investors!$I:$I,"&lt;="&amp;'NSST Print'!$B$3,Investors!$J:$J,"&gt;"&amp;'NSST Print'!$B$3,Investors!$A:$A,'Investor Exit List'!$A117,Investors!$E:$E,'Investor Exit List'!$C117,Investors!$L:$L,'Investor Exit List'!$B117)+SUMIFS(Investors!$M:$M,Investors!$I:$I,"&lt;="&amp;'NSST Print'!$B$3,Investors!$J:$J,"",Investors!$A:$A,'Investor Exit List'!$A117,Investors!$E:$E,'Investor Exit List'!$C117,Investors!$L:$L,'Investor Exit List'!$B117))+SUMIFS(Investors!$S:$S,Investors!$O:$O,FALSE,Investors!$P:$P,FALSE,Investors!$K:$K,"&gt;"&amp;'NSST Print'!$B$3,Investors!$I:$I,"&lt;="&amp;'NSST Print'!$B$3,Investors!$A:$A,'Investor Exit List'!$A117,Investors!$E:$E,'Investor Exit List'!$C117,Investors!$L:$L,'Investor Exit List'!$B117)-(SUMIFS(Investors!$S:$S,Investors!$I:$I,"&lt;="&amp;'NSST Print'!$B$3,Investors!$J:$J,"&gt;"&amp;'NSST Print'!$B$3,Investors!$A:$A,'Investor Exit List'!$A117,Investors!$E:$E,'Investor Exit List'!$C117,Investors!$L:$L,'Investor Exit List'!$B117)+SUMIFS(Investors!$S:$S,Investors!$I:$I,"&lt;="&amp;'NSST Print'!$B$3,Investors!$J:$J,"",Investors!$A:$A,'Investor Exit List'!$A117,Investors!$E:$E,'Investor Exit List'!$C117,Investors!$L:$L,'Investor Exit List'!$B117))</f>
        <v>0</v>
      </c>
      <c r="R117" s="117">
        <f t="shared" si="17"/>
        <v>0</v>
      </c>
      <c r="S117" s="117">
        <f>SUMIFS(Investors!$M:$M,Investors!$O:$O,TRUE,Investors!$A:$A,'Investor Exit List'!$A117,Investors!$E:$E,'Investor Exit List'!$C117,Investors!$L:$L,'Investor Exit List'!$B117)+SUMIFS(Investors!$S:$S,Investors!$O:$O,TRUE,Investors!$A:$A,'Investor Exit List'!$A117,Investors!$E:$E,'Investor Exit List'!$C117,Investors!$L:$L,'Investor Exit List'!$B117)</f>
        <v>1198121.9178082193</v>
      </c>
      <c r="T117" s="118">
        <f t="shared" si="18"/>
        <v>45688</v>
      </c>
      <c r="U117" s="116" t="b">
        <v>1</v>
      </c>
      <c r="V117" s="117">
        <f t="shared" si="19"/>
        <v>1198121.9178082193</v>
      </c>
      <c r="W117" s="116">
        <v>0</v>
      </c>
      <c r="X117" s="116" t="b">
        <v>0</v>
      </c>
      <c r="Y117" s="119">
        <f>IF(H117=FALSE,VLOOKUP($C117,Sales!$C:$F,4,FALSE),1)</f>
        <v>1</v>
      </c>
      <c r="Z117" s="116" t="str">
        <f t="shared" si="20"/>
        <v/>
      </c>
      <c r="AA117" s="118">
        <f t="shared" si="21"/>
        <v>0</v>
      </c>
      <c r="AB117" s="118" t="str">
        <f t="shared" si="22"/>
        <v>HFB204-ZDEB01</v>
      </c>
      <c r="AC117" s="118">
        <f t="shared" si="23"/>
        <v>45082</v>
      </c>
    </row>
    <row r="118" spans="1:29" ht="16" x14ac:dyDescent="0.2">
      <c r="A118" s="116" t="s">
        <v>44</v>
      </c>
      <c r="B118" s="116">
        <v>3</v>
      </c>
      <c r="C118" s="116" t="s">
        <v>303</v>
      </c>
      <c r="D118" s="116" t="s">
        <v>209</v>
      </c>
      <c r="E118" s="116" t="s">
        <v>2015</v>
      </c>
      <c r="F118" s="117">
        <f>SUMIFS(Investors!$M:$M,Investors!$O:$O,FALSE,Investors!$P:$P,FALSE,Investors!$K:$K,"&gt;"&amp;'NSST Print'!$B$3,Investors!$I:$I,"&lt;="&amp;'NSST Print'!$B$3,Investors!$A:$A,'Investor Exit List'!$A118,Investors!$E:$E,'Investor Exit List'!$C118,Investors!$L:$L,'Investor Exit List'!$B118)-(SUMIFS(Investors!$M:$M,Investors!$I:$I,"&lt;="&amp;'NSST Print'!$B$3,Investors!$J:$J,"&gt;"&amp;'NSST Print'!$B$3,Investors!$A:$A,'Investor Exit List'!$A118,Investors!$E:$E,'Investor Exit List'!$C118,Investors!$L:$L,'Investor Exit List'!$B118)+SUMIFS(Investors!$M:$M,Investors!$I:$I,"&lt;="&amp;'NSST Print'!$B$3,Investors!$J:$J,"",Investors!$A:$A,'Investor Exit List'!$A118,Investors!$E:$E,'Investor Exit List'!$C118,Investors!$L:$L,'Investor Exit List'!$B118))</f>
        <v>0</v>
      </c>
      <c r="G118" s="118">
        <v>44352</v>
      </c>
      <c r="H118" s="116" t="b">
        <f>VLOOKUP($C118,Sales!$C:$E,2,FALSE)</f>
        <v>1</v>
      </c>
      <c r="I118" s="116" t="b">
        <f>VLOOKUP($C118,Sales!$C:$E,3,FALSE)</f>
        <v>1</v>
      </c>
      <c r="J118" s="118">
        <f>SUMIFS(Sales!$H:$H,Sales!$C:$C,'Investor Exit List'!$C118)</f>
        <v>45688</v>
      </c>
      <c r="K118" s="118">
        <f t="shared" si="12"/>
        <v>45688</v>
      </c>
      <c r="L118" s="118">
        <f t="shared" si="13"/>
        <v>45082</v>
      </c>
      <c r="M118" s="118">
        <v>45443</v>
      </c>
      <c r="N118" s="119">
        <f t="shared" si="14"/>
        <v>0</v>
      </c>
      <c r="O118" s="119">
        <f t="shared" si="15"/>
        <v>0</v>
      </c>
      <c r="P118" s="117">
        <f t="shared" si="16"/>
        <v>0</v>
      </c>
      <c r="Q118" s="117">
        <f>SUMIFS(Investors!$M:$M,Investors!$O:$O,FALSE,Investors!$P:$P,FALSE,Investors!$K:$K,"&gt;"&amp;'NSST Print'!$B$3,Investors!$I:$I,"&lt;="&amp;'NSST Print'!$B$3,Investors!$A:$A,'Investor Exit List'!$A118,Investors!$E:$E,'Investor Exit List'!$C118,Investors!$L:$L,'Investor Exit List'!$B118)-(SUMIFS(Investors!$M:$M,Investors!$I:$I,"&lt;="&amp;'NSST Print'!$B$3,Investors!$J:$J,"&gt;"&amp;'NSST Print'!$B$3,Investors!$A:$A,'Investor Exit List'!$A118,Investors!$E:$E,'Investor Exit List'!$C118,Investors!$L:$L,'Investor Exit List'!$B118)+SUMIFS(Investors!$M:$M,Investors!$I:$I,"&lt;="&amp;'NSST Print'!$B$3,Investors!$J:$J,"",Investors!$A:$A,'Investor Exit List'!$A118,Investors!$E:$E,'Investor Exit List'!$C118,Investors!$L:$L,'Investor Exit List'!$B118))+SUMIFS(Investors!$S:$S,Investors!$O:$O,FALSE,Investors!$P:$P,FALSE,Investors!$K:$K,"&gt;"&amp;'NSST Print'!$B$3,Investors!$I:$I,"&lt;="&amp;'NSST Print'!$B$3,Investors!$A:$A,'Investor Exit List'!$A118,Investors!$E:$E,'Investor Exit List'!$C118,Investors!$L:$L,'Investor Exit List'!$B118)-(SUMIFS(Investors!$S:$S,Investors!$I:$I,"&lt;="&amp;'NSST Print'!$B$3,Investors!$J:$J,"&gt;"&amp;'NSST Print'!$B$3,Investors!$A:$A,'Investor Exit List'!$A118,Investors!$E:$E,'Investor Exit List'!$C118,Investors!$L:$L,'Investor Exit List'!$B118)+SUMIFS(Investors!$S:$S,Investors!$I:$I,"&lt;="&amp;'NSST Print'!$B$3,Investors!$J:$J,"",Investors!$A:$A,'Investor Exit List'!$A118,Investors!$E:$E,'Investor Exit List'!$C118,Investors!$L:$L,'Investor Exit List'!$B118))</f>
        <v>0</v>
      </c>
      <c r="R118" s="117">
        <f t="shared" si="17"/>
        <v>0</v>
      </c>
      <c r="S118" s="117">
        <f>SUMIFS(Investors!$M:$M,Investors!$O:$O,TRUE,Investors!$A:$A,'Investor Exit List'!$A118,Investors!$E:$E,'Investor Exit List'!$C118,Investors!$L:$L,'Investor Exit List'!$B118)+SUMIFS(Investors!$S:$S,Investors!$O:$O,TRUE,Investors!$A:$A,'Investor Exit List'!$A118,Investors!$E:$E,'Investor Exit List'!$C118,Investors!$L:$L,'Investor Exit List'!$B118)</f>
        <v>0</v>
      </c>
      <c r="T118" s="118" t="str">
        <f t="shared" si="18"/>
        <v/>
      </c>
      <c r="U118" s="116" t="b">
        <v>0</v>
      </c>
      <c r="V118" s="117">
        <f t="shared" si="19"/>
        <v>0</v>
      </c>
      <c r="W118" s="116">
        <v>0</v>
      </c>
      <c r="X118" s="116" t="b">
        <v>0</v>
      </c>
      <c r="Y118" s="119">
        <f>IF(H118=FALSE,VLOOKUP($C118,Sales!$C:$F,4,FALSE),1)</f>
        <v>1</v>
      </c>
      <c r="Z118" s="116" t="str">
        <f t="shared" si="20"/>
        <v/>
      </c>
      <c r="AA118" s="118">
        <f t="shared" si="21"/>
        <v>0</v>
      </c>
      <c r="AB118" s="118" t="str">
        <f t="shared" si="22"/>
        <v>HFB205-ZDEB01</v>
      </c>
      <c r="AC118" s="118">
        <f t="shared" si="23"/>
        <v>45082</v>
      </c>
    </row>
    <row r="119" spans="1:29" ht="16" x14ac:dyDescent="0.2">
      <c r="A119" s="116" t="s">
        <v>304</v>
      </c>
      <c r="B119" s="116">
        <v>1</v>
      </c>
      <c r="C119" s="116" t="s">
        <v>307</v>
      </c>
      <c r="D119" s="116" t="s">
        <v>209</v>
      </c>
      <c r="E119" s="116" t="s">
        <v>2093</v>
      </c>
      <c r="F119" s="117">
        <f>SUMIFS(Investors!$M:$M,Investors!$O:$O,FALSE,Investors!$P:$P,FALSE,Investors!$K:$K,"&gt;"&amp;'NSST Print'!$B$3,Investors!$I:$I,"&lt;="&amp;'NSST Print'!$B$3,Investors!$A:$A,'Investor Exit List'!$A119,Investors!$E:$E,'Investor Exit List'!$C119,Investors!$L:$L,'Investor Exit List'!$B119)-(SUMIFS(Investors!$M:$M,Investors!$I:$I,"&lt;="&amp;'NSST Print'!$B$3,Investors!$J:$J,"&gt;"&amp;'NSST Print'!$B$3,Investors!$A:$A,'Investor Exit List'!$A119,Investors!$E:$E,'Investor Exit List'!$C119,Investors!$L:$L,'Investor Exit List'!$B119)+SUMIFS(Investors!$M:$M,Investors!$I:$I,"&lt;="&amp;'NSST Print'!$B$3,Investors!$J:$J,"",Investors!$A:$A,'Investor Exit List'!$A119,Investors!$E:$E,'Investor Exit List'!$C119,Investors!$L:$L,'Investor Exit List'!$B119))</f>
        <v>0</v>
      </c>
      <c r="G119" s="118">
        <v>44618</v>
      </c>
      <c r="H119" s="116" t="b">
        <f>VLOOKUP($C119,Sales!$C:$E,2,FALSE)</f>
        <v>1</v>
      </c>
      <c r="I119" s="116" t="b">
        <f>VLOOKUP($C119,Sales!$C:$E,3,FALSE)</f>
        <v>0</v>
      </c>
      <c r="J119" s="118">
        <f>SUMIFS(Sales!$H:$H,Sales!$C:$C,'Investor Exit List'!$C119)</f>
        <v>45458</v>
      </c>
      <c r="K119" s="118" t="str">
        <f t="shared" si="12"/>
        <v/>
      </c>
      <c r="L119" s="118">
        <f t="shared" si="13"/>
        <v>45348</v>
      </c>
      <c r="M119" s="118">
        <v>45443</v>
      </c>
      <c r="N119" s="119">
        <f t="shared" si="14"/>
        <v>0</v>
      </c>
      <c r="O119" s="119">
        <f t="shared" si="15"/>
        <v>0</v>
      </c>
      <c r="P119" s="117">
        <f t="shared" si="16"/>
        <v>0</v>
      </c>
      <c r="Q119" s="117">
        <f>SUMIFS(Investors!$M:$M,Investors!$O:$O,FALSE,Investors!$P:$P,FALSE,Investors!$K:$K,"&gt;"&amp;'NSST Print'!$B$3,Investors!$I:$I,"&lt;="&amp;'NSST Print'!$B$3,Investors!$A:$A,'Investor Exit List'!$A119,Investors!$E:$E,'Investor Exit List'!$C119,Investors!$L:$L,'Investor Exit List'!$B119)-(SUMIFS(Investors!$M:$M,Investors!$I:$I,"&lt;="&amp;'NSST Print'!$B$3,Investors!$J:$J,"&gt;"&amp;'NSST Print'!$B$3,Investors!$A:$A,'Investor Exit List'!$A119,Investors!$E:$E,'Investor Exit List'!$C119,Investors!$L:$L,'Investor Exit List'!$B119)+SUMIFS(Investors!$M:$M,Investors!$I:$I,"&lt;="&amp;'NSST Print'!$B$3,Investors!$J:$J,"",Investors!$A:$A,'Investor Exit List'!$A119,Investors!$E:$E,'Investor Exit List'!$C119,Investors!$L:$L,'Investor Exit List'!$B119))+SUMIFS(Investors!$S:$S,Investors!$O:$O,FALSE,Investors!$P:$P,FALSE,Investors!$K:$K,"&gt;"&amp;'NSST Print'!$B$3,Investors!$I:$I,"&lt;="&amp;'NSST Print'!$B$3,Investors!$A:$A,'Investor Exit List'!$A119,Investors!$E:$E,'Investor Exit List'!$C119,Investors!$L:$L,'Investor Exit List'!$B119)-(SUMIFS(Investors!$S:$S,Investors!$I:$I,"&lt;="&amp;'NSST Print'!$B$3,Investors!$J:$J,"&gt;"&amp;'NSST Print'!$B$3,Investors!$A:$A,'Investor Exit List'!$A119,Investors!$E:$E,'Investor Exit List'!$C119,Investors!$L:$L,'Investor Exit List'!$B119)+SUMIFS(Investors!$S:$S,Investors!$I:$I,"&lt;="&amp;'NSST Print'!$B$3,Investors!$J:$J,"",Investors!$A:$A,'Investor Exit List'!$A119,Investors!$E:$E,'Investor Exit List'!$C119,Investors!$L:$L,'Investor Exit List'!$B119))</f>
        <v>0</v>
      </c>
      <c r="R119" s="117">
        <f t="shared" si="17"/>
        <v>0</v>
      </c>
      <c r="S119" s="117">
        <f>SUMIFS(Investors!$M:$M,Investors!$O:$O,TRUE,Investors!$A:$A,'Investor Exit List'!$A119,Investors!$E:$E,'Investor Exit List'!$C119,Investors!$L:$L,'Investor Exit List'!$B119)+SUMIFS(Investors!$S:$S,Investors!$O:$O,TRUE,Investors!$A:$A,'Investor Exit List'!$A119,Investors!$E:$E,'Investor Exit List'!$C119,Investors!$L:$L,'Investor Exit List'!$B119)</f>
        <v>1383143.8356164384</v>
      </c>
      <c r="T119" s="118">
        <f t="shared" si="18"/>
        <v>45458</v>
      </c>
      <c r="U119" s="116" t="b">
        <v>1</v>
      </c>
      <c r="V119" s="117">
        <f t="shared" si="19"/>
        <v>1383143.8356164384</v>
      </c>
      <c r="W119" s="116">
        <v>0</v>
      </c>
      <c r="X119" s="116" t="b">
        <v>0</v>
      </c>
      <c r="Y119" s="119">
        <f>IF(H119=FALSE,VLOOKUP($C119,Sales!$C:$F,4,FALSE),1)</f>
        <v>1</v>
      </c>
      <c r="Z119" s="116" t="str">
        <f t="shared" si="20"/>
        <v/>
      </c>
      <c r="AA119" s="118">
        <f t="shared" si="21"/>
        <v>0</v>
      </c>
      <c r="AB119" s="118" t="str">
        <f t="shared" si="22"/>
        <v>HFB206-ZDEL01</v>
      </c>
      <c r="AC119" s="118">
        <f t="shared" si="23"/>
        <v>45348</v>
      </c>
    </row>
    <row r="120" spans="1:29" ht="16" x14ac:dyDescent="0.2">
      <c r="A120" s="116" t="s">
        <v>78</v>
      </c>
      <c r="B120" s="116">
        <v>2</v>
      </c>
      <c r="C120" s="116" t="s">
        <v>308</v>
      </c>
      <c r="D120" s="116" t="s">
        <v>209</v>
      </c>
      <c r="E120" s="116" t="s">
        <v>2025</v>
      </c>
      <c r="F120" s="117">
        <f>SUMIFS(Investors!$M:$M,Investors!$O:$O,FALSE,Investors!$P:$P,FALSE,Investors!$K:$K,"&gt;"&amp;'NSST Print'!$B$3,Investors!$I:$I,"&lt;="&amp;'NSST Print'!$B$3,Investors!$A:$A,'Investor Exit List'!$A120,Investors!$E:$E,'Investor Exit List'!$C120,Investors!$L:$L,'Investor Exit List'!$B120)-(SUMIFS(Investors!$M:$M,Investors!$I:$I,"&lt;="&amp;'NSST Print'!$B$3,Investors!$J:$J,"&gt;"&amp;'NSST Print'!$B$3,Investors!$A:$A,'Investor Exit List'!$A120,Investors!$E:$E,'Investor Exit List'!$C120,Investors!$L:$L,'Investor Exit List'!$B120)+SUMIFS(Investors!$M:$M,Investors!$I:$I,"&lt;="&amp;'NSST Print'!$B$3,Investors!$J:$J,"",Investors!$A:$A,'Investor Exit List'!$A120,Investors!$E:$E,'Investor Exit List'!$C120,Investors!$L:$L,'Investor Exit List'!$B120))</f>
        <v>0</v>
      </c>
      <c r="G120" s="118">
        <v>44352</v>
      </c>
      <c r="H120" s="116" t="b">
        <f>VLOOKUP($C120,Sales!$C:$E,2,FALSE)</f>
        <v>0</v>
      </c>
      <c r="I120" s="116" t="b">
        <f>VLOOKUP($C120,Sales!$C:$E,3,FALSE)</f>
        <v>0</v>
      </c>
      <c r="J120" s="118">
        <f>SUMIFS(Sales!$H:$H,Sales!$C:$C,'Investor Exit List'!$C120)</f>
        <v>45458</v>
      </c>
      <c r="K120" s="118" t="str">
        <f t="shared" si="12"/>
        <v/>
      </c>
      <c r="L120" s="118">
        <f t="shared" si="13"/>
        <v>45082</v>
      </c>
      <c r="M120" s="118">
        <v>45443</v>
      </c>
      <c r="N120" s="119">
        <f t="shared" si="14"/>
        <v>0</v>
      </c>
      <c r="O120" s="119">
        <f t="shared" si="15"/>
        <v>0</v>
      </c>
      <c r="P120" s="117">
        <f t="shared" si="16"/>
        <v>0</v>
      </c>
      <c r="Q120" s="117">
        <f>SUMIFS(Investors!$M:$M,Investors!$O:$O,FALSE,Investors!$P:$P,FALSE,Investors!$K:$K,"&gt;"&amp;'NSST Print'!$B$3,Investors!$I:$I,"&lt;="&amp;'NSST Print'!$B$3,Investors!$A:$A,'Investor Exit List'!$A120,Investors!$E:$E,'Investor Exit List'!$C120,Investors!$L:$L,'Investor Exit List'!$B120)-(SUMIFS(Investors!$M:$M,Investors!$I:$I,"&lt;="&amp;'NSST Print'!$B$3,Investors!$J:$J,"&gt;"&amp;'NSST Print'!$B$3,Investors!$A:$A,'Investor Exit List'!$A120,Investors!$E:$E,'Investor Exit List'!$C120,Investors!$L:$L,'Investor Exit List'!$B120)+SUMIFS(Investors!$M:$M,Investors!$I:$I,"&lt;="&amp;'NSST Print'!$B$3,Investors!$J:$J,"",Investors!$A:$A,'Investor Exit List'!$A120,Investors!$E:$E,'Investor Exit List'!$C120,Investors!$L:$L,'Investor Exit List'!$B120))+SUMIFS(Investors!$S:$S,Investors!$O:$O,FALSE,Investors!$P:$P,FALSE,Investors!$K:$K,"&gt;"&amp;'NSST Print'!$B$3,Investors!$I:$I,"&lt;="&amp;'NSST Print'!$B$3,Investors!$A:$A,'Investor Exit List'!$A120,Investors!$E:$E,'Investor Exit List'!$C120,Investors!$L:$L,'Investor Exit List'!$B120)-(SUMIFS(Investors!$S:$S,Investors!$I:$I,"&lt;="&amp;'NSST Print'!$B$3,Investors!$J:$J,"&gt;"&amp;'NSST Print'!$B$3,Investors!$A:$A,'Investor Exit List'!$A120,Investors!$E:$E,'Investor Exit List'!$C120,Investors!$L:$L,'Investor Exit List'!$B120)+SUMIFS(Investors!$S:$S,Investors!$I:$I,"&lt;="&amp;'NSST Print'!$B$3,Investors!$J:$J,"",Investors!$A:$A,'Investor Exit List'!$A120,Investors!$E:$E,'Investor Exit List'!$C120,Investors!$L:$L,'Investor Exit List'!$B120))</f>
        <v>0</v>
      </c>
      <c r="R120" s="117">
        <f t="shared" si="17"/>
        <v>0</v>
      </c>
      <c r="S120" s="117">
        <f>SUMIFS(Investors!$M:$M,Investors!$O:$O,TRUE,Investors!$A:$A,'Investor Exit List'!$A120,Investors!$E:$E,'Investor Exit List'!$C120,Investors!$L:$L,'Investor Exit List'!$B120)+SUMIFS(Investors!$S:$S,Investors!$O:$O,TRUE,Investors!$A:$A,'Investor Exit List'!$A120,Investors!$E:$E,'Investor Exit List'!$C120,Investors!$L:$L,'Investor Exit List'!$B120)</f>
        <v>673976.0273972603</v>
      </c>
      <c r="T120" s="118">
        <f t="shared" si="18"/>
        <v>45458</v>
      </c>
      <c r="U120" s="116" t="b">
        <v>1</v>
      </c>
      <c r="V120" s="117">
        <f t="shared" si="19"/>
        <v>0</v>
      </c>
      <c r="W120" s="116">
        <v>0</v>
      </c>
      <c r="X120" s="116" t="b">
        <v>0</v>
      </c>
      <c r="Y120" s="119">
        <f>IF(H120=FALSE,VLOOKUP($C120,Sales!$C:$F,4,FALSE),1)</f>
        <v>1</v>
      </c>
      <c r="Z120" s="116" t="str">
        <f t="shared" si="20"/>
        <v/>
      </c>
      <c r="AA120" s="118">
        <f t="shared" si="21"/>
        <v>0</v>
      </c>
      <c r="AB120" s="118" t="str">
        <f t="shared" si="22"/>
        <v>HFB207-ZDAD01</v>
      </c>
      <c r="AC120" s="118">
        <f t="shared" si="23"/>
        <v>45082</v>
      </c>
    </row>
    <row r="121" spans="1:29" ht="16" x14ac:dyDescent="0.2">
      <c r="A121" s="116" t="s">
        <v>268</v>
      </c>
      <c r="B121" s="116">
        <v>2</v>
      </c>
      <c r="C121" s="116" t="s">
        <v>308</v>
      </c>
      <c r="D121" s="116" t="s">
        <v>209</v>
      </c>
      <c r="E121" s="116" t="s">
        <v>2083</v>
      </c>
      <c r="F121" s="117">
        <f>SUMIFS(Investors!$M:$M,Investors!$O:$O,FALSE,Investors!$P:$P,FALSE,Investors!$K:$K,"&gt;"&amp;'NSST Print'!$B$3,Investors!$I:$I,"&lt;="&amp;'NSST Print'!$B$3,Investors!$A:$A,'Investor Exit List'!$A121,Investors!$E:$E,'Investor Exit List'!$C121,Investors!$L:$L,'Investor Exit List'!$B121)-(SUMIFS(Investors!$M:$M,Investors!$I:$I,"&lt;="&amp;'NSST Print'!$B$3,Investors!$J:$J,"&gt;"&amp;'NSST Print'!$B$3,Investors!$A:$A,'Investor Exit List'!$A121,Investors!$E:$E,'Investor Exit List'!$C121,Investors!$L:$L,'Investor Exit List'!$B121)+SUMIFS(Investors!$M:$M,Investors!$I:$I,"&lt;="&amp;'NSST Print'!$B$3,Investors!$J:$J,"",Investors!$A:$A,'Investor Exit List'!$A121,Investors!$E:$E,'Investor Exit List'!$C121,Investors!$L:$L,'Investor Exit List'!$B121))</f>
        <v>0</v>
      </c>
      <c r="G121" s="118">
        <v>44352</v>
      </c>
      <c r="H121" s="116" t="b">
        <f>VLOOKUP($C121,Sales!$C:$E,2,FALSE)</f>
        <v>0</v>
      </c>
      <c r="I121" s="116" t="b">
        <f>VLOOKUP($C121,Sales!$C:$E,3,FALSE)</f>
        <v>0</v>
      </c>
      <c r="J121" s="118">
        <f>SUMIFS(Sales!$H:$H,Sales!$C:$C,'Investor Exit List'!$C121)</f>
        <v>45458</v>
      </c>
      <c r="K121" s="118" t="str">
        <f t="shared" si="12"/>
        <v/>
      </c>
      <c r="L121" s="118">
        <f t="shared" si="13"/>
        <v>45082</v>
      </c>
      <c r="M121" s="118">
        <v>45443</v>
      </c>
      <c r="N121" s="119">
        <f t="shared" si="14"/>
        <v>0</v>
      </c>
      <c r="O121" s="119">
        <f t="shared" si="15"/>
        <v>0</v>
      </c>
      <c r="P121" s="117">
        <f t="shared" si="16"/>
        <v>0</v>
      </c>
      <c r="Q121" s="117">
        <f>SUMIFS(Investors!$M:$M,Investors!$O:$O,FALSE,Investors!$P:$P,FALSE,Investors!$K:$K,"&gt;"&amp;'NSST Print'!$B$3,Investors!$I:$I,"&lt;="&amp;'NSST Print'!$B$3,Investors!$A:$A,'Investor Exit List'!$A121,Investors!$E:$E,'Investor Exit List'!$C121,Investors!$L:$L,'Investor Exit List'!$B121)-(SUMIFS(Investors!$M:$M,Investors!$I:$I,"&lt;="&amp;'NSST Print'!$B$3,Investors!$J:$J,"&gt;"&amp;'NSST Print'!$B$3,Investors!$A:$A,'Investor Exit List'!$A121,Investors!$E:$E,'Investor Exit List'!$C121,Investors!$L:$L,'Investor Exit List'!$B121)+SUMIFS(Investors!$M:$M,Investors!$I:$I,"&lt;="&amp;'NSST Print'!$B$3,Investors!$J:$J,"",Investors!$A:$A,'Investor Exit List'!$A121,Investors!$E:$E,'Investor Exit List'!$C121,Investors!$L:$L,'Investor Exit List'!$B121))+SUMIFS(Investors!$S:$S,Investors!$O:$O,FALSE,Investors!$P:$P,FALSE,Investors!$K:$K,"&gt;"&amp;'NSST Print'!$B$3,Investors!$I:$I,"&lt;="&amp;'NSST Print'!$B$3,Investors!$A:$A,'Investor Exit List'!$A121,Investors!$E:$E,'Investor Exit List'!$C121,Investors!$L:$L,'Investor Exit List'!$B121)-(SUMIFS(Investors!$S:$S,Investors!$I:$I,"&lt;="&amp;'NSST Print'!$B$3,Investors!$J:$J,"&gt;"&amp;'NSST Print'!$B$3,Investors!$A:$A,'Investor Exit List'!$A121,Investors!$E:$E,'Investor Exit List'!$C121,Investors!$L:$L,'Investor Exit List'!$B121)+SUMIFS(Investors!$S:$S,Investors!$I:$I,"&lt;="&amp;'NSST Print'!$B$3,Investors!$J:$J,"",Investors!$A:$A,'Investor Exit List'!$A121,Investors!$E:$E,'Investor Exit List'!$C121,Investors!$L:$L,'Investor Exit List'!$B121))</f>
        <v>0</v>
      </c>
      <c r="R121" s="117">
        <f t="shared" si="17"/>
        <v>0</v>
      </c>
      <c r="S121" s="117">
        <f>SUMIFS(Investors!$M:$M,Investors!$O:$O,TRUE,Investors!$A:$A,'Investor Exit List'!$A121,Investors!$E:$E,'Investor Exit List'!$C121,Investors!$L:$L,'Investor Exit List'!$B121)+SUMIFS(Investors!$S:$S,Investors!$O:$O,TRUE,Investors!$A:$A,'Investor Exit List'!$A121,Investors!$E:$E,'Investor Exit List'!$C121,Investors!$L:$L,'Investor Exit List'!$B121)</f>
        <v>552432.87671232875</v>
      </c>
      <c r="T121" s="118">
        <f t="shared" si="18"/>
        <v>45458</v>
      </c>
      <c r="U121" s="116" t="b">
        <v>1</v>
      </c>
      <c r="V121" s="117">
        <f t="shared" si="19"/>
        <v>0</v>
      </c>
      <c r="W121" s="116">
        <v>0</v>
      </c>
      <c r="X121" s="116" t="b">
        <v>0</v>
      </c>
      <c r="Y121" s="119">
        <f>IF(H121=FALSE,VLOOKUP($C121,Sales!$C:$F,4,FALSE),1)</f>
        <v>1</v>
      </c>
      <c r="Z121" s="116" t="str">
        <f t="shared" si="20"/>
        <v/>
      </c>
      <c r="AA121" s="118">
        <f t="shared" si="21"/>
        <v>0</v>
      </c>
      <c r="AB121" s="118" t="str">
        <f t="shared" si="22"/>
        <v>HFB207-ZGIL01</v>
      </c>
      <c r="AC121" s="118">
        <f t="shared" si="23"/>
        <v>45082</v>
      </c>
    </row>
    <row r="122" spans="1:29" ht="16" x14ac:dyDescent="0.2">
      <c r="A122" s="116" t="s">
        <v>309</v>
      </c>
      <c r="B122" s="116">
        <v>1</v>
      </c>
      <c r="C122" s="116" t="s">
        <v>312</v>
      </c>
      <c r="D122" s="116" t="s">
        <v>209</v>
      </c>
      <c r="E122" s="116" t="s">
        <v>2094</v>
      </c>
      <c r="F122" s="117">
        <f>SUMIFS(Investors!$M:$M,Investors!$O:$O,FALSE,Investors!$P:$P,FALSE,Investors!$K:$K,"&gt;"&amp;'NSST Print'!$B$3,Investors!$I:$I,"&lt;="&amp;'NSST Print'!$B$3,Investors!$A:$A,'Investor Exit List'!$A122,Investors!$E:$E,'Investor Exit List'!$C122,Investors!$L:$L,'Investor Exit List'!$B122)-(SUMIFS(Investors!$M:$M,Investors!$I:$I,"&lt;="&amp;'NSST Print'!$B$3,Investors!$J:$J,"&gt;"&amp;'NSST Print'!$B$3,Investors!$A:$A,'Investor Exit List'!$A122,Investors!$E:$E,'Investor Exit List'!$C122,Investors!$L:$L,'Investor Exit List'!$B122)+SUMIFS(Investors!$M:$M,Investors!$I:$I,"&lt;="&amp;'NSST Print'!$B$3,Investors!$J:$J,"",Investors!$A:$A,'Investor Exit List'!$A122,Investors!$E:$E,'Investor Exit List'!$C122,Investors!$L:$L,'Investor Exit List'!$B122))</f>
        <v>0</v>
      </c>
      <c r="G122" s="118">
        <v>44840</v>
      </c>
      <c r="H122" s="116" t="b">
        <f>VLOOKUP($C122,Sales!$C:$E,2,FALSE)</f>
        <v>1</v>
      </c>
      <c r="I122" s="116" t="b">
        <f>VLOOKUP($C122,Sales!$C:$E,3,FALSE)</f>
        <v>1</v>
      </c>
      <c r="J122" s="118">
        <f>SUMIFS(Sales!$H:$H,Sales!$C:$C,'Investor Exit List'!$C122)</f>
        <v>45688</v>
      </c>
      <c r="K122" s="118">
        <f t="shared" si="12"/>
        <v>45688</v>
      </c>
      <c r="L122" s="118">
        <f t="shared" si="13"/>
        <v>45570</v>
      </c>
      <c r="M122" s="118">
        <v>45443</v>
      </c>
      <c r="N122" s="119">
        <f t="shared" si="14"/>
        <v>0</v>
      </c>
      <c r="O122" s="119">
        <f t="shared" si="15"/>
        <v>0</v>
      </c>
      <c r="P122" s="117">
        <f t="shared" si="16"/>
        <v>0</v>
      </c>
      <c r="Q122" s="117">
        <f>SUMIFS(Investors!$M:$M,Investors!$O:$O,FALSE,Investors!$P:$P,FALSE,Investors!$K:$K,"&gt;"&amp;'NSST Print'!$B$3,Investors!$I:$I,"&lt;="&amp;'NSST Print'!$B$3,Investors!$A:$A,'Investor Exit List'!$A122,Investors!$E:$E,'Investor Exit List'!$C122,Investors!$L:$L,'Investor Exit List'!$B122)-(SUMIFS(Investors!$M:$M,Investors!$I:$I,"&lt;="&amp;'NSST Print'!$B$3,Investors!$J:$J,"&gt;"&amp;'NSST Print'!$B$3,Investors!$A:$A,'Investor Exit List'!$A122,Investors!$E:$E,'Investor Exit List'!$C122,Investors!$L:$L,'Investor Exit List'!$B122)+SUMIFS(Investors!$M:$M,Investors!$I:$I,"&lt;="&amp;'NSST Print'!$B$3,Investors!$J:$J,"",Investors!$A:$A,'Investor Exit List'!$A122,Investors!$E:$E,'Investor Exit List'!$C122,Investors!$L:$L,'Investor Exit List'!$B122))+SUMIFS(Investors!$S:$S,Investors!$O:$O,FALSE,Investors!$P:$P,FALSE,Investors!$K:$K,"&gt;"&amp;'NSST Print'!$B$3,Investors!$I:$I,"&lt;="&amp;'NSST Print'!$B$3,Investors!$A:$A,'Investor Exit List'!$A122,Investors!$E:$E,'Investor Exit List'!$C122,Investors!$L:$L,'Investor Exit List'!$B122)-(SUMIFS(Investors!$S:$S,Investors!$I:$I,"&lt;="&amp;'NSST Print'!$B$3,Investors!$J:$J,"&gt;"&amp;'NSST Print'!$B$3,Investors!$A:$A,'Investor Exit List'!$A122,Investors!$E:$E,'Investor Exit List'!$C122,Investors!$L:$L,'Investor Exit List'!$B122)+SUMIFS(Investors!$S:$S,Investors!$I:$I,"&lt;="&amp;'NSST Print'!$B$3,Investors!$J:$J,"",Investors!$A:$A,'Investor Exit List'!$A122,Investors!$E:$E,'Investor Exit List'!$C122,Investors!$L:$L,'Investor Exit List'!$B122))</f>
        <v>0</v>
      </c>
      <c r="R122" s="117">
        <f t="shared" si="17"/>
        <v>0</v>
      </c>
      <c r="S122" s="117">
        <f>SUMIFS(Investors!$M:$M,Investors!$O:$O,TRUE,Investors!$A:$A,'Investor Exit List'!$A122,Investors!$E:$E,'Investor Exit List'!$C122,Investors!$L:$L,'Investor Exit List'!$B122)+SUMIFS(Investors!$S:$S,Investors!$O:$O,TRUE,Investors!$A:$A,'Investor Exit List'!$A122,Investors!$E:$E,'Investor Exit List'!$C122,Investors!$L:$L,'Investor Exit List'!$B122)</f>
        <v>0</v>
      </c>
      <c r="T122" s="118" t="str">
        <f t="shared" si="18"/>
        <v/>
      </c>
      <c r="U122" s="116" t="b">
        <v>0</v>
      </c>
      <c r="V122" s="117">
        <f t="shared" si="19"/>
        <v>0</v>
      </c>
      <c r="W122" s="116">
        <v>0</v>
      </c>
      <c r="X122" s="116" t="b">
        <v>0</v>
      </c>
      <c r="Y122" s="119">
        <f>IF(H122=FALSE,VLOOKUP($C122,Sales!$C:$F,4,FALSE),1)</f>
        <v>1</v>
      </c>
      <c r="Z122" s="116" t="str">
        <f t="shared" si="20"/>
        <v/>
      </c>
      <c r="AA122" s="118">
        <f t="shared" si="21"/>
        <v>0</v>
      </c>
      <c r="AB122" s="118" t="str">
        <f t="shared" si="22"/>
        <v>HFB208-ZFLA01</v>
      </c>
      <c r="AC122" s="118">
        <f t="shared" si="23"/>
        <v>45570</v>
      </c>
    </row>
    <row r="123" spans="1:29" ht="16" x14ac:dyDescent="0.2">
      <c r="A123" s="116" t="s">
        <v>313</v>
      </c>
      <c r="B123" s="116">
        <v>1</v>
      </c>
      <c r="C123" s="116" t="s">
        <v>312</v>
      </c>
      <c r="D123" s="116" t="s">
        <v>209</v>
      </c>
      <c r="E123" s="116" t="s">
        <v>2095</v>
      </c>
      <c r="F123" s="117">
        <f>SUMIFS(Investors!$M:$M,Investors!$O:$O,FALSE,Investors!$P:$P,FALSE,Investors!$K:$K,"&gt;"&amp;'NSST Print'!$B$3,Investors!$I:$I,"&lt;="&amp;'NSST Print'!$B$3,Investors!$A:$A,'Investor Exit List'!$A123,Investors!$E:$E,'Investor Exit List'!$C123,Investors!$L:$L,'Investor Exit List'!$B123)-(SUMIFS(Investors!$M:$M,Investors!$I:$I,"&lt;="&amp;'NSST Print'!$B$3,Investors!$J:$J,"&gt;"&amp;'NSST Print'!$B$3,Investors!$A:$A,'Investor Exit List'!$A123,Investors!$E:$E,'Investor Exit List'!$C123,Investors!$L:$L,'Investor Exit List'!$B123)+SUMIFS(Investors!$M:$M,Investors!$I:$I,"&lt;="&amp;'NSST Print'!$B$3,Investors!$J:$J,"",Investors!$A:$A,'Investor Exit List'!$A123,Investors!$E:$E,'Investor Exit List'!$C123,Investors!$L:$L,'Investor Exit List'!$B123))</f>
        <v>0</v>
      </c>
      <c r="G123" s="118">
        <v>44352</v>
      </c>
      <c r="H123" s="116" t="b">
        <f>VLOOKUP($C123,Sales!$C:$E,2,FALSE)</f>
        <v>1</v>
      </c>
      <c r="I123" s="116" t="b">
        <f>VLOOKUP($C123,Sales!$C:$E,3,FALSE)</f>
        <v>1</v>
      </c>
      <c r="J123" s="118">
        <f>SUMIFS(Sales!$H:$H,Sales!$C:$C,'Investor Exit List'!$C123)</f>
        <v>45688</v>
      </c>
      <c r="K123" s="118">
        <f t="shared" si="12"/>
        <v>45688</v>
      </c>
      <c r="L123" s="118">
        <f t="shared" si="13"/>
        <v>45082</v>
      </c>
      <c r="M123" s="118">
        <v>45443</v>
      </c>
      <c r="N123" s="119">
        <f t="shared" si="14"/>
        <v>0</v>
      </c>
      <c r="O123" s="119">
        <f t="shared" si="15"/>
        <v>0</v>
      </c>
      <c r="P123" s="117">
        <f t="shared" si="16"/>
        <v>0</v>
      </c>
      <c r="Q123" s="117">
        <f>SUMIFS(Investors!$M:$M,Investors!$O:$O,FALSE,Investors!$P:$P,FALSE,Investors!$K:$K,"&gt;"&amp;'NSST Print'!$B$3,Investors!$I:$I,"&lt;="&amp;'NSST Print'!$B$3,Investors!$A:$A,'Investor Exit List'!$A123,Investors!$E:$E,'Investor Exit List'!$C123,Investors!$L:$L,'Investor Exit List'!$B123)-(SUMIFS(Investors!$M:$M,Investors!$I:$I,"&lt;="&amp;'NSST Print'!$B$3,Investors!$J:$J,"&gt;"&amp;'NSST Print'!$B$3,Investors!$A:$A,'Investor Exit List'!$A123,Investors!$E:$E,'Investor Exit List'!$C123,Investors!$L:$L,'Investor Exit List'!$B123)+SUMIFS(Investors!$M:$M,Investors!$I:$I,"&lt;="&amp;'NSST Print'!$B$3,Investors!$J:$J,"",Investors!$A:$A,'Investor Exit List'!$A123,Investors!$E:$E,'Investor Exit List'!$C123,Investors!$L:$L,'Investor Exit List'!$B123))+SUMIFS(Investors!$S:$S,Investors!$O:$O,FALSE,Investors!$P:$P,FALSE,Investors!$K:$K,"&gt;"&amp;'NSST Print'!$B$3,Investors!$I:$I,"&lt;="&amp;'NSST Print'!$B$3,Investors!$A:$A,'Investor Exit List'!$A123,Investors!$E:$E,'Investor Exit List'!$C123,Investors!$L:$L,'Investor Exit List'!$B123)-(SUMIFS(Investors!$S:$S,Investors!$I:$I,"&lt;="&amp;'NSST Print'!$B$3,Investors!$J:$J,"&gt;"&amp;'NSST Print'!$B$3,Investors!$A:$A,'Investor Exit List'!$A123,Investors!$E:$E,'Investor Exit List'!$C123,Investors!$L:$L,'Investor Exit List'!$B123)+SUMIFS(Investors!$S:$S,Investors!$I:$I,"&lt;="&amp;'NSST Print'!$B$3,Investors!$J:$J,"",Investors!$A:$A,'Investor Exit List'!$A123,Investors!$E:$E,'Investor Exit List'!$C123,Investors!$L:$L,'Investor Exit List'!$B123))</f>
        <v>0</v>
      </c>
      <c r="R123" s="117">
        <f t="shared" si="17"/>
        <v>0</v>
      </c>
      <c r="S123" s="117">
        <f>SUMIFS(Investors!$M:$M,Investors!$O:$O,TRUE,Investors!$A:$A,'Investor Exit List'!$A123,Investors!$E:$E,'Investor Exit List'!$C123,Investors!$L:$L,'Investor Exit List'!$B123)+SUMIFS(Investors!$S:$S,Investors!$O:$O,TRUE,Investors!$A:$A,'Investor Exit List'!$A123,Investors!$E:$E,'Investor Exit List'!$C123,Investors!$L:$L,'Investor Exit List'!$B123)</f>
        <v>0</v>
      </c>
      <c r="T123" s="118" t="str">
        <f t="shared" si="18"/>
        <v/>
      </c>
      <c r="U123" s="116" t="b">
        <v>0</v>
      </c>
      <c r="V123" s="117">
        <f t="shared" si="19"/>
        <v>0</v>
      </c>
      <c r="W123" s="116">
        <v>0</v>
      </c>
      <c r="X123" s="116" t="b">
        <v>0</v>
      </c>
      <c r="Y123" s="119">
        <f>IF(H123=FALSE,VLOOKUP($C123,Sales!$C:$F,4,FALSE),1)</f>
        <v>1</v>
      </c>
      <c r="Z123" s="116" t="str">
        <f t="shared" si="20"/>
        <v/>
      </c>
      <c r="AA123" s="118">
        <f t="shared" si="21"/>
        <v>0</v>
      </c>
      <c r="AB123" s="118" t="str">
        <f t="shared" si="22"/>
        <v>HFB208-ZHAA01</v>
      </c>
      <c r="AC123" s="118">
        <f t="shared" si="23"/>
        <v>45082</v>
      </c>
    </row>
    <row r="124" spans="1:29" ht="16" x14ac:dyDescent="0.2">
      <c r="A124" s="116" t="s">
        <v>44</v>
      </c>
      <c r="B124" s="116">
        <v>4</v>
      </c>
      <c r="C124" s="116" t="s">
        <v>316</v>
      </c>
      <c r="D124" s="116" t="s">
        <v>209</v>
      </c>
      <c r="E124" s="116" t="s">
        <v>2015</v>
      </c>
      <c r="F124" s="117">
        <f>SUMIFS(Investors!$M:$M,Investors!$O:$O,FALSE,Investors!$P:$P,FALSE,Investors!$K:$K,"&gt;"&amp;'NSST Print'!$B$3,Investors!$I:$I,"&lt;="&amp;'NSST Print'!$B$3,Investors!$A:$A,'Investor Exit List'!$A124,Investors!$E:$E,'Investor Exit List'!$C124,Investors!$L:$L,'Investor Exit List'!$B124)-(SUMIFS(Investors!$M:$M,Investors!$I:$I,"&lt;="&amp;'NSST Print'!$B$3,Investors!$J:$J,"&gt;"&amp;'NSST Print'!$B$3,Investors!$A:$A,'Investor Exit List'!$A124,Investors!$E:$E,'Investor Exit List'!$C124,Investors!$L:$L,'Investor Exit List'!$B124)+SUMIFS(Investors!$M:$M,Investors!$I:$I,"&lt;="&amp;'NSST Print'!$B$3,Investors!$J:$J,"",Investors!$A:$A,'Investor Exit List'!$A124,Investors!$E:$E,'Investor Exit List'!$C124,Investors!$L:$L,'Investor Exit List'!$B124))</f>
        <v>0</v>
      </c>
      <c r="G124" s="118">
        <v>44352</v>
      </c>
      <c r="H124" s="116" t="b">
        <f>VLOOKUP($C124,Sales!$C:$E,2,FALSE)</f>
        <v>1</v>
      </c>
      <c r="I124" s="116" t="b">
        <f>VLOOKUP($C124,Sales!$C:$E,3,FALSE)</f>
        <v>1</v>
      </c>
      <c r="J124" s="118">
        <f>SUMIFS(Sales!$H:$H,Sales!$C:$C,'Investor Exit List'!$C124)</f>
        <v>45458</v>
      </c>
      <c r="K124" s="118">
        <f t="shared" si="12"/>
        <v>45458</v>
      </c>
      <c r="L124" s="118">
        <f t="shared" si="13"/>
        <v>45082</v>
      </c>
      <c r="M124" s="118">
        <v>45443</v>
      </c>
      <c r="N124" s="119">
        <f t="shared" si="14"/>
        <v>0</v>
      </c>
      <c r="O124" s="119">
        <f t="shared" si="15"/>
        <v>0</v>
      </c>
      <c r="P124" s="117">
        <f t="shared" si="16"/>
        <v>0</v>
      </c>
      <c r="Q124" s="117">
        <f>SUMIFS(Investors!$M:$M,Investors!$O:$O,FALSE,Investors!$P:$P,FALSE,Investors!$K:$K,"&gt;"&amp;'NSST Print'!$B$3,Investors!$I:$I,"&lt;="&amp;'NSST Print'!$B$3,Investors!$A:$A,'Investor Exit List'!$A124,Investors!$E:$E,'Investor Exit List'!$C124,Investors!$L:$L,'Investor Exit List'!$B124)-(SUMIFS(Investors!$M:$M,Investors!$I:$I,"&lt;="&amp;'NSST Print'!$B$3,Investors!$J:$J,"&gt;"&amp;'NSST Print'!$B$3,Investors!$A:$A,'Investor Exit List'!$A124,Investors!$E:$E,'Investor Exit List'!$C124,Investors!$L:$L,'Investor Exit List'!$B124)+SUMIFS(Investors!$M:$M,Investors!$I:$I,"&lt;="&amp;'NSST Print'!$B$3,Investors!$J:$J,"",Investors!$A:$A,'Investor Exit List'!$A124,Investors!$E:$E,'Investor Exit List'!$C124,Investors!$L:$L,'Investor Exit List'!$B124))+SUMIFS(Investors!$S:$S,Investors!$O:$O,FALSE,Investors!$P:$P,FALSE,Investors!$K:$K,"&gt;"&amp;'NSST Print'!$B$3,Investors!$I:$I,"&lt;="&amp;'NSST Print'!$B$3,Investors!$A:$A,'Investor Exit List'!$A124,Investors!$E:$E,'Investor Exit List'!$C124,Investors!$L:$L,'Investor Exit List'!$B124)-(SUMIFS(Investors!$S:$S,Investors!$I:$I,"&lt;="&amp;'NSST Print'!$B$3,Investors!$J:$J,"&gt;"&amp;'NSST Print'!$B$3,Investors!$A:$A,'Investor Exit List'!$A124,Investors!$E:$E,'Investor Exit List'!$C124,Investors!$L:$L,'Investor Exit List'!$B124)+SUMIFS(Investors!$S:$S,Investors!$I:$I,"&lt;="&amp;'NSST Print'!$B$3,Investors!$J:$J,"",Investors!$A:$A,'Investor Exit List'!$A124,Investors!$E:$E,'Investor Exit List'!$C124,Investors!$L:$L,'Investor Exit List'!$B124))</f>
        <v>0</v>
      </c>
      <c r="R124" s="117">
        <f t="shared" si="17"/>
        <v>0</v>
      </c>
      <c r="S124" s="117">
        <f>SUMIFS(Investors!$M:$M,Investors!$O:$O,TRUE,Investors!$A:$A,'Investor Exit List'!$A124,Investors!$E:$E,'Investor Exit List'!$C124,Investors!$L:$L,'Investor Exit List'!$B124)+SUMIFS(Investors!$S:$S,Investors!$O:$O,TRUE,Investors!$A:$A,'Investor Exit List'!$A124,Investors!$E:$E,'Investor Exit List'!$C124,Investors!$L:$L,'Investor Exit List'!$B124)</f>
        <v>1213754.7945205481</v>
      </c>
      <c r="T124" s="118">
        <f t="shared" si="18"/>
        <v>45458</v>
      </c>
      <c r="U124" s="116" t="b">
        <v>1</v>
      </c>
      <c r="V124" s="117">
        <f t="shared" si="19"/>
        <v>1213754.7945205481</v>
      </c>
      <c r="W124" s="116">
        <v>0</v>
      </c>
      <c r="X124" s="116" t="b">
        <v>0</v>
      </c>
      <c r="Y124" s="119">
        <f>IF(H124=FALSE,VLOOKUP($C124,Sales!$C:$F,4,FALSE),1)</f>
        <v>1</v>
      </c>
      <c r="Z124" s="116" t="str">
        <f t="shared" si="20"/>
        <v/>
      </c>
      <c r="AA124" s="118">
        <f t="shared" si="21"/>
        <v>0</v>
      </c>
      <c r="AB124" s="118" t="str">
        <f t="shared" si="22"/>
        <v>HFB209-ZDEB01</v>
      </c>
      <c r="AC124" s="118">
        <f t="shared" si="23"/>
        <v>45082</v>
      </c>
    </row>
    <row r="125" spans="1:29" ht="16" x14ac:dyDescent="0.2">
      <c r="A125" s="116" t="s">
        <v>317</v>
      </c>
      <c r="B125" s="116">
        <v>1</v>
      </c>
      <c r="C125" s="116" t="s">
        <v>320</v>
      </c>
      <c r="D125" s="116" t="s">
        <v>209</v>
      </c>
      <c r="E125" s="116" t="s">
        <v>2096</v>
      </c>
      <c r="F125" s="117">
        <f>SUMIFS(Investors!$M:$M,Investors!$O:$O,FALSE,Investors!$P:$P,FALSE,Investors!$K:$K,"&gt;"&amp;'NSST Print'!$B$3,Investors!$I:$I,"&lt;="&amp;'NSST Print'!$B$3,Investors!$A:$A,'Investor Exit List'!$A125,Investors!$E:$E,'Investor Exit List'!$C125,Investors!$L:$L,'Investor Exit List'!$B125)-(SUMIFS(Investors!$M:$M,Investors!$I:$I,"&lt;="&amp;'NSST Print'!$B$3,Investors!$J:$J,"&gt;"&amp;'NSST Print'!$B$3,Investors!$A:$A,'Investor Exit List'!$A125,Investors!$E:$E,'Investor Exit List'!$C125,Investors!$L:$L,'Investor Exit List'!$B125)+SUMIFS(Investors!$M:$M,Investors!$I:$I,"&lt;="&amp;'NSST Print'!$B$3,Investors!$J:$J,"",Investors!$A:$A,'Investor Exit List'!$A125,Investors!$E:$E,'Investor Exit List'!$C125,Investors!$L:$L,'Investor Exit List'!$B125))</f>
        <v>0</v>
      </c>
      <c r="G125" s="118">
        <v>44352</v>
      </c>
      <c r="H125" s="116" t="b">
        <f>VLOOKUP($C125,Sales!$C:$E,2,FALSE)</f>
        <v>0</v>
      </c>
      <c r="I125" s="116" t="b">
        <f>VLOOKUP($C125,Sales!$C:$E,3,FALSE)</f>
        <v>0</v>
      </c>
      <c r="J125" s="118">
        <f>SUMIFS(Sales!$H:$H,Sales!$C:$C,'Investor Exit List'!$C125)</f>
        <v>45458</v>
      </c>
      <c r="K125" s="118" t="str">
        <f t="shared" si="12"/>
        <v/>
      </c>
      <c r="L125" s="118">
        <f t="shared" si="13"/>
        <v>45082</v>
      </c>
      <c r="M125" s="118">
        <v>45443</v>
      </c>
      <c r="N125" s="119">
        <f t="shared" si="14"/>
        <v>0</v>
      </c>
      <c r="O125" s="119">
        <f t="shared" si="15"/>
        <v>0</v>
      </c>
      <c r="P125" s="117">
        <f t="shared" si="16"/>
        <v>0</v>
      </c>
      <c r="Q125" s="117">
        <f>SUMIFS(Investors!$M:$M,Investors!$O:$O,FALSE,Investors!$P:$P,FALSE,Investors!$K:$K,"&gt;"&amp;'NSST Print'!$B$3,Investors!$I:$I,"&lt;="&amp;'NSST Print'!$B$3,Investors!$A:$A,'Investor Exit List'!$A125,Investors!$E:$E,'Investor Exit List'!$C125,Investors!$L:$L,'Investor Exit List'!$B125)-(SUMIFS(Investors!$M:$M,Investors!$I:$I,"&lt;="&amp;'NSST Print'!$B$3,Investors!$J:$J,"&gt;"&amp;'NSST Print'!$B$3,Investors!$A:$A,'Investor Exit List'!$A125,Investors!$E:$E,'Investor Exit List'!$C125,Investors!$L:$L,'Investor Exit List'!$B125)+SUMIFS(Investors!$M:$M,Investors!$I:$I,"&lt;="&amp;'NSST Print'!$B$3,Investors!$J:$J,"",Investors!$A:$A,'Investor Exit List'!$A125,Investors!$E:$E,'Investor Exit List'!$C125,Investors!$L:$L,'Investor Exit List'!$B125))+SUMIFS(Investors!$S:$S,Investors!$O:$O,FALSE,Investors!$P:$P,FALSE,Investors!$K:$K,"&gt;"&amp;'NSST Print'!$B$3,Investors!$I:$I,"&lt;="&amp;'NSST Print'!$B$3,Investors!$A:$A,'Investor Exit List'!$A125,Investors!$E:$E,'Investor Exit List'!$C125,Investors!$L:$L,'Investor Exit List'!$B125)-(SUMIFS(Investors!$S:$S,Investors!$I:$I,"&lt;="&amp;'NSST Print'!$B$3,Investors!$J:$J,"&gt;"&amp;'NSST Print'!$B$3,Investors!$A:$A,'Investor Exit List'!$A125,Investors!$E:$E,'Investor Exit List'!$C125,Investors!$L:$L,'Investor Exit List'!$B125)+SUMIFS(Investors!$S:$S,Investors!$I:$I,"&lt;="&amp;'NSST Print'!$B$3,Investors!$J:$J,"",Investors!$A:$A,'Investor Exit List'!$A125,Investors!$E:$E,'Investor Exit List'!$C125,Investors!$L:$L,'Investor Exit List'!$B125))</f>
        <v>0</v>
      </c>
      <c r="R125" s="117">
        <f t="shared" si="17"/>
        <v>0</v>
      </c>
      <c r="S125" s="117">
        <f>SUMIFS(Investors!$M:$M,Investors!$O:$O,TRUE,Investors!$A:$A,'Investor Exit List'!$A125,Investors!$E:$E,'Investor Exit List'!$C125,Investors!$L:$L,'Investor Exit List'!$B125)+SUMIFS(Investors!$S:$S,Investors!$O:$O,TRUE,Investors!$A:$A,'Investor Exit List'!$A125,Investors!$E:$E,'Investor Exit List'!$C125,Investors!$L:$L,'Investor Exit List'!$B125)</f>
        <v>673376.71232876717</v>
      </c>
      <c r="T125" s="118">
        <f t="shared" si="18"/>
        <v>45458</v>
      </c>
      <c r="U125" s="116" t="b">
        <v>1</v>
      </c>
      <c r="V125" s="117">
        <f t="shared" si="19"/>
        <v>0</v>
      </c>
      <c r="W125" s="116">
        <v>0</v>
      </c>
      <c r="X125" s="116" t="b">
        <v>0</v>
      </c>
      <c r="Y125" s="119">
        <f>IF(H125=FALSE,VLOOKUP($C125,Sales!$C:$F,4,FALSE),1)</f>
        <v>1</v>
      </c>
      <c r="Z125" s="116" t="str">
        <f t="shared" si="20"/>
        <v/>
      </c>
      <c r="AA125" s="118">
        <f t="shared" si="21"/>
        <v>0</v>
      </c>
      <c r="AB125" s="118" t="str">
        <f t="shared" si="22"/>
        <v>HFB210-ZEDE01</v>
      </c>
      <c r="AC125" s="118">
        <f t="shared" si="23"/>
        <v>45082</v>
      </c>
    </row>
    <row r="126" spans="1:29" ht="16" x14ac:dyDescent="0.2">
      <c r="A126" s="116" t="s">
        <v>321</v>
      </c>
      <c r="B126" s="116">
        <v>1</v>
      </c>
      <c r="C126" s="116" t="s">
        <v>320</v>
      </c>
      <c r="D126" s="116" t="s">
        <v>209</v>
      </c>
      <c r="E126" s="116" t="s">
        <v>2097</v>
      </c>
      <c r="F126" s="117">
        <f>SUMIFS(Investors!$M:$M,Investors!$O:$O,FALSE,Investors!$P:$P,FALSE,Investors!$K:$K,"&gt;"&amp;'NSST Print'!$B$3,Investors!$I:$I,"&lt;="&amp;'NSST Print'!$B$3,Investors!$A:$A,'Investor Exit List'!$A126,Investors!$E:$E,'Investor Exit List'!$C126,Investors!$L:$L,'Investor Exit List'!$B126)-(SUMIFS(Investors!$M:$M,Investors!$I:$I,"&lt;="&amp;'NSST Print'!$B$3,Investors!$J:$J,"&gt;"&amp;'NSST Print'!$B$3,Investors!$A:$A,'Investor Exit List'!$A126,Investors!$E:$E,'Investor Exit List'!$C126,Investors!$L:$L,'Investor Exit List'!$B126)+SUMIFS(Investors!$M:$M,Investors!$I:$I,"&lt;="&amp;'NSST Print'!$B$3,Investors!$J:$J,"",Investors!$A:$A,'Investor Exit List'!$A126,Investors!$E:$E,'Investor Exit List'!$C126,Investors!$L:$L,'Investor Exit List'!$B126))</f>
        <v>0</v>
      </c>
      <c r="G126" s="118">
        <v>44664</v>
      </c>
      <c r="H126" s="116" t="b">
        <f>VLOOKUP($C126,Sales!$C:$E,2,FALSE)</f>
        <v>0</v>
      </c>
      <c r="I126" s="116" t="b">
        <f>VLOOKUP($C126,Sales!$C:$E,3,FALSE)</f>
        <v>0</v>
      </c>
      <c r="J126" s="118">
        <f>SUMIFS(Sales!$H:$H,Sales!$C:$C,'Investor Exit List'!$C126)</f>
        <v>45458</v>
      </c>
      <c r="K126" s="118" t="str">
        <f t="shared" si="12"/>
        <v/>
      </c>
      <c r="L126" s="118">
        <f t="shared" si="13"/>
        <v>45394</v>
      </c>
      <c r="M126" s="118">
        <v>45443</v>
      </c>
      <c r="N126" s="119">
        <f t="shared" si="14"/>
        <v>0</v>
      </c>
      <c r="O126" s="119">
        <f t="shared" si="15"/>
        <v>0</v>
      </c>
      <c r="P126" s="117">
        <f t="shared" si="16"/>
        <v>0</v>
      </c>
      <c r="Q126" s="117">
        <f>SUMIFS(Investors!$M:$M,Investors!$O:$O,FALSE,Investors!$P:$P,FALSE,Investors!$K:$K,"&gt;"&amp;'NSST Print'!$B$3,Investors!$I:$I,"&lt;="&amp;'NSST Print'!$B$3,Investors!$A:$A,'Investor Exit List'!$A126,Investors!$E:$E,'Investor Exit List'!$C126,Investors!$L:$L,'Investor Exit List'!$B126)-(SUMIFS(Investors!$M:$M,Investors!$I:$I,"&lt;="&amp;'NSST Print'!$B$3,Investors!$J:$J,"&gt;"&amp;'NSST Print'!$B$3,Investors!$A:$A,'Investor Exit List'!$A126,Investors!$E:$E,'Investor Exit List'!$C126,Investors!$L:$L,'Investor Exit List'!$B126)+SUMIFS(Investors!$M:$M,Investors!$I:$I,"&lt;="&amp;'NSST Print'!$B$3,Investors!$J:$J,"",Investors!$A:$A,'Investor Exit List'!$A126,Investors!$E:$E,'Investor Exit List'!$C126,Investors!$L:$L,'Investor Exit List'!$B126))+SUMIFS(Investors!$S:$S,Investors!$O:$O,FALSE,Investors!$P:$P,FALSE,Investors!$K:$K,"&gt;"&amp;'NSST Print'!$B$3,Investors!$I:$I,"&lt;="&amp;'NSST Print'!$B$3,Investors!$A:$A,'Investor Exit List'!$A126,Investors!$E:$E,'Investor Exit List'!$C126,Investors!$L:$L,'Investor Exit List'!$B126)-(SUMIFS(Investors!$S:$S,Investors!$I:$I,"&lt;="&amp;'NSST Print'!$B$3,Investors!$J:$J,"&gt;"&amp;'NSST Print'!$B$3,Investors!$A:$A,'Investor Exit List'!$A126,Investors!$E:$E,'Investor Exit List'!$C126,Investors!$L:$L,'Investor Exit List'!$B126)+SUMIFS(Investors!$S:$S,Investors!$I:$I,"&lt;="&amp;'NSST Print'!$B$3,Investors!$J:$J,"",Investors!$A:$A,'Investor Exit List'!$A126,Investors!$E:$E,'Investor Exit List'!$C126,Investors!$L:$L,'Investor Exit List'!$B126))</f>
        <v>0</v>
      </c>
      <c r="R126" s="117">
        <f t="shared" si="17"/>
        <v>0</v>
      </c>
      <c r="S126" s="117">
        <f>SUMIFS(Investors!$M:$M,Investors!$O:$O,TRUE,Investors!$A:$A,'Investor Exit List'!$A126,Investors!$E:$E,'Investor Exit List'!$C126,Investors!$L:$L,'Investor Exit List'!$B126)+SUMIFS(Investors!$S:$S,Investors!$O:$O,TRUE,Investors!$A:$A,'Investor Exit List'!$A126,Investors!$E:$E,'Investor Exit List'!$C126,Investors!$L:$L,'Investor Exit List'!$B126)</f>
        <v>129104.79452054795</v>
      </c>
      <c r="T126" s="118">
        <f t="shared" si="18"/>
        <v>45458</v>
      </c>
      <c r="U126" s="116" t="b">
        <v>1</v>
      </c>
      <c r="V126" s="117">
        <f t="shared" si="19"/>
        <v>0</v>
      </c>
      <c r="W126" s="116">
        <v>0</v>
      </c>
      <c r="X126" s="116" t="b">
        <v>0</v>
      </c>
      <c r="Y126" s="119">
        <f>IF(H126=FALSE,VLOOKUP($C126,Sales!$C:$F,4,FALSE),1)</f>
        <v>1</v>
      </c>
      <c r="Z126" s="116" t="str">
        <f t="shared" si="20"/>
        <v/>
      </c>
      <c r="AA126" s="118">
        <f t="shared" si="21"/>
        <v>0</v>
      </c>
      <c r="AB126" s="118" t="str">
        <f t="shared" si="22"/>
        <v>HFB210-ZJAN02</v>
      </c>
      <c r="AC126" s="118">
        <f t="shared" si="23"/>
        <v>45394</v>
      </c>
    </row>
    <row r="127" spans="1:29" ht="16" x14ac:dyDescent="0.2">
      <c r="A127" s="116" t="s">
        <v>323</v>
      </c>
      <c r="B127" s="116">
        <v>1</v>
      </c>
      <c r="C127" s="116" t="s">
        <v>320</v>
      </c>
      <c r="D127" s="116" t="s">
        <v>209</v>
      </c>
      <c r="E127" s="116" t="s">
        <v>2098</v>
      </c>
      <c r="F127" s="117">
        <f>SUMIFS(Investors!$M:$M,Investors!$O:$O,FALSE,Investors!$P:$P,FALSE,Investors!$K:$K,"&gt;"&amp;'NSST Print'!$B$3,Investors!$I:$I,"&lt;="&amp;'NSST Print'!$B$3,Investors!$A:$A,'Investor Exit List'!$A127,Investors!$E:$E,'Investor Exit List'!$C127,Investors!$L:$L,'Investor Exit List'!$B127)-(SUMIFS(Investors!$M:$M,Investors!$I:$I,"&lt;="&amp;'NSST Print'!$B$3,Investors!$J:$J,"&gt;"&amp;'NSST Print'!$B$3,Investors!$A:$A,'Investor Exit List'!$A127,Investors!$E:$E,'Investor Exit List'!$C127,Investors!$L:$L,'Investor Exit List'!$B127)+SUMIFS(Investors!$M:$M,Investors!$I:$I,"&lt;="&amp;'NSST Print'!$B$3,Investors!$J:$J,"",Investors!$A:$A,'Investor Exit List'!$A127,Investors!$E:$E,'Investor Exit List'!$C127,Investors!$L:$L,'Investor Exit List'!$B127))</f>
        <v>0</v>
      </c>
      <c r="G127" s="118">
        <v>44618</v>
      </c>
      <c r="H127" s="116" t="b">
        <f>VLOOKUP($C127,Sales!$C:$E,2,FALSE)</f>
        <v>0</v>
      </c>
      <c r="I127" s="116" t="b">
        <f>VLOOKUP($C127,Sales!$C:$E,3,FALSE)</f>
        <v>0</v>
      </c>
      <c r="J127" s="118">
        <f>SUMIFS(Sales!$H:$H,Sales!$C:$C,'Investor Exit List'!$C127)</f>
        <v>45458</v>
      </c>
      <c r="K127" s="118" t="str">
        <f t="shared" si="12"/>
        <v/>
      </c>
      <c r="L127" s="118">
        <f t="shared" si="13"/>
        <v>45348</v>
      </c>
      <c r="M127" s="118">
        <v>45443</v>
      </c>
      <c r="N127" s="119">
        <f t="shared" si="14"/>
        <v>0</v>
      </c>
      <c r="O127" s="119">
        <f t="shared" si="15"/>
        <v>0</v>
      </c>
      <c r="P127" s="117">
        <f t="shared" si="16"/>
        <v>0</v>
      </c>
      <c r="Q127" s="117">
        <f>SUMIFS(Investors!$M:$M,Investors!$O:$O,FALSE,Investors!$P:$P,FALSE,Investors!$K:$K,"&gt;"&amp;'NSST Print'!$B$3,Investors!$I:$I,"&lt;="&amp;'NSST Print'!$B$3,Investors!$A:$A,'Investor Exit List'!$A127,Investors!$E:$E,'Investor Exit List'!$C127,Investors!$L:$L,'Investor Exit List'!$B127)-(SUMIFS(Investors!$M:$M,Investors!$I:$I,"&lt;="&amp;'NSST Print'!$B$3,Investors!$J:$J,"&gt;"&amp;'NSST Print'!$B$3,Investors!$A:$A,'Investor Exit List'!$A127,Investors!$E:$E,'Investor Exit List'!$C127,Investors!$L:$L,'Investor Exit List'!$B127)+SUMIFS(Investors!$M:$M,Investors!$I:$I,"&lt;="&amp;'NSST Print'!$B$3,Investors!$J:$J,"",Investors!$A:$A,'Investor Exit List'!$A127,Investors!$E:$E,'Investor Exit List'!$C127,Investors!$L:$L,'Investor Exit List'!$B127))+SUMIFS(Investors!$S:$S,Investors!$O:$O,FALSE,Investors!$P:$P,FALSE,Investors!$K:$K,"&gt;"&amp;'NSST Print'!$B$3,Investors!$I:$I,"&lt;="&amp;'NSST Print'!$B$3,Investors!$A:$A,'Investor Exit List'!$A127,Investors!$E:$E,'Investor Exit List'!$C127,Investors!$L:$L,'Investor Exit List'!$B127)-(SUMIFS(Investors!$S:$S,Investors!$I:$I,"&lt;="&amp;'NSST Print'!$B$3,Investors!$J:$J,"&gt;"&amp;'NSST Print'!$B$3,Investors!$A:$A,'Investor Exit List'!$A127,Investors!$E:$E,'Investor Exit List'!$C127,Investors!$L:$L,'Investor Exit List'!$B127)+SUMIFS(Investors!$S:$S,Investors!$I:$I,"&lt;="&amp;'NSST Print'!$B$3,Investors!$J:$J,"",Investors!$A:$A,'Investor Exit List'!$A127,Investors!$E:$E,'Investor Exit List'!$C127,Investors!$L:$L,'Investor Exit List'!$B127))</f>
        <v>0</v>
      </c>
      <c r="R127" s="117">
        <f t="shared" si="17"/>
        <v>0</v>
      </c>
      <c r="S127" s="117">
        <f>SUMIFS(Investors!$M:$M,Investors!$O:$O,TRUE,Investors!$A:$A,'Investor Exit List'!$A127,Investors!$E:$E,'Investor Exit List'!$C127,Investors!$L:$L,'Investor Exit List'!$B127)+SUMIFS(Investors!$S:$S,Investors!$O:$O,TRUE,Investors!$A:$A,'Investor Exit List'!$A127,Investors!$E:$E,'Investor Exit List'!$C127,Investors!$L:$L,'Investor Exit List'!$B127)</f>
        <v>259067.12328767125</v>
      </c>
      <c r="T127" s="118">
        <f t="shared" si="18"/>
        <v>45458</v>
      </c>
      <c r="U127" s="116" t="b">
        <v>1</v>
      </c>
      <c r="V127" s="117">
        <f t="shared" si="19"/>
        <v>0</v>
      </c>
      <c r="W127" s="116">
        <v>0</v>
      </c>
      <c r="X127" s="116" t="b">
        <v>0</v>
      </c>
      <c r="Y127" s="119">
        <f>IF(H127=FALSE,VLOOKUP($C127,Sales!$C:$F,4,FALSE),1)</f>
        <v>1</v>
      </c>
      <c r="Z127" s="116" t="str">
        <f t="shared" si="20"/>
        <v/>
      </c>
      <c r="AA127" s="118">
        <f t="shared" si="21"/>
        <v>0</v>
      </c>
      <c r="AB127" s="118" t="str">
        <f t="shared" si="22"/>
        <v>HFB210-ZMBA01</v>
      </c>
      <c r="AC127" s="118">
        <f t="shared" si="23"/>
        <v>45348</v>
      </c>
    </row>
    <row r="128" spans="1:29" ht="16" x14ac:dyDescent="0.2">
      <c r="A128" s="116" t="s">
        <v>326</v>
      </c>
      <c r="B128" s="116">
        <v>1</v>
      </c>
      <c r="C128" s="116" t="s">
        <v>328</v>
      </c>
      <c r="D128" s="116" t="s">
        <v>209</v>
      </c>
      <c r="E128" s="116" t="s">
        <v>2099</v>
      </c>
      <c r="F128" s="117">
        <f>SUMIFS(Investors!$M:$M,Investors!$O:$O,FALSE,Investors!$P:$P,FALSE,Investors!$K:$K,"&gt;"&amp;'NSST Print'!$B$3,Investors!$I:$I,"&lt;="&amp;'NSST Print'!$B$3,Investors!$A:$A,'Investor Exit List'!$A128,Investors!$E:$E,'Investor Exit List'!$C128,Investors!$L:$L,'Investor Exit List'!$B128)-(SUMIFS(Investors!$M:$M,Investors!$I:$I,"&lt;="&amp;'NSST Print'!$B$3,Investors!$J:$J,"&gt;"&amp;'NSST Print'!$B$3,Investors!$A:$A,'Investor Exit List'!$A128,Investors!$E:$E,'Investor Exit List'!$C128,Investors!$L:$L,'Investor Exit List'!$B128)+SUMIFS(Investors!$M:$M,Investors!$I:$I,"&lt;="&amp;'NSST Print'!$B$3,Investors!$J:$J,"",Investors!$A:$A,'Investor Exit List'!$A128,Investors!$E:$E,'Investor Exit List'!$C128,Investors!$L:$L,'Investor Exit List'!$B128))</f>
        <v>0</v>
      </c>
      <c r="G128" s="118">
        <v>44352</v>
      </c>
      <c r="H128" s="116" t="b">
        <f>VLOOKUP($C128,Sales!$C:$E,2,FALSE)</f>
        <v>0</v>
      </c>
      <c r="I128" s="116" t="b">
        <f>VLOOKUP($C128,Sales!$C:$E,3,FALSE)</f>
        <v>0</v>
      </c>
      <c r="J128" s="118">
        <f>SUMIFS(Sales!$H:$H,Sales!$C:$C,'Investor Exit List'!$C128)</f>
        <v>45458</v>
      </c>
      <c r="K128" s="118" t="str">
        <f t="shared" si="12"/>
        <v/>
      </c>
      <c r="L128" s="118">
        <f t="shared" si="13"/>
        <v>45082</v>
      </c>
      <c r="M128" s="118">
        <v>45443</v>
      </c>
      <c r="N128" s="119">
        <f t="shared" si="14"/>
        <v>0</v>
      </c>
      <c r="O128" s="119">
        <f t="shared" si="15"/>
        <v>0</v>
      </c>
      <c r="P128" s="117">
        <f t="shared" si="16"/>
        <v>0</v>
      </c>
      <c r="Q128" s="117">
        <f>SUMIFS(Investors!$M:$M,Investors!$O:$O,FALSE,Investors!$P:$P,FALSE,Investors!$K:$K,"&gt;"&amp;'NSST Print'!$B$3,Investors!$I:$I,"&lt;="&amp;'NSST Print'!$B$3,Investors!$A:$A,'Investor Exit List'!$A128,Investors!$E:$E,'Investor Exit List'!$C128,Investors!$L:$L,'Investor Exit List'!$B128)-(SUMIFS(Investors!$M:$M,Investors!$I:$I,"&lt;="&amp;'NSST Print'!$B$3,Investors!$J:$J,"&gt;"&amp;'NSST Print'!$B$3,Investors!$A:$A,'Investor Exit List'!$A128,Investors!$E:$E,'Investor Exit List'!$C128,Investors!$L:$L,'Investor Exit List'!$B128)+SUMIFS(Investors!$M:$M,Investors!$I:$I,"&lt;="&amp;'NSST Print'!$B$3,Investors!$J:$J,"",Investors!$A:$A,'Investor Exit List'!$A128,Investors!$E:$E,'Investor Exit List'!$C128,Investors!$L:$L,'Investor Exit List'!$B128))+SUMIFS(Investors!$S:$S,Investors!$O:$O,FALSE,Investors!$P:$P,FALSE,Investors!$K:$K,"&gt;"&amp;'NSST Print'!$B$3,Investors!$I:$I,"&lt;="&amp;'NSST Print'!$B$3,Investors!$A:$A,'Investor Exit List'!$A128,Investors!$E:$E,'Investor Exit List'!$C128,Investors!$L:$L,'Investor Exit List'!$B128)-(SUMIFS(Investors!$S:$S,Investors!$I:$I,"&lt;="&amp;'NSST Print'!$B$3,Investors!$J:$J,"&gt;"&amp;'NSST Print'!$B$3,Investors!$A:$A,'Investor Exit List'!$A128,Investors!$E:$E,'Investor Exit List'!$C128,Investors!$L:$L,'Investor Exit List'!$B128)+SUMIFS(Investors!$S:$S,Investors!$I:$I,"&lt;="&amp;'NSST Print'!$B$3,Investors!$J:$J,"",Investors!$A:$A,'Investor Exit List'!$A128,Investors!$E:$E,'Investor Exit List'!$C128,Investors!$L:$L,'Investor Exit List'!$B128))</f>
        <v>0</v>
      </c>
      <c r="R128" s="117">
        <f t="shared" si="17"/>
        <v>0</v>
      </c>
      <c r="S128" s="117">
        <f>SUMIFS(Investors!$M:$M,Investors!$O:$O,TRUE,Investors!$A:$A,'Investor Exit List'!$A128,Investors!$E:$E,'Investor Exit List'!$C128,Investors!$L:$L,'Investor Exit List'!$B128)+SUMIFS(Investors!$S:$S,Investors!$O:$O,TRUE,Investors!$A:$A,'Investor Exit List'!$A128,Investors!$E:$E,'Investor Exit List'!$C128,Investors!$L:$L,'Investor Exit List'!$B128)</f>
        <v>943566.43835616438</v>
      </c>
      <c r="T128" s="118">
        <f t="shared" si="18"/>
        <v>45458</v>
      </c>
      <c r="U128" s="116" t="b">
        <v>1</v>
      </c>
      <c r="V128" s="117">
        <f t="shared" si="19"/>
        <v>0</v>
      </c>
      <c r="W128" s="116">
        <v>0</v>
      </c>
      <c r="X128" s="116" t="b">
        <v>0</v>
      </c>
      <c r="Y128" s="119">
        <f>IF(H128=FALSE,VLOOKUP($C128,Sales!$C:$F,4,FALSE),1)</f>
        <v>1</v>
      </c>
      <c r="Z128" s="116" t="str">
        <f t="shared" si="20"/>
        <v/>
      </c>
      <c r="AA128" s="118">
        <f t="shared" si="21"/>
        <v>0</v>
      </c>
      <c r="AB128" s="118" t="str">
        <f t="shared" si="22"/>
        <v>HFB211-ZAFR01</v>
      </c>
      <c r="AC128" s="118">
        <f t="shared" si="23"/>
        <v>45082</v>
      </c>
    </row>
    <row r="129" spans="1:29" ht="16" x14ac:dyDescent="0.2">
      <c r="A129" s="116" t="s">
        <v>329</v>
      </c>
      <c r="B129" s="116">
        <v>1</v>
      </c>
      <c r="C129" s="116" t="s">
        <v>328</v>
      </c>
      <c r="D129" s="116" t="s">
        <v>209</v>
      </c>
      <c r="E129" s="116" t="s">
        <v>2100</v>
      </c>
      <c r="F129" s="117">
        <f>SUMIFS(Investors!$M:$M,Investors!$O:$O,FALSE,Investors!$P:$P,FALSE,Investors!$K:$K,"&gt;"&amp;'NSST Print'!$B$3,Investors!$I:$I,"&lt;="&amp;'NSST Print'!$B$3,Investors!$A:$A,'Investor Exit List'!$A129,Investors!$E:$E,'Investor Exit List'!$C129,Investors!$L:$L,'Investor Exit List'!$B129)-(SUMIFS(Investors!$M:$M,Investors!$I:$I,"&lt;="&amp;'NSST Print'!$B$3,Investors!$J:$J,"&gt;"&amp;'NSST Print'!$B$3,Investors!$A:$A,'Investor Exit List'!$A129,Investors!$E:$E,'Investor Exit List'!$C129,Investors!$L:$L,'Investor Exit List'!$B129)+SUMIFS(Investors!$M:$M,Investors!$I:$I,"&lt;="&amp;'NSST Print'!$B$3,Investors!$J:$J,"",Investors!$A:$A,'Investor Exit List'!$A129,Investors!$E:$E,'Investor Exit List'!$C129,Investors!$L:$L,'Investor Exit List'!$B129))</f>
        <v>0</v>
      </c>
      <c r="G129" s="118">
        <v>44352</v>
      </c>
      <c r="H129" s="116" t="b">
        <f>VLOOKUP($C129,Sales!$C:$E,2,FALSE)</f>
        <v>0</v>
      </c>
      <c r="I129" s="116" t="b">
        <f>VLOOKUP($C129,Sales!$C:$E,3,FALSE)</f>
        <v>0</v>
      </c>
      <c r="J129" s="118">
        <f>SUMIFS(Sales!$H:$H,Sales!$C:$C,'Investor Exit List'!$C129)</f>
        <v>45458</v>
      </c>
      <c r="K129" s="118" t="str">
        <f t="shared" si="12"/>
        <v/>
      </c>
      <c r="L129" s="118">
        <f t="shared" si="13"/>
        <v>45082</v>
      </c>
      <c r="M129" s="118">
        <v>45443</v>
      </c>
      <c r="N129" s="119">
        <f t="shared" si="14"/>
        <v>0</v>
      </c>
      <c r="O129" s="119">
        <f t="shared" si="15"/>
        <v>0</v>
      </c>
      <c r="P129" s="117">
        <f t="shared" si="16"/>
        <v>0</v>
      </c>
      <c r="Q129" s="117">
        <f>SUMIFS(Investors!$M:$M,Investors!$O:$O,FALSE,Investors!$P:$P,FALSE,Investors!$K:$K,"&gt;"&amp;'NSST Print'!$B$3,Investors!$I:$I,"&lt;="&amp;'NSST Print'!$B$3,Investors!$A:$A,'Investor Exit List'!$A129,Investors!$E:$E,'Investor Exit List'!$C129,Investors!$L:$L,'Investor Exit List'!$B129)-(SUMIFS(Investors!$M:$M,Investors!$I:$I,"&lt;="&amp;'NSST Print'!$B$3,Investors!$J:$J,"&gt;"&amp;'NSST Print'!$B$3,Investors!$A:$A,'Investor Exit List'!$A129,Investors!$E:$E,'Investor Exit List'!$C129,Investors!$L:$L,'Investor Exit List'!$B129)+SUMIFS(Investors!$M:$M,Investors!$I:$I,"&lt;="&amp;'NSST Print'!$B$3,Investors!$J:$J,"",Investors!$A:$A,'Investor Exit List'!$A129,Investors!$E:$E,'Investor Exit List'!$C129,Investors!$L:$L,'Investor Exit List'!$B129))+SUMIFS(Investors!$S:$S,Investors!$O:$O,FALSE,Investors!$P:$P,FALSE,Investors!$K:$K,"&gt;"&amp;'NSST Print'!$B$3,Investors!$I:$I,"&lt;="&amp;'NSST Print'!$B$3,Investors!$A:$A,'Investor Exit List'!$A129,Investors!$E:$E,'Investor Exit List'!$C129,Investors!$L:$L,'Investor Exit List'!$B129)-(SUMIFS(Investors!$S:$S,Investors!$I:$I,"&lt;="&amp;'NSST Print'!$B$3,Investors!$J:$J,"&gt;"&amp;'NSST Print'!$B$3,Investors!$A:$A,'Investor Exit List'!$A129,Investors!$E:$E,'Investor Exit List'!$C129,Investors!$L:$L,'Investor Exit List'!$B129)+SUMIFS(Investors!$S:$S,Investors!$I:$I,"&lt;="&amp;'NSST Print'!$B$3,Investors!$J:$J,"",Investors!$A:$A,'Investor Exit List'!$A129,Investors!$E:$E,'Investor Exit List'!$C129,Investors!$L:$L,'Investor Exit List'!$B129))</f>
        <v>0</v>
      </c>
      <c r="R129" s="117">
        <f t="shared" si="17"/>
        <v>0</v>
      </c>
      <c r="S129" s="117">
        <f>SUMIFS(Investors!$M:$M,Investors!$O:$O,TRUE,Investors!$A:$A,'Investor Exit List'!$A129,Investors!$E:$E,'Investor Exit List'!$C129,Investors!$L:$L,'Investor Exit List'!$B129)+SUMIFS(Investors!$S:$S,Investors!$O:$O,TRUE,Investors!$A:$A,'Investor Exit List'!$A129,Investors!$E:$E,'Investor Exit List'!$C129,Investors!$L:$L,'Investor Exit List'!$B129)</f>
        <v>263239.72602739726</v>
      </c>
      <c r="T129" s="118">
        <f t="shared" si="18"/>
        <v>45458</v>
      </c>
      <c r="U129" s="116" t="b">
        <v>1</v>
      </c>
      <c r="V129" s="117">
        <f t="shared" si="19"/>
        <v>0</v>
      </c>
      <c r="W129" s="116">
        <v>0</v>
      </c>
      <c r="X129" s="116" t="b">
        <v>0</v>
      </c>
      <c r="Y129" s="119">
        <f>IF(H129=FALSE,VLOOKUP($C129,Sales!$C:$F,4,FALSE),1)</f>
        <v>1</v>
      </c>
      <c r="Z129" s="116" t="str">
        <f t="shared" si="20"/>
        <v/>
      </c>
      <c r="AA129" s="118">
        <f t="shared" si="21"/>
        <v>0</v>
      </c>
      <c r="AB129" s="118" t="str">
        <f t="shared" si="22"/>
        <v>HFB211-ZBEN02</v>
      </c>
      <c r="AC129" s="118">
        <f t="shared" si="23"/>
        <v>45082</v>
      </c>
    </row>
    <row r="130" spans="1:29" ht="16" x14ac:dyDescent="0.2">
      <c r="A130" s="116" t="s">
        <v>253</v>
      </c>
      <c r="B130" s="116">
        <v>5</v>
      </c>
      <c r="C130" s="116" t="s">
        <v>331</v>
      </c>
      <c r="D130" s="116" t="s">
        <v>209</v>
      </c>
      <c r="E130" s="116" t="s">
        <v>2079</v>
      </c>
      <c r="F130" s="117">
        <f>SUMIFS(Investors!$M:$M,Investors!$O:$O,FALSE,Investors!$P:$P,FALSE,Investors!$K:$K,"&gt;"&amp;'NSST Print'!$B$3,Investors!$I:$I,"&lt;="&amp;'NSST Print'!$B$3,Investors!$A:$A,'Investor Exit List'!$A130,Investors!$E:$E,'Investor Exit List'!$C130,Investors!$L:$L,'Investor Exit List'!$B130)-(SUMIFS(Investors!$M:$M,Investors!$I:$I,"&lt;="&amp;'NSST Print'!$B$3,Investors!$J:$J,"&gt;"&amp;'NSST Print'!$B$3,Investors!$A:$A,'Investor Exit List'!$A130,Investors!$E:$E,'Investor Exit List'!$C130,Investors!$L:$L,'Investor Exit List'!$B130)+SUMIFS(Investors!$M:$M,Investors!$I:$I,"&lt;="&amp;'NSST Print'!$B$3,Investors!$J:$J,"",Investors!$A:$A,'Investor Exit List'!$A130,Investors!$E:$E,'Investor Exit List'!$C130,Investors!$L:$L,'Investor Exit List'!$B130))</f>
        <v>0</v>
      </c>
      <c r="G130" s="118">
        <v>44352</v>
      </c>
      <c r="H130" s="116" t="b">
        <f>VLOOKUP($C130,Sales!$C:$E,2,FALSE)</f>
        <v>0</v>
      </c>
      <c r="I130" s="116" t="b">
        <f>VLOOKUP($C130,Sales!$C:$E,3,FALSE)</f>
        <v>0</v>
      </c>
      <c r="J130" s="118">
        <f>SUMIFS(Sales!$H:$H,Sales!$C:$C,'Investor Exit List'!$C130)</f>
        <v>45458</v>
      </c>
      <c r="K130" s="118" t="str">
        <f t="shared" si="12"/>
        <v/>
      </c>
      <c r="L130" s="118">
        <f t="shared" si="13"/>
        <v>45082</v>
      </c>
      <c r="M130" s="118">
        <v>45443</v>
      </c>
      <c r="N130" s="119">
        <f t="shared" si="14"/>
        <v>0</v>
      </c>
      <c r="O130" s="119">
        <f t="shared" si="15"/>
        <v>0</v>
      </c>
      <c r="P130" s="117">
        <f t="shared" si="16"/>
        <v>0</v>
      </c>
      <c r="Q130" s="117">
        <f>SUMIFS(Investors!$M:$M,Investors!$O:$O,FALSE,Investors!$P:$P,FALSE,Investors!$K:$K,"&gt;"&amp;'NSST Print'!$B$3,Investors!$I:$I,"&lt;="&amp;'NSST Print'!$B$3,Investors!$A:$A,'Investor Exit List'!$A130,Investors!$E:$E,'Investor Exit List'!$C130,Investors!$L:$L,'Investor Exit List'!$B130)-(SUMIFS(Investors!$M:$M,Investors!$I:$I,"&lt;="&amp;'NSST Print'!$B$3,Investors!$J:$J,"&gt;"&amp;'NSST Print'!$B$3,Investors!$A:$A,'Investor Exit List'!$A130,Investors!$E:$E,'Investor Exit List'!$C130,Investors!$L:$L,'Investor Exit List'!$B130)+SUMIFS(Investors!$M:$M,Investors!$I:$I,"&lt;="&amp;'NSST Print'!$B$3,Investors!$J:$J,"",Investors!$A:$A,'Investor Exit List'!$A130,Investors!$E:$E,'Investor Exit List'!$C130,Investors!$L:$L,'Investor Exit List'!$B130))+SUMIFS(Investors!$S:$S,Investors!$O:$O,FALSE,Investors!$P:$P,FALSE,Investors!$K:$K,"&gt;"&amp;'NSST Print'!$B$3,Investors!$I:$I,"&lt;="&amp;'NSST Print'!$B$3,Investors!$A:$A,'Investor Exit List'!$A130,Investors!$E:$E,'Investor Exit List'!$C130,Investors!$L:$L,'Investor Exit List'!$B130)-(SUMIFS(Investors!$S:$S,Investors!$I:$I,"&lt;="&amp;'NSST Print'!$B$3,Investors!$J:$J,"&gt;"&amp;'NSST Print'!$B$3,Investors!$A:$A,'Investor Exit List'!$A130,Investors!$E:$E,'Investor Exit List'!$C130,Investors!$L:$L,'Investor Exit List'!$B130)+SUMIFS(Investors!$S:$S,Investors!$I:$I,"&lt;="&amp;'NSST Print'!$B$3,Investors!$J:$J,"",Investors!$A:$A,'Investor Exit List'!$A130,Investors!$E:$E,'Investor Exit List'!$C130,Investors!$L:$L,'Investor Exit List'!$B130))</f>
        <v>0</v>
      </c>
      <c r="R130" s="117">
        <f t="shared" si="17"/>
        <v>0</v>
      </c>
      <c r="S130" s="117">
        <f>SUMIFS(Investors!$M:$M,Investors!$O:$O,TRUE,Investors!$A:$A,'Investor Exit List'!$A130,Investors!$E:$E,'Investor Exit List'!$C130,Investors!$L:$L,'Investor Exit List'!$B130)+SUMIFS(Investors!$S:$S,Investors!$O:$O,TRUE,Investors!$A:$A,'Investor Exit List'!$A130,Investors!$E:$E,'Investor Exit List'!$C130,Investors!$L:$L,'Investor Exit List'!$B130)</f>
        <v>1222631.506849315</v>
      </c>
      <c r="T130" s="118">
        <f t="shared" si="18"/>
        <v>45458</v>
      </c>
      <c r="U130" s="116" t="b">
        <v>1</v>
      </c>
      <c r="V130" s="117">
        <f t="shared" si="19"/>
        <v>0</v>
      </c>
      <c r="W130" s="116">
        <v>0</v>
      </c>
      <c r="X130" s="116" t="b">
        <v>0</v>
      </c>
      <c r="Y130" s="119">
        <f>IF(H130=FALSE,VLOOKUP($C130,Sales!$C:$F,4,FALSE),1)</f>
        <v>1</v>
      </c>
      <c r="Z130" s="116" t="str">
        <f t="shared" si="20"/>
        <v/>
      </c>
      <c r="AA130" s="118">
        <f t="shared" si="21"/>
        <v>0</v>
      </c>
      <c r="AB130" s="118" t="str">
        <f t="shared" si="22"/>
        <v>HFB212-ZDIC01</v>
      </c>
      <c r="AC130" s="118">
        <f t="shared" si="23"/>
        <v>45082</v>
      </c>
    </row>
    <row r="131" spans="1:29" ht="16" x14ac:dyDescent="0.2">
      <c r="A131" s="116" t="s">
        <v>332</v>
      </c>
      <c r="B131" s="116">
        <v>1</v>
      </c>
      <c r="C131" s="116" t="s">
        <v>334</v>
      </c>
      <c r="D131" s="116" t="s">
        <v>209</v>
      </c>
      <c r="E131" s="116" t="s">
        <v>2101</v>
      </c>
      <c r="F131" s="117">
        <f>SUMIFS(Investors!$M:$M,Investors!$O:$O,FALSE,Investors!$P:$P,FALSE,Investors!$K:$K,"&gt;"&amp;'NSST Print'!$B$3,Investors!$I:$I,"&lt;="&amp;'NSST Print'!$B$3,Investors!$A:$A,'Investor Exit List'!$A131,Investors!$E:$E,'Investor Exit List'!$C131,Investors!$L:$L,'Investor Exit List'!$B131)-(SUMIFS(Investors!$M:$M,Investors!$I:$I,"&lt;="&amp;'NSST Print'!$B$3,Investors!$J:$J,"&gt;"&amp;'NSST Print'!$B$3,Investors!$A:$A,'Investor Exit List'!$A131,Investors!$E:$E,'Investor Exit List'!$C131,Investors!$L:$L,'Investor Exit List'!$B131)+SUMIFS(Investors!$M:$M,Investors!$I:$I,"&lt;="&amp;'NSST Print'!$B$3,Investors!$J:$J,"",Investors!$A:$A,'Investor Exit List'!$A131,Investors!$E:$E,'Investor Exit List'!$C131,Investors!$L:$L,'Investor Exit List'!$B131))</f>
        <v>0</v>
      </c>
      <c r="G131" s="118">
        <v>44550</v>
      </c>
      <c r="H131" s="116" t="b">
        <f>VLOOKUP($C131,Sales!$C:$E,2,FALSE)</f>
        <v>0</v>
      </c>
      <c r="I131" s="116" t="b">
        <f>VLOOKUP($C131,Sales!$C:$E,3,FALSE)</f>
        <v>0</v>
      </c>
      <c r="J131" s="118">
        <f>SUMIFS(Sales!$H:$H,Sales!$C:$C,'Investor Exit List'!$C131)</f>
        <v>45458</v>
      </c>
      <c r="K131" s="118" t="str">
        <f t="shared" si="12"/>
        <v/>
      </c>
      <c r="L131" s="118">
        <f t="shared" si="13"/>
        <v>45280</v>
      </c>
      <c r="M131" s="118">
        <v>45443</v>
      </c>
      <c r="N131" s="119">
        <f t="shared" si="14"/>
        <v>0</v>
      </c>
      <c r="O131" s="119">
        <f t="shared" si="15"/>
        <v>0</v>
      </c>
      <c r="P131" s="117">
        <f t="shared" si="16"/>
        <v>0</v>
      </c>
      <c r="Q131" s="117">
        <f>SUMIFS(Investors!$M:$M,Investors!$O:$O,FALSE,Investors!$P:$P,FALSE,Investors!$K:$K,"&gt;"&amp;'NSST Print'!$B$3,Investors!$I:$I,"&lt;="&amp;'NSST Print'!$B$3,Investors!$A:$A,'Investor Exit List'!$A131,Investors!$E:$E,'Investor Exit List'!$C131,Investors!$L:$L,'Investor Exit List'!$B131)-(SUMIFS(Investors!$M:$M,Investors!$I:$I,"&lt;="&amp;'NSST Print'!$B$3,Investors!$J:$J,"&gt;"&amp;'NSST Print'!$B$3,Investors!$A:$A,'Investor Exit List'!$A131,Investors!$E:$E,'Investor Exit List'!$C131,Investors!$L:$L,'Investor Exit List'!$B131)+SUMIFS(Investors!$M:$M,Investors!$I:$I,"&lt;="&amp;'NSST Print'!$B$3,Investors!$J:$J,"",Investors!$A:$A,'Investor Exit List'!$A131,Investors!$E:$E,'Investor Exit List'!$C131,Investors!$L:$L,'Investor Exit List'!$B131))+SUMIFS(Investors!$S:$S,Investors!$O:$O,FALSE,Investors!$P:$P,FALSE,Investors!$K:$K,"&gt;"&amp;'NSST Print'!$B$3,Investors!$I:$I,"&lt;="&amp;'NSST Print'!$B$3,Investors!$A:$A,'Investor Exit List'!$A131,Investors!$E:$E,'Investor Exit List'!$C131,Investors!$L:$L,'Investor Exit List'!$B131)-(SUMIFS(Investors!$S:$S,Investors!$I:$I,"&lt;="&amp;'NSST Print'!$B$3,Investors!$J:$J,"&gt;"&amp;'NSST Print'!$B$3,Investors!$A:$A,'Investor Exit List'!$A131,Investors!$E:$E,'Investor Exit List'!$C131,Investors!$L:$L,'Investor Exit List'!$B131)+SUMIFS(Investors!$S:$S,Investors!$I:$I,"&lt;="&amp;'NSST Print'!$B$3,Investors!$J:$J,"",Investors!$A:$A,'Investor Exit List'!$A131,Investors!$E:$E,'Investor Exit List'!$C131,Investors!$L:$L,'Investor Exit List'!$B131))</f>
        <v>0</v>
      </c>
      <c r="R131" s="117">
        <f t="shared" si="17"/>
        <v>0</v>
      </c>
      <c r="S131" s="117">
        <f>SUMIFS(Investors!$M:$M,Investors!$O:$O,TRUE,Investors!$A:$A,'Investor Exit List'!$A131,Investors!$E:$E,'Investor Exit List'!$C131,Investors!$L:$L,'Investor Exit List'!$B131)+SUMIFS(Investors!$S:$S,Investors!$O:$O,TRUE,Investors!$A:$A,'Investor Exit List'!$A131,Investors!$E:$E,'Investor Exit List'!$C131,Investors!$L:$L,'Investor Exit List'!$B131)</f>
        <v>1369136.98630137</v>
      </c>
      <c r="T131" s="118">
        <f t="shared" si="18"/>
        <v>45458</v>
      </c>
      <c r="U131" s="116" t="b">
        <v>1</v>
      </c>
      <c r="V131" s="117">
        <f t="shared" si="19"/>
        <v>0</v>
      </c>
      <c r="W131" s="116">
        <v>0</v>
      </c>
      <c r="X131" s="116" t="b">
        <v>0</v>
      </c>
      <c r="Y131" s="119">
        <f>IF(H131=FALSE,VLOOKUP($C131,Sales!$C:$F,4,FALSE),1)</f>
        <v>1</v>
      </c>
      <c r="Z131" s="116" t="str">
        <f t="shared" si="20"/>
        <v/>
      </c>
      <c r="AA131" s="118">
        <f t="shared" si="21"/>
        <v>0</v>
      </c>
      <c r="AB131" s="118" t="str">
        <f t="shared" si="22"/>
        <v>HFB213-ZREN01</v>
      </c>
      <c r="AC131" s="118">
        <f t="shared" si="23"/>
        <v>45280</v>
      </c>
    </row>
    <row r="132" spans="1:29" ht="16" x14ac:dyDescent="0.2">
      <c r="A132" s="116" t="s">
        <v>304</v>
      </c>
      <c r="B132" s="116">
        <v>2</v>
      </c>
      <c r="C132" s="116" t="s">
        <v>335</v>
      </c>
      <c r="D132" s="116" t="s">
        <v>209</v>
      </c>
      <c r="E132" s="116" t="s">
        <v>2093</v>
      </c>
      <c r="F132" s="117">
        <f>SUMIFS(Investors!$M:$M,Investors!$O:$O,FALSE,Investors!$P:$P,FALSE,Investors!$K:$K,"&gt;"&amp;'NSST Print'!$B$3,Investors!$I:$I,"&lt;="&amp;'NSST Print'!$B$3,Investors!$A:$A,'Investor Exit List'!$A132,Investors!$E:$E,'Investor Exit List'!$C132,Investors!$L:$L,'Investor Exit List'!$B132)-(SUMIFS(Investors!$M:$M,Investors!$I:$I,"&lt;="&amp;'NSST Print'!$B$3,Investors!$J:$J,"&gt;"&amp;'NSST Print'!$B$3,Investors!$A:$A,'Investor Exit List'!$A132,Investors!$E:$E,'Investor Exit List'!$C132,Investors!$L:$L,'Investor Exit List'!$B132)+SUMIFS(Investors!$M:$M,Investors!$I:$I,"&lt;="&amp;'NSST Print'!$B$3,Investors!$J:$J,"",Investors!$A:$A,'Investor Exit List'!$A132,Investors!$E:$E,'Investor Exit List'!$C132,Investors!$L:$L,'Investor Exit List'!$B132))</f>
        <v>0</v>
      </c>
      <c r="G132" s="118">
        <v>44618</v>
      </c>
      <c r="H132" s="116" t="b">
        <f>VLOOKUP($C132,Sales!$C:$E,2,FALSE)</f>
        <v>1</v>
      </c>
      <c r="I132" s="116" t="b">
        <f>VLOOKUP($C132,Sales!$C:$E,3,FALSE)</f>
        <v>1</v>
      </c>
      <c r="J132" s="118">
        <f>SUMIFS(Sales!$H:$H,Sales!$C:$C,'Investor Exit List'!$C132)</f>
        <v>45688</v>
      </c>
      <c r="K132" s="118">
        <f t="shared" ref="K132:K195" si="24">IF(I132=TRUE,J132,"")</f>
        <v>45688</v>
      </c>
      <c r="L132" s="118">
        <f t="shared" ref="L132:L195" si="25">G132+730</f>
        <v>45348</v>
      </c>
      <c r="M132" s="118">
        <v>45443</v>
      </c>
      <c r="N132" s="119">
        <f t="shared" ref="N132:N195" si="26">IFERROR(IF(G132&lt;&gt;"",IF(I132=TRUE,0,IF(U132=TRUE,0,L132-M132)),0),0)</f>
        <v>0</v>
      </c>
      <c r="O132" s="119">
        <f t="shared" ref="O132:O195" si="27">IF(N132&gt;0,IF(N132&lt;=180,N132,0),0)</f>
        <v>0</v>
      </c>
      <c r="P132" s="117">
        <f t="shared" ref="P132:P195" si="28">IF(AND(N132&lt;90,N132&gt;0),Q132,0)</f>
        <v>0</v>
      </c>
      <c r="Q132" s="117">
        <f>SUMIFS(Investors!$M:$M,Investors!$O:$O,FALSE,Investors!$P:$P,FALSE,Investors!$K:$K,"&gt;"&amp;'NSST Print'!$B$3,Investors!$I:$I,"&lt;="&amp;'NSST Print'!$B$3,Investors!$A:$A,'Investor Exit List'!$A132,Investors!$E:$E,'Investor Exit List'!$C132,Investors!$L:$L,'Investor Exit List'!$B132)-(SUMIFS(Investors!$M:$M,Investors!$I:$I,"&lt;="&amp;'NSST Print'!$B$3,Investors!$J:$J,"&gt;"&amp;'NSST Print'!$B$3,Investors!$A:$A,'Investor Exit List'!$A132,Investors!$E:$E,'Investor Exit List'!$C132,Investors!$L:$L,'Investor Exit List'!$B132)+SUMIFS(Investors!$M:$M,Investors!$I:$I,"&lt;="&amp;'NSST Print'!$B$3,Investors!$J:$J,"",Investors!$A:$A,'Investor Exit List'!$A132,Investors!$E:$E,'Investor Exit List'!$C132,Investors!$L:$L,'Investor Exit List'!$B132))+SUMIFS(Investors!$S:$S,Investors!$O:$O,FALSE,Investors!$P:$P,FALSE,Investors!$K:$K,"&gt;"&amp;'NSST Print'!$B$3,Investors!$I:$I,"&lt;="&amp;'NSST Print'!$B$3,Investors!$A:$A,'Investor Exit List'!$A132,Investors!$E:$E,'Investor Exit List'!$C132,Investors!$L:$L,'Investor Exit List'!$B132)-(SUMIFS(Investors!$S:$S,Investors!$I:$I,"&lt;="&amp;'NSST Print'!$B$3,Investors!$J:$J,"&gt;"&amp;'NSST Print'!$B$3,Investors!$A:$A,'Investor Exit List'!$A132,Investors!$E:$E,'Investor Exit List'!$C132,Investors!$L:$L,'Investor Exit List'!$B132)+SUMIFS(Investors!$S:$S,Investors!$I:$I,"&lt;="&amp;'NSST Print'!$B$3,Investors!$J:$J,"",Investors!$A:$A,'Investor Exit List'!$A132,Investors!$E:$E,'Investor Exit List'!$C132,Investors!$L:$L,'Investor Exit List'!$B132))</f>
        <v>0</v>
      </c>
      <c r="R132" s="117">
        <f t="shared" ref="R132:R195" si="29">IF(AND(H132=TRUE,I132=FALSE),Q132,0)</f>
        <v>0</v>
      </c>
      <c r="S132" s="117">
        <f>SUMIFS(Investors!$M:$M,Investors!$O:$O,TRUE,Investors!$A:$A,'Investor Exit List'!$A132,Investors!$E:$E,'Investor Exit List'!$C132,Investors!$L:$L,'Investor Exit List'!$B132)+SUMIFS(Investors!$S:$S,Investors!$O:$O,TRUE,Investors!$A:$A,'Investor Exit List'!$A132,Investors!$E:$E,'Investor Exit List'!$C132,Investors!$L:$L,'Investor Exit List'!$B132)</f>
        <v>0</v>
      </c>
      <c r="T132" s="118" t="str">
        <f t="shared" ref="T132:T195" si="30">IF(U132=TRUE,$J132,"")</f>
        <v/>
      </c>
      <c r="U132" s="116" t="b">
        <v>0</v>
      </c>
      <c r="V132" s="117">
        <f t="shared" ref="V132:V195" si="31">IF(AND(H132=TRUE,OR(K132="",K132&gt;M132)),S132,0)</f>
        <v>0</v>
      </c>
      <c r="W132" s="116">
        <v>0</v>
      </c>
      <c r="X132" s="116" t="b">
        <v>0</v>
      </c>
      <c r="Y132" s="119">
        <f>IF(H132=FALSE,VLOOKUP($C132,Sales!$C:$F,4,FALSE),1)</f>
        <v>1</v>
      </c>
      <c r="Z132" s="116" t="str">
        <f t="shared" ref="Z132:Z195" si="32">IF(Y132=0,"Release",IF(AND(L132&lt;J132,Y132=1,H132=FALSE,U132=FALSE,MONTH(L132)&amp;"/"&amp;YEAR(L132)&lt;&gt;MONTH(J132)&amp;"/"&amp;YEAR(J132)),"Release",""))</f>
        <v/>
      </c>
      <c r="AA132" s="118">
        <f t="shared" ref="AA132:AA195" si="33">_xlfn.MINIFS($L:$L,$C:$C,$C132,$F:$F,"&lt;&gt;0")</f>
        <v>0</v>
      </c>
      <c r="AB132" s="118" t="str">
        <f t="shared" ref="AB132:AB195" si="34">C132&amp;"-"&amp;A132</f>
        <v>HFB214-ZDEL01</v>
      </c>
      <c r="AC132" s="118">
        <f t="shared" ref="AC132:AC195" si="35">L132</f>
        <v>45348</v>
      </c>
    </row>
    <row r="133" spans="1:29" ht="16" x14ac:dyDescent="0.2">
      <c r="A133" s="116" t="s">
        <v>336</v>
      </c>
      <c r="B133" s="116">
        <v>1</v>
      </c>
      <c r="C133" s="116" t="s">
        <v>339</v>
      </c>
      <c r="D133" s="116" t="s">
        <v>209</v>
      </c>
      <c r="E133" s="116" t="s">
        <v>2102</v>
      </c>
      <c r="F133" s="117">
        <f>SUMIFS(Investors!$M:$M,Investors!$O:$O,FALSE,Investors!$P:$P,FALSE,Investors!$K:$K,"&gt;"&amp;'NSST Print'!$B$3,Investors!$I:$I,"&lt;="&amp;'NSST Print'!$B$3,Investors!$A:$A,'Investor Exit List'!$A133,Investors!$E:$E,'Investor Exit List'!$C133,Investors!$L:$L,'Investor Exit List'!$B133)-(SUMIFS(Investors!$M:$M,Investors!$I:$I,"&lt;="&amp;'NSST Print'!$B$3,Investors!$J:$J,"&gt;"&amp;'NSST Print'!$B$3,Investors!$A:$A,'Investor Exit List'!$A133,Investors!$E:$E,'Investor Exit List'!$C133,Investors!$L:$L,'Investor Exit List'!$B133)+SUMIFS(Investors!$M:$M,Investors!$I:$I,"&lt;="&amp;'NSST Print'!$B$3,Investors!$J:$J,"",Investors!$A:$A,'Investor Exit List'!$A133,Investors!$E:$E,'Investor Exit List'!$C133,Investors!$L:$L,'Investor Exit List'!$B133))</f>
        <v>0</v>
      </c>
      <c r="G133" s="118">
        <v>44664</v>
      </c>
      <c r="H133" s="116" t="b">
        <f>VLOOKUP($C133,Sales!$C:$E,2,FALSE)</f>
        <v>1</v>
      </c>
      <c r="I133" s="116" t="b">
        <f>VLOOKUP($C133,Sales!$C:$E,3,FALSE)</f>
        <v>1</v>
      </c>
      <c r="J133" s="118">
        <f>SUMIFS(Sales!$H:$H,Sales!$C:$C,'Investor Exit List'!$C133)</f>
        <v>45688</v>
      </c>
      <c r="K133" s="118">
        <f t="shared" si="24"/>
        <v>45688</v>
      </c>
      <c r="L133" s="118">
        <f t="shared" si="25"/>
        <v>45394</v>
      </c>
      <c r="M133" s="118">
        <v>45443</v>
      </c>
      <c r="N133" s="119">
        <f t="shared" si="26"/>
        <v>0</v>
      </c>
      <c r="O133" s="119">
        <f t="shared" si="27"/>
        <v>0</v>
      </c>
      <c r="P133" s="117">
        <f t="shared" si="28"/>
        <v>0</v>
      </c>
      <c r="Q133" s="117">
        <f>SUMIFS(Investors!$M:$M,Investors!$O:$O,FALSE,Investors!$P:$P,FALSE,Investors!$K:$K,"&gt;"&amp;'NSST Print'!$B$3,Investors!$I:$I,"&lt;="&amp;'NSST Print'!$B$3,Investors!$A:$A,'Investor Exit List'!$A133,Investors!$E:$E,'Investor Exit List'!$C133,Investors!$L:$L,'Investor Exit List'!$B133)-(SUMIFS(Investors!$M:$M,Investors!$I:$I,"&lt;="&amp;'NSST Print'!$B$3,Investors!$J:$J,"&gt;"&amp;'NSST Print'!$B$3,Investors!$A:$A,'Investor Exit List'!$A133,Investors!$E:$E,'Investor Exit List'!$C133,Investors!$L:$L,'Investor Exit List'!$B133)+SUMIFS(Investors!$M:$M,Investors!$I:$I,"&lt;="&amp;'NSST Print'!$B$3,Investors!$J:$J,"",Investors!$A:$A,'Investor Exit List'!$A133,Investors!$E:$E,'Investor Exit List'!$C133,Investors!$L:$L,'Investor Exit List'!$B133))+SUMIFS(Investors!$S:$S,Investors!$O:$O,FALSE,Investors!$P:$P,FALSE,Investors!$K:$K,"&gt;"&amp;'NSST Print'!$B$3,Investors!$I:$I,"&lt;="&amp;'NSST Print'!$B$3,Investors!$A:$A,'Investor Exit List'!$A133,Investors!$E:$E,'Investor Exit List'!$C133,Investors!$L:$L,'Investor Exit List'!$B133)-(SUMIFS(Investors!$S:$S,Investors!$I:$I,"&lt;="&amp;'NSST Print'!$B$3,Investors!$J:$J,"&gt;"&amp;'NSST Print'!$B$3,Investors!$A:$A,'Investor Exit List'!$A133,Investors!$E:$E,'Investor Exit List'!$C133,Investors!$L:$L,'Investor Exit List'!$B133)+SUMIFS(Investors!$S:$S,Investors!$I:$I,"&lt;="&amp;'NSST Print'!$B$3,Investors!$J:$J,"",Investors!$A:$A,'Investor Exit List'!$A133,Investors!$E:$E,'Investor Exit List'!$C133,Investors!$L:$L,'Investor Exit List'!$B133))</f>
        <v>0</v>
      </c>
      <c r="R133" s="117">
        <f t="shared" si="29"/>
        <v>0</v>
      </c>
      <c r="S133" s="117">
        <f>SUMIFS(Investors!$M:$M,Investors!$O:$O,TRUE,Investors!$A:$A,'Investor Exit List'!$A133,Investors!$E:$E,'Investor Exit List'!$C133,Investors!$L:$L,'Investor Exit List'!$B133)+SUMIFS(Investors!$S:$S,Investors!$O:$O,TRUE,Investors!$A:$A,'Investor Exit List'!$A133,Investors!$E:$E,'Investor Exit List'!$C133,Investors!$L:$L,'Investor Exit List'!$B133)</f>
        <v>0</v>
      </c>
      <c r="T133" s="118" t="str">
        <f t="shared" si="30"/>
        <v/>
      </c>
      <c r="U133" s="116" t="b">
        <v>0</v>
      </c>
      <c r="V133" s="117">
        <f t="shared" si="31"/>
        <v>0</v>
      </c>
      <c r="W133" s="116">
        <v>0</v>
      </c>
      <c r="X133" s="116" t="b">
        <v>0</v>
      </c>
      <c r="Y133" s="119">
        <f>IF(H133=FALSE,VLOOKUP($C133,Sales!$C:$F,4,FALSE),1)</f>
        <v>1</v>
      </c>
      <c r="Z133" s="116" t="str">
        <f t="shared" si="32"/>
        <v/>
      </c>
      <c r="AA133" s="118">
        <f t="shared" si="33"/>
        <v>0</v>
      </c>
      <c r="AB133" s="118" t="str">
        <f t="shared" si="34"/>
        <v>HFB301-ZKUS04</v>
      </c>
      <c r="AC133" s="118">
        <f t="shared" si="35"/>
        <v>45394</v>
      </c>
    </row>
    <row r="134" spans="1:29" ht="16" x14ac:dyDescent="0.2">
      <c r="A134" s="116" t="s">
        <v>340</v>
      </c>
      <c r="B134" s="116">
        <v>1</v>
      </c>
      <c r="C134" s="116" t="s">
        <v>339</v>
      </c>
      <c r="D134" s="116" t="s">
        <v>209</v>
      </c>
      <c r="E134" s="116" t="s">
        <v>2103</v>
      </c>
      <c r="F134" s="117">
        <f>SUMIFS(Investors!$M:$M,Investors!$O:$O,FALSE,Investors!$P:$P,FALSE,Investors!$K:$K,"&gt;"&amp;'NSST Print'!$B$3,Investors!$I:$I,"&lt;="&amp;'NSST Print'!$B$3,Investors!$A:$A,'Investor Exit List'!$A134,Investors!$E:$E,'Investor Exit List'!$C134,Investors!$L:$L,'Investor Exit List'!$B134)-(SUMIFS(Investors!$M:$M,Investors!$I:$I,"&lt;="&amp;'NSST Print'!$B$3,Investors!$J:$J,"&gt;"&amp;'NSST Print'!$B$3,Investors!$A:$A,'Investor Exit List'!$A134,Investors!$E:$E,'Investor Exit List'!$C134,Investors!$L:$L,'Investor Exit List'!$B134)+SUMIFS(Investors!$M:$M,Investors!$I:$I,"&lt;="&amp;'NSST Print'!$B$3,Investors!$J:$J,"",Investors!$A:$A,'Investor Exit List'!$A134,Investors!$E:$E,'Investor Exit List'!$C134,Investors!$L:$L,'Investor Exit List'!$B134))</f>
        <v>0</v>
      </c>
      <c r="G134" s="118">
        <v>44618</v>
      </c>
      <c r="H134" s="116" t="b">
        <f>VLOOKUP($C134,Sales!$C:$E,2,FALSE)</f>
        <v>1</v>
      </c>
      <c r="I134" s="116" t="b">
        <f>VLOOKUP($C134,Sales!$C:$E,3,FALSE)</f>
        <v>1</v>
      </c>
      <c r="J134" s="118">
        <f>SUMIFS(Sales!$H:$H,Sales!$C:$C,'Investor Exit List'!$C134)</f>
        <v>45688</v>
      </c>
      <c r="K134" s="118">
        <f t="shared" si="24"/>
        <v>45688</v>
      </c>
      <c r="L134" s="118">
        <f t="shared" si="25"/>
        <v>45348</v>
      </c>
      <c r="M134" s="118">
        <v>45443</v>
      </c>
      <c r="N134" s="119">
        <f t="shared" si="26"/>
        <v>0</v>
      </c>
      <c r="O134" s="119">
        <f t="shared" si="27"/>
        <v>0</v>
      </c>
      <c r="P134" s="117">
        <f t="shared" si="28"/>
        <v>0</v>
      </c>
      <c r="Q134" s="117">
        <f>SUMIFS(Investors!$M:$M,Investors!$O:$O,FALSE,Investors!$P:$P,FALSE,Investors!$K:$K,"&gt;"&amp;'NSST Print'!$B$3,Investors!$I:$I,"&lt;="&amp;'NSST Print'!$B$3,Investors!$A:$A,'Investor Exit List'!$A134,Investors!$E:$E,'Investor Exit List'!$C134,Investors!$L:$L,'Investor Exit List'!$B134)-(SUMIFS(Investors!$M:$M,Investors!$I:$I,"&lt;="&amp;'NSST Print'!$B$3,Investors!$J:$J,"&gt;"&amp;'NSST Print'!$B$3,Investors!$A:$A,'Investor Exit List'!$A134,Investors!$E:$E,'Investor Exit List'!$C134,Investors!$L:$L,'Investor Exit List'!$B134)+SUMIFS(Investors!$M:$M,Investors!$I:$I,"&lt;="&amp;'NSST Print'!$B$3,Investors!$J:$J,"",Investors!$A:$A,'Investor Exit List'!$A134,Investors!$E:$E,'Investor Exit List'!$C134,Investors!$L:$L,'Investor Exit List'!$B134))+SUMIFS(Investors!$S:$S,Investors!$O:$O,FALSE,Investors!$P:$P,FALSE,Investors!$K:$K,"&gt;"&amp;'NSST Print'!$B$3,Investors!$I:$I,"&lt;="&amp;'NSST Print'!$B$3,Investors!$A:$A,'Investor Exit List'!$A134,Investors!$E:$E,'Investor Exit List'!$C134,Investors!$L:$L,'Investor Exit List'!$B134)-(SUMIFS(Investors!$S:$S,Investors!$I:$I,"&lt;="&amp;'NSST Print'!$B$3,Investors!$J:$J,"&gt;"&amp;'NSST Print'!$B$3,Investors!$A:$A,'Investor Exit List'!$A134,Investors!$E:$E,'Investor Exit List'!$C134,Investors!$L:$L,'Investor Exit List'!$B134)+SUMIFS(Investors!$S:$S,Investors!$I:$I,"&lt;="&amp;'NSST Print'!$B$3,Investors!$J:$J,"",Investors!$A:$A,'Investor Exit List'!$A134,Investors!$E:$E,'Investor Exit List'!$C134,Investors!$L:$L,'Investor Exit List'!$B134))</f>
        <v>0</v>
      </c>
      <c r="R134" s="117">
        <f t="shared" si="29"/>
        <v>0</v>
      </c>
      <c r="S134" s="117">
        <f>SUMIFS(Investors!$M:$M,Investors!$O:$O,TRUE,Investors!$A:$A,'Investor Exit List'!$A134,Investors!$E:$E,'Investor Exit List'!$C134,Investors!$L:$L,'Investor Exit List'!$B134)+SUMIFS(Investors!$S:$S,Investors!$O:$O,TRUE,Investors!$A:$A,'Investor Exit List'!$A134,Investors!$E:$E,'Investor Exit List'!$C134,Investors!$L:$L,'Investor Exit List'!$B134)</f>
        <v>0</v>
      </c>
      <c r="T134" s="118" t="str">
        <f t="shared" si="30"/>
        <v/>
      </c>
      <c r="U134" s="116" t="b">
        <v>0</v>
      </c>
      <c r="V134" s="117">
        <f t="shared" si="31"/>
        <v>0</v>
      </c>
      <c r="W134" s="116">
        <v>0</v>
      </c>
      <c r="X134" s="116" t="b">
        <v>0</v>
      </c>
      <c r="Y134" s="119">
        <f>IF(H134=FALSE,VLOOKUP($C134,Sales!$C:$F,4,FALSE),1)</f>
        <v>1</v>
      </c>
      <c r="Z134" s="116" t="str">
        <f t="shared" si="32"/>
        <v/>
      </c>
      <c r="AA134" s="118">
        <f t="shared" si="33"/>
        <v>0</v>
      </c>
      <c r="AB134" s="118" t="str">
        <f t="shared" si="34"/>
        <v>HFB301-ZLAB01</v>
      </c>
      <c r="AC134" s="118">
        <f t="shared" si="35"/>
        <v>45348</v>
      </c>
    </row>
    <row r="135" spans="1:29" ht="16" x14ac:dyDescent="0.2">
      <c r="A135" s="116" t="s">
        <v>342</v>
      </c>
      <c r="B135" s="116">
        <v>3</v>
      </c>
      <c r="C135" s="116" t="s">
        <v>345</v>
      </c>
      <c r="D135" s="116" t="s">
        <v>209</v>
      </c>
      <c r="E135" s="116" t="s">
        <v>2104</v>
      </c>
      <c r="F135" s="117">
        <f>SUMIFS(Investors!$M:$M,Investors!$O:$O,FALSE,Investors!$P:$P,FALSE,Investors!$K:$K,"&gt;"&amp;'NSST Print'!$B$3,Investors!$I:$I,"&lt;="&amp;'NSST Print'!$B$3,Investors!$A:$A,'Investor Exit List'!$A135,Investors!$E:$E,'Investor Exit List'!$C135,Investors!$L:$L,'Investor Exit List'!$B135)-(SUMIFS(Investors!$M:$M,Investors!$I:$I,"&lt;="&amp;'NSST Print'!$B$3,Investors!$J:$J,"&gt;"&amp;'NSST Print'!$B$3,Investors!$A:$A,'Investor Exit List'!$A135,Investors!$E:$E,'Investor Exit List'!$C135,Investors!$L:$L,'Investor Exit List'!$B135)+SUMIFS(Investors!$M:$M,Investors!$I:$I,"&lt;="&amp;'NSST Print'!$B$3,Investors!$J:$J,"",Investors!$A:$A,'Investor Exit List'!$A135,Investors!$E:$E,'Investor Exit List'!$C135,Investors!$L:$L,'Investor Exit List'!$B135))</f>
        <v>0</v>
      </c>
      <c r="G135" s="118">
        <v>44550</v>
      </c>
      <c r="H135" s="116" t="b">
        <f>VLOOKUP($C135,Sales!$C:$E,2,FALSE)</f>
        <v>1</v>
      </c>
      <c r="I135" s="116" t="b">
        <f>VLOOKUP($C135,Sales!$C:$E,3,FALSE)</f>
        <v>1</v>
      </c>
      <c r="J135" s="118">
        <f>SUMIFS(Sales!$H:$H,Sales!$C:$C,'Investor Exit List'!$C135)</f>
        <v>45688</v>
      </c>
      <c r="K135" s="118">
        <f t="shared" si="24"/>
        <v>45688</v>
      </c>
      <c r="L135" s="118">
        <f t="shared" si="25"/>
        <v>45280</v>
      </c>
      <c r="M135" s="118">
        <v>45443</v>
      </c>
      <c r="N135" s="119">
        <f t="shared" si="26"/>
        <v>0</v>
      </c>
      <c r="O135" s="119">
        <f t="shared" si="27"/>
        <v>0</v>
      </c>
      <c r="P135" s="117">
        <f t="shared" si="28"/>
        <v>0</v>
      </c>
      <c r="Q135" s="117">
        <f>SUMIFS(Investors!$M:$M,Investors!$O:$O,FALSE,Investors!$P:$P,FALSE,Investors!$K:$K,"&gt;"&amp;'NSST Print'!$B$3,Investors!$I:$I,"&lt;="&amp;'NSST Print'!$B$3,Investors!$A:$A,'Investor Exit List'!$A135,Investors!$E:$E,'Investor Exit List'!$C135,Investors!$L:$L,'Investor Exit List'!$B135)-(SUMIFS(Investors!$M:$M,Investors!$I:$I,"&lt;="&amp;'NSST Print'!$B$3,Investors!$J:$J,"&gt;"&amp;'NSST Print'!$B$3,Investors!$A:$A,'Investor Exit List'!$A135,Investors!$E:$E,'Investor Exit List'!$C135,Investors!$L:$L,'Investor Exit List'!$B135)+SUMIFS(Investors!$M:$M,Investors!$I:$I,"&lt;="&amp;'NSST Print'!$B$3,Investors!$J:$J,"",Investors!$A:$A,'Investor Exit List'!$A135,Investors!$E:$E,'Investor Exit List'!$C135,Investors!$L:$L,'Investor Exit List'!$B135))+SUMIFS(Investors!$S:$S,Investors!$O:$O,FALSE,Investors!$P:$P,FALSE,Investors!$K:$K,"&gt;"&amp;'NSST Print'!$B$3,Investors!$I:$I,"&lt;="&amp;'NSST Print'!$B$3,Investors!$A:$A,'Investor Exit List'!$A135,Investors!$E:$E,'Investor Exit List'!$C135,Investors!$L:$L,'Investor Exit List'!$B135)-(SUMIFS(Investors!$S:$S,Investors!$I:$I,"&lt;="&amp;'NSST Print'!$B$3,Investors!$J:$J,"&gt;"&amp;'NSST Print'!$B$3,Investors!$A:$A,'Investor Exit List'!$A135,Investors!$E:$E,'Investor Exit List'!$C135,Investors!$L:$L,'Investor Exit List'!$B135)+SUMIFS(Investors!$S:$S,Investors!$I:$I,"&lt;="&amp;'NSST Print'!$B$3,Investors!$J:$J,"",Investors!$A:$A,'Investor Exit List'!$A135,Investors!$E:$E,'Investor Exit List'!$C135,Investors!$L:$L,'Investor Exit List'!$B135))</f>
        <v>0</v>
      </c>
      <c r="R135" s="117">
        <f t="shared" si="29"/>
        <v>0</v>
      </c>
      <c r="S135" s="117">
        <f>SUMIFS(Investors!$M:$M,Investors!$O:$O,TRUE,Investors!$A:$A,'Investor Exit List'!$A135,Investors!$E:$E,'Investor Exit List'!$C135,Investors!$L:$L,'Investor Exit List'!$B135)+SUMIFS(Investors!$S:$S,Investors!$O:$O,TRUE,Investors!$A:$A,'Investor Exit List'!$A135,Investors!$E:$E,'Investor Exit List'!$C135,Investors!$L:$L,'Investor Exit List'!$B135)</f>
        <v>0</v>
      </c>
      <c r="T135" s="118" t="str">
        <f t="shared" si="30"/>
        <v/>
      </c>
      <c r="U135" s="116" t="b">
        <v>0</v>
      </c>
      <c r="V135" s="117">
        <f t="shared" si="31"/>
        <v>0</v>
      </c>
      <c r="W135" s="116">
        <v>0</v>
      </c>
      <c r="X135" s="116" t="b">
        <v>0</v>
      </c>
      <c r="Y135" s="119">
        <f>IF(H135=FALSE,VLOOKUP($C135,Sales!$C:$F,4,FALSE),1)</f>
        <v>1</v>
      </c>
      <c r="Z135" s="116" t="str">
        <f t="shared" si="32"/>
        <v/>
      </c>
      <c r="AA135" s="118">
        <f t="shared" si="33"/>
        <v>0</v>
      </c>
      <c r="AB135" s="118" t="str">
        <f t="shared" si="34"/>
        <v>HFB302-ZPRO01</v>
      </c>
      <c r="AC135" s="118">
        <f t="shared" si="35"/>
        <v>45280</v>
      </c>
    </row>
    <row r="136" spans="1:29" ht="16" x14ac:dyDescent="0.2">
      <c r="A136" s="116" t="s">
        <v>346</v>
      </c>
      <c r="B136" s="116">
        <v>1</v>
      </c>
      <c r="C136" s="116" t="s">
        <v>349</v>
      </c>
      <c r="D136" s="116" t="s">
        <v>209</v>
      </c>
      <c r="E136" s="116" t="s">
        <v>2105</v>
      </c>
      <c r="F136" s="117">
        <f>SUMIFS(Investors!$M:$M,Investors!$O:$O,FALSE,Investors!$P:$P,FALSE,Investors!$K:$K,"&gt;"&amp;'NSST Print'!$B$3,Investors!$I:$I,"&lt;="&amp;'NSST Print'!$B$3,Investors!$A:$A,'Investor Exit List'!$A136,Investors!$E:$E,'Investor Exit List'!$C136,Investors!$L:$L,'Investor Exit List'!$B136)-(SUMIFS(Investors!$M:$M,Investors!$I:$I,"&lt;="&amp;'NSST Print'!$B$3,Investors!$J:$J,"&gt;"&amp;'NSST Print'!$B$3,Investors!$A:$A,'Investor Exit List'!$A136,Investors!$E:$E,'Investor Exit List'!$C136,Investors!$L:$L,'Investor Exit List'!$B136)+SUMIFS(Investors!$M:$M,Investors!$I:$I,"&lt;="&amp;'NSST Print'!$B$3,Investors!$J:$J,"",Investors!$A:$A,'Investor Exit List'!$A136,Investors!$E:$E,'Investor Exit List'!$C136,Investors!$L:$L,'Investor Exit List'!$B136))</f>
        <v>0</v>
      </c>
      <c r="G136" s="118">
        <v>44664</v>
      </c>
      <c r="H136" s="116" t="b">
        <f>VLOOKUP($C136,Sales!$C:$E,2,FALSE)</f>
        <v>1</v>
      </c>
      <c r="I136" s="116" t="b">
        <f>VLOOKUP($C136,Sales!$C:$E,3,FALSE)</f>
        <v>1</v>
      </c>
      <c r="J136" s="118">
        <f>SUMIFS(Sales!$H:$H,Sales!$C:$C,'Investor Exit List'!$C136)</f>
        <v>45688</v>
      </c>
      <c r="K136" s="118">
        <f t="shared" si="24"/>
        <v>45688</v>
      </c>
      <c r="L136" s="118">
        <f t="shared" si="25"/>
        <v>45394</v>
      </c>
      <c r="M136" s="118">
        <v>45443</v>
      </c>
      <c r="N136" s="119">
        <f t="shared" si="26"/>
        <v>0</v>
      </c>
      <c r="O136" s="119">
        <f t="shared" si="27"/>
        <v>0</v>
      </c>
      <c r="P136" s="117">
        <f t="shared" si="28"/>
        <v>0</v>
      </c>
      <c r="Q136" s="117">
        <f>SUMIFS(Investors!$M:$M,Investors!$O:$O,FALSE,Investors!$P:$P,FALSE,Investors!$K:$K,"&gt;"&amp;'NSST Print'!$B$3,Investors!$I:$I,"&lt;="&amp;'NSST Print'!$B$3,Investors!$A:$A,'Investor Exit List'!$A136,Investors!$E:$E,'Investor Exit List'!$C136,Investors!$L:$L,'Investor Exit List'!$B136)-(SUMIFS(Investors!$M:$M,Investors!$I:$I,"&lt;="&amp;'NSST Print'!$B$3,Investors!$J:$J,"&gt;"&amp;'NSST Print'!$B$3,Investors!$A:$A,'Investor Exit List'!$A136,Investors!$E:$E,'Investor Exit List'!$C136,Investors!$L:$L,'Investor Exit List'!$B136)+SUMIFS(Investors!$M:$M,Investors!$I:$I,"&lt;="&amp;'NSST Print'!$B$3,Investors!$J:$J,"",Investors!$A:$A,'Investor Exit List'!$A136,Investors!$E:$E,'Investor Exit List'!$C136,Investors!$L:$L,'Investor Exit List'!$B136))+SUMIFS(Investors!$S:$S,Investors!$O:$O,FALSE,Investors!$P:$P,FALSE,Investors!$K:$K,"&gt;"&amp;'NSST Print'!$B$3,Investors!$I:$I,"&lt;="&amp;'NSST Print'!$B$3,Investors!$A:$A,'Investor Exit List'!$A136,Investors!$E:$E,'Investor Exit List'!$C136,Investors!$L:$L,'Investor Exit List'!$B136)-(SUMIFS(Investors!$S:$S,Investors!$I:$I,"&lt;="&amp;'NSST Print'!$B$3,Investors!$J:$J,"&gt;"&amp;'NSST Print'!$B$3,Investors!$A:$A,'Investor Exit List'!$A136,Investors!$E:$E,'Investor Exit List'!$C136,Investors!$L:$L,'Investor Exit List'!$B136)+SUMIFS(Investors!$S:$S,Investors!$I:$I,"&lt;="&amp;'NSST Print'!$B$3,Investors!$J:$J,"",Investors!$A:$A,'Investor Exit List'!$A136,Investors!$E:$E,'Investor Exit List'!$C136,Investors!$L:$L,'Investor Exit List'!$B136))</f>
        <v>0</v>
      </c>
      <c r="R136" s="117">
        <f t="shared" si="29"/>
        <v>0</v>
      </c>
      <c r="S136" s="117">
        <f>SUMIFS(Investors!$M:$M,Investors!$O:$O,TRUE,Investors!$A:$A,'Investor Exit List'!$A136,Investors!$E:$E,'Investor Exit List'!$C136,Investors!$L:$L,'Investor Exit List'!$B136)+SUMIFS(Investors!$S:$S,Investors!$O:$O,TRUE,Investors!$A:$A,'Investor Exit List'!$A136,Investors!$E:$E,'Investor Exit List'!$C136,Investors!$L:$L,'Investor Exit List'!$B136)</f>
        <v>0</v>
      </c>
      <c r="T136" s="118" t="str">
        <f t="shared" si="30"/>
        <v/>
      </c>
      <c r="U136" s="116" t="b">
        <v>0</v>
      </c>
      <c r="V136" s="117">
        <f t="shared" si="31"/>
        <v>0</v>
      </c>
      <c r="W136" s="116">
        <v>0</v>
      </c>
      <c r="X136" s="116" t="b">
        <v>0</v>
      </c>
      <c r="Y136" s="119">
        <f>IF(H136=FALSE,VLOOKUP($C136,Sales!$C:$F,4,FALSE),1)</f>
        <v>1</v>
      </c>
      <c r="Z136" s="116" t="str">
        <f t="shared" si="32"/>
        <v/>
      </c>
      <c r="AA136" s="118">
        <f t="shared" si="33"/>
        <v>0</v>
      </c>
      <c r="AB136" s="118" t="str">
        <f t="shared" si="34"/>
        <v>HFB303-ZLOU03</v>
      </c>
      <c r="AC136" s="118">
        <f t="shared" si="35"/>
        <v>45394</v>
      </c>
    </row>
    <row r="137" spans="1:29" ht="16" x14ac:dyDescent="0.2">
      <c r="A137" s="116" t="s">
        <v>350</v>
      </c>
      <c r="B137" s="116">
        <v>1</v>
      </c>
      <c r="C137" s="116" t="s">
        <v>349</v>
      </c>
      <c r="D137" s="116" t="s">
        <v>209</v>
      </c>
      <c r="E137" s="116" t="s">
        <v>2093</v>
      </c>
      <c r="F137" s="117">
        <f>SUMIFS(Investors!$M:$M,Investors!$O:$O,FALSE,Investors!$P:$P,FALSE,Investors!$K:$K,"&gt;"&amp;'NSST Print'!$B$3,Investors!$I:$I,"&lt;="&amp;'NSST Print'!$B$3,Investors!$A:$A,'Investor Exit List'!$A137,Investors!$E:$E,'Investor Exit List'!$C137,Investors!$L:$L,'Investor Exit List'!$B137)-(SUMIFS(Investors!$M:$M,Investors!$I:$I,"&lt;="&amp;'NSST Print'!$B$3,Investors!$J:$J,"&gt;"&amp;'NSST Print'!$B$3,Investors!$A:$A,'Investor Exit List'!$A137,Investors!$E:$E,'Investor Exit List'!$C137,Investors!$L:$L,'Investor Exit List'!$B137)+SUMIFS(Investors!$M:$M,Investors!$I:$I,"&lt;="&amp;'NSST Print'!$B$3,Investors!$J:$J,"",Investors!$A:$A,'Investor Exit List'!$A137,Investors!$E:$E,'Investor Exit List'!$C137,Investors!$L:$L,'Investor Exit List'!$B137))</f>
        <v>0</v>
      </c>
      <c r="G137" s="118">
        <v>44664</v>
      </c>
      <c r="H137" s="116" t="b">
        <f>VLOOKUP($C137,Sales!$C:$E,2,FALSE)</f>
        <v>1</v>
      </c>
      <c r="I137" s="116" t="b">
        <f>VLOOKUP($C137,Sales!$C:$E,3,FALSE)</f>
        <v>1</v>
      </c>
      <c r="J137" s="118">
        <f>SUMIFS(Sales!$H:$H,Sales!$C:$C,'Investor Exit List'!$C137)</f>
        <v>45688</v>
      </c>
      <c r="K137" s="118">
        <f t="shared" si="24"/>
        <v>45688</v>
      </c>
      <c r="L137" s="118">
        <f t="shared" si="25"/>
        <v>45394</v>
      </c>
      <c r="M137" s="118">
        <v>45443</v>
      </c>
      <c r="N137" s="119">
        <f t="shared" si="26"/>
        <v>0</v>
      </c>
      <c r="O137" s="119">
        <f t="shared" si="27"/>
        <v>0</v>
      </c>
      <c r="P137" s="117">
        <f t="shared" si="28"/>
        <v>0</v>
      </c>
      <c r="Q137" s="117">
        <f>SUMIFS(Investors!$M:$M,Investors!$O:$O,FALSE,Investors!$P:$P,FALSE,Investors!$K:$K,"&gt;"&amp;'NSST Print'!$B$3,Investors!$I:$I,"&lt;="&amp;'NSST Print'!$B$3,Investors!$A:$A,'Investor Exit List'!$A137,Investors!$E:$E,'Investor Exit List'!$C137,Investors!$L:$L,'Investor Exit List'!$B137)-(SUMIFS(Investors!$M:$M,Investors!$I:$I,"&lt;="&amp;'NSST Print'!$B$3,Investors!$J:$J,"&gt;"&amp;'NSST Print'!$B$3,Investors!$A:$A,'Investor Exit List'!$A137,Investors!$E:$E,'Investor Exit List'!$C137,Investors!$L:$L,'Investor Exit List'!$B137)+SUMIFS(Investors!$M:$M,Investors!$I:$I,"&lt;="&amp;'NSST Print'!$B$3,Investors!$J:$J,"",Investors!$A:$A,'Investor Exit List'!$A137,Investors!$E:$E,'Investor Exit List'!$C137,Investors!$L:$L,'Investor Exit List'!$B137))+SUMIFS(Investors!$S:$S,Investors!$O:$O,FALSE,Investors!$P:$P,FALSE,Investors!$K:$K,"&gt;"&amp;'NSST Print'!$B$3,Investors!$I:$I,"&lt;="&amp;'NSST Print'!$B$3,Investors!$A:$A,'Investor Exit List'!$A137,Investors!$E:$E,'Investor Exit List'!$C137,Investors!$L:$L,'Investor Exit List'!$B137)-(SUMIFS(Investors!$S:$S,Investors!$I:$I,"&lt;="&amp;'NSST Print'!$B$3,Investors!$J:$J,"&gt;"&amp;'NSST Print'!$B$3,Investors!$A:$A,'Investor Exit List'!$A137,Investors!$E:$E,'Investor Exit List'!$C137,Investors!$L:$L,'Investor Exit List'!$B137)+SUMIFS(Investors!$S:$S,Investors!$I:$I,"&lt;="&amp;'NSST Print'!$B$3,Investors!$J:$J,"",Investors!$A:$A,'Investor Exit List'!$A137,Investors!$E:$E,'Investor Exit List'!$C137,Investors!$L:$L,'Investor Exit List'!$B137))</f>
        <v>0</v>
      </c>
      <c r="R137" s="117">
        <f t="shared" si="29"/>
        <v>0</v>
      </c>
      <c r="S137" s="117">
        <f>SUMIFS(Investors!$M:$M,Investors!$O:$O,TRUE,Investors!$A:$A,'Investor Exit List'!$A137,Investors!$E:$E,'Investor Exit List'!$C137,Investors!$L:$L,'Investor Exit List'!$B137)+SUMIFS(Investors!$S:$S,Investors!$O:$O,TRUE,Investors!$A:$A,'Investor Exit List'!$A137,Investors!$E:$E,'Investor Exit List'!$C137,Investors!$L:$L,'Investor Exit List'!$B137)</f>
        <v>0</v>
      </c>
      <c r="T137" s="118" t="str">
        <f t="shared" si="30"/>
        <v/>
      </c>
      <c r="U137" s="116" t="b">
        <v>0</v>
      </c>
      <c r="V137" s="117">
        <f t="shared" si="31"/>
        <v>0</v>
      </c>
      <c r="W137" s="116">
        <v>0</v>
      </c>
      <c r="X137" s="116" t="b">
        <v>0</v>
      </c>
      <c r="Y137" s="119">
        <f>IF(H137=FALSE,VLOOKUP($C137,Sales!$C:$F,4,FALSE),1)</f>
        <v>1</v>
      </c>
      <c r="Z137" s="116" t="str">
        <f t="shared" si="32"/>
        <v/>
      </c>
      <c r="AA137" s="118">
        <f t="shared" si="33"/>
        <v>0</v>
      </c>
      <c r="AB137" s="118" t="str">
        <f t="shared" si="34"/>
        <v>HFB303-ZRUD01</v>
      </c>
      <c r="AC137" s="118">
        <f t="shared" si="35"/>
        <v>45394</v>
      </c>
    </row>
    <row r="138" spans="1:29" ht="16" x14ac:dyDescent="0.2">
      <c r="A138" s="116" t="s">
        <v>351</v>
      </c>
      <c r="B138" s="116">
        <v>1</v>
      </c>
      <c r="C138" s="116" t="s">
        <v>354</v>
      </c>
      <c r="D138" s="116" t="s">
        <v>209</v>
      </c>
      <c r="E138" s="116" t="s">
        <v>2106</v>
      </c>
      <c r="F138" s="117">
        <f>SUMIFS(Investors!$M:$M,Investors!$O:$O,FALSE,Investors!$P:$P,FALSE,Investors!$K:$K,"&gt;"&amp;'NSST Print'!$B$3,Investors!$I:$I,"&lt;="&amp;'NSST Print'!$B$3,Investors!$A:$A,'Investor Exit List'!$A138,Investors!$E:$E,'Investor Exit List'!$C138,Investors!$L:$L,'Investor Exit List'!$B138)-(SUMIFS(Investors!$M:$M,Investors!$I:$I,"&lt;="&amp;'NSST Print'!$B$3,Investors!$J:$J,"&gt;"&amp;'NSST Print'!$B$3,Investors!$A:$A,'Investor Exit List'!$A138,Investors!$E:$E,'Investor Exit List'!$C138,Investors!$L:$L,'Investor Exit List'!$B138)+SUMIFS(Investors!$M:$M,Investors!$I:$I,"&lt;="&amp;'NSST Print'!$B$3,Investors!$J:$J,"",Investors!$A:$A,'Investor Exit List'!$A138,Investors!$E:$E,'Investor Exit List'!$C138,Investors!$L:$L,'Investor Exit List'!$B138))</f>
        <v>0</v>
      </c>
      <c r="G138" s="118">
        <v>44690</v>
      </c>
      <c r="H138" s="116" t="b">
        <f>VLOOKUP($C138,Sales!$C:$E,2,FALSE)</f>
        <v>1</v>
      </c>
      <c r="I138" s="116" t="b">
        <f>VLOOKUP($C138,Sales!$C:$E,3,FALSE)</f>
        <v>1</v>
      </c>
      <c r="J138" s="118">
        <f>SUMIFS(Sales!$H:$H,Sales!$C:$C,'Investor Exit List'!$C138)</f>
        <v>45688</v>
      </c>
      <c r="K138" s="118">
        <f t="shared" si="24"/>
        <v>45688</v>
      </c>
      <c r="L138" s="118">
        <f t="shared" si="25"/>
        <v>45420</v>
      </c>
      <c r="M138" s="118">
        <v>45443</v>
      </c>
      <c r="N138" s="119">
        <f t="shared" si="26"/>
        <v>0</v>
      </c>
      <c r="O138" s="119">
        <f t="shared" si="27"/>
        <v>0</v>
      </c>
      <c r="P138" s="117">
        <f t="shared" si="28"/>
        <v>0</v>
      </c>
      <c r="Q138" s="117">
        <f>SUMIFS(Investors!$M:$M,Investors!$O:$O,FALSE,Investors!$P:$P,FALSE,Investors!$K:$K,"&gt;"&amp;'NSST Print'!$B$3,Investors!$I:$I,"&lt;="&amp;'NSST Print'!$B$3,Investors!$A:$A,'Investor Exit List'!$A138,Investors!$E:$E,'Investor Exit List'!$C138,Investors!$L:$L,'Investor Exit List'!$B138)-(SUMIFS(Investors!$M:$M,Investors!$I:$I,"&lt;="&amp;'NSST Print'!$B$3,Investors!$J:$J,"&gt;"&amp;'NSST Print'!$B$3,Investors!$A:$A,'Investor Exit List'!$A138,Investors!$E:$E,'Investor Exit List'!$C138,Investors!$L:$L,'Investor Exit List'!$B138)+SUMIFS(Investors!$M:$M,Investors!$I:$I,"&lt;="&amp;'NSST Print'!$B$3,Investors!$J:$J,"",Investors!$A:$A,'Investor Exit List'!$A138,Investors!$E:$E,'Investor Exit List'!$C138,Investors!$L:$L,'Investor Exit List'!$B138))+SUMIFS(Investors!$S:$S,Investors!$O:$O,FALSE,Investors!$P:$P,FALSE,Investors!$K:$K,"&gt;"&amp;'NSST Print'!$B$3,Investors!$I:$I,"&lt;="&amp;'NSST Print'!$B$3,Investors!$A:$A,'Investor Exit List'!$A138,Investors!$E:$E,'Investor Exit List'!$C138,Investors!$L:$L,'Investor Exit List'!$B138)-(SUMIFS(Investors!$S:$S,Investors!$I:$I,"&lt;="&amp;'NSST Print'!$B$3,Investors!$J:$J,"&gt;"&amp;'NSST Print'!$B$3,Investors!$A:$A,'Investor Exit List'!$A138,Investors!$E:$E,'Investor Exit List'!$C138,Investors!$L:$L,'Investor Exit List'!$B138)+SUMIFS(Investors!$S:$S,Investors!$I:$I,"&lt;="&amp;'NSST Print'!$B$3,Investors!$J:$J,"",Investors!$A:$A,'Investor Exit List'!$A138,Investors!$E:$E,'Investor Exit List'!$C138,Investors!$L:$L,'Investor Exit List'!$B138))</f>
        <v>0</v>
      </c>
      <c r="R138" s="117">
        <f t="shared" si="29"/>
        <v>0</v>
      </c>
      <c r="S138" s="117">
        <f>SUMIFS(Investors!$M:$M,Investors!$O:$O,TRUE,Investors!$A:$A,'Investor Exit List'!$A138,Investors!$E:$E,'Investor Exit List'!$C138,Investors!$L:$L,'Investor Exit List'!$B138)+SUMIFS(Investors!$S:$S,Investors!$O:$O,TRUE,Investors!$A:$A,'Investor Exit List'!$A138,Investors!$E:$E,'Investor Exit List'!$C138,Investors!$L:$L,'Investor Exit List'!$B138)</f>
        <v>0</v>
      </c>
      <c r="T138" s="118" t="str">
        <f t="shared" si="30"/>
        <v/>
      </c>
      <c r="U138" s="116" t="b">
        <v>0</v>
      </c>
      <c r="V138" s="117">
        <f t="shared" si="31"/>
        <v>0</v>
      </c>
      <c r="W138" s="116">
        <v>0</v>
      </c>
      <c r="X138" s="116" t="b">
        <v>0</v>
      </c>
      <c r="Y138" s="119">
        <f>IF(H138=FALSE,VLOOKUP($C138,Sales!$C:$F,4,FALSE),1)</f>
        <v>1</v>
      </c>
      <c r="Z138" s="116" t="str">
        <f t="shared" si="32"/>
        <v/>
      </c>
      <c r="AA138" s="118">
        <f t="shared" si="33"/>
        <v>0</v>
      </c>
      <c r="AB138" s="118" t="str">
        <f t="shared" si="34"/>
        <v>HFB304-ZDOT01</v>
      </c>
      <c r="AC138" s="118">
        <f t="shared" si="35"/>
        <v>45420</v>
      </c>
    </row>
    <row r="139" spans="1:29" ht="16" x14ac:dyDescent="0.2">
      <c r="A139" s="116" t="s">
        <v>355</v>
      </c>
      <c r="B139" s="116">
        <v>1</v>
      </c>
      <c r="C139" s="116" t="s">
        <v>358</v>
      </c>
      <c r="D139" s="116" t="s">
        <v>209</v>
      </c>
      <c r="E139" s="116" t="s">
        <v>2107</v>
      </c>
      <c r="F139" s="117">
        <f>SUMIFS(Investors!$M:$M,Investors!$O:$O,FALSE,Investors!$P:$P,FALSE,Investors!$K:$K,"&gt;"&amp;'NSST Print'!$B$3,Investors!$I:$I,"&lt;="&amp;'NSST Print'!$B$3,Investors!$A:$A,'Investor Exit List'!$A139,Investors!$E:$E,'Investor Exit List'!$C139,Investors!$L:$L,'Investor Exit List'!$B139)-(SUMIFS(Investors!$M:$M,Investors!$I:$I,"&lt;="&amp;'NSST Print'!$B$3,Investors!$J:$J,"&gt;"&amp;'NSST Print'!$B$3,Investors!$A:$A,'Investor Exit List'!$A139,Investors!$E:$E,'Investor Exit List'!$C139,Investors!$L:$L,'Investor Exit List'!$B139)+SUMIFS(Investors!$M:$M,Investors!$I:$I,"&lt;="&amp;'NSST Print'!$B$3,Investors!$J:$J,"",Investors!$A:$A,'Investor Exit List'!$A139,Investors!$E:$E,'Investor Exit List'!$C139,Investors!$L:$L,'Investor Exit List'!$B139))</f>
        <v>0</v>
      </c>
      <c r="G139" s="118">
        <v>44644</v>
      </c>
      <c r="H139" s="116" t="b">
        <f>VLOOKUP($C139,Sales!$C:$E,2,FALSE)</f>
        <v>1</v>
      </c>
      <c r="I139" s="116" t="b">
        <f>VLOOKUP($C139,Sales!$C:$E,3,FALSE)</f>
        <v>1</v>
      </c>
      <c r="J139" s="118">
        <f>SUMIFS(Sales!$H:$H,Sales!$C:$C,'Investor Exit List'!$C139)</f>
        <v>45688</v>
      </c>
      <c r="K139" s="118">
        <f t="shared" si="24"/>
        <v>45688</v>
      </c>
      <c r="L139" s="118">
        <f t="shared" si="25"/>
        <v>45374</v>
      </c>
      <c r="M139" s="118">
        <v>45443</v>
      </c>
      <c r="N139" s="119">
        <f t="shared" si="26"/>
        <v>0</v>
      </c>
      <c r="O139" s="119">
        <f t="shared" si="27"/>
        <v>0</v>
      </c>
      <c r="P139" s="117">
        <f t="shared" si="28"/>
        <v>0</v>
      </c>
      <c r="Q139" s="117">
        <f>SUMIFS(Investors!$M:$M,Investors!$O:$O,FALSE,Investors!$P:$P,FALSE,Investors!$K:$K,"&gt;"&amp;'NSST Print'!$B$3,Investors!$I:$I,"&lt;="&amp;'NSST Print'!$B$3,Investors!$A:$A,'Investor Exit List'!$A139,Investors!$E:$E,'Investor Exit List'!$C139,Investors!$L:$L,'Investor Exit List'!$B139)-(SUMIFS(Investors!$M:$M,Investors!$I:$I,"&lt;="&amp;'NSST Print'!$B$3,Investors!$J:$J,"&gt;"&amp;'NSST Print'!$B$3,Investors!$A:$A,'Investor Exit List'!$A139,Investors!$E:$E,'Investor Exit List'!$C139,Investors!$L:$L,'Investor Exit List'!$B139)+SUMIFS(Investors!$M:$M,Investors!$I:$I,"&lt;="&amp;'NSST Print'!$B$3,Investors!$J:$J,"",Investors!$A:$A,'Investor Exit List'!$A139,Investors!$E:$E,'Investor Exit List'!$C139,Investors!$L:$L,'Investor Exit List'!$B139))+SUMIFS(Investors!$S:$S,Investors!$O:$O,FALSE,Investors!$P:$P,FALSE,Investors!$K:$K,"&gt;"&amp;'NSST Print'!$B$3,Investors!$I:$I,"&lt;="&amp;'NSST Print'!$B$3,Investors!$A:$A,'Investor Exit List'!$A139,Investors!$E:$E,'Investor Exit List'!$C139,Investors!$L:$L,'Investor Exit List'!$B139)-(SUMIFS(Investors!$S:$S,Investors!$I:$I,"&lt;="&amp;'NSST Print'!$B$3,Investors!$J:$J,"&gt;"&amp;'NSST Print'!$B$3,Investors!$A:$A,'Investor Exit List'!$A139,Investors!$E:$E,'Investor Exit List'!$C139,Investors!$L:$L,'Investor Exit List'!$B139)+SUMIFS(Investors!$S:$S,Investors!$I:$I,"&lt;="&amp;'NSST Print'!$B$3,Investors!$J:$J,"",Investors!$A:$A,'Investor Exit List'!$A139,Investors!$E:$E,'Investor Exit List'!$C139,Investors!$L:$L,'Investor Exit List'!$B139))</f>
        <v>0</v>
      </c>
      <c r="R139" s="117">
        <f t="shared" si="29"/>
        <v>0</v>
      </c>
      <c r="S139" s="117">
        <f>SUMIFS(Investors!$M:$M,Investors!$O:$O,TRUE,Investors!$A:$A,'Investor Exit List'!$A139,Investors!$E:$E,'Investor Exit List'!$C139,Investors!$L:$L,'Investor Exit List'!$B139)+SUMIFS(Investors!$S:$S,Investors!$O:$O,TRUE,Investors!$A:$A,'Investor Exit List'!$A139,Investors!$E:$E,'Investor Exit List'!$C139,Investors!$L:$L,'Investor Exit List'!$B139)</f>
        <v>1212760.2739726028</v>
      </c>
      <c r="T139" s="118">
        <f t="shared" si="30"/>
        <v>45688</v>
      </c>
      <c r="U139" s="116" t="b">
        <v>1</v>
      </c>
      <c r="V139" s="117">
        <f t="shared" si="31"/>
        <v>1212760.2739726028</v>
      </c>
      <c r="W139" s="116">
        <v>0</v>
      </c>
      <c r="X139" s="116" t="b">
        <v>0</v>
      </c>
      <c r="Y139" s="119">
        <f>IF(H139=FALSE,VLOOKUP($C139,Sales!$C:$F,4,FALSE),1)</f>
        <v>1</v>
      </c>
      <c r="Z139" s="116" t="str">
        <f t="shared" si="32"/>
        <v/>
      </c>
      <c r="AA139" s="118">
        <f t="shared" si="33"/>
        <v>0</v>
      </c>
      <c r="AB139" s="118" t="str">
        <f t="shared" si="34"/>
        <v>HFB306-ZSCH04</v>
      </c>
      <c r="AC139" s="118">
        <f t="shared" si="35"/>
        <v>45374</v>
      </c>
    </row>
    <row r="140" spans="1:29" ht="16" x14ac:dyDescent="0.2">
      <c r="A140" s="116" t="s">
        <v>359</v>
      </c>
      <c r="B140" s="116">
        <v>1</v>
      </c>
      <c r="C140" s="116" t="s">
        <v>362</v>
      </c>
      <c r="D140" s="116" t="s">
        <v>209</v>
      </c>
      <c r="E140" s="116" t="s">
        <v>2108</v>
      </c>
      <c r="F140" s="117">
        <f>SUMIFS(Investors!$M:$M,Investors!$O:$O,FALSE,Investors!$P:$P,FALSE,Investors!$K:$K,"&gt;"&amp;'NSST Print'!$B$3,Investors!$I:$I,"&lt;="&amp;'NSST Print'!$B$3,Investors!$A:$A,'Investor Exit List'!$A140,Investors!$E:$E,'Investor Exit List'!$C140,Investors!$L:$L,'Investor Exit List'!$B140)-(SUMIFS(Investors!$M:$M,Investors!$I:$I,"&lt;="&amp;'NSST Print'!$B$3,Investors!$J:$J,"&gt;"&amp;'NSST Print'!$B$3,Investors!$A:$A,'Investor Exit List'!$A140,Investors!$E:$E,'Investor Exit List'!$C140,Investors!$L:$L,'Investor Exit List'!$B140)+SUMIFS(Investors!$M:$M,Investors!$I:$I,"&lt;="&amp;'NSST Print'!$B$3,Investors!$J:$J,"",Investors!$A:$A,'Investor Exit List'!$A140,Investors!$E:$E,'Investor Exit List'!$C140,Investors!$L:$L,'Investor Exit List'!$B140))</f>
        <v>0</v>
      </c>
      <c r="G140" s="118">
        <v>44643</v>
      </c>
      <c r="H140" s="116" t="b">
        <f>VLOOKUP($C140,Sales!$C:$E,2,FALSE)</f>
        <v>1</v>
      </c>
      <c r="I140" s="116" t="b">
        <f>VLOOKUP($C140,Sales!$C:$E,3,FALSE)</f>
        <v>1</v>
      </c>
      <c r="J140" s="118">
        <f>SUMIFS(Sales!$H:$H,Sales!$C:$C,'Investor Exit List'!$C140)</f>
        <v>45688</v>
      </c>
      <c r="K140" s="118">
        <f t="shared" si="24"/>
        <v>45688</v>
      </c>
      <c r="L140" s="118">
        <f t="shared" si="25"/>
        <v>45373</v>
      </c>
      <c r="M140" s="118">
        <v>45443</v>
      </c>
      <c r="N140" s="119">
        <f t="shared" si="26"/>
        <v>0</v>
      </c>
      <c r="O140" s="119">
        <f t="shared" si="27"/>
        <v>0</v>
      </c>
      <c r="P140" s="117">
        <f t="shared" si="28"/>
        <v>0</v>
      </c>
      <c r="Q140" s="117">
        <f>SUMIFS(Investors!$M:$M,Investors!$O:$O,FALSE,Investors!$P:$P,FALSE,Investors!$K:$K,"&gt;"&amp;'NSST Print'!$B$3,Investors!$I:$I,"&lt;="&amp;'NSST Print'!$B$3,Investors!$A:$A,'Investor Exit List'!$A140,Investors!$E:$E,'Investor Exit List'!$C140,Investors!$L:$L,'Investor Exit List'!$B140)-(SUMIFS(Investors!$M:$M,Investors!$I:$I,"&lt;="&amp;'NSST Print'!$B$3,Investors!$J:$J,"&gt;"&amp;'NSST Print'!$B$3,Investors!$A:$A,'Investor Exit List'!$A140,Investors!$E:$E,'Investor Exit List'!$C140,Investors!$L:$L,'Investor Exit List'!$B140)+SUMIFS(Investors!$M:$M,Investors!$I:$I,"&lt;="&amp;'NSST Print'!$B$3,Investors!$J:$J,"",Investors!$A:$A,'Investor Exit List'!$A140,Investors!$E:$E,'Investor Exit List'!$C140,Investors!$L:$L,'Investor Exit List'!$B140))+SUMIFS(Investors!$S:$S,Investors!$O:$O,FALSE,Investors!$P:$P,FALSE,Investors!$K:$K,"&gt;"&amp;'NSST Print'!$B$3,Investors!$I:$I,"&lt;="&amp;'NSST Print'!$B$3,Investors!$A:$A,'Investor Exit List'!$A140,Investors!$E:$E,'Investor Exit List'!$C140,Investors!$L:$L,'Investor Exit List'!$B140)-(SUMIFS(Investors!$S:$S,Investors!$I:$I,"&lt;="&amp;'NSST Print'!$B$3,Investors!$J:$J,"&gt;"&amp;'NSST Print'!$B$3,Investors!$A:$A,'Investor Exit List'!$A140,Investors!$E:$E,'Investor Exit List'!$C140,Investors!$L:$L,'Investor Exit List'!$B140)+SUMIFS(Investors!$S:$S,Investors!$I:$I,"&lt;="&amp;'NSST Print'!$B$3,Investors!$J:$J,"",Investors!$A:$A,'Investor Exit List'!$A140,Investors!$E:$E,'Investor Exit List'!$C140,Investors!$L:$L,'Investor Exit List'!$B140))</f>
        <v>0</v>
      </c>
      <c r="R140" s="117">
        <f t="shared" si="29"/>
        <v>0</v>
      </c>
      <c r="S140" s="117">
        <f>SUMIFS(Investors!$M:$M,Investors!$O:$O,TRUE,Investors!$A:$A,'Investor Exit List'!$A140,Investors!$E:$E,'Investor Exit List'!$C140,Investors!$L:$L,'Investor Exit List'!$B140)+SUMIFS(Investors!$S:$S,Investors!$O:$O,TRUE,Investors!$A:$A,'Investor Exit List'!$A140,Investors!$E:$E,'Investor Exit List'!$C140,Investors!$L:$L,'Investor Exit List'!$B140)</f>
        <v>234453.42465753425</v>
      </c>
      <c r="T140" s="118">
        <f t="shared" si="30"/>
        <v>45688</v>
      </c>
      <c r="U140" s="116" t="b">
        <v>1</v>
      </c>
      <c r="V140" s="117">
        <f t="shared" si="31"/>
        <v>234453.42465753425</v>
      </c>
      <c r="W140" s="116">
        <v>0</v>
      </c>
      <c r="X140" s="116" t="b">
        <v>0</v>
      </c>
      <c r="Y140" s="119">
        <f>IF(H140=FALSE,VLOOKUP($C140,Sales!$C:$F,4,FALSE),1)</f>
        <v>1</v>
      </c>
      <c r="Z140" s="116" t="str">
        <f t="shared" si="32"/>
        <v/>
      </c>
      <c r="AA140" s="118">
        <f t="shared" si="33"/>
        <v>0</v>
      </c>
      <c r="AB140" s="118" t="str">
        <f t="shared" si="34"/>
        <v>HFB307-ZROU01</v>
      </c>
      <c r="AC140" s="118">
        <f t="shared" si="35"/>
        <v>45373</v>
      </c>
    </row>
    <row r="141" spans="1:29" ht="16" x14ac:dyDescent="0.2">
      <c r="A141" s="116" t="s">
        <v>363</v>
      </c>
      <c r="B141" s="116">
        <v>3</v>
      </c>
      <c r="C141" s="116" t="s">
        <v>362</v>
      </c>
      <c r="D141" s="116" t="s">
        <v>209</v>
      </c>
      <c r="E141" s="116" t="s">
        <v>2109</v>
      </c>
      <c r="F141" s="117">
        <f>SUMIFS(Investors!$M:$M,Investors!$O:$O,FALSE,Investors!$P:$P,FALSE,Investors!$K:$K,"&gt;"&amp;'NSST Print'!$B$3,Investors!$I:$I,"&lt;="&amp;'NSST Print'!$B$3,Investors!$A:$A,'Investor Exit List'!$A141,Investors!$E:$E,'Investor Exit List'!$C141,Investors!$L:$L,'Investor Exit List'!$B141)-(SUMIFS(Investors!$M:$M,Investors!$I:$I,"&lt;="&amp;'NSST Print'!$B$3,Investors!$J:$J,"&gt;"&amp;'NSST Print'!$B$3,Investors!$A:$A,'Investor Exit List'!$A141,Investors!$E:$E,'Investor Exit List'!$C141,Investors!$L:$L,'Investor Exit List'!$B141)+SUMIFS(Investors!$M:$M,Investors!$I:$I,"&lt;="&amp;'NSST Print'!$B$3,Investors!$J:$J,"",Investors!$A:$A,'Investor Exit List'!$A141,Investors!$E:$E,'Investor Exit List'!$C141,Investors!$L:$L,'Investor Exit List'!$B141))</f>
        <v>0</v>
      </c>
      <c r="G141" s="118">
        <v>44643</v>
      </c>
      <c r="H141" s="116" t="b">
        <f>VLOOKUP($C141,Sales!$C:$E,2,FALSE)</f>
        <v>1</v>
      </c>
      <c r="I141" s="116" t="b">
        <f>VLOOKUP($C141,Sales!$C:$E,3,FALSE)</f>
        <v>1</v>
      </c>
      <c r="J141" s="118">
        <f>SUMIFS(Sales!$H:$H,Sales!$C:$C,'Investor Exit List'!$C141)</f>
        <v>45688</v>
      </c>
      <c r="K141" s="118">
        <f t="shared" si="24"/>
        <v>45688</v>
      </c>
      <c r="L141" s="118">
        <f t="shared" si="25"/>
        <v>45373</v>
      </c>
      <c r="M141" s="118">
        <v>45443</v>
      </c>
      <c r="N141" s="119">
        <f t="shared" si="26"/>
        <v>0</v>
      </c>
      <c r="O141" s="119">
        <f t="shared" si="27"/>
        <v>0</v>
      </c>
      <c r="P141" s="117">
        <f t="shared" si="28"/>
        <v>0</v>
      </c>
      <c r="Q141" s="117">
        <f>SUMIFS(Investors!$M:$M,Investors!$O:$O,FALSE,Investors!$P:$P,FALSE,Investors!$K:$K,"&gt;"&amp;'NSST Print'!$B$3,Investors!$I:$I,"&lt;="&amp;'NSST Print'!$B$3,Investors!$A:$A,'Investor Exit List'!$A141,Investors!$E:$E,'Investor Exit List'!$C141,Investors!$L:$L,'Investor Exit List'!$B141)-(SUMIFS(Investors!$M:$M,Investors!$I:$I,"&lt;="&amp;'NSST Print'!$B$3,Investors!$J:$J,"&gt;"&amp;'NSST Print'!$B$3,Investors!$A:$A,'Investor Exit List'!$A141,Investors!$E:$E,'Investor Exit List'!$C141,Investors!$L:$L,'Investor Exit List'!$B141)+SUMIFS(Investors!$M:$M,Investors!$I:$I,"&lt;="&amp;'NSST Print'!$B$3,Investors!$J:$J,"",Investors!$A:$A,'Investor Exit List'!$A141,Investors!$E:$E,'Investor Exit List'!$C141,Investors!$L:$L,'Investor Exit List'!$B141))+SUMIFS(Investors!$S:$S,Investors!$O:$O,FALSE,Investors!$P:$P,FALSE,Investors!$K:$K,"&gt;"&amp;'NSST Print'!$B$3,Investors!$I:$I,"&lt;="&amp;'NSST Print'!$B$3,Investors!$A:$A,'Investor Exit List'!$A141,Investors!$E:$E,'Investor Exit List'!$C141,Investors!$L:$L,'Investor Exit List'!$B141)-(SUMIFS(Investors!$S:$S,Investors!$I:$I,"&lt;="&amp;'NSST Print'!$B$3,Investors!$J:$J,"&gt;"&amp;'NSST Print'!$B$3,Investors!$A:$A,'Investor Exit List'!$A141,Investors!$E:$E,'Investor Exit List'!$C141,Investors!$L:$L,'Investor Exit List'!$B141)+SUMIFS(Investors!$S:$S,Investors!$I:$I,"&lt;="&amp;'NSST Print'!$B$3,Investors!$J:$J,"",Investors!$A:$A,'Investor Exit List'!$A141,Investors!$E:$E,'Investor Exit List'!$C141,Investors!$L:$L,'Investor Exit List'!$B141))</f>
        <v>0</v>
      </c>
      <c r="R141" s="117">
        <f t="shared" si="29"/>
        <v>0</v>
      </c>
      <c r="S141" s="117">
        <f>SUMIFS(Investors!$M:$M,Investors!$O:$O,TRUE,Investors!$A:$A,'Investor Exit List'!$A141,Investors!$E:$E,'Investor Exit List'!$C141,Investors!$L:$L,'Investor Exit List'!$B141)+SUMIFS(Investors!$S:$S,Investors!$O:$O,TRUE,Investors!$A:$A,'Investor Exit List'!$A141,Investors!$E:$E,'Investor Exit List'!$C141,Investors!$L:$L,'Investor Exit List'!$B141)</f>
        <v>238516.43835616441</v>
      </c>
      <c r="T141" s="118">
        <f t="shared" si="30"/>
        <v>45688</v>
      </c>
      <c r="U141" s="116" t="b">
        <v>1</v>
      </c>
      <c r="V141" s="117">
        <f t="shared" si="31"/>
        <v>238516.43835616441</v>
      </c>
      <c r="W141" s="116">
        <v>0</v>
      </c>
      <c r="X141" s="116" t="b">
        <v>0</v>
      </c>
      <c r="Y141" s="119">
        <f>IF(H141=FALSE,VLOOKUP($C141,Sales!$C:$F,4,FALSE),1)</f>
        <v>1</v>
      </c>
      <c r="Z141" s="116" t="str">
        <f t="shared" si="32"/>
        <v/>
      </c>
      <c r="AA141" s="118">
        <f t="shared" si="33"/>
        <v>0</v>
      </c>
      <c r="AB141" s="118" t="str">
        <f t="shared" si="34"/>
        <v>HFB307-ZVOR01</v>
      </c>
      <c r="AC141" s="118">
        <f t="shared" si="35"/>
        <v>45373</v>
      </c>
    </row>
    <row r="142" spans="1:29" ht="16" x14ac:dyDescent="0.2">
      <c r="A142" s="116" t="s">
        <v>366</v>
      </c>
      <c r="B142" s="116">
        <v>1</v>
      </c>
      <c r="C142" s="116" t="s">
        <v>369</v>
      </c>
      <c r="D142" s="116" t="s">
        <v>209</v>
      </c>
      <c r="E142" s="116" t="s">
        <v>2110</v>
      </c>
      <c r="F142" s="117">
        <f>SUMIFS(Investors!$M:$M,Investors!$O:$O,FALSE,Investors!$P:$P,FALSE,Investors!$K:$K,"&gt;"&amp;'NSST Print'!$B$3,Investors!$I:$I,"&lt;="&amp;'NSST Print'!$B$3,Investors!$A:$A,'Investor Exit List'!$A142,Investors!$E:$E,'Investor Exit List'!$C142,Investors!$L:$L,'Investor Exit List'!$B142)-(SUMIFS(Investors!$M:$M,Investors!$I:$I,"&lt;="&amp;'NSST Print'!$B$3,Investors!$J:$J,"&gt;"&amp;'NSST Print'!$B$3,Investors!$A:$A,'Investor Exit List'!$A142,Investors!$E:$E,'Investor Exit List'!$C142,Investors!$L:$L,'Investor Exit List'!$B142)+SUMIFS(Investors!$M:$M,Investors!$I:$I,"&lt;="&amp;'NSST Print'!$B$3,Investors!$J:$J,"",Investors!$A:$A,'Investor Exit List'!$A142,Investors!$E:$E,'Investor Exit List'!$C142,Investors!$L:$L,'Investor Exit List'!$B142))</f>
        <v>0</v>
      </c>
      <c r="G142" s="118">
        <v>44664</v>
      </c>
      <c r="H142" s="116" t="b">
        <f>VLOOKUP($C142,Sales!$C:$E,2,FALSE)</f>
        <v>1</v>
      </c>
      <c r="I142" s="116" t="b">
        <f>VLOOKUP($C142,Sales!$C:$E,3,FALSE)</f>
        <v>1</v>
      </c>
      <c r="J142" s="118">
        <f>SUMIFS(Sales!$H:$H,Sales!$C:$C,'Investor Exit List'!$C142)</f>
        <v>45688</v>
      </c>
      <c r="K142" s="118">
        <f t="shared" si="24"/>
        <v>45688</v>
      </c>
      <c r="L142" s="118">
        <f t="shared" si="25"/>
        <v>45394</v>
      </c>
      <c r="M142" s="118">
        <v>45443</v>
      </c>
      <c r="N142" s="119">
        <f t="shared" si="26"/>
        <v>0</v>
      </c>
      <c r="O142" s="119">
        <f t="shared" si="27"/>
        <v>0</v>
      </c>
      <c r="P142" s="117">
        <f t="shared" si="28"/>
        <v>0</v>
      </c>
      <c r="Q142" s="117">
        <f>SUMIFS(Investors!$M:$M,Investors!$O:$O,FALSE,Investors!$P:$P,FALSE,Investors!$K:$K,"&gt;"&amp;'NSST Print'!$B$3,Investors!$I:$I,"&lt;="&amp;'NSST Print'!$B$3,Investors!$A:$A,'Investor Exit List'!$A142,Investors!$E:$E,'Investor Exit List'!$C142,Investors!$L:$L,'Investor Exit List'!$B142)-(SUMIFS(Investors!$M:$M,Investors!$I:$I,"&lt;="&amp;'NSST Print'!$B$3,Investors!$J:$J,"&gt;"&amp;'NSST Print'!$B$3,Investors!$A:$A,'Investor Exit List'!$A142,Investors!$E:$E,'Investor Exit List'!$C142,Investors!$L:$L,'Investor Exit List'!$B142)+SUMIFS(Investors!$M:$M,Investors!$I:$I,"&lt;="&amp;'NSST Print'!$B$3,Investors!$J:$J,"",Investors!$A:$A,'Investor Exit List'!$A142,Investors!$E:$E,'Investor Exit List'!$C142,Investors!$L:$L,'Investor Exit List'!$B142))+SUMIFS(Investors!$S:$S,Investors!$O:$O,FALSE,Investors!$P:$P,FALSE,Investors!$K:$K,"&gt;"&amp;'NSST Print'!$B$3,Investors!$I:$I,"&lt;="&amp;'NSST Print'!$B$3,Investors!$A:$A,'Investor Exit List'!$A142,Investors!$E:$E,'Investor Exit List'!$C142,Investors!$L:$L,'Investor Exit List'!$B142)-(SUMIFS(Investors!$S:$S,Investors!$I:$I,"&lt;="&amp;'NSST Print'!$B$3,Investors!$J:$J,"&gt;"&amp;'NSST Print'!$B$3,Investors!$A:$A,'Investor Exit List'!$A142,Investors!$E:$E,'Investor Exit List'!$C142,Investors!$L:$L,'Investor Exit List'!$B142)+SUMIFS(Investors!$S:$S,Investors!$I:$I,"&lt;="&amp;'NSST Print'!$B$3,Investors!$J:$J,"",Investors!$A:$A,'Investor Exit List'!$A142,Investors!$E:$E,'Investor Exit List'!$C142,Investors!$L:$L,'Investor Exit List'!$B142))</f>
        <v>0</v>
      </c>
      <c r="R142" s="117">
        <f t="shared" si="29"/>
        <v>0</v>
      </c>
      <c r="S142" s="117">
        <f>SUMIFS(Investors!$M:$M,Investors!$O:$O,TRUE,Investors!$A:$A,'Investor Exit List'!$A142,Investors!$E:$E,'Investor Exit List'!$C142,Investors!$L:$L,'Investor Exit List'!$B142)+SUMIFS(Investors!$S:$S,Investors!$O:$O,TRUE,Investors!$A:$A,'Investor Exit List'!$A142,Investors!$E:$E,'Investor Exit List'!$C142,Investors!$L:$L,'Investor Exit List'!$B142)</f>
        <v>1201260.2739726028</v>
      </c>
      <c r="T142" s="118">
        <f t="shared" si="30"/>
        <v>45688</v>
      </c>
      <c r="U142" s="116" t="b">
        <v>1</v>
      </c>
      <c r="V142" s="117">
        <f t="shared" si="31"/>
        <v>1201260.2739726028</v>
      </c>
      <c r="W142" s="116">
        <v>0</v>
      </c>
      <c r="X142" s="116" t="b">
        <v>0</v>
      </c>
      <c r="Y142" s="119">
        <f>IF(H142=FALSE,VLOOKUP($C142,Sales!$C:$F,4,FALSE),1)</f>
        <v>1</v>
      </c>
      <c r="Z142" s="116" t="str">
        <f t="shared" si="32"/>
        <v/>
      </c>
      <c r="AA142" s="118">
        <f t="shared" si="33"/>
        <v>0</v>
      </c>
      <c r="AB142" s="118" t="str">
        <f t="shared" si="34"/>
        <v>HFB308-ZGOF01</v>
      </c>
      <c r="AC142" s="118">
        <f t="shared" si="35"/>
        <v>45394</v>
      </c>
    </row>
    <row r="143" spans="1:29" ht="16" x14ac:dyDescent="0.2">
      <c r="A143" s="116" t="s">
        <v>370</v>
      </c>
      <c r="B143" s="116">
        <v>1</v>
      </c>
      <c r="C143" s="116" t="s">
        <v>373</v>
      </c>
      <c r="D143" s="116" t="s">
        <v>209</v>
      </c>
      <c r="E143" s="116" t="s">
        <v>2111</v>
      </c>
      <c r="F143" s="117">
        <f>SUMIFS(Investors!$M:$M,Investors!$O:$O,FALSE,Investors!$P:$P,FALSE,Investors!$K:$K,"&gt;"&amp;'NSST Print'!$B$3,Investors!$I:$I,"&lt;="&amp;'NSST Print'!$B$3,Investors!$A:$A,'Investor Exit List'!$A143,Investors!$E:$E,'Investor Exit List'!$C143,Investors!$L:$L,'Investor Exit List'!$B143)-(SUMIFS(Investors!$M:$M,Investors!$I:$I,"&lt;="&amp;'NSST Print'!$B$3,Investors!$J:$J,"&gt;"&amp;'NSST Print'!$B$3,Investors!$A:$A,'Investor Exit List'!$A143,Investors!$E:$E,'Investor Exit List'!$C143,Investors!$L:$L,'Investor Exit List'!$B143)+SUMIFS(Investors!$M:$M,Investors!$I:$I,"&lt;="&amp;'NSST Print'!$B$3,Investors!$J:$J,"",Investors!$A:$A,'Investor Exit List'!$A143,Investors!$E:$E,'Investor Exit List'!$C143,Investors!$L:$L,'Investor Exit List'!$B143))</f>
        <v>0</v>
      </c>
      <c r="G143" s="118">
        <v>44618</v>
      </c>
      <c r="H143" s="116" t="b">
        <f>VLOOKUP($C143,Sales!$C:$E,2,FALSE)</f>
        <v>1</v>
      </c>
      <c r="I143" s="116" t="b">
        <f>VLOOKUP($C143,Sales!$C:$E,3,FALSE)</f>
        <v>1</v>
      </c>
      <c r="J143" s="118">
        <f>SUMIFS(Sales!$H:$H,Sales!$C:$C,'Investor Exit List'!$C143)</f>
        <v>45688</v>
      </c>
      <c r="K143" s="118">
        <f t="shared" si="24"/>
        <v>45688</v>
      </c>
      <c r="L143" s="118">
        <f t="shared" si="25"/>
        <v>45348</v>
      </c>
      <c r="M143" s="118">
        <v>45443</v>
      </c>
      <c r="N143" s="119">
        <f t="shared" si="26"/>
        <v>0</v>
      </c>
      <c r="O143" s="119">
        <f t="shared" si="27"/>
        <v>0</v>
      </c>
      <c r="P143" s="117">
        <f t="shared" si="28"/>
        <v>0</v>
      </c>
      <c r="Q143" s="117">
        <f>SUMIFS(Investors!$M:$M,Investors!$O:$O,FALSE,Investors!$P:$P,FALSE,Investors!$K:$K,"&gt;"&amp;'NSST Print'!$B$3,Investors!$I:$I,"&lt;="&amp;'NSST Print'!$B$3,Investors!$A:$A,'Investor Exit List'!$A143,Investors!$E:$E,'Investor Exit List'!$C143,Investors!$L:$L,'Investor Exit List'!$B143)-(SUMIFS(Investors!$M:$M,Investors!$I:$I,"&lt;="&amp;'NSST Print'!$B$3,Investors!$J:$J,"&gt;"&amp;'NSST Print'!$B$3,Investors!$A:$A,'Investor Exit List'!$A143,Investors!$E:$E,'Investor Exit List'!$C143,Investors!$L:$L,'Investor Exit List'!$B143)+SUMIFS(Investors!$M:$M,Investors!$I:$I,"&lt;="&amp;'NSST Print'!$B$3,Investors!$J:$J,"",Investors!$A:$A,'Investor Exit List'!$A143,Investors!$E:$E,'Investor Exit List'!$C143,Investors!$L:$L,'Investor Exit List'!$B143))+SUMIFS(Investors!$S:$S,Investors!$O:$O,FALSE,Investors!$P:$P,FALSE,Investors!$K:$K,"&gt;"&amp;'NSST Print'!$B$3,Investors!$I:$I,"&lt;="&amp;'NSST Print'!$B$3,Investors!$A:$A,'Investor Exit List'!$A143,Investors!$E:$E,'Investor Exit List'!$C143,Investors!$L:$L,'Investor Exit List'!$B143)-(SUMIFS(Investors!$S:$S,Investors!$I:$I,"&lt;="&amp;'NSST Print'!$B$3,Investors!$J:$J,"&gt;"&amp;'NSST Print'!$B$3,Investors!$A:$A,'Investor Exit List'!$A143,Investors!$E:$E,'Investor Exit List'!$C143,Investors!$L:$L,'Investor Exit List'!$B143)+SUMIFS(Investors!$S:$S,Investors!$I:$I,"&lt;="&amp;'NSST Print'!$B$3,Investors!$J:$J,"",Investors!$A:$A,'Investor Exit List'!$A143,Investors!$E:$E,'Investor Exit List'!$C143,Investors!$L:$L,'Investor Exit List'!$B143))</f>
        <v>0</v>
      </c>
      <c r="R143" s="117">
        <f t="shared" si="29"/>
        <v>0</v>
      </c>
      <c r="S143" s="117">
        <f>SUMIFS(Investors!$M:$M,Investors!$O:$O,TRUE,Investors!$A:$A,'Investor Exit List'!$A143,Investors!$E:$E,'Investor Exit List'!$C143,Investors!$L:$L,'Investor Exit List'!$B143)+SUMIFS(Investors!$S:$S,Investors!$O:$O,TRUE,Investors!$A:$A,'Investor Exit List'!$A143,Investors!$E:$E,'Investor Exit List'!$C143,Investors!$L:$L,'Investor Exit List'!$B143)</f>
        <v>0</v>
      </c>
      <c r="T143" s="118" t="str">
        <f t="shared" si="30"/>
        <v/>
      </c>
      <c r="U143" s="116" t="b">
        <v>0</v>
      </c>
      <c r="V143" s="117">
        <f t="shared" si="31"/>
        <v>0</v>
      </c>
      <c r="W143" s="116">
        <v>0</v>
      </c>
      <c r="X143" s="116" t="b">
        <v>0</v>
      </c>
      <c r="Y143" s="119">
        <f>IF(H143=FALSE,VLOOKUP($C143,Sales!$C:$F,4,FALSE),1)</f>
        <v>1</v>
      </c>
      <c r="Z143" s="116" t="str">
        <f t="shared" si="32"/>
        <v/>
      </c>
      <c r="AA143" s="118">
        <f t="shared" si="33"/>
        <v>0</v>
      </c>
      <c r="AB143" s="118" t="str">
        <f t="shared" si="34"/>
        <v>HFB309-ZBLU01</v>
      </c>
      <c r="AC143" s="118">
        <f t="shared" si="35"/>
        <v>45348</v>
      </c>
    </row>
    <row r="144" spans="1:29" ht="16" x14ac:dyDescent="0.2">
      <c r="A144" s="116" t="s">
        <v>374</v>
      </c>
      <c r="B144" s="116">
        <v>1</v>
      </c>
      <c r="C144" s="116" t="s">
        <v>373</v>
      </c>
      <c r="D144" s="116" t="s">
        <v>209</v>
      </c>
      <c r="E144" s="116" t="s">
        <v>2112</v>
      </c>
      <c r="F144" s="117">
        <f>SUMIFS(Investors!$M:$M,Investors!$O:$O,FALSE,Investors!$P:$P,FALSE,Investors!$K:$K,"&gt;"&amp;'NSST Print'!$B$3,Investors!$I:$I,"&lt;="&amp;'NSST Print'!$B$3,Investors!$A:$A,'Investor Exit List'!$A144,Investors!$E:$E,'Investor Exit List'!$C144,Investors!$L:$L,'Investor Exit List'!$B144)-(SUMIFS(Investors!$M:$M,Investors!$I:$I,"&lt;="&amp;'NSST Print'!$B$3,Investors!$J:$J,"&gt;"&amp;'NSST Print'!$B$3,Investors!$A:$A,'Investor Exit List'!$A144,Investors!$E:$E,'Investor Exit List'!$C144,Investors!$L:$L,'Investor Exit List'!$B144)+SUMIFS(Investors!$M:$M,Investors!$I:$I,"&lt;="&amp;'NSST Print'!$B$3,Investors!$J:$J,"",Investors!$A:$A,'Investor Exit List'!$A144,Investors!$E:$E,'Investor Exit List'!$C144,Investors!$L:$L,'Investor Exit List'!$B144))</f>
        <v>0</v>
      </c>
      <c r="G144" s="118">
        <v>44664</v>
      </c>
      <c r="H144" s="116" t="b">
        <f>VLOOKUP($C144,Sales!$C:$E,2,FALSE)</f>
        <v>1</v>
      </c>
      <c r="I144" s="116" t="b">
        <f>VLOOKUP($C144,Sales!$C:$E,3,FALSE)</f>
        <v>1</v>
      </c>
      <c r="J144" s="118">
        <f>SUMIFS(Sales!$H:$H,Sales!$C:$C,'Investor Exit List'!$C144)</f>
        <v>45688</v>
      </c>
      <c r="K144" s="118">
        <f t="shared" si="24"/>
        <v>45688</v>
      </c>
      <c r="L144" s="118">
        <f t="shared" si="25"/>
        <v>45394</v>
      </c>
      <c r="M144" s="118">
        <v>45443</v>
      </c>
      <c r="N144" s="119">
        <f t="shared" si="26"/>
        <v>0</v>
      </c>
      <c r="O144" s="119">
        <f t="shared" si="27"/>
        <v>0</v>
      </c>
      <c r="P144" s="117">
        <f t="shared" si="28"/>
        <v>0</v>
      </c>
      <c r="Q144" s="117">
        <f>SUMIFS(Investors!$M:$M,Investors!$O:$O,FALSE,Investors!$P:$P,FALSE,Investors!$K:$K,"&gt;"&amp;'NSST Print'!$B$3,Investors!$I:$I,"&lt;="&amp;'NSST Print'!$B$3,Investors!$A:$A,'Investor Exit List'!$A144,Investors!$E:$E,'Investor Exit List'!$C144,Investors!$L:$L,'Investor Exit List'!$B144)-(SUMIFS(Investors!$M:$M,Investors!$I:$I,"&lt;="&amp;'NSST Print'!$B$3,Investors!$J:$J,"&gt;"&amp;'NSST Print'!$B$3,Investors!$A:$A,'Investor Exit List'!$A144,Investors!$E:$E,'Investor Exit List'!$C144,Investors!$L:$L,'Investor Exit List'!$B144)+SUMIFS(Investors!$M:$M,Investors!$I:$I,"&lt;="&amp;'NSST Print'!$B$3,Investors!$J:$J,"",Investors!$A:$A,'Investor Exit List'!$A144,Investors!$E:$E,'Investor Exit List'!$C144,Investors!$L:$L,'Investor Exit List'!$B144))+SUMIFS(Investors!$S:$S,Investors!$O:$O,FALSE,Investors!$P:$P,FALSE,Investors!$K:$K,"&gt;"&amp;'NSST Print'!$B$3,Investors!$I:$I,"&lt;="&amp;'NSST Print'!$B$3,Investors!$A:$A,'Investor Exit List'!$A144,Investors!$E:$E,'Investor Exit List'!$C144,Investors!$L:$L,'Investor Exit List'!$B144)-(SUMIFS(Investors!$S:$S,Investors!$I:$I,"&lt;="&amp;'NSST Print'!$B$3,Investors!$J:$J,"&gt;"&amp;'NSST Print'!$B$3,Investors!$A:$A,'Investor Exit List'!$A144,Investors!$E:$E,'Investor Exit List'!$C144,Investors!$L:$L,'Investor Exit List'!$B144)+SUMIFS(Investors!$S:$S,Investors!$I:$I,"&lt;="&amp;'NSST Print'!$B$3,Investors!$J:$J,"",Investors!$A:$A,'Investor Exit List'!$A144,Investors!$E:$E,'Investor Exit List'!$C144,Investors!$L:$L,'Investor Exit List'!$B144))</f>
        <v>0</v>
      </c>
      <c r="R144" s="117">
        <f t="shared" si="29"/>
        <v>0</v>
      </c>
      <c r="S144" s="117">
        <f>SUMIFS(Investors!$M:$M,Investors!$O:$O,TRUE,Investors!$A:$A,'Investor Exit List'!$A144,Investors!$E:$E,'Investor Exit List'!$C144,Investors!$L:$L,'Investor Exit List'!$B144)+SUMIFS(Investors!$S:$S,Investors!$O:$O,TRUE,Investors!$A:$A,'Investor Exit List'!$A144,Investors!$E:$E,'Investor Exit List'!$C144,Investors!$L:$L,'Investor Exit List'!$B144)</f>
        <v>0</v>
      </c>
      <c r="T144" s="118" t="str">
        <f t="shared" si="30"/>
        <v/>
      </c>
      <c r="U144" s="116" t="b">
        <v>0</v>
      </c>
      <c r="V144" s="117">
        <f t="shared" si="31"/>
        <v>0</v>
      </c>
      <c r="W144" s="116">
        <v>0</v>
      </c>
      <c r="X144" s="116" t="b">
        <v>0</v>
      </c>
      <c r="Y144" s="119">
        <f>IF(H144=FALSE,VLOOKUP($C144,Sales!$C:$F,4,FALSE),1)</f>
        <v>1</v>
      </c>
      <c r="Z144" s="116" t="str">
        <f t="shared" si="32"/>
        <v/>
      </c>
      <c r="AA144" s="118">
        <f t="shared" si="33"/>
        <v>0</v>
      </c>
      <c r="AB144" s="118" t="str">
        <f t="shared" si="34"/>
        <v>HFB309-ZJAN03</v>
      </c>
      <c r="AC144" s="118">
        <f t="shared" si="35"/>
        <v>45394</v>
      </c>
    </row>
    <row r="145" spans="1:29" ht="16" x14ac:dyDescent="0.2">
      <c r="A145" s="116" t="s">
        <v>376</v>
      </c>
      <c r="B145" s="116">
        <v>4</v>
      </c>
      <c r="C145" s="116" t="s">
        <v>373</v>
      </c>
      <c r="D145" s="116" t="s">
        <v>209</v>
      </c>
      <c r="E145" s="116" t="s">
        <v>2113</v>
      </c>
      <c r="F145" s="117">
        <f>SUMIFS(Investors!$M:$M,Investors!$O:$O,FALSE,Investors!$P:$P,FALSE,Investors!$K:$K,"&gt;"&amp;'NSST Print'!$B$3,Investors!$I:$I,"&lt;="&amp;'NSST Print'!$B$3,Investors!$A:$A,'Investor Exit List'!$A145,Investors!$E:$E,'Investor Exit List'!$C145,Investors!$L:$L,'Investor Exit List'!$B145)-(SUMIFS(Investors!$M:$M,Investors!$I:$I,"&lt;="&amp;'NSST Print'!$B$3,Investors!$J:$J,"&gt;"&amp;'NSST Print'!$B$3,Investors!$A:$A,'Investor Exit List'!$A145,Investors!$E:$E,'Investor Exit List'!$C145,Investors!$L:$L,'Investor Exit List'!$B145)+SUMIFS(Investors!$M:$M,Investors!$I:$I,"&lt;="&amp;'NSST Print'!$B$3,Investors!$J:$J,"",Investors!$A:$A,'Investor Exit List'!$A145,Investors!$E:$E,'Investor Exit List'!$C145,Investors!$L:$L,'Investor Exit List'!$B145))</f>
        <v>0</v>
      </c>
      <c r="G145" s="118">
        <v>44719</v>
      </c>
      <c r="H145" s="116" t="b">
        <f>VLOOKUP($C145,Sales!$C:$E,2,FALSE)</f>
        <v>1</v>
      </c>
      <c r="I145" s="116" t="b">
        <f>VLOOKUP($C145,Sales!$C:$E,3,FALSE)</f>
        <v>1</v>
      </c>
      <c r="J145" s="118">
        <f>SUMIFS(Sales!$H:$H,Sales!$C:$C,'Investor Exit List'!$C145)</f>
        <v>45688</v>
      </c>
      <c r="K145" s="118">
        <f t="shared" si="24"/>
        <v>45688</v>
      </c>
      <c r="L145" s="118">
        <f t="shared" si="25"/>
        <v>45449</v>
      </c>
      <c r="M145" s="118">
        <v>45443</v>
      </c>
      <c r="N145" s="119">
        <f t="shared" si="26"/>
        <v>0</v>
      </c>
      <c r="O145" s="119">
        <f t="shared" si="27"/>
        <v>0</v>
      </c>
      <c r="P145" s="117">
        <f t="shared" si="28"/>
        <v>0</v>
      </c>
      <c r="Q145" s="117">
        <f>SUMIFS(Investors!$M:$M,Investors!$O:$O,FALSE,Investors!$P:$P,FALSE,Investors!$K:$K,"&gt;"&amp;'NSST Print'!$B$3,Investors!$I:$I,"&lt;="&amp;'NSST Print'!$B$3,Investors!$A:$A,'Investor Exit List'!$A145,Investors!$E:$E,'Investor Exit List'!$C145,Investors!$L:$L,'Investor Exit List'!$B145)-(SUMIFS(Investors!$M:$M,Investors!$I:$I,"&lt;="&amp;'NSST Print'!$B$3,Investors!$J:$J,"&gt;"&amp;'NSST Print'!$B$3,Investors!$A:$A,'Investor Exit List'!$A145,Investors!$E:$E,'Investor Exit List'!$C145,Investors!$L:$L,'Investor Exit List'!$B145)+SUMIFS(Investors!$M:$M,Investors!$I:$I,"&lt;="&amp;'NSST Print'!$B$3,Investors!$J:$J,"",Investors!$A:$A,'Investor Exit List'!$A145,Investors!$E:$E,'Investor Exit List'!$C145,Investors!$L:$L,'Investor Exit List'!$B145))+SUMIFS(Investors!$S:$S,Investors!$O:$O,FALSE,Investors!$P:$P,FALSE,Investors!$K:$K,"&gt;"&amp;'NSST Print'!$B$3,Investors!$I:$I,"&lt;="&amp;'NSST Print'!$B$3,Investors!$A:$A,'Investor Exit List'!$A145,Investors!$E:$E,'Investor Exit List'!$C145,Investors!$L:$L,'Investor Exit List'!$B145)-(SUMIFS(Investors!$S:$S,Investors!$I:$I,"&lt;="&amp;'NSST Print'!$B$3,Investors!$J:$J,"&gt;"&amp;'NSST Print'!$B$3,Investors!$A:$A,'Investor Exit List'!$A145,Investors!$E:$E,'Investor Exit List'!$C145,Investors!$L:$L,'Investor Exit List'!$B145)+SUMIFS(Investors!$S:$S,Investors!$I:$I,"&lt;="&amp;'NSST Print'!$B$3,Investors!$J:$J,"",Investors!$A:$A,'Investor Exit List'!$A145,Investors!$E:$E,'Investor Exit List'!$C145,Investors!$L:$L,'Investor Exit List'!$B145))</f>
        <v>0</v>
      </c>
      <c r="R145" s="117">
        <f t="shared" si="29"/>
        <v>0</v>
      </c>
      <c r="S145" s="117">
        <f>SUMIFS(Investors!$M:$M,Investors!$O:$O,TRUE,Investors!$A:$A,'Investor Exit List'!$A145,Investors!$E:$E,'Investor Exit List'!$C145,Investors!$L:$L,'Investor Exit List'!$B145)+SUMIFS(Investors!$S:$S,Investors!$O:$O,TRUE,Investors!$A:$A,'Investor Exit List'!$A145,Investors!$E:$E,'Investor Exit List'!$C145,Investors!$L:$L,'Investor Exit List'!$B145)</f>
        <v>0</v>
      </c>
      <c r="T145" s="118" t="str">
        <f t="shared" si="30"/>
        <v/>
      </c>
      <c r="U145" s="116" t="b">
        <v>0</v>
      </c>
      <c r="V145" s="117">
        <f t="shared" si="31"/>
        <v>0</v>
      </c>
      <c r="W145" s="116">
        <v>0</v>
      </c>
      <c r="X145" s="116" t="b">
        <v>0</v>
      </c>
      <c r="Y145" s="119">
        <f>IF(H145=FALSE,VLOOKUP($C145,Sales!$C:$F,4,FALSE),1)</f>
        <v>1</v>
      </c>
      <c r="Z145" s="116" t="str">
        <f t="shared" si="32"/>
        <v/>
      </c>
      <c r="AA145" s="118">
        <f t="shared" si="33"/>
        <v>0</v>
      </c>
      <c r="AB145" s="118" t="str">
        <f t="shared" si="34"/>
        <v>HFB309-ZVED01</v>
      </c>
      <c r="AC145" s="118">
        <f t="shared" si="35"/>
        <v>45449</v>
      </c>
    </row>
    <row r="146" spans="1:29" ht="16" x14ac:dyDescent="0.2">
      <c r="A146" s="116" t="s">
        <v>342</v>
      </c>
      <c r="B146" s="116">
        <v>4</v>
      </c>
      <c r="C146" s="116" t="s">
        <v>379</v>
      </c>
      <c r="D146" s="116" t="s">
        <v>209</v>
      </c>
      <c r="E146" s="116" t="s">
        <v>2104</v>
      </c>
      <c r="F146" s="117">
        <f>SUMIFS(Investors!$M:$M,Investors!$O:$O,FALSE,Investors!$P:$P,FALSE,Investors!$K:$K,"&gt;"&amp;'NSST Print'!$B$3,Investors!$I:$I,"&lt;="&amp;'NSST Print'!$B$3,Investors!$A:$A,'Investor Exit List'!$A146,Investors!$E:$E,'Investor Exit List'!$C146,Investors!$L:$L,'Investor Exit List'!$B146)-(SUMIFS(Investors!$M:$M,Investors!$I:$I,"&lt;="&amp;'NSST Print'!$B$3,Investors!$J:$J,"&gt;"&amp;'NSST Print'!$B$3,Investors!$A:$A,'Investor Exit List'!$A146,Investors!$E:$E,'Investor Exit List'!$C146,Investors!$L:$L,'Investor Exit List'!$B146)+SUMIFS(Investors!$M:$M,Investors!$I:$I,"&lt;="&amp;'NSST Print'!$B$3,Investors!$J:$J,"",Investors!$A:$A,'Investor Exit List'!$A146,Investors!$E:$E,'Investor Exit List'!$C146,Investors!$L:$L,'Investor Exit List'!$B146))</f>
        <v>0</v>
      </c>
      <c r="G146" s="118">
        <v>44550</v>
      </c>
      <c r="H146" s="116" t="b">
        <f>VLOOKUP($C146,Sales!$C:$E,2,FALSE)</f>
        <v>1</v>
      </c>
      <c r="I146" s="116" t="b">
        <f>VLOOKUP($C146,Sales!$C:$E,3,FALSE)</f>
        <v>1</v>
      </c>
      <c r="J146" s="118">
        <f>SUMIFS(Sales!$H:$H,Sales!$C:$C,'Investor Exit List'!$C146)</f>
        <v>45688</v>
      </c>
      <c r="K146" s="118">
        <f t="shared" si="24"/>
        <v>45688</v>
      </c>
      <c r="L146" s="118">
        <f t="shared" si="25"/>
        <v>45280</v>
      </c>
      <c r="M146" s="118">
        <v>45443</v>
      </c>
      <c r="N146" s="119">
        <f t="shared" si="26"/>
        <v>0</v>
      </c>
      <c r="O146" s="119">
        <f t="shared" si="27"/>
        <v>0</v>
      </c>
      <c r="P146" s="117">
        <f t="shared" si="28"/>
        <v>0</v>
      </c>
      <c r="Q146" s="117">
        <f>SUMIFS(Investors!$M:$M,Investors!$O:$O,FALSE,Investors!$P:$P,FALSE,Investors!$K:$K,"&gt;"&amp;'NSST Print'!$B$3,Investors!$I:$I,"&lt;="&amp;'NSST Print'!$B$3,Investors!$A:$A,'Investor Exit List'!$A146,Investors!$E:$E,'Investor Exit List'!$C146,Investors!$L:$L,'Investor Exit List'!$B146)-(SUMIFS(Investors!$M:$M,Investors!$I:$I,"&lt;="&amp;'NSST Print'!$B$3,Investors!$J:$J,"&gt;"&amp;'NSST Print'!$B$3,Investors!$A:$A,'Investor Exit List'!$A146,Investors!$E:$E,'Investor Exit List'!$C146,Investors!$L:$L,'Investor Exit List'!$B146)+SUMIFS(Investors!$M:$M,Investors!$I:$I,"&lt;="&amp;'NSST Print'!$B$3,Investors!$J:$J,"",Investors!$A:$A,'Investor Exit List'!$A146,Investors!$E:$E,'Investor Exit List'!$C146,Investors!$L:$L,'Investor Exit List'!$B146))+SUMIFS(Investors!$S:$S,Investors!$O:$O,FALSE,Investors!$P:$P,FALSE,Investors!$K:$K,"&gt;"&amp;'NSST Print'!$B$3,Investors!$I:$I,"&lt;="&amp;'NSST Print'!$B$3,Investors!$A:$A,'Investor Exit List'!$A146,Investors!$E:$E,'Investor Exit List'!$C146,Investors!$L:$L,'Investor Exit List'!$B146)-(SUMIFS(Investors!$S:$S,Investors!$I:$I,"&lt;="&amp;'NSST Print'!$B$3,Investors!$J:$J,"&gt;"&amp;'NSST Print'!$B$3,Investors!$A:$A,'Investor Exit List'!$A146,Investors!$E:$E,'Investor Exit List'!$C146,Investors!$L:$L,'Investor Exit List'!$B146)+SUMIFS(Investors!$S:$S,Investors!$I:$I,"&lt;="&amp;'NSST Print'!$B$3,Investors!$J:$J,"",Investors!$A:$A,'Investor Exit List'!$A146,Investors!$E:$E,'Investor Exit List'!$C146,Investors!$L:$L,'Investor Exit List'!$B146))</f>
        <v>0</v>
      </c>
      <c r="R146" s="117">
        <f t="shared" si="29"/>
        <v>0</v>
      </c>
      <c r="S146" s="117">
        <f>SUMIFS(Investors!$M:$M,Investors!$O:$O,TRUE,Investors!$A:$A,'Investor Exit List'!$A146,Investors!$E:$E,'Investor Exit List'!$C146,Investors!$L:$L,'Investor Exit List'!$B146)+SUMIFS(Investors!$S:$S,Investors!$O:$O,TRUE,Investors!$A:$A,'Investor Exit List'!$A146,Investors!$E:$E,'Investor Exit List'!$C146,Investors!$L:$L,'Investor Exit List'!$B146)</f>
        <v>0</v>
      </c>
      <c r="T146" s="118" t="str">
        <f t="shared" si="30"/>
        <v/>
      </c>
      <c r="U146" s="116" t="b">
        <v>0</v>
      </c>
      <c r="V146" s="117">
        <f t="shared" si="31"/>
        <v>0</v>
      </c>
      <c r="W146" s="116">
        <v>0</v>
      </c>
      <c r="X146" s="116" t="b">
        <v>0</v>
      </c>
      <c r="Y146" s="119">
        <f>IF(H146=FALSE,VLOOKUP($C146,Sales!$C:$F,4,FALSE),1)</f>
        <v>1</v>
      </c>
      <c r="Z146" s="116" t="str">
        <f t="shared" si="32"/>
        <v/>
      </c>
      <c r="AA146" s="118">
        <f t="shared" si="33"/>
        <v>0</v>
      </c>
      <c r="AB146" s="118" t="str">
        <f t="shared" si="34"/>
        <v>HFB310-ZPRO01</v>
      </c>
      <c r="AC146" s="118">
        <f t="shared" si="35"/>
        <v>45280</v>
      </c>
    </row>
    <row r="147" spans="1:29" ht="16" x14ac:dyDescent="0.2">
      <c r="A147" s="116" t="s">
        <v>332</v>
      </c>
      <c r="B147" s="116">
        <v>2</v>
      </c>
      <c r="C147" s="116" t="s">
        <v>380</v>
      </c>
      <c r="D147" s="116" t="s">
        <v>209</v>
      </c>
      <c r="E147" s="116" t="s">
        <v>2101</v>
      </c>
      <c r="F147" s="117">
        <f>SUMIFS(Investors!$M:$M,Investors!$O:$O,FALSE,Investors!$P:$P,FALSE,Investors!$K:$K,"&gt;"&amp;'NSST Print'!$B$3,Investors!$I:$I,"&lt;="&amp;'NSST Print'!$B$3,Investors!$A:$A,'Investor Exit List'!$A147,Investors!$E:$E,'Investor Exit List'!$C147,Investors!$L:$L,'Investor Exit List'!$B147)-(SUMIFS(Investors!$M:$M,Investors!$I:$I,"&lt;="&amp;'NSST Print'!$B$3,Investors!$J:$J,"&gt;"&amp;'NSST Print'!$B$3,Investors!$A:$A,'Investor Exit List'!$A147,Investors!$E:$E,'Investor Exit List'!$C147,Investors!$L:$L,'Investor Exit List'!$B147)+SUMIFS(Investors!$M:$M,Investors!$I:$I,"&lt;="&amp;'NSST Print'!$B$3,Investors!$J:$J,"",Investors!$A:$A,'Investor Exit List'!$A147,Investors!$E:$E,'Investor Exit List'!$C147,Investors!$L:$L,'Investor Exit List'!$B147))</f>
        <v>0</v>
      </c>
      <c r="G147" s="118">
        <v>44590</v>
      </c>
      <c r="H147" s="116" t="b">
        <f>VLOOKUP($C147,Sales!$C:$E,2,FALSE)</f>
        <v>1</v>
      </c>
      <c r="I147" s="116" t="b">
        <f>VLOOKUP($C147,Sales!$C:$E,3,FALSE)</f>
        <v>1</v>
      </c>
      <c r="J147" s="118">
        <f>SUMIFS(Sales!$H:$H,Sales!$C:$C,'Investor Exit List'!$C147)</f>
        <v>45688</v>
      </c>
      <c r="K147" s="118">
        <f t="shared" si="24"/>
        <v>45688</v>
      </c>
      <c r="L147" s="118">
        <f t="shared" si="25"/>
        <v>45320</v>
      </c>
      <c r="M147" s="118">
        <v>45443</v>
      </c>
      <c r="N147" s="119">
        <f t="shared" si="26"/>
        <v>0</v>
      </c>
      <c r="O147" s="119">
        <f t="shared" si="27"/>
        <v>0</v>
      </c>
      <c r="P147" s="117">
        <f t="shared" si="28"/>
        <v>0</v>
      </c>
      <c r="Q147" s="117">
        <f>SUMIFS(Investors!$M:$M,Investors!$O:$O,FALSE,Investors!$P:$P,FALSE,Investors!$K:$K,"&gt;"&amp;'NSST Print'!$B$3,Investors!$I:$I,"&lt;="&amp;'NSST Print'!$B$3,Investors!$A:$A,'Investor Exit List'!$A147,Investors!$E:$E,'Investor Exit List'!$C147,Investors!$L:$L,'Investor Exit List'!$B147)-(SUMIFS(Investors!$M:$M,Investors!$I:$I,"&lt;="&amp;'NSST Print'!$B$3,Investors!$J:$J,"&gt;"&amp;'NSST Print'!$B$3,Investors!$A:$A,'Investor Exit List'!$A147,Investors!$E:$E,'Investor Exit List'!$C147,Investors!$L:$L,'Investor Exit List'!$B147)+SUMIFS(Investors!$M:$M,Investors!$I:$I,"&lt;="&amp;'NSST Print'!$B$3,Investors!$J:$J,"",Investors!$A:$A,'Investor Exit List'!$A147,Investors!$E:$E,'Investor Exit List'!$C147,Investors!$L:$L,'Investor Exit List'!$B147))+SUMIFS(Investors!$S:$S,Investors!$O:$O,FALSE,Investors!$P:$P,FALSE,Investors!$K:$K,"&gt;"&amp;'NSST Print'!$B$3,Investors!$I:$I,"&lt;="&amp;'NSST Print'!$B$3,Investors!$A:$A,'Investor Exit List'!$A147,Investors!$E:$E,'Investor Exit List'!$C147,Investors!$L:$L,'Investor Exit List'!$B147)-(SUMIFS(Investors!$S:$S,Investors!$I:$I,"&lt;="&amp;'NSST Print'!$B$3,Investors!$J:$J,"&gt;"&amp;'NSST Print'!$B$3,Investors!$A:$A,'Investor Exit List'!$A147,Investors!$E:$E,'Investor Exit List'!$C147,Investors!$L:$L,'Investor Exit List'!$B147)+SUMIFS(Investors!$S:$S,Investors!$I:$I,"&lt;="&amp;'NSST Print'!$B$3,Investors!$J:$J,"",Investors!$A:$A,'Investor Exit List'!$A147,Investors!$E:$E,'Investor Exit List'!$C147,Investors!$L:$L,'Investor Exit List'!$B147))</f>
        <v>0</v>
      </c>
      <c r="R147" s="117">
        <f t="shared" si="29"/>
        <v>0</v>
      </c>
      <c r="S147" s="117">
        <f>SUMIFS(Investors!$M:$M,Investors!$O:$O,TRUE,Investors!$A:$A,'Investor Exit List'!$A147,Investors!$E:$E,'Investor Exit List'!$C147,Investors!$L:$L,'Investor Exit List'!$B147)+SUMIFS(Investors!$S:$S,Investors!$O:$O,TRUE,Investors!$A:$A,'Investor Exit List'!$A147,Investors!$E:$E,'Investor Exit List'!$C147,Investors!$L:$L,'Investor Exit List'!$B147)</f>
        <v>0</v>
      </c>
      <c r="T147" s="118" t="str">
        <f t="shared" si="30"/>
        <v/>
      </c>
      <c r="U147" s="116" t="b">
        <v>0</v>
      </c>
      <c r="V147" s="117">
        <f t="shared" si="31"/>
        <v>0</v>
      </c>
      <c r="W147" s="116">
        <v>0</v>
      </c>
      <c r="X147" s="116" t="b">
        <v>0</v>
      </c>
      <c r="Y147" s="119">
        <f>IF(H147=FALSE,VLOOKUP($C147,Sales!$C:$F,4,FALSE),1)</f>
        <v>1</v>
      </c>
      <c r="Z147" s="116" t="str">
        <f t="shared" si="32"/>
        <v/>
      </c>
      <c r="AA147" s="118">
        <f t="shared" si="33"/>
        <v>0</v>
      </c>
      <c r="AB147" s="118" t="str">
        <f t="shared" si="34"/>
        <v>HFB311-ZREN01</v>
      </c>
      <c r="AC147" s="118">
        <f t="shared" si="35"/>
        <v>45320</v>
      </c>
    </row>
    <row r="148" spans="1:29" ht="16" x14ac:dyDescent="0.2">
      <c r="A148" s="116" t="s">
        <v>363</v>
      </c>
      <c r="B148" s="116">
        <v>4</v>
      </c>
      <c r="C148" s="116" t="s">
        <v>380</v>
      </c>
      <c r="D148" s="116" t="s">
        <v>209</v>
      </c>
      <c r="E148" s="116" t="s">
        <v>2109</v>
      </c>
      <c r="F148" s="117">
        <f>SUMIFS(Investors!$M:$M,Investors!$O:$O,FALSE,Investors!$P:$P,FALSE,Investors!$K:$K,"&gt;"&amp;'NSST Print'!$B$3,Investors!$I:$I,"&lt;="&amp;'NSST Print'!$B$3,Investors!$A:$A,'Investor Exit List'!$A148,Investors!$E:$E,'Investor Exit List'!$C148,Investors!$L:$L,'Investor Exit List'!$B148)-(SUMIFS(Investors!$M:$M,Investors!$I:$I,"&lt;="&amp;'NSST Print'!$B$3,Investors!$J:$J,"&gt;"&amp;'NSST Print'!$B$3,Investors!$A:$A,'Investor Exit List'!$A148,Investors!$E:$E,'Investor Exit List'!$C148,Investors!$L:$L,'Investor Exit List'!$B148)+SUMIFS(Investors!$M:$M,Investors!$I:$I,"&lt;="&amp;'NSST Print'!$B$3,Investors!$J:$J,"",Investors!$A:$A,'Investor Exit List'!$A148,Investors!$E:$E,'Investor Exit List'!$C148,Investors!$L:$L,'Investor Exit List'!$B148))</f>
        <v>0</v>
      </c>
      <c r="G148" s="118">
        <v>44706</v>
      </c>
      <c r="H148" s="116" t="b">
        <f>VLOOKUP($C148,Sales!$C:$E,2,FALSE)</f>
        <v>1</v>
      </c>
      <c r="I148" s="116" t="b">
        <f>VLOOKUP($C148,Sales!$C:$E,3,FALSE)</f>
        <v>1</v>
      </c>
      <c r="J148" s="118">
        <f>SUMIFS(Sales!$H:$H,Sales!$C:$C,'Investor Exit List'!$C148)</f>
        <v>45688</v>
      </c>
      <c r="K148" s="118">
        <f t="shared" si="24"/>
        <v>45688</v>
      </c>
      <c r="L148" s="118">
        <f t="shared" si="25"/>
        <v>45436</v>
      </c>
      <c r="M148" s="118">
        <v>45443</v>
      </c>
      <c r="N148" s="119">
        <f t="shared" si="26"/>
        <v>0</v>
      </c>
      <c r="O148" s="119">
        <f t="shared" si="27"/>
        <v>0</v>
      </c>
      <c r="P148" s="117">
        <f t="shared" si="28"/>
        <v>0</v>
      </c>
      <c r="Q148" s="117">
        <f>SUMIFS(Investors!$M:$M,Investors!$O:$O,FALSE,Investors!$P:$P,FALSE,Investors!$K:$K,"&gt;"&amp;'NSST Print'!$B$3,Investors!$I:$I,"&lt;="&amp;'NSST Print'!$B$3,Investors!$A:$A,'Investor Exit List'!$A148,Investors!$E:$E,'Investor Exit List'!$C148,Investors!$L:$L,'Investor Exit List'!$B148)-(SUMIFS(Investors!$M:$M,Investors!$I:$I,"&lt;="&amp;'NSST Print'!$B$3,Investors!$J:$J,"&gt;"&amp;'NSST Print'!$B$3,Investors!$A:$A,'Investor Exit List'!$A148,Investors!$E:$E,'Investor Exit List'!$C148,Investors!$L:$L,'Investor Exit List'!$B148)+SUMIFS(Investors!$M:$M,Investors!$I:$I,"&lt;="&amp;'NSST Print'!$B$3,Investors!$J:$J,"",Investors!$A:$A,'Investor Exit List'!$A148,Investors!$E:$E,'Investor Exit List'!$C148,Investors!$L:$L,'Investor Exit List'!$B148))+SUMIFS(Investors!$S:$S,Investors!$O:$O,FALSE,Investors!$P:$P,FALSE,Investors!$K:$K,"&gt;"&amp;'NSST Print'!$B$3,Investors!$I:$I,"&lt;="&amp;'NSST Print'!$B$3,Investors!$A:$A,'Investor Exit List'!$A148,Investors!$E:$E,'Investor Exit List'!$C148,Investors!$L:$L,'Investor Exit List'!$B148)-(SUMIFS(Investors!$S:$S,Investors!$I:$I,"&lt;="&amp;'NSST Print'!$B$3,Investors!$J:$J,"&gt;"&amp;'NSST Print'!$B$3,Investors!$A:$A,'Investor Exit List'!$A148,Investors!$E:$E,'Investor Exit List'!$C148,Investors!$L:$L,'Investor Exit List'!$B148)+SUMIFS(Investors!$S:$S,Investors!$I:$I,"&lt;="&amp;'NSST Print'!$B$3,Investors!$J:$J,"",Investors!$A:$A,'Investor Exit List'!$A148,Investors!$E:$E,'Investor Exit List'!$C148,Investors!$L:$L,'Investor Exit List'!$B148))</f>
        <v>0</v>
      </c>
      <c r="R148" s="117">
        <f t="shared" si="29"/>
        <v>0</v>
      </c>
      <c r="S148" s="117">
        <f>SUMIFS(Investors!$M:$M,Investors!$O:$O,TRUE,Investors!$A:$A,'Investor Exit List'!$A148,Investors!$E:$E,'Investor Exit List'!$C148,Investors!$L:$L,'Investor Exit List'!$B148)+SUMIFS(Investors!$S:$S,Investors!$O:$O,TRUE,Investors!$A:$A,'Investor Exit List'!$A148,Investors!$E:$E,'Investor Exit List'!$C148,Investors!$L:$L,'Investor Exit List'!$B148)</f>
        <v>0</v>
      </c>
      <c r="T148" s="118" t="str">
        <f t="shared" si="30"/>
        <v/>
      </c>
      <c r="U148" s="116" t="b">
        <v>0</v>
      </c>
      <c r="V148" s="117">
        <f t="shared" si="31"/>
        <v>0</v>
      </c>
      <c r="W148" s="116">
        <v>0</v>
      </c>
      <c r="X148" s="116" t="b">
        <v>0</v>
      </c>
      <c r="Y148" s="119">
        <f>IF(H148=FALSE,VLOOKUP($C148,Sales!$C:$F,4,FALSE),1)</f>
        <v>1</v>
      </c>
      <c r="Z148" s="116" t="str">
        <f t="shared" si="32"/>
        <v/>
      </c>
      <c r="AA148" s="118">
        <f t="shared" si="33"/>
        <v>0</v>
      </c>
      <c r="AB148" s="118" t="str">
        <f t="shared" si="34"/>
        <v>HFB311-ZVOR01</v>
      </c>
      <c r="AC148" s="118">
        <f t="shared" si="35"/>
        <v>45436</v>
      </c>
    </row>
    <row r="149" spans="1:29" ht="16" x14ac:dyDescent="0.2">
      <c r="A149" s="116" t="s">
        <v>332</v>
      </c>
      <c r="B149" s="116">
        <v>3</v>
      </c>
      <c r="C149" s="116" t="s">
        <v>381</v>
      </c>
      <c r="D149" s="116" t="s">
        <v>209</v>
      </c>
      <c r="E149" s="116" t="s">
        <v>2101</v>
      </c>
      <c r="F149" s="117">
        <f>SUMIFS(Investors!$M:$M,Investors!$O:$O,FALSE,Investors!$P:$P,FALSE,Investors!$K:$K,"&gt;"&amp;'NSST Print'!$B$3,Investors!$I:$I,"&lt;="&amp;'NSST Print'!$B$3,Investors!$A:$A,'Investor Exit List'!$A149,Investors!$E:$E,'Investor Exit List'!$C149,Investors!$L:$L,'Investor Exit List'!$B149)-(SUMIFS(Investors!$M:$M,Investors!$I:$I,"&lt;="&amp;'NSST Print'!$B$3,Investors!$J:$J,"&gt;"&amp;'NSST Print'!$B$3,Investors!$A:$A,'Investor Exit List'!$A149,Investors!$E:$E,'Investor Exit List'!$C149,Investors!$L:$L,'Investor Exit List'!$B149)+SUMIFS(Investors!$M:$M,Investors!$I:$I,"&lt;="&amp;'NSST Print'!$B$3,Investors!$J:$J,"",Investors!$A:$A,'Investor Exit List'!$A149,Investors!$E:$E,'Investor Exit List'!$C149,Investors!$L:$L,'Investor Exit List'!$B149))</f>
        <v>0</v>
      </c>
      <c r="G149" s="118">
        <v>44581</v>
      </c>
      <c r="H149" s="116" t="b">
        <f>VLOOKUP($C149,Sales!$C:$E,2,FALSE)</f>
        <v>1</v>
      </c>
      <c r="I149" s="116" t="b">
        <f>VLOOKUP($C149,Sales!$C:$E,3,FALSE)</f>
        <v>1</v>
      </c>
      <c r="J149" s="118">
        <f>SUMIFS(Sales!$H:$H,Sales!$C:$C,'Investor Exit List'!$C149)</f>
        <v>45688</v>
      </c>
      <c r="K149" s="118">
        <f t="shared" si="24"/>
        <v>45688</v>
      </c>
      <c r="L149" s="118">
        <f t="shared" si="25"/>
        <v>45311</v>
      </c>
      <c r="M149" s="118">
        <v>45443</v>
      </c>
      <c r="N149" s="119">
        <f t="shared" si="26"/>
        <v>0</v>
      </c>
      <c r="O149" s="119">
        <f t="shared" si="27"/>
        <v>0</v>
      </c>
      <c r="P149" s="117">
        <f t="shared" si="28"/>
        <v>0</v>
      </c>
      <c r="Q149" s="117">
        <f>SUMIFS(Investors!$M:$M,Investors!$O:$O,FALSE,Investors!$P:$P,FALSE,Investors!$K:$K,"&gt;"&amp;'NSST Print'!$B$3,Investors!$I:$I,"&lt;="&amp;'NSST Print'!$B$3,Investors!$A:$A,'Investor Exit List'!$A149,Investors!$E:$E,'Investor Exit List'!$C149,Investors!$L:$L,'Investor Exit List'!$B149)-(SUMIFS(Investors!$M:$M,Investors!$I:$I,"&lt;="&amp;'NSST Print'!$B$3,Investors!$J:$J,"&gt;"&amp;'NSST Print'!$B$3,Investors!$A:$A,'Investor Exit List'!$A149,Investors!$E:$E,'Investor Exit List'!$C149,Investors!$L:$L,'Investor Exit List'!$B149)+SUMIFS(Investors!$M:$M,Investors!$I:$I,"&lt;="&amp;'NSST Print'!$B$3,Investors!$J:$J,"",Investors!$A:$A,'Investor Exit List'!$A149,Investors!$E:$E,'Investor Exit List'!$C149,Investors!$L:$L,'Investor Exit List'!$B149))+SUMIFS(Investors!$S:$S,Investors!$O:$O,FALSE,Investors!$P:$P,FALSE,Investors!$K:$K,"&gt;"&amp;'NSST Print'!$B$3,Investors!$I:$I,"&lt;="&amp;'NSST Print'!$B$3,Investors!$A:$A,'Investor Exit List'!$A149,Investors!$E:$E,'Investor Exit List'!$C149,Investors!$L:$L,'Investor Exit List'!$B149)-(SUMIFS(Investors!$S:$S,Investors!$I:$I,"&lt;="&amp;'NSST Print'!$B$3,Investors!$J:$J,"&gt;"&amp;'NSST Print'!$B$3,Investors!$A:$A,'Investor Exit List'!$A149,Investors!$E:$E,'Investor Exit List'!$C149,Investors!$L:$L,'Investor Exit List'!$B149)+SUMIFS(Investors!$S:$S,Investors!$I:$I,"&lt;="&amp;'NSST Print'!$B$3,Investors!$J:$J,"",Investors!$A:$A,'Investor Exit List'!$A149,Investors!$E:$E,'Investor Exit List'!$C149,Investors!$L:$L,'Investor Exit List'!$B149))</f>
        <v>0</v>
      </c>
      <c r="R149" s="117">
        <f t="shared" si="29"/>
        <v>0</v>
      </c>
      <c r="S149" s="117">
        <f>SUMIFS(Investors!$M:$M,Investors!$O:$O,TRUE,Investors!$A:$A,'Investor Exit List'!$A149,Investors!$E:$E,'Investor Exit List'!$C149,Investors!$L:$L,'Investor Exit List'!$B149)+SUMIFS(Investors!$S:$S,Investors!$O:$O,TRUE,Investors!$A:$A,'Investor Exit List'!$A149,Investors!$E:$E,'Investor Exit List'!$C149,Investors!$L:$L,'Investor Exit List'!$B149)</f>
        <v>0</v>
      </c>
      <c r="T149" s="118" t="str">
        <f t="shared" si="30"/>
        <v/>
      </c>
      <c r="U149" s="116" t="b">
        <v>0</v>
      </c>
      <c r="V149" s="117">
        <f t="shared" si="31"/>
        <v>0</v>
      </c>
      <c r="W149" s="116">
        <v>0</v>
      </c>
      <c r="X149" s="116" t="b">
        <v>0</v>
      </c>
      <c r="Y149" s="119">
        <f>IF(H149=FALSE,VLOOKUP($C149,Sales!$C:$F,4,FALSE),1)</f>
        <v>1</v>
      </c>
      <c r="Z149" s="116" t="str">
        <f t="shared" si="32"/>
        <v/>
      </c>
      <c r="AA149" s="118">
        <f t="shared" si="33"/>
        <v>0</v>
      </c>
      <c r="AB149" s="118" t="str">
        <f t="shared" si="34"/>
        <v>HFB312-ZREN01</v>
      </c>
      <c r="AC149" s="118">
        <f t="shared" si="35"/>
        <v>45311</v>
      </c>
    </row>
    <row r="150" spans="1:29" ht="16" x14ac:dyDescent="0.2">
      <c r="A150" s="116" t="s">
        <v>382</v>
      </c>
      <c r="B150" s="116">
        <v>1</v>
      </c>
      <c r="C150" s="116" t="s">
        <v>385</v>
      </c>
      <c r="D150" s="116" t="s">
        <v>209</v>
      </c>
      <c r="E150" s="116" t="s">
        <v>2114</v>
      </c>
      <c r="F150" s="117">
        <f>SUMIFS(Investors!$M:$M,Investors!$O:$O,FALSE,Investors!$P:$P,FALSE,Investors!$K:$K,"&gt;"&amp;'NSST Print'!$B$3,Investors!$I:$I,"&lt;="&amp;'NSST Print'!$B$3,Investors!$A:$A,'Investor Exit List'!$A150,Investors!$E:$E,'Investor Exit List'!$C150,Investors!$L:$L,'Investor Exit List'!$B150)-(SUMIFS(Investors!$M:$M,Investors!$I:$I,"&lt;="&amp;'NSST Print'!$B$3,Investors!$J:$J,"&gt;"&amp;'NSST Print'!$B$3,Investors!$A:$A,'Investor Exit List'!$A150,Investors!$E:$E,'Investor Exit List'!$C150,Investors!$L:$L,'Investor Exit List'!$B150)+SUMIFS(Investors!$M:$M,Investors!$I:$I,"&lt;="&amp;'NSST Print'!$B$3,Investors!$J:$J,"",Investors!$A:$A,'Investor Exit List'!$A150,Investors!$E:$E,'Investor Exit List'!$C150,Investors!$L:$L,'Investor Exit List'!$B150))</f>
        <v>0</v>
      </c>
      <c r="G150" s="118">
        <v>44650</v>
      </c>
      <c r="H150" s="116" t="b">
        <f>VLOOKUP($C150,Sales!$C:$E,2,FALSE)</f>
        <v>1</v>
      </c>
      <c r="I150" s="116" t="b">
        <f>VLOOKUP($C150,Sales!$C:$E,3,FALSE)</f>
        <v>1</v>
      </c>
      <c r="J150" s="118">
        <f>SUMIFS(Sales!$H:$H,Sales!$C:$C,'Investor Exit List'!$C150)</f>
        <v>45688</v>
      </c>
      <c r="K150" s="118">
        <f t="shared" si="24"/>
        <v>45688</v>
      </c>
      <c r="L150" s="118">
        <f t="shared" si="25"/>
        <v>45380</v>
      </c>
      <c r="M150" s="118">
        <v>45443</v>
      </c>
      <c r="N150" s="119">
        <f t="shared" si="26"/>
        <v>0</v>
      </c>
      <c r="O150" s="119">
        <f t="shared" si="27"/>
        <v>0</v>
      </c>
      <c r="P150" s="117">
        <f t="shared" si="28"/>
        <v>0</v>
      </c>
      <c r="Q150" s="117">
        <f>SUMIFS(Investors!$M:$M,Investors!$O:$O,FALSE,Investors!$P:$P,FALSE,Investors!$K:$K,"&gt;"&amp;'NSST Print'!$B$3,Investors!$I:$I,"&lt;="&amp;'NSST Print'!$B$3,Investors!$A:$A,'Investor Exit List'!$A150,Investors!$E:$E,'Investor Exit List'!$C150,Investors!$L:$L,'Investor Exit List'!$B150)-(SUMIFS(Investors!$M:$M,Investors!$I:$I,"&lt;="&amp;'NSST Print'!$B$3,Investors!$J:$J,"&gt;"&amp;'NSST Print'!$B$3,Investors!$A:$A,'Investor Exit List'!$A150,Investors!$E:$E,'Investor Exit List'!$C150,Investors!$L:$L,'Investor Exit List'!$B150)+SUMIFS(Investors!$M:$M,Investors!$I:$I,"&lt;="&amp;'NSST Print'!$B$3,Investors!$J:$J,"",Investors!$A:$A,'Investor Exit List'!$A150,Investors!$E:$E,'Investor Exit List'!$C150,Investors!$L:$L,'Investor Exit List'!$B150))+SUMIFS(Investors!$S:$S,Investors!$O:$O,FALSE,Investors!$P:$P,FALSE,Investors!$K:$K,"&gt;"&amp;'NSST Print'!$B$3,Investors!$I:$I,"&lt;="&amp;'NSST Print'!$B$3,Investors!$A:$A,'Investor Exit List'!$A150,Investors!$E:$E,'Investor Exit List'!$C150,Investors!$L:$L,'Investor Exit List'!$B150)-(SUMIFS(Investors!$S:$S,Investors!$I:$I,"&lt;="&amp;'NSST Print'!$B$3,Investors!$J:$J,"&gt;"&amp;'NSST Print'!$B$3,Investors!$A:$A,'Investor Exit List'!$A150,Investors!$E:$E,'Investor Exit List'!$C150,Investors!$L:$L,'Investor Exit List'!$B150)+SUMIFS(Investors!$S:$S,Investors!$I:$I,"&lt;="&amp;'NSST Print'!$B$3,Investors!$J:$J,"",Investors!$A:$A,'Investor Exit List'!$A150,Investors!$E:$E,'Investor Exit List'!$C150,Investors!$L:$L,'Investor Exit List'!$B150))</f>
        <v>0</v>
      </c>
      <c r="R150" s="117">
        <f t="shared" si="29"/>
        <v>0</v>
      </c>
      <c r="S150" s="117">
        <f>SUMIFS(Investors!$M:$M,Investors!$O:$O,TRUE,Investors!$A:$A,'Investor Exit List'!$A150,Investors!$E:$E,'Investor Exit List'!$C150,Investors!$L:$L,'Investor Exit List'!$B150)+SUMIFS(Investors!$S:$S,Investors!$O:$O,TRUE,Investors!$A:$A,'Investor Exit List'!$A150,Investors!$E:$E,'Investor Exit List'!$C150,Investors!$L:$L,'Investor Exit List'!$B150)</f>
        <v>0</v>
      </c>
      <c r="T150" s="118" t="str">
        <f t="shared" si="30"/>
        <v/>
      </c>
      <c r="U150" s="116" t="b">
        <v>0</v>
      </c>
      <c r="V150" s="117">
        <f t="shared" si="31"/>
        <v>0</v>
      </c>
      <c r="W150" s="116">
        <v>0</v>
      </c>
      <c r="X150" s="116" t="b">
        <v>0</v>
      </c>
      <c r="Y150" s="119">
        <f>IF(H150=FALSE,VLOOKUP($C150,Sales!$C:$F,4,FALSE),1)</f>
        <v>1</v>
      </c>
      <c r="Z150" s="116" t="str">
        <f t="shared" si="32"/>
        <v/>
      </c>
      <c r="AA150" s="118">
        <f t="shared" si="33"/>
        <v>0</v>
      </c>
      <c r="AB150" s="118" t="str">
        <f t="shared" si="34"/>
        <v>HFB313-ZCON01</v>
      </c>
      <c r="AC150" s="118">
        <f t="shared" si="35"/>
        <v>45380</v>
      </c>
    </row>
    <row r="151" spans="1:29" ht="16" x14ac:dyDescent="0.2">
      <c r="A151" s="116" t="s">
        <v>382</v>
      </c>
      <c r="B151" s="116">
        <v>2</v>
      </c>
      <c r="C151" s="116" t="s">
        <v>387</v>
      </c>
      <c r="D151" s="116" t="s">
        <v>388</v>
      </c>
      <c r="E151" s="116" t="s">
        <v>2114</v>
      </c>
      <c r="F151" s="117">
        <f>SUMIFS(Investors!$M:$M,Investors!$O:$O,FALSE,Investors!$P:$P,FALSE,Investors!$K:$K,"&gt;"&amp;'NSST Print'!$B$3,Investors!$I:$I,"&lt;="&amp;'NSST Print'!$B$3,Investors!$A:$A,'Investor Exit List'!$A151,Investors!$E:$E,'Investor Exit List'!$C151,Investors!$L:$L,'Investor Exit List'!$B151)-(SUMIFS(Investors!$M:$M,Investors!$I:$I,"&lt;="&amp;'NSST Print'!$B$3,Investors!$J:$J,"&gt;"&amp;'NSST Print'!$B$3,Investors!$A:$A,'Investor Exit List'!$A151,Investors!$E:$E,'Investor Exit List'!$C151,Investors!$L:$L,'Investor Exit List'!$B151)+SUMIFS(Investors!$M:$M,Investors!$I:$I,"&lt;="&amp;'NSST Print'!$B$3,Investors!$J:$J,"",Investors!$A:$A,'Investor Exit List'!$A151,Investors!$E:$E,'Investor Exit List'!$C151,Investors!$L:$L,'Investor Exit List'!$B151))</f>
        <v>0</v>
      </c>
      <c r="G151" s="118">
        <v>44681</v>
      </c>
      <c r="H151" s="116" t="b">
        <f>VLOOKUP($C151,Sales!$C:$E,2,FALSE)</f>
        <v>1</v>
      </c>
      <c r="I151" s="116" t="b">
        <f>VLOOKUP($C151,Sales!$C:$E,3,FALSE)</f>
        <v>1</v>
      </c>
      <c r="J151" s="118">
        <f>SUMIFS(Sales!$H:$H,Sales!$C:$C,'Investor Exit List'!$C151)</f>
        <v>45688</v>
      </c>
      <c r="K151" s="118">
        <f t="shared" si="24"/>
        <v>45688</v>
      </c>
      <c r="L151" s="118">
        <f t="shared" si="25"/>
        <v>45411</v>
      </c>
      <c r="M151" s="118">
        <v>45443</v>
      </c>
      <c r="N151" s="119">
        <f t="shared" si="26"/>
        <v>0</v>
      </c>
      <c r="O151" s="119">
        <f t="shared" si="27"/>
        <v>0</v>
      </c>
      <c r="P151" s="117">
        <f t="shared" si="28"/>
        <v>0</v>
      </c>
      <c r="Q151" s="117">
        <f>SUMIFS(Investors!$M:$M,Investors!$O:$O,FALSE,Investors!$P:$P,FALSE,Investors!$K:$K,"&gt;"&amp;'NSST Print'!$B$3,Investors!$I:$I,"&lt;="&amp;'NSST Print'!$B$3,Investors!$A:$A,'Investor Exit List'!$A151,Investors!$E:$E,'Investor Exit List'!$C151,Investors!$L:$L,'Investor Exit List'!$B151)-(SUMIFS(Investors!$M:$M,Investors!$I:$I,"&lt;="&amp;'NSST Print'!$B$3,Investors!$J:$J,"&gt;"&amp;'NSST Print'!$B$3,Investors!$A:$A,'Investor Exit List'!$A151,Investors!$E:$E,'Investor Exit List'!$C151,Investors!$L:$L,'Investor Exit List'!$B151)+SUMIFS(Investors!$M:$M,Investors!$I:$I,"&lt;="&amp;'NSST Print'!$B$3,Investors!$J:$J,"",Investors!$A:$A,'Investor Exit List'!$A151,Investors!$E:$E,'Investor Exit List'!$C151,Investors!$L:$L,'Investor Exit List'!$B151))+SUMIFS(Investors!$S:$S,Investors!$O:$O,FALSE,Investors!$P:$P,FALSE,Investors!$K:$K,"&gt;"&amp;'NSST Print'!$B$3,Investors!$I:$I,"&lt;="&amp;'NSST Print'!$B$3,Investors!$A:$A,'Investor Exit List'!$A151,Investors!$E:$E,'Investor Exit List'!$C151,Investors!$L:$L,'Investor Exit List'!$B151)-(SUMIFS(Investors!$S:$S,Investors!$I:$I,"&lt;="&amp;'NSST Print'!$B$3,Investors!$J:$J,"&gt;"&amp;'NSST Print'!$B$3,Investors!$A:$A,'Investor Exit List'!$A151,Investors!$E:$E,'Investor Exit List'!$C151,Investors!$L:$L,'Investor Exit List'!$B151)+SUMIFS(Investors!$S:$S,Investors!$I:$I,"&lt;="&amp;'NSST Print'!$B$3,Investors!$J:$J,"",Investors!$A:$A,'Investor Exit List'!$A151,Investors!$E:$E,'Investor Exit List'!$C151,Investors!$L:$L,'Investor Exit List'!$B151))</f>
        <v>0</v>
      </c>
      <c r="R151" s="117">
        <f t="shared" si="29"/>
        <v>0</v>
      </c>
      <c r="S151" s="117">
        <f>SUMIFS(Investors!$M:$M,Investors!$O:$O,TRUE,Investors!$A:$A,'Investor Exit List'!$A151,Investors!$E:$E,'Investor Exit List'!$C151,Investors!$L:$L,'Investor Exit List'!$B151)+SUMIFS(Investors!$S:$S,Investors!$O:$O,TRUE,Investors!$A:$A,'Investor Exit List'!$A151,Investors!$E:$E,'Investor Exit List'!$C151,Investors!$L:$L,'Investor Exit List'!$B151)</f>
        <v>0</v>
      </c>
      <c r="T151" s="118" t="str">
        <f t="shared" si="30"/>
        <v/>
      </c>
      <c r="U151" s="116" t="b">
        <v>0</v>
      </c>
      <c r="V151" s="117">
        <f t="shared" si="31"/>
        <v>0</v>
      </c>
      <c r="W151" s="116">
        <v>0</v>
      </c>
      <c r="X151" s="116" t="b">
        <v>0</v>
      </c>
      <c r="Y151" s="119">
        <f>IF(H151=FALSE,VLOOKUP($C151,Sales!$C:$F,4,FALSE),1)</f>
        <v>1</v>
      </c>
      <c r="Z151" s="116" t="str">
        <f t="shared" si="32"/>
        <v/>
      </c>
      <c r="AA151" s="118">
        <f t="shared" si="33"/>
        <v>0</v>
      </c>
      <c r="AB151" s="118" t="str">
        <f t="shared" si="34"/>
        <v>HVC101-ZCON01</v>
      </c>
      <c r="AC151" s="118">
        <f t="shared" si="35"/>
        <v>45411</v>
      </c>
    </row>
    <row r="152" spans="1:29" ht="16" x14ac:dyDescent="0.2">
      <c r="A152" s="116" t="s">
        <v>389</v>
      </c>
      <c r="B152" s="116">
        <v>2</v>
      </c>
      <c r="C152" s="116" t="s">
        <v>387</v>
      </c>
      <c r="D152" s="116" t="s">
        <v>388</v>
      </c>
      <c r="E152" s="116" t="s">
        <v>2115</v>
      </c>
      <c r="F152" s="117">
        <f>SUMIFS(Investors!$M:$M,Investors!$O:$O,FALSE,Investors!$P:$P,FALSE,Investors!$K:$K,"&gt;"&amp;'NSST Print'!$B$3,Investors!$I:$I,"&lt;="&amp;'NSST Print'!$B$3,Investors!$A:$A,'Investor Exit List'!$A152,Investors!$E:$E,'Investor Exit List'!$C152,Investors!$L:$L,'Investor Exit List'!$B152)-(SUMIFS(Investors!$M:$M,Investors!$I:$I,"&lt;="&amp;'NSST Print'!$B$3,Investors!$J:$J,"&gt;"&amp;'NSST Print'!$B$3,Investors!$A:$A,'Investor Exit List'!$A152,Investors!$E:$E,'Investor Exit List'!$C152,Investors!$L:$L,'Investor Exit List'!$B152)+SUMIFS(Investors!$M:$M,Investors!$I:$I,"&lt;="&amp;'NSST Print'!$B$3,Investors!$J:$J,"",Investors!$A:$A,'Investor Exit List'!$A152,Investors!$E:$E,'Investor Exit List'!$C152,Investors!$L:$L,'Investor Exit List'!$B152))</f>
        <v>0</v>
      </c>
      <c r="G152" s="118">
        <v>44889</v>
      </c>
      <c r="H152" s="116" t="b">
        <f>VLOOKUP($C152,Sales!$C:$E,2,FALSE)</f>
        <v>1</v>
      </c>
      <c r="I152" s="116" t="b">
        <f>VLOOKUP($C152,Sales!$C:$E,3,FALSE)</f>
        <v>1</v>
      </c>
      <c r="J152" s="118">
        <f>SUMIFS(Sales!$H:$H,Sales!$C:$C,'Investor Exit List'!$C152)</f>
        <v>45688</v>
      </c>
      <c r="K152" s="118">
        <f t="shared" si="24"/>
        <v>45688</v>
      </c>
      <c r="L152" s="118">
        <f t="shared" si="25"/>
        <v>45619</v>
      </c>
      <c r="M152" s="118">
        <v>45443</v>
      </c>
      <c r="N152" s="119">
        <f t="shared" si="26"/>
        <v>0</v>
      </c>
      <c r="O152" s="119">
        <f t="shared" si="27"/>
        <v>0</v>
      </c>
      <c r="P152" s="117">
        <f t="shared" si="28"/>
        <v>0</v>
      </c>
      <c r="Q152" s="117">
        <f>SUMIFS(Investors!$M:$M,Investors!$O:$O,FALSE,Investors!$P:$P,FALSE,Investors!$K:$K,"&gt;"&amp;'NSST Print'!$B$3,Investors!$I:$I,"&lt;="&amp;'NSST Print'!$B$3,Investors!$A:$A,'Investor Exit List'!$A152,Investors!$E:$E,'Investor Exit List'!$C152,Investors!$L:$L,'Investor Exit List'!$B152)-(SUMIFS(Investors!$M:$M,Investors!$I:$I,"&lt;="&amp;'NSST Print'!$B$3,Investors!$J:$J,"&gt;"&amp;'NSST Print'!$B$3,Investors!$A:$A,'Investor Exit List'!$A152,Investors!$E:$E,'Investor Exit List'!$C152,Investors!$L:$L,'Investor Exit List'!$B152)+SUMIFS(Investors!$M:$M,Investors!$I:$I,"&lt;="&amp;'NSST Print'!$B$3,Investors!$J:$J,"",Investors!$A:$A,'Investor Exit List'!$A152,Investors!$E:$E,'Investor Exit List'!$C152,Investors!$L:$L,'Investor Exit List'!$B152))+SUMIFS(Investors!$S:$S,Investors!$O:$O,FALSE,Investors!$P:$P,FALSE,Investors!$K:$K,"&gt;"&amp;'NSST Print'!$B$3,Investors!$I:$I,"&lt;="&amp;'NSST Print'!$B$3,Investors!$A:$A,'Investor Exit List'!$A152,Investors!$E:$E,'Investor Exit List'!$C152,Investors!$L:$L,'Investor Exit List'!$B152)-(SUMIFS(Investors!$S:$S,Investors!$I:$I,"&lt;="&amp;'NSST Print'!$B$3,Investors!$J:$J,"&gt;"&amp;'NSST Print'!$B$3,Investors!$A:$A,'Investor Exit List'!$A152,Investors!$E:$E,'Investor Exit List'!$C152,Investors!$L:$L,'Investor Exit List'!$B152)+SUMIFS(Investors!$S:$S,Investors!$I:$I,"&lt;="&amp;'NSST Print'!$B$3,Investors!$J:$J,"",Investors!$A:$A,'Investor Exit List'!$A152,Investors!$E:$E,'Investor Exit List'!$C152,Investors!$L:$L,'Investor Exit List'!$B152))</f>
        <v>0</v>
      </c>
      <c r="R152" s="117">
        <f t="shared" si="29"/>
        <v>0</v>
      </c>
      <c r="S152" s="117">
        <f>SUMIFS(Investors!$M:$M,Investors!$O:$O,TRUE,Investors!$A:$A,'Investor Exit List'!$A152,Investors!$E:$E,'Investor Exit List'!$C152,Investors!$L:$L,'Investor Exit List'!$B152)+SUMIFS(Investors!$S:$S,Investors!$O:$O,TRUE,Investors!$A:$A,'Investor Exit List'!$A152,Investors!$E:$E,'Investor Exit List'!$C152,Investors!$L:$L,'Investor Exit List'!$B152)</f>
        <v>0</v>
      </c>
      <c r="T152" s="118" t="str">
        <f t="shared" si="30"/>
        <v/>
      </c>
      <c r="U152" s="116" t="b">
        <v>0</v>
      </c>
      <c r="V152" s="117">
        <f t="shared" si="31"/>
        <v>0</v>
      </c>
      <c r="W152" s="116">
        <v>0</v>
      </c>
      <c r="X152" s="116" t="b">
        <v>0</v>
      </c>
      <c r="Y152" s="119">
        <f>IF(H152=FALSE,VLOOKUP($C152,Sales!$C:$F,4,FALSE),1)</f>
        <v>1</v>
      </c>
      <c r="Z152" s="116" t="str">
        <f t="shared" si="32"/>
        <v/>
      </c>
      <c r="AA152" s="118">
        <f t="shared" si="33"/>
        <v>0</v>
      </c>
      <c r="AB152" s="118" t="str">
        <f t="shared" si="34"/>
        <v>HVC101-ZDEH01</v>
      </c>
      <c r="AC152" s="118">
        <f t="shared" si="35"/>
        <v>45619</v>
      </c>
    </row>
    <row r="153" spans="1:29" ht="16" x14ac:dyDescent="0.2">
      <c r="A153" s="116" t="s">
        <v>392</v>
      </c>
      <c r="B153" s="116">
        <v>2</v>
      </c>
      <c r="C153" s="116" t="s">
        <v>387</v>
      </c>
      <c r="D153" s="116" t="s">
        <v>388</v>
      </c>
      <c r="E153" s="116" t="s">
        <v>2116</v>
      </c>
      <c r="F153" s="117">
        <f>SUMIFS(Investors!$M:$M,Investors!$O:$O,FALSE,Investors!$P:$P,FALSE,Investors!$K:$K,"&gt;"&amp;'NSST Print'!$B$3,Investors!$I:$I,"&lt;="&amp;'NSST Print'!$B$3,Investors!$A:$A,'Investor Exit List'!$A153,Investors!$E:$E,'Investor Exit List'!$C153,Investors!$L:$L,'Investor Exit List'!$B153)-(SUMIFS(Investors!$M:$M,Investors!$I:$I,"&lt;="&amp;'NSST Print'!$B$3,Investors!$J:$J,"&gt;"&amp;'NSST Print'!$B$3,Investors!$A:$A,'Investor Exit List'!$A153,Investors!$E:$E,'Investor Exit List'!$C153,Investors!$L:$L,'Investor Exit List'!$B153)+SUMIFS(Investors!$M:$M,Investors!$I:$I,"&lt;="&amp;'NSST Print'!$B$3,Investors!$J:$J,"",Investors!$A:$A,'Investor Exit List'!$A153,Investors!$E:$E,'Investor Exit List'!$C153,Investors!$L:$L,'Investor Exit List'!$B153))</f>
        <v>0</v>
      </c>
      <c r="G153" s="118">
        <v>44889</v>
      </c>
      <c r="H153" s="116" t="b">
        <f>VLOOKUP($C153,Sales!$C:$E,2,FALSE)</f>
        <v>1</v>
      </c>
      <c r="I153" s="116" t="b">
        <f>VLOOKUP($C153,Sales!$C:$E,3,FALSE)</f>
        <v>1</v>
      </c>
      <c r="J153" s="118">
        <f>SUMIFS(Sales!$H:$H,Sales!$C:$C,'Investor Exit List'!$C153)</f>
        <v>45688</v>
      </c>
      <c r="K153" s="118">
        <f t="shared" si="24"/>
        <v>45688</v>
      </c>
      <c r="L153" s="118">
        <f t="shared" si="25"/>
        <v>45619</v>
      </c>
      <c r="M153" s="118">
        <v>45443</v>
      </c>
      <c r="N153" s="119">
        <f t="shared" si="26"/>
        <v>0</v>
      </c>
      <c r="O153" s="119">
        <f t="shared" si="27"/>
        <v>0</v>
      </c>
      <c r="P153" s="117">
        <f t="shared" si="28"/>
        <v>0</v>
      </c>
      <c r="Q153" s="117">
        <f>SUMIFS(Investors!$M:$M,Investors!$O:$O,FALSE,Investors!$P:$P,FALSE,Investors!$K:$K,"&gt;"&amp;'NSST Print'!$B$3,Investors!$I:$I,"&lt;="&amp;'NSST Print'!$B$3,Investors!$A:$A,'Investor Exit List'!$A153,Investors!$E:$E,'Investor Exit List'!$C153,Investors!$L:$L,'Investor Exit List'!$B153)-(SUMIFS(Investors!$M:$M,Investors!$I:$I,"&lt;="&amp;'NSST Print'!$B$3,Investors!$J:$J,"&gt;"&amp;'NSST Print'!$B$3,Investors!$A:$A,'Investor Exit List'!$A153,Investors!$E:$E,'Investor Exit List'!$C153,Investors!$L:$L,'Investor Exit List'!$B153)+SUMIFS(Investors!$M:$M,Investors!$I:$I,"&lt;="&amp;'NSST Print'!$B$3,Investors!$J:$J,"",Investors!$A:$A,'Investor Exit List'!$A153,Investors!$E:$E,'Investor Exit List'!$C153,Investors!$L:$L,'Investor Exit List'!$B153))+SUMIFS(Investors!$S:$S,Investors!$O:$O,FALSE,Investors!$P:$P,FALSE,Investors!$K:$K,"&gt;"&amp;'NSST Print'!$B$3,Investors!$I:$I,"&lt;="&amp;'NSST Print'!$B$3,Investors!$A:$A,'Investor Exit List'!$A153,Investors!$E:$E,'Investor Exit List'!$C153,Investors!$L:$L,'Investor Exit List'!$B153)-(SUMIFS(Investors!$S:$S,Investors!$I:$I,"&lt;="&amp;'NSST Print'!$B$3,Investors!$J:$J,"&gt;"&amp;'NSST Print'!$B$3,Investors!$A:$A,'Investor Exit List'!$A153,Investors!$E:$E,'Investor Exit List'!$C153,Investors!$L:$L,'Investor Exit List'!$B153)+SUMIFS(Investors!$S:$S,Investors!$I:$I,"&lt;="&amp;'NSST Print'!$B$3,Investors!$J:$J,"",Investors!$A:$A,'Investor Exit List'!$A153,Investors!$E:$E,'Investor Exit List'!$C153,Investors!$L:$L,'Investor Exit List'!$B153))</f>
        <v>0</v>
      </c>
      <c r="R153" s="117">
        <f t="shared" si="29"/>
        <v>0</v>
      </c>
      <c r="S153" s="117">
        <f>SUMIFS(Investors!$M:$M,Investors!$O:$O,TRUE,Investors!$A:$A,'Investor Exit List'!$A153,Investors!$E:$E,'Investor Exit List'!$C153,Investors!$L:$L,'Investor Exit List'!$B153)+SUMIFS(Investors!$S:$S,Investors!$O:$O,TRUE,Investors!$A:$A,'Investor Exit List'!$A153,Investors!$E:$E,'Investor Exit List'!$C153,Investors!$L:$L,'Investor Exit List'!$B153)</f>
        <v>0</v>
      </c>
      <c r="T153" s="118" t="str">
        <f t="shared" si="30"/>
        <v/>
      </c>
      <c r="U153" s="116" t="b">
        <v>0</v>
      </c>
      <c r="V153" s="117">
        <f t="shared" si="31"/>
        <v>0</v>
      </c>
      <c r="W153" s="116">
        <v>0</v>
      </c>
      <c r="X153" s="116" t="b">
        <v>0</v>
      </c>
      <c r="Y153" s="119">
        <f>IF(H153=FALSE,VLOOKUP($C153,Sales!$C:$F,4,FALSE),1)</f>
        <v>1</v>
      </c>
      <c r="Z153" s="116" t="str">
        <f t="shared" si="32"/>
        <v/>
      </c>
      <c r="AA153" s="118">
        <f t="shared" si="33"/>
        <v>0</v>
      </c>
      <c r="AB153" s="118" t="str">
        <f t="shared" si="34"/>
        <v>HVC101-ZERA02</v>
      </c>
      <c r="AC153" s="118">
        <f t="shared" si="35"/>
        <v>45619</v>
      </c>
    </row>
    <row r="154" spans="1:29" ht="16" x14ac:dyDescent="0.2">
      <c r="A154" s="116" t="s">
        <v>395</v>
      </c>
      <c r="B154" s="116">
        <v>2</v>
      </c>
      <c r="C154" s="116" t="s">
        <v>398</v>
      </c>
      <c r="D154" s="116" t="s">
        <v>388</v>
      </c>
      <c r="E154" s="116" t="s">
        <v>2117</v>
      </c>
      <c r="F154" s="117">
        <f>SUMIFS(Investors!$M:$M,Investors!$O:$O,FALSE,Investors!$P:$P,FALSE,Investors!$K:$K,"&gt;"&amp;'NSST Print'!$B$3,Investors!$I:$I,"&lt;="&amp;'NSST Print'!$B$3,Investors!$A:$A,'Investor Exit List'!$A154,Investors!$E:$E,'Investor Exit List'!$C154,Investors!$L:$L,'Investor Exit List'!$B154)-(SUMIFS(Investors!$M:$M,Investors!$I:$I,"&lt;="&amp;'NSST Print'!$B$3,Investors!$J:$J,"&gt;"&amp;'NSST Print'!$B$3,Investors!$A:$A,'Investor Exit List'!$A154,Investors!$E:$E,'Investor Exit List'!$C154,Investors!$L:$L,'Investor Exit List'!$B154)+SUMIFS(Investors!$M:$M,Investors!$I:$I,"&lt;="&amp;'NSST Print'!$B$3,Investors!$J:$J,"",Investors!$A:$A,'Investor Exit List'!$A154,Investors!$E:$E,'Investor Exit List'!$C154,Investors!$L:$L,'Investor Exit List'!$B154))</f>
        <v>0</v>
      </c>
      <c r="G154" s="118">
        <v>44861</v>
      </c>
      <c r="H154" s="116" t="b">
        <f>VLOOKUP($C154,Sales!$C:$E,2,FALSE)</f>
        <v>1</v>
      </c>
      <c r="I154" s="116" t="b">
        <f>VLOOKUP($C154,Sales!$C:$E,3,FALSE)</f>
        <v>1</v>
      </c>
      <c r="J154" s="118">
        <f>SUMIFS(Sales!$H:$H,Sales!$C:$C,'Investor Exit List'!$C154)</f>
        <v>45688</v>
      </c>
      <c r="K154" s="118">
        <f t="shared" si="24"/>
        <v>45688</v>
      </c>
      <c r="L154" s="118">
        <f t="shared" si="25"/>
        <v>45591</v>
      </c>
      <c r="M154" s="118">
        <v>45443</v>
      </c>
      <c r="N154" s="119">
        <f t="shared" si="26"/>
        <v>0</v>
      </c>
      <c r="O154" s="119">
        <f t="shared" si="27"/>
        <v>0</v>
      </c>
      <c r="P154" s="117">
        <f t="shared" si="28"/>
        <v>0</v>
      </c>
      <c r="Q154" s="117">
        <f>SUMIFS(Investors!$M:$M,Investors!$O:$O,FALSE,Investors!$P:$P,FALSE,Investors!$K:$K,"&gt;"&amp;'NSST Print'!$B$3,Investors!$I:$I,"&lt;="&amp;'NSST Print'!$B$3,Investors!$A:$A,'Investor Exit List'!$A154,Investors!$E:$E,'Investor Exit List'!$C154,Investors!$L:$L,'Investor Exit List'!$B154)-(SUMIFS(Investors!$M:$M,Investors!$I:$I,"&lt;="&amp;'NSST Print'!$B$3,Investors!$J:$J,"&gt;"&amp;'NSST Print'!$B$3,Investors!$A:$A,'Investor Exit List'!$A154,Investors!$E:$E,'Investor Exit List'!$C154,Investors!$L:$L,'Investor Exit List'!$B154)+SUMIFS(Investors!$M:$M,Investors!$I:$I,"&lt;="&amp;'NSST Print'!$B$3,Investors!$J:$J,"",Investors!$A:$A,'Investor Exit List'!$A154,Investors!$E:$E,'Investor Exit List'!$C154,Investors!$L:$L,'Investor Exit List'!$B154))+SUMIFS(Investors!$S:$S,Investors!$O:$O,FALSE,Investors!$P:$P,FALSE,Investors!$K:$K,"&gt;"&amp;'NSST Print'!$B$3,Investors!$I:$I,"&lt;="&amp;'NSST Print'!$B$3,Investors!$A:$A,'Investor Exit List'!$A154,Investors!$E:$E,'Investor Exit List'!$C154,Investors!$L:$L,'Investor Exit List'!$B154)-(SUMIFS(Investors!$S:$S,Investors!$I:$I,"&lt;="&amp;'NSST Print'!$B$3,Investors!$J:$J,"&gt;"&amp;'NSST Print'!$B$3,Investors!$A:$A,'Investor Exit List'!$A154,Investors!$E:$E,'Investor Exit List'!$C154,Investors!$L:$L,'Investor Exit List'!$B154)+SUMIFS(Investors!$S:$S,Investors!$I:$I,"&lt;="&amp;'NSST Print'!$B$3,Investors!$J:$J,"",Investors!$A:$A,'Investor Exit List'!$A154,Investors!$E:$E,'Investor Exit List'!$C154,Investors!$L:$L,'Investor Exit List'!$B154))</f>
        <v>0</v>
      </c>
      <c r="R154" s="117">
        <f t="shared" si="29"/>
        <v>0</v>
      </c>
      <c r="S154" s="117">
        <f>SUMIFS(Investors!$M:$M,Investors!$O:$O,TRUE,Investors!$A:$A,'Investor Exit List'!$A154,Investors!$E:$E,'Investor Exit List'!$C154,Investors!$L:$L,'Investor Exit List'!$B154)+SUMIFS(Investors!$S:$S,Investors!$O:$O,TRUE,Investors!$A:$A,'Investor Exit List'!$A154,Investors!$E:$E,'Investor Exit List'!$C154,Investors!$L:$L,'Investor Exit List'!$B154)</f>
        <v>0</v>
      </c>
      <c r="T154" s="118" t="str">
        <f t="shared" si="30"/>
        <v/>
      </c>
      <c r="U154" s="116" t="b">
        <v>0</v>
      </c>
      <c r="V154" s="117">
        <f t="shared" si="31"/>
        <v>0</v>
      </c>
      <c r="W154" s="116">
        <v>0</v>
      </c>
      <c r="X154" s="116" t="b">
        <v>0</v>
      </c>
      <c r="Y154" s="119">
        <f>IF(H154=FALSE,VLOOKUP($C154,Sales!$C:$F,4,FALSE),1)</f>
        <v>1</v>
      </c>
      <c r="Z154" s="116" t="str">
        <f t="shared" si="32"/>
        <v/>
      </c>
      <c r="AA154" s="118">
        <f t="shared" si="33"/>
        <v>0</v>
      </c>
      <c r="AB154" s="118" t="str">
        <f t="shared" si="34"/>
        <v>HVC102-ZKRI02</v>
      </c>
      <c r="AC154" s="118">
        <f t="shared" si="35"/>
        <v>45591</v>
      </c>
    </row>
    <row r="155" spans="1:29" ht="16" x14ac:dyDescent="0.2">
      <c r="A155" s="116" t="s">
        <v>399</v>
      </c>
      <c r="B155" s="116">
        <v>1</v>
      </c>
      <c r="C155" s="116" t="s">
        <v>402</v>
      </c>
      <c r="D155" s="116" t="s">
        <v>388</v>
      </c>
      <c r="E155" s="116" t="s">
        <v>2118</v>
      </c>
      <c r="F155" s="117">
        <f>SUMIFS(Investors!$M:$M,Investors!$O:$O,FALSE,Investors!$P:$P,FALSE,Investors!$K:$K,"&gt;"&amp;'NSST Print'!$B$3,Investors!$I:$I,"&lt;="&amp;'NSST Print'!$B$3,Investors!$A:$A,'Investor Exit List'!$A155,Investors!$E:$E,'Investor Exit List'!$C155,Investors!$L:$L,'Investor Exit List'!$B155)-(SUMIFS(Investors!$M:$M,Investors!$I:$I,"&lt;="&amp;'NSST Print'!$B$3,Investors!$J:$J,"&gt;"&amp;'NSST Print'!$B$3,Investors!$A:$A,'Investor Exit List'!$A155,Investors!$E:$E,'Investor Exit List'!$C155,Investors!$L:$L,'Investor Exit List'!$B155)+SUMIFS(Investors!$M:$M,Investors!$I:$I,"&lt;="&amp;'NSST Print'!$B$3,Investors!$J:$J,"",Investors!$A:$A,'Investor Exit List'!$A155,Investors!$E:$E,'Investor Exit List'!$C155,Investors!$L:$L,'Investor Exit List'!$B155))</f>
        <v>0</v>
      </c>
      <c r="G155" s="118">
        <v>44861</v>
      </c>
      <c r="H155" s="116" t="b">
        <f>VLOOKUP($C155,Sales!$C:$E,2,FALSE)</f>
        <v>1</v>
      </c>
      <c r="I155" s="116" t="b">
        <f>VLOOKUP($C155,Sales!$C:$E,3,FALSE)</f>
        <v>1</v>
      </c>
      <c r="J155" s="118">
        <f>SUMIFS(Sales!$H:$H,Sales!$C:$C,'Investor Exit List'!$C155)</f>
        <v>45688</v>
      </c>
      <c r="K155" s="118">
        <f t="shared" si="24"/>
        <v>45688</v>
      </c>
      <c r="L155" s="118">
        <f t="shared" si="25"/>
        <v>45591</v>
      </c>
      <c r="M155" s="118">
        <v>45443</v>
      </c>
      <c r="N155" s="119">
        <f t="shared" si="26"/>
        <v>0</v>
      </c>
      <c r="O155" s="119">
        <f t="shared" si="27"/>
        <v>0</v>
      </c>
      <c r="P155" s="117">
        <f t="shared" si="28"/>
        <v>0</v>
      </c>
      <c r="Q155" s="117">
        <f>SUMIFS(Investors!$M:$M,Investors!$O:$O,FALSE,Investors!$P:$P,FALSE,Investors!$K:$K,"&gt;"&amp;'NSST Print'!$B$3,Investors!$I:$I,"&lt;="&amp;'NSST Print'!$B$3,Investors!$A:$A,'Investor Exit List'!$A155,Investors!$E:$E,'Investor Exit List'!$C155,Investors!$L:$L,'Investor Exit List'!$B155)-(SUMIFS(Investors!$M:$M,Investors!$I:$I,"&lt;="&amp;'NSST Print'!$B$3,Investors!$J:$J,"&gt;"&amp;'NSST Print'!$B$3,Investors!$A:$A,'Investor Exit List'!$A155,Investors!$E:$E,'Investor Exit List'!$C155,Investors!$L:$L,'Investor Exit List'!$B155)+SUMIFS(Investors!$M:$M,Investors!$I:$I,"&lt;="&amp;'NSST Print'!$B$3,Investors!$J:$J,"",Investors!$A:$A,'Investor Exit List'!$A155,Investors!$E:$E,'Investor Exit List'!$C155,Investors!$L:$L,'Investor Exit List'!$B155))+SUMIFS(Investors!$S:$S,Investors!$O:$O,FALSE,Investors!$P:$P,FALSE,Investors!$K:$K,"&gt;"&amp;'NSST Print'!$B$3,Investors!$I:$I,"&lt;="&amp;'NSST Print'!$B$3,Investors!$A:$A,'Investor Exit List'!$A155,Investors!$E:$E,'Investor Exit List'!$C155,Investors!$L:$L,'Investor Exit List'!$B155)-(SUMIFS(Investors!$S:$S,Investors!$I:$I,"&lt;="&amp;'NSST Print'!$B$3,Investors!$J:$J,"&gt;"&amp;'NSST Print'!$B$3,Investors!$A:$A,'Investor Exit List'!$A155,Investors!$E:$E,'Investor Exit List'!$C155,Investors!$L:$L,'Investor Exit List'!$B155)+SUMIFS(Investors!$S:$S,Investors!$I:$I,"&lt;="&amp;'NSST Print'!$B$3,Investors!$J:$J,"",Investors!$A:$A,'Investor Exit List'!$A155,Investors!$E:$E,'Investor Exit List'!$C155,Investors!$L:$L,'Investor Exit List'!$B155))</f>
        <v>0</v>
      </c>
      <c r="R155" s="117">
        <f t="shared" si="29"/>
        <v>0</v>
      </c>
      <c r="S155" s="117">
        <f>SUMIFS(Investors!$M:$M,Investors!$O:$O,TRUE,Investors!$A:$A,'Investor Exit List'!$A155,Investors!$E:$E,'Investor Exit List'!$C155,Investors!$L:$L,'Investor Exit List'!$B155)+SUMIFS(Investors!$S:$S,Investors!$O:$O,TRUE,Investors!$A:$A,'Investor Exit List'!$A155,Investors!$E:$E,'Investor Exit List'!$C155,Investors!$L:$L,'Investor Exit List'!$B155)</f>
        <v>0</v>
      </c>
      <c r="T155" s="118" t="str">
        <f t="shared" si="30"/>
        <v/>
      </c>
      <c r="U155" s="116" t="b">
        <v>0</v>
      </c>
      <c r="V155" s="117">
        <f t="shared" si="31"/>
        <v>0</v>
      </c>
      <c r="W155" s="116">
        <v>0</v>
      </c>
      <c r="X155" s="116" t="b">
        <v>0</v>
      </c>
      <c r="Y155" s="119">
        <f>IF(H155=FALSE,VLOOKUP($C155,Sales!$C:$F,4,FALSE),1)</f>
        <v>1</v>
      </c>
      <c r="Z155" s="116" t="str">
        <f t="shared" si="32"/>
        <v/>
      </c>
      <c r="AA155" s="118">
        <f t="shared" si="33"/>
        <v>0</v>
      </c>
      <c r="AB155" s="118" t="str">
        <f t="shared" si="34"/>
        <v>HVC103-ZDEV01</v>
      </c>
      <c r="AC155" s="118">
        <f t="shared" si="35"/>
        <v>45591</v>
      </c>
    </row>
    <row r="156" spans="1:29" ht="16" x14ac:dyDescent="0.2">
      <c r="A156" s="116" t="s">
        <v>403</v>
      </c>
      <c r="B156" s="116">
        <v>2</v>
      </c>
      <c r="C156" s="116" t="s">
        <v>402</v>
      </c>
      <c r="D156" s="116" t="s">
        <v>388</v>
      </c>
      <c r="E156" s="116" t="s">
        <v>2050</v>
      </c>
      <c r="F156" s="117">
        <f>SUMIFS(Investors!$M:$M,Investors!$O:$O,FALSE,Investors!$P:$P,FALSE,Investors!$K:$K,"&gt;"&amp;'NSST Print'!$B$3,Investors!$I:$I,"&lt;="&amp;'NSST Print'!$B$3,Investors!$A:$A,'Investor Exit List'!$A156,Investors!$E:$E,'Investor Exit List'!$C156,Investors!$L:$L,'Investor Exit List'!$B156)-(SUMIFS(Investors!$M:$M,Investors!$I:$I,"&lt;="&amp;'NSST Print'!$B$3,Investors!$J:$J,"&gt;"&amp;'NSST Print'!$B$3,Investors!$A:$A,'Investor Exit List'!$A156,Investors!$E:$E,'Investor Exit List'!$C156,Investors!$L:$L,'Investor Exit List'!$B156)+SUMIFS(Investors!$M:$M,Investors!$I:$I,"&lt;="&amp;'NSST Print'!$B$3,Investors!$J:$J,"",Investors!$A:$A,'Investor Exit List'!$A156,Investors!$E:$E,'Investor Exit List'!$C156,Investors!$L:$L,'Investor Exit List'!$B156))</f>
        <v>0</v>
      </c>
      <c r="G156" s="118">
        <v>44868</v>
      </c>
      <c r="H156" s="116" t="b">
        <f>VLOOKUP($C156,Sales!$C:$E,2,FALSE)</f>
        <v>1</v>
      </c>
      <c r="I156" s="116" t="b">
        <f>VLOOKUP($C156,Sales!$C:$E,3,FALSE)</f>
        <v>1</v>
      </c>
      <c r="J156" s="118">
        <f>SUMIFS(Sales!$H:$H,Sales!$C:$C,'Investor Exit List'!$C156)</f>
        <v>45688</v>
      </c>
      <c r="K156" s="118">
        <f t="shared" si="24"/>
        <v>45688</v>
      </c>
      <c r="L156" s="118">
        <f t="shared" si="25"/>
        <v>45598</v>
      </c>
      <c r="M156" s="118">
        <v>45443</v>
      </c>
      <c r="N156" s="119">
        <f t="shared" si="26"/>
        <v>0</v>
      </c>
      <c r="O156" s="119">
        <f t="shared" si="27"/>
        <v>0</v>
      </c>
      <c r="P156" s="117">
        <f t="shared" si="28"/>
        <v>0</v>
      </c>
      <c r="Q156" s="117">
        <f>SUMIFS(Investors!$M:$M,Investors!$O:$O,FALSE,Investors!$P:$P,FALSE,Investors!$K:$K,"&gt;"&amp;'NSST Print'!$B$3,Investors!$I:$I,"&lt;="&amp;'NSST Print'!$B$3,Investors!$A:$A,'Investor Exit List'!$A156,Investors!$E:$E,'Investor Exit List'!$C156,Investors!$L:$L,'Investor Exit List'!$B156)-(SUMIFS(Investors!$M:$M,Investors!$I:$I,"&lt;="&amp;'NSST Print'!$B$3,Investors!$J:$J,"&gt;"&amp;'NSST Print'!$B$3,Investors!$A:$A,'Investor Exit List'!$A156,Investors!$E:$E,'Investor Exit List'!$C156,Investors!$L:$L,'Investor Exit List'!$B156)+SUMIFS(Investors!$M:$M,Investors!$I:$I,"&lt;="&amp;'NSST Print'!$B$3,Investors!$J:$J,"",Investors!$A:$A,'Investor Exit List'!$A156,Investors!$E:$E,'Investor Exit List'!$C156,Investors!$L:$L,'Investor Exit List'!$B156))+SUMIFS(Investors!$S:$S,Investors!$O:$O,FALSE,Investors!$P:$P,FALSE,Investors!$K:$K,"&gt;"&amp;'NSST Print'!$B$3,Investors!$I:$I,"&lt;="&amp;'NSST Print'!$B$3,Investors!$A:$A,'Investor Exit List'!$A156,Investors!$E:$E,'Investor Exit List'!$C156,Investors!$L:$L,'Investor Exit List'!$B156)-(SUMIFS(Investors!$S:$S,Investors!$I:$I,"&lt;="&amp;'NSST Print'!$B$3,Investors!$J:$J,"&gt;"&amp;'NSST Print'!$B$3,Investors!$A:$A,'Investor Exit List'!$A156,Investors!$E:$E,'Investor Exit List'!$C156,Investors!$L:$L,'Investor Exit List'!$B156)+SUMIFS(Investors!$S:$S,Investors!$I:$I,"&lt;="&amp;'NSST Print'!$B$3,Investors!$J:$J,"",Investors!$A:$A,'Investor Exit List'!$A156,Investors!$E:$E,'Investor Exit List'!$C156,Investors!$L:$L,'Investor Exit List'!$B156))</f>
        <v>0</v>
      </c>
      <c r="R156" s="117">
        <f t="shared" si="29"/>
        <v>0</v>
      </c>
      <c r="S156" s="117">
        <f>SUMIFS(Investors!$M:$M,Investors!$O:$O,TRUE,Investors!$A:$A,'Investor Exit List'!$A156,Investors!$E:$E,'Investor Exit List'!$C156,Investors!$L:$L,'Investor Exit List'!$B156)+SUMIFS(Investors!$S:$S,Investors!$O:$O,TRUE,Investors!$A:$A,'Investor Exit List'!$A156,Investors!$E:$E,'Investor Exit List'!$C156,Investors!$L:$L,'Investor Exit List'!$B156)</f>
        <v>0</v>
      </c>
      <c r="T156" s="118" t="str">
        <f t="shared" si="30"/>
        <v/>
      </c>
      <c r="U156" s="116" t="b">
        <v>0</v>
      </c>
      <c r="V156" s="117">
        <f t="shared" si="31"/>
        <v>0</v>
      </c>
      <c r="W156" s="116">
        <v>0</v>
      </c>
      <c r="X156" s="116" t="b">
        <v>0</v>
      </c>
      <c r="Y156" s="119">
        <f>IF(H156=FALSE,VLOOKUP($C156,Sales!$C:$F,4,FALSE),1)</f>
        <v>1</v>
      </c>
      <c r="Z156" s="116" t="str">
        <f t="shared" si="32"/>
        <v/>
      </c>
      <c r="AA156" s="118">
        <f t="shared" si="33"/>
        <v>0</v>
      </c>
      <c r="AB156" s="118" t="str">
        <f t="shared" si="34"/>
        <v>HVC103-ZTHA01</v>
      </c>
      <c r="AC156" s="118">
        <f t="shared" si="35"/>
        <v>45598</v>
      </c>
    </row>
    <row r="157" spans="1:29" ht="16" x14ac:dyDescent="0.2">
      <c r="A157" s="116" t="s">
        <v>85</v>
      </c>
      <c r="B157" s="116">
        <v>4</v>
      </c>
      <c r="C157" s="116" t="s">
        <v>404</v>
      </c>
      <c r="D157" s="116" t="s">
        <v>388</v>
      </c>
      <c r="E157" s="116" t="s">
        <v>2027</v>
      </c>
      <c r="F157" s="117">
        <f>SUMIFS(Investors!$M:$M,Investors!$O:$O,FALSE,Investors!$P:$P,FALSE,Investors!$K:$K,"&gt;"&amp;'NSST Print'!$B$3,Investors!$I:$I,"&lt;="&amp;'NSST Print'!$B$3,Investors!$A:$A,'Investor Exit List'!$A157,Investors!$E:$E,'Investor Exit List'!$C157,Investors!$L:$L,'Investor Exit List'!$B157)-(SUMIFS(Investors!$M:$M,Investors!$I:$I,"&lt;="&amp;'NSST Print'!$B$3,Investors!$J:$J,"&gt;"&amp;'NSST Print'!$B$3,Investors!$A:$A,'Investor Exit List'!$A157,Investors!$E:$E,'Investor Exit List'!$C157,Investors!$L:$L,'Investor Exit List'!$B157)+SUMIFS(Investors!$M:$M,Investors!$I:$I,"&lt;="&amp;'NSST Print'!$B$3,Investors!$J:$J,"",Investors!$A:$A,'Investor Exit List'!$A157,Investors!$E:$E,'Investor Exit List'!$C157,Investors!$L:$L,'Investor Exit List'!$B157))</f>
        <v>0</v>
      </c>
      <c r="G157" s="118">
        <v>44868</v>
      </c>
      <c r="H157" s="116" t="b">
        <f>VLOOKUP($C157,Sales!$C:$E,2,FALSE)</f>
        <v>1</v>
      </c>
      <c r="I157" s="116" t="b">
        <f>VLOOKUP($C157,Sales!$C:$E,3,FALSE)</f>
        <v>1</v>
      </c>
      <c r="J157" s="118">
        <f>SUMIFS(Sales!$H:$H,Sales!$C:$C,'Investor Exit List'!$C157)</f>
        <v>45688</v>
      </c>
      <c r="K157" s="118">
        <f t="shared" si="24"/>
        <v>45688</v>
      </c>
      <c r="L157" s="118">
        <f t="shared" si="25"/>
        <v>45598</v>
      </c>
      <c r="M157" s="118">
        <v>45443</v>
      </c>
      <c r="N157" s="119">
        <f t="shared" si="26"/>
        <v>0</v>
      </c>
      <c r="O157" s="119">
        <f t="shared" si="27"/>
        <v>0</v>
      </c>
      <c r="P157" s="117">
        <f t="shared" si="28"/>
        <v>0</v>
      </c>
      <c r="Q157" s="117">
        <f>SUMIFS(Investors!$M:$M,Investors!$O:$O,FALSE,Investors!$P:$P,FALSE,Investors!$K:$K,"&gt;"&amp;'NSST Print'!$B$3,Investors!$I:$I,"&lt;="&amp;'NSST Print'!$B$3,Investors!$A:$A,'Investor Exit List'!$A157,Investors!$E:$E,'Investor Exit List'!$C157,Investors!$L:$L,'Investor Exit List'!$B157)-(SUMIFS(Investors!$M:$M,Investors!$I:$I,"&lt;="&amp;'NSST Print'!$B$3,Investors!$J:$J,"&gt;"&amp;'NSST Print'!$B$3,Investors!$A:$A,'Investor Exit List'!$A157,Investors!$E:$E,'Investor Exit List'!$C157,Investors!$L:$L,'Investor Exit List'!$B157)+SUMIFS(Investors!$M:$M,Investors!$I:$I,"&lt;="&amp;'NSST Print'!$B$3,Investors!$J:$J,"",Investors!$A:$A,'Investor Exit List'!$A157,Investors!$E:$E,'Investor Exit List'!$C157,Investors!$L:$L,'Investor Exit List'!$B157))+SUMIFS(Investors!$S:$S,Investors!$O:$O,FALSE,Investors!$P:$P,FALSE,Investors!$K:$K,"&gt;"&amp;'NSST Print'!$B$3,Investors!$I:$I,"&lt;="&amp;'NSST Print'!$B$3,Investors!$A:$A,'Investor Exit List'!$A157,Investors!$E:$E,'Investor Exit List'!$C157,Investors!$L:$L,'Investor Exit List'!$B157)-(SUMIFS(Investors!$S:$S,Investors!$I:$I,"&lt;="&amp;'NSST Print'!$B$3,Investors!$J:$J,"&gt;"&amp;'NSST Print'!$B$3,Investors!$A:$A,'Investor Exit List'!$A157,Investors!$E:$E,'Investor Exit List'!$C157,Investors!$L:$L,'Investor Exit List'!$B157)+SUMIFS(Investors!$S:$S,Investors!$I:$I,"&lt;="&amp;'NSST Print'!$B$3,Investors!$J:$J,"",Investors!$A:$A,'Investor Exit List'!$A157,Investors!$E:$E,'Investor Exit List'!$C157,Investors!$L:$L,'Investor Exit List'!$B157))</f>
        <v>0</v>
      </c>
      <c r="R157" s="117">
        <f t="shared" si="29"/>
        <v>0</v>
      </c>
      <c r="S157" s="117">
        <f>SUMIFS(Investors!$M:$M,Investors!$O:$O,TRUE,Investors!$A:$A,'Investor Exit List'!$A157,Investors!$E:$E,'Investor Exit List'!$C157,Investors!$L:$L,'Investor Exit List'!$B157)+SUMIFS(Investors!$S:$S,Investors!$O:$O,TRUE,Investors!$A:$A,'Investor Exit List'!$A157,Investors!$E:$E,'Investor Exit List'!$C157,Investors!$L:$L,'Investor Exit List'!$B157)</f>
        <v>0</v>
      </c>
      <c r="T157" s="118" t="str">
        <f t="shared" si="30"/>
        <v/>
      </c>
      <c r="U157" s="116" t="b">
        <v>0</v>
      </c>
      <c r="V157" s="117">
        <f t="shared" si="31"/>
        <v>0</v>
      </c>
      <c r="W157" s="116">
        <v>0</v>
      </c>
      <c r="X157" s="116" t="b">
        <v>0</v>
      </c>
      <c r="Y157" s="119">
        <f>IF(H157=FALSE,VLOOKUP($C157,Sales!$C:$F,4,FALSE),1)</f>
        <v>1</v>
      </c>
      <c r="Z157" s="116" t="str">
        <f t="shared" si="32"/>
        <v/>
      </c>
      <c r="AA157" s="118">
        <f t="shared" si="33"/>
        <v>0</v>
      </c>
      <c r="AB157" s="118" t="str">
        <f t="shared" si="34"/>
        <v>HVC104-ZBEL01</v>
      </c>
      <c r="AC157" s="118">
        <f t="shared" si="35"/>
        <v>45598</v>
      </c>
    </row>
    <row r="158" spans="1:29" ht="16" x14ac:dyDescent="0.2">
      <c r="A158" s="116" t="s">
        <v>92</v>
      </c>
      <c r="B158" s="116">
        <v>8</v>
      </c>
      <c r="C158" s="116" t="s">
        <v>404</v>
      </c>
      <c r="D158" s="116" t="s">
        <v>388</v>
      </c>
      <c r="E158" s="116" t="s">
        <v>2029</v>
      </c>
      <c r="F158" s="117">
        <f>SUMIFS(Investors!$M:$M,Investors!$O:$O,FALSE,Investors!$P:$P,FALSE,Investors!$K:$K,"&gt;"&amp;'NSST Print'!$B$3,Investors!$I:$I,"&lt;="&amp;'NSST Print'!$B$3,Investors!$A:$A,'Investor Exit List'!$A158,Investors!$E:$E,'Investor Exit List'!$C158,Investors!$L:$L,'Investor Exit List'!$B158)-(SUMIFS(Investors!$M:$M,Investors!$I:$I,"&lt;="&amp;'NSST Print'!$B$3,Investors!$J:$J,"&gt;"&amp;'NSST Print'!$B$3,Investors!$A:$A,'Investor Exit List'!$A158,Investors!$E:$E,'Investor Exit List'!$C158,Investors!$L:$L,'Investor Exit List'!$B158)+SUMIFS(Investors!$M:$M,Investors!$I:$I,"&lt;="&amp;'NSST Print'!$B$3,Investors!$J:$J,"",Investors!$A:$A,'Investor Exit List'!$A158,Investors!$E:$E,'Investor Exit List'!$C158,Investors!$L:$L,'Investor Exit List'!$B158))</f>
        <v>0</v>
      </c>
      <c r="G158" s="118">
        <v>44889</v>
      </c>
      <c r="H158" s="116" t="b">
        <f>VLOOKUP($C158,Sales!$C:$E,2,FALSE)</f>
        <v>1</v>
      </c>
      <c r="I158" s="116" t="b">
        <f>VLOOKUP($C158,Sales!$C:$E,3,FALSE)</f>
        <v>1</v>
      </c>
      <c r="J158" s="118">
        <f>SUMIFS(Sales!$H:$H,Sales!$C:$C,'Investor Exit List'!$C158)</f>
        <v>45688</v>
      </c>
      <c r="K158" s="118">
        <f t="shared" si="24"/>
        <v>45688</v>
      </c>
      <c r="L158" s="118">
        <f t="shared" si="25"/>
        <v>45619</v>
      </c>
      <c r="M158" s="118">
        <v>45443</v>
      </c>
      <c r="N158" s="119">
        <f t="shared" si="26"/>
        <v>0</v>
      </c>
      <c r="O158" s="119">
        <f t="shared" si="27"/>
        <v>0</v>
      </c>
      <c r="P158" s="117">
        <f t="shared" si="28"/>
        <v>0</v>
      </c>
      <c r="Q158" s="117">
        <f>SUMIFS(Investors!$M:$M,Investors!$O:$O,FALSE,Investors!$P:$P,FALSE,Investors!$K:$K,"&gt;"&amp;'NSST Print'!$B$3,Investors!$I:$I,"&lt;="&amp;'NSST Print'!$B$3,Investors!$A:$A,'Investor Exit List'!$A158,Investors!$E:$E,'Investor Exit List'!$C158,Investors!$L:$L,'Investor Exit List'!$B158)-(SUMIFS(Investors!$M:$M,Investors!$I:$I,"&lt;="&amp;'NSST Print'!$B$3,Investors!$J:$J,"&gt;"&amp;'NSST Print'!$B$3,Investors!$A:$A,'Investor Exit List'!$A158,Investors!$E:$E,'Investor Exit List'!$C158,Investors!$L:$L,'Investor Exit List'!$B158)+SUMIFS(Investors!$M:$M,Investors!$I:$I,"&lt;="&amp;'NSST Print'!$B$3,Investors!$J:$J,"",Investors!$A:$A,'Investor Exit List'!$A158,Investors!$E:$E,'Investor Exit List'!$C158,Investors!$L:$L,'Investor Exit List'!$B158))+SUMIFS(Investors!$S:$S,Investors!$O:$O,FALSE,Investors!$P:$P,FALSE,Investors!$K:$K,"&gt;"&amp;'NSST Print'!$B$3,Investors!$I:$I,"&lt;="&amp;'NSST Print'!$B$3,Investors!$A:$A,'Investor Exit List'!$A158,Investors!$E:$E,'Investor Exit List'!$C158,Investors!$L:$L,'Investor Exit List'!$B158)-(SUMIFS(Investors!$S:$S,Investors!$I:$I,"&lt;="&amp;'NSST Print'!$B$3,Investors!$J:$J,"&gt;"&amp;'NSST Print'!$B$3,Investors!$A:$A,'Investor Exit List'!$A158,Investors!$E:$E,'Investor Exit List'!$C158,Investors!$L:$L,'Investor Exit List'!$B158)+SUMIFS(Investors!$S:$S,Investors!$I:$I,"&lt;="&amp;'NSST Print'!$B$3,Investors!$J:$J,"",Investors!$A:$A,'Investor Exit List'!$A158,Investors!$E:$E,'Investor Exit List'!$C158,Investors!$L:$L,'Investor Exit List'!$B158))</f>
        <v>0</v>
      </c>
      <c r="R158" s="117">
        <f t="shared" si="29"/>
        <v>0</v>
      </c>
      <c r="S158" s="117">
        <f>SUMIFS(Investors!$M:$M,Investors!$O:$O,TRUE,Investors!$A:$A,'Investor Exit List'!$A158,Investors!$E:$E,'Investor Exit List'!$C158,Investors!$L:$L,'Investor Exit List'!$B158)+SUMIFS(Investors!$S:$S,Investors!$O:$O,TRUE,Investors!$A:$A,'Investor Exit List'!$A158,Investors!$E:$E,'Investor Exit List'!$C158,Investors!$L:$L,'Investor Exit List'!$B158)</f>
        <v>0</v>
      </c>
      <c r="T158" s="118" t="str">
        <f t="shared" si="30"/>
        <v/>
      </c>
      <c r="U158" s="116" t="b">
        <v>0</v>
      </c>
      <c r="V158" s="117">
        <f t="shared" si="31"/>
        <v>0</v>
      </c>
      <c r="W158" s="116">
        <v>0</v>
      </c>
      <c r="X158" s="116" t="b">
        <v>0</v>
      </c>
      <c r="Y158" s="119">
        <f>IF(H158=FALSE,VLOOKUP($C158,Sales!$C:$F,4,FALSE),1)</f>
        <v>1</v>
      </c>
      <c r="Z158" s="116" t="str">
        <f t="shared" si="32"/>
        <v/>
      </c>
      <c r="AA158" s="118">
        <f t="shared" si="33"/>
        <v>0</v>
      </c>
      <c r="AB158" s="118" t="str">
        <f t="shared" si="34"/>
        <v>HVC104-ZLEW01</v>
      </c>
      <c r="AC158" s="118">
        <f t="shared" si="35"/>
        <v>45619</v>
      </c>
    </row>
    <row r="159" spans="1:29" ht="16" x14ac:dyDescent="0.2">
      <c r="A159" s="116" t="s">
        <v>405</v>
      </c>
      <c r="B159" s="116">
        <v>2</v>
      </c>
      <c r="C159" s="116" t="s">
        <v>408</v>
      </c>
      <c r="D159" s="116" t="s">
        <v>388</v>
      </c>
      <c r="E159" s="116" t="s">
        <v>2119</v>
      </c>
      <c r="F159" s="117">
        <f>SUMIFS(Investors!$M:$M,Investors!$O:$O,FALSE,Investors!$P:$P,FALSE,Investors!$K:$K,"&gt;"&amp;'NSST Print'!$B$3,Investors!$I:$I,"&lt;="&amp;'NSST Print'!$B$3,Investors!$A:$A,'Investor Exit List'!$A159,Investors!$E:$E,'Investor Exit List'!$C159,Investors!$L:$L,'Investor Exit List'!$B159)-(SUMIFS(Investors!$M:$M,Investors!$I:$I,"&lt;="&amp;'NSST Print'!$B$3,Investors!$J:$J,"&gt;"&amp;'NSST Print'!$B$3,Investors!$A:$A,'Investor Exit List'!$A159,Investors!$E:$E,'Investor Exit List'!$C159,Investors!$L:$L,'Investor Exit List'!$B159)+SUMIFS(Investors!$M:$M,Investors!$I:$I,"&lt;="&amp;'NSST Print'!$B$3,Investors!$J:$J,"",Investors!$A:$A,'Investor Exit List'!$A159,Investors!$E:$E,'Investor Exit List'!$C159,Investors!$L:$L,'Investor Exit List'!$B159))</f>
        <v>0</v>
      </c>
      <c r="G159" s="118">
        <v>44889</v>
      </c>
      <c r="H159" s="116" t="b">
        <f>VLOOKUP($C159,Sales!$C:$E,2,FALSE)</f>
        <v>1</v>
      </c>
      <c r="I159" s="116" t="b">
        <f>VLOOKUP($C159,Sales!$C:$E,3,FALSE)</f>
        <v>1</v>
      </c>
      <c r="J159" s="118">
        <f>SUMIFS(Sales!$H:$H,Sales!$C:$C,'Investor Exit List'!$C159)</f>
        <v>45688</v>
      </c>
      <c r="K159" s="118">
        <f t="shared" si="24"/>
        <v>45688</v>
      </c>
      <c r="L159" s="118">
        <f t="shared" si="25"/>
        <v>45619</v>
      </c>
      <c r="M159" s="118">
        <v>45443</v>
      </c>
      <c r="N159" s="119">
        <f t="shared" si="26"/>
        <v>0</v>
      </c>
      <c r="O159" s="119">
        <f t="shared" si="27"/>
        <v>0</v>
      </c>
      <c r="P159" s="117">
        <f t="shared" si="28"/>
        <v>0</v>
      </c>
      <c r="Q159" s="117">
        <f>SUMIFS(Investors!$M:$M,Investors!$O:$O,FALSE,Investors!$P:$P,FALSE,Investors!$K:$K,"&gt;"&amp;'NSST Print'!$B$3,Investors!$I:$I,"&lt;="&amp;'NSST Print'!$B$3,Investors!$A:$A,'Investor Exit List'!$A159,Investors!$E:$E,'Investor Exit List'!$C159,Investors!$L:$L,'Investor Exit List'!$B159)-(SUMIFS(Investors!$M:$M,Investors!$I:$I,"&lt;="&amp;'NSST Print'!$B$3,Investors!$J:$J,"&gt;"&amp;'NSST Print'!$B$3,Investors!$A:$A,'Investor Exit List'!$A159,Investors!$E:$E,'Investor Exit List'!$C159,Investors!$L:$L,'Investor Exit List'!$B159)+SUMIFS(Investors!$M:$M,Investors!$I:$I,"&lt;="&amp;'NSST Print'!$B$3,Investors!$J:$J,"",Investors!$A:$A,'Investor Exit List'!$A159,Investors!$E:$E,'Investor Exit List'!$C159,Investors!$L:$L,'Investor Exit List'!$B159))+SUMIFS(Investors!$S:$S,Investors!$O:$O,FALSE,Investors!$P:$P,FALSE,Investors!$K:$K,"&gt;"&amp;'NSST Print'!$B$3,Investors!$I:$I,"&lt;="&amp;'NSST Print'!$B$3,Investors!$A:$A,'Investor Exit List'!$A159,Investors!$E:$E,'Investor Exit List'!$C159,Investors!$L:$L,'Investor Exit List'!$B159)-(SUMIFS(Investors!$S:$S,Investors!$I:$I,"&lt;="&amp;'NSST Print'!$B$3,Investors!$J:$J,"&gt;"&amp;'NSST Print'!$B$3,Investors!$A:$A,'Investor Exit List'!$A159,Investors!$E:$E,'Investor Exit List'!$C159,Investors!$L:$L,'Investor Exit List'!$B159)+SUMIFS(Investors!$S:$S,Investors!$I:$I,"&lt;="&amp;'NSST Print'!$B$3,Investors!$J:$J,"",Investors!$A:$A,'Investor Exit List'!$A159,Investors!$E:$E,'Investor Exit List'!$C159,Investors!$L:$L,'Investor Exit List'!$B159))</f>
        <v>0</v>
      </c>
      <c r="R159" s="117">
        <f t="shared" si="29"/>
        <v>0</v>
      </c>
      <c r="S159" s="117">
        <f>SUMIFS(Investors!$M:$M,Investors!$O:$O,TRUE,Investors!$A:$A,'Investor Exit List'!$A159,Investors!$E:$E,'Investor Exit List'!$C159,Investors!$L:$L,'Investor Exit List'!$B159)+SUMIFS(Investors!$S:$S,Investors!$O:$O,TRUE,Investors!$A:$A,'Investor Exit List'!$A159,Investors!$E:$E,'Investor Exit List'!$C159,Investors!$L:$L,'Investor Exit List'!$B159)</f>
        <v>0</v>
      </c>
      <c r="T159" s="118" t="str">
        <f t="shared" si="30"/>
        <v/>
      </c>
      <c r="U159" s="116" t="b">
        <v>0</v>
      </c>
      <c r="V159" s="117">
        <f t="shared" si="31"/>
        <v>0</v>
      </c>
      <c r="W159" s="116">
        <v>0</v>
      </c>
      <c r="X159" s="116" t="b">
        <v>0</v>
      </c>
      <c r="Y159" s="119">
        <f>IF(H159=FALSE,VLOOKUP($C159,Sales!$C:$F,4,FALSE),1)</f>
        <v>1</v>
      </c>
      <c r="Z159" s="116" t="str">
        <f t="shared" si="32"/>
        <v/>
      </c>
      <c r="AA159" s="118">
        <f t="shared" si="33"/>
        <v>0</v>
      </c>
      <c r="AB159" s="118" t="str">
        <f t="shared" si="34"/>
        <v>HVC105-ZDEM01</v>
      </c>
      <c r="AC159" s="118">
        <f t="shared" si="35"/>
        <v>45619</v>
      </c>
    </row>
    <row r="160" spans="1:29" ht="16" x14ac:dyDescent="0.2">
      <c r="A160" s="116" t="s">
        <v>409</v>
      </c>
      <c r="B160" s="116">
        <v>6</v>
      </c>
      <c r="C160" s="116" t="s">
        <v>408</v>
      </c>
      <c r="D160" s="116" t="s">
        <v>388</v>
      </c>
      <c r="E160" s="116" t="s">
        <v>2120</v>
      </c>
      <c r="F160" s="117">
        <f>SUMIFS(Investors!$M:$M,Investors!$O:$O,FALSE,Investors!$P:$P,FALSE,Investors!$K:$K,"&gt;"&amp;'NSST Print'!$B$3,Investors!$I:$I,"&lt;="&amp;'NSST Print'!$B$3,Investors!$A:$A,'Investor Exit List'!$A160,Investors!$E:$E,'Investor Exit List'!$C160,Investors!$L:$L,'Investor Exit List'!$B160)-(SUMIFS(Investors!$M:$M,Investors!$I:$I,"&lt;="&amp;'NSST Print'!$B$3,Investors!$J:$J,"&gt;"&amp;'NSST Print'!$B$3,Investors!$A:$A,'Investor Exit List'!$A160,Investors!$E:$E,'Investor Exit List'!$C160,Investors!$L:$L,'Investor Exit List'!$B160)+SUMIFS(Investors!$M:$M,Investors!$I:$I,"&lt;="&amp;'NSST Print'!$B$3,Investors!$J:$J,"",Investors!$A:$A,'Investor Exit List'!$A160,Investors!$E:$E,'Investor Exit List'!$C160,Investors!$L:$L,'Investor Exit List'!$B160))</f>
        <v>0</v>
      </c>
      <c r="G160" s="118">
        <v>44861</v>
      </c>
      <c r="H160" s="116" t="b">
        <f>VLOOKUP($C160,Sales!$C:$E,2,FALSE)</f>
        <v>1</v>
      </c>
      <c r="I160" s="116" t="b">
        <f>VLOOKUP($C160,Sales!$C:$E,3,FALSE)</f>
        <v>1</v>
      </c>
      <c r="J160" s="118">
        <f>SUMIFS(Sales!$H:$H,Sales!$C:$C,'Investor Exit List'!$C160)</f>
        <v>45688</v>
      </c>
      <c r="K160" s="118">
        <f t="shared" si="24"/>
        <v>45688</v>
      </c>
      <c r="L160" s="118">
        <f t="shared" si="25"/>
        <v>45591</v>
      </c>
      <c r="M160" s="118">
        <v>45443</v>
      </c>
      <c r="N160" s="119">
        <f t="shared" si="26"/>
        <v>0</v>
      </c>
      <c r="O160" s="119">
        <f t="shared" si="27"/>
        <v>0</v>
      </c>
      <c r="P160" s="117">
        <f t="shared" si="28"/>
        <v>0</v>
      </c>
      <c r="Q160" s="117">
        <f>SUMIFS(Investors!$M:$M,Investors!$O:$O,FALSE,Investors!$P:$P,FALSE,Investors!$K:$K,"&gt;"&amp;'NSST Print'!$B$3,Investors!$I:$I,"&lt;="&amp;'NSST Print'!$B$3,Investors!$A:$A,'Investor Exit List'!$A160,Investors!$E:$E,'Investor Exit List'!$C160,Investors!$L:$L,'Investor Exit List'!$B160)-(SUMIFS(Investors!$M:$M,Investors!$I:$I,"&lt;="&amp;'NSST Print'!$B$3,Investors!$J:$J,"&gt;"&amp;'NSST Print'!$B$3,Investors!$A:$A,'Investor Exit List'!$A160,Investors!$E:$E,'Investor Exit List'!$C160,Investors!$L:$L,'Investor Exit List'!$B160)+SUMIFS(Investors!$M:$M,Investors!$I:$I,"&lt;="&amp;'NSST Print'!$B$3,Investors!$J:$J,"",Investors!$A:$A,'Investor Exit List'!$A160,Investors!$E:$E,'Investor Exit List'!$C160,Investors!$L:$L,'Investor Exit List'!$B160))+SUMIFS(Investors!$S:$S,Investors!$O:$O,FALSE,Investors!$P:$P,FALSE,Investors!$K:$K,"&gt;"&amp;'NSST Print'!$B$3,Investors!$I:$I,"&lt;="&amp;'NSST Print'!$B$3,Investors!$A:$A,'Investor Exit List'!$A160,Investors!$E:$E,'Investor Exit List'!$C160,Investors!$L:$L,'Investor Exit List'!$B160)-(SUMIFS(Investors!$S:$S,Investors!$I:$I,"&lt;="&amp;'NSST Print'!$B$3,Investors!$J:$J,"&gt;"&amp;'NSST Print'!$B$3,Investors!$A:$A,'Investor Exit List'!$A160,Investors!$E:$E,'Investor Exit List'!$C160,Investors!$L:$L,'Investor Exit List'!$B160)+SUMIFS(Investors!$S:$S,Investors!$I:$I,"&lt;="&amp;'NSST Print'!$B$3,Investors!$J:$J,"",Investors!$A:$A,'Investor Exit List'!$A160,Investors!$E:$E,'Investor Exit List'!$C160,Investors!$L:$L,'Investor Exit List'!$B160))</f>
        <v>0</v>
      </c>
      <c r="R160" s="117">
        <f t="shared" si="29"/>
        <v>0</v>
      </c>
      <c r="S160" s="117">
        <f>SUMIFS(Investors!$M:$M,Investors!$O:$O,TRUE,Investors!$A:$A,'Investor Exit List'!$A160,Investors!$E:$E,'Investor Exit List'!$C160,Investors!$L:$L,'Investor Exit List'!$B160)+SUMIFS(Investors!$S:$S,Investors!$O:$O,TRUE,Investors!$A:$A,'Investor Exit List'!$A160,Investors!$E:$E,'Investor Exit List'!$C160,Investors!$L:$L,'Investor Exit List'!$B160)</f>
        <v>0</v>
      </c>
      <c r="T160" s="118" t="str">
        <f t="shared" si="30"/>
        <v/>
      </c>
      <c r="U160" s="116" t="b">
        <v>0</v>
      </c>
      <c r="V160" s="117">
        <f t="shared" si="31"/>
        <v>0</v>
      </c>
      <c r="W160" s="116">
        <v>0</v>
      </c>
      <c r="X160" s="116" t="b">
        <v>0</v>
      </c>
      <c r="Y160" s="119">
        <f>IF(H160=FALSE,VLOOKUP($C160,Sales!$C:$F,4,FALSE),1)</f>
        <v>1</v>
      </c>
      <c r="Z160" s="116" t="str">
        <f t="shared" si="32"/>
        <v/>
      </c>
      <c r="AA160" s="118">
        <f t="shared" si="33"/>
        <v>0</v>
      </c>
      <c r="AB160" s="118" t="str">
        <f t="shared" si="34"/>
        <v>HVC105-ZWED01</v>
      </c>
      <c r="AC160" s="118">
        <f t="shared" si="35"/>
        <v>45591</v>
      </c>
    </row>
    <row r="161" spans="1:29" ht="16" x14ac:dyDescent="0.2">
      <c r="A161" s="116" t="s">
        <v>412</v>
      </c>
      <c r="B161" s="116">
        <v>7</v>
      </c>
      <c r="C161" s="116" t="s">
        <v>415</v>
      </c>
      <c r="D161" s="116" t="s">
        <v>388</v>
      </c>
      <c r="E161" s="116" t="s">
        <v>2121</v>
      </c>
      <c r="F161" s="117">
        <f>SUMIFS(Investors!$M:$M,Investors!$O:$O,FALSE,Investors!$P:$P,FALSE,Investors!$K:$K,"&gt;"&amp;'NSST Print'!$B$3,Investors!$I:$I,"&lt;="&amp;'NSST Print'!$B$3,Investors!$A:$A,'Investor Exit List'!$A161,Investors!$E:$E,'Investor Exit List'!$C161,Investors!$L:$L,'Investor Exit List'!$B161)-(SUMIFS(Investors!$M:$M,Investors!$I:$I,"&lt;="&amp;'NSST Print'!$B$3,Investors!$J:$J,"&gt;"&amp;'NSST Print'!$B$3,Investors!$A:$A,'Investor Exit List'!$A161,Investors!$E:$E,'Investor Exit List'!$C161,Investors!$L:$L,'Investor Exit List'!$B161)+SUMIFS(Investors!$M:$M,Investors!$I:$I,"&lt;="&amp;'NSST Print'!$B$3,Investors!$J:$J,"",Investors!$A:$A,'Investor Exit List'!$A161,Investors!$E:$E,'Investor Exit List'!$C161,Investors!$L:$L,'Investor Exit List'!$B161))</f>
        <v>0</v>
      </c>
      <c r="G161" s="118">
        <v>44876</v>
      </c>
      <c r="H161" s="116" t="b">
        <f>VLOOKUP($C161,Sales!$C:$E,2,FALSE)</f>
        <v>1</v>
      </c>
      <c r="I161" s="116" t="b">
        <f>VLOOKUP($C161,Sales!$C:$E,3,FALSE)</f>
        <v>1</v>
      </c>
      <c r="J161" s="118">
        <f>SUMIFS(Sales!$H:$H,Sales!$C:$C,'Investor Exit List'!$C161)</f>
        <v>45688</v>
      </c>
      <c r="K161" s="118">
        <f t="shared" si="24"/>
        <v>45688</v>
      </c>
      <c r="L161" s="118">
        <f t="shared" si="25"/>
        <v>45606</v>
      </c>
      <c r="M161" s="118">
        <v>45443</v>
      </c>
      <c r="N161" s="119">
        <f t="shared" si="26"/>
        <v>0</v>
      </c>
      <c r="O161" s="119">
        <f t="shared" si="27"/>
        <v>0</v>
      </c>
      <c r="P161" s="117">
        <f t="shared" si="28"/>
        <v>0</v>
      </c>
      <c r="Q161" s="117">
        <f>SUMIFS(Investors!$M:$M,Investors!$O:$O,FALSE,Investors!$P:$P,FALSE,Investors!$K:$K,"&gt;"&amp;'NSST Print'!$B$3,Investors!$I:$I,"&lt;="&amp;'NSST Print'!$B$3,Investors!$A:$A,'Investor Exit List'!$A161,Investors!$E:$E,'Investor Exit List'!$C161,Investors!$L:$L,'Investor Exit List'!$B161)-(SUMIFS(Investors!$M:$M,Investors!$I:$I,"&lt;="&amp;'NSST Print'!$B$3,Investors!$J:$J,"&gt;"&amp;'NSST Print'!$B$3,Investors!$A:$A,'Investor Exit List'!$A161,Investors!$E:$E,'Investor Exit List'!$C161,Investors!$L:$L,'Investor Exit List'!$B161)+SUMIFS(Investors!$M:$M,Investors!$I:$I,"&lt;="&amp;'NSST Print'!$B$3,Investors!$J:$J,"",Investors!$A:$A,'Investor Exit List'!$A161,Investors!$E:$E,'Investor Exit List'!$C161,Investors!$L:$L,'Investor Exit List'!$B161))+SUMIFS(Investors!$S:$S,Investors!$O:$O,FALSE,Investors!$P:$P,FALSE,Investors!$K:$K,"&gt;"&amp;'NSST Print'!$B$3,Investors!$I:$I,"&lt;="&amp;'NSST Print'!$B$3,Investors!$A:$A,'Investor Exit List'!$A161,Investors!$E:$E,'Investor Exit List'!$C161,Investors!$L:$L,'Investor Exit List'!$B161)-(SUMIFS(Investors!$S:$S,Investors!$I:$I,"&lt;="&amp;'NSST Print'!$B$3,Investors!$J:$J,"&gt;"&amp;'NSST Print'!$B$3,Investors!$A:$A,'Investor Exit List'!$A161,Investors!$E:$E,'Investor Exit List'!$C161,Investors!$L:$L,'Investor Exit List'!$B161)+SUMIFS(Investors!$S:$S,Investors!$I:$I,"&lt;="&amp;'NSST Print'!$B$3,Investors!$J:$J,"",Investors!$A:$A,'Investor Exit List'!$A161,Investors!$E:$E,'Investor Exit List'!$C161,Investors!$L:$L,'Investor Exit List'!$B161))</f>
        <v>0</v>
      </c>
      <c r="R161" s="117">
        <f t="shared" si="29"/>
        <v>0</v>
      </c>
      <c r="S161" s="117">
        <f>SUMIFS(Investors!$M:$M,Investors!$O:$O,TRUE,Investors!$A:$A,'Investor Exit List'!$A161,Investors!$E:$E,'Investor Exit List'!$C161,Investors!$L:$L,'Investor Exit List'!$B161)+SUMIFS(Investors!$S:$S,Investors!$O:$O,TRUE,Investors!$A:$A,'Investor Exit List'!$A161,Investors!$E:$E,'Investor Exit List'!$C161,Investors!$L:$L,'Investor Exit List'!$B161)</f>
        <v>0</v>
      </c>
      <c r="T161" s="118" t="str">
        <f t="shared" si="30"/>
        <v/>
      </c>
      <c r="U161" s="116" t="b">
        <v>0</v>
      </c>
      <c r="V161" s="117">
        <f t="shared" si="31"/>
        <v>0</v>
      </c>
      <c r="W161" s="116">
        <v>0</v>
      </c>
      <c r="X161" s="116" t="b">
        <v>0</v>
      </c>
      <c r="Y161" s="119">
        <f>IF(H161=FALSE,VLOOKUP($C161,Sales!$C:$F,4,FALSE),1)</f>
        <v>1</v>
      </c>
      <c r="Z161" s="116" t="str">
        <f t="shared" si="32"/>
        <v/>
      </c>
      <c r="AA161" s="118">
        <f t="shared" si="33"/>
        <v>0</v>
      </c>
      <c r="AB161" s="118" t="str">
        <f t="shared" si="34"/>
        <v>HVC106-ZNUN01</v>
      </c>
      <c r="AC161" s="118">
        <f t="shared" si="35"/>
        <v>45606</v>
      </c>
    </row>
    <row r="162" spans="1:29" ht="16" x14ac:dyDescent="0.2">
      <c r="A162" s="116" t="s">
        <v>416</v>
      </c>
      <c r="B162" s="116">
        <v>3</v>
      </c>
      <c r="C162" s="116" t="s">
        <v>415</v>
      </c>
      <c r="D162" s="116" t="s">
        <v>388</v>
      </c>
      <c r="E162" s="116" t="s">
        <v>2122</v>
      </c>
      <c r="F162" s="117">
        <f>SUMIFS(Investors!$M:$M,Investors!$O:$O,FALSE,Investors!$P:$P,FALSE,Investors!$K:$K,"&gt;"&amp;'NSST Print'!$B$3,Investors!$I:$I,"&lt;="&amp;'NSST Print'!$B$3,Investors!$A:$A,'Investor Exit List'!$A162,Investors!$E:$E,'Investor Exit List'!$C162,Investors!$L:$L,'Investor Exit List'!$B162)-(SUMIFS(Investors!$M:$M,Investors!$I:$I,"&lt;="&amp;'NSST Print'!$B$3,Investors!$J:$J,"&gt;"&amp;'NSST Print'!$B$3,Investors!$A:$A,'Investor Exit List'!$A162,Investors!$E:$E,'Investor Exit List'!$C162,Investors!$L:$L,'Investor Exit List'!$B162)+SUMIFS(Investors!$M:$M,Investors!$I:$I,"&lt;="&amp;'NSST Print'!$B$3,Investors!$J:$J,"",Investors!$A:$A,'Investor Exit List'!$A162,Investors!$E:$E,'Investor Exit List'!$C162,Investors!$L:$L,'Investor Exit List'!$B162))</f>
        <v>0</v>
      </c>
      <c r="G162" s="118">
        <v>44889</v>
      </c>
      <c r="H162" s="116" t="b">
        <f>VLOOKUP($C162,Sales!$C:$E,2,FALSE)</f>
        <v>1</v>
      </c>
      <c r="I162" s="116" t="b">
        <f>VLOOKUP($C162,Sales!$C:$E,3,FALSE)</f>
        <v>1</v>
      </c>
      <c r="J162" s="118">
        <f>SUMIFS(Sales!$H:$H,Sales!$C:$C,'Investor Exit List'!$C162)</f>
        <v>45688</v>
      </c>
      <c r="K162" s="118">
        <f t="shared" si="24"/>
        <v>45688</v>
      </c>
      <c r="L162" s="118">
        <f t="shared" si="25"/>
        <v>45619</v>
      </c>
      <c r="M162" s="118">
        <v>45443</v>
      </c>
      <c r="N162" s="119">
        <f t="shared" si="26"/>
        <v>0</v>
      </c>
      <c r="O162" s="119">
        <f t="shared" si="27"/>
        <v>0</v>
      </c>
      <c r="P162" s="117">
        <f t="shared" si="28"/>
        <v>0</v>
      </c>
      <c r="Q162" s="117">
        <f>SUMIFS(Investors!$M:$M,Investors!$O:$O,FALSE,Investors!$P:$P,FALSE,Investors!$K:$K,"&gt;"&amp;'NSST Print'!$B$3,Investors!$I:$I,"&lt;="&amp;'NSST Print'!$B$3,Investors!$A:$A,'Investor Exit List'!$A162,Investors!$E:$E,'Investor Exit List'!$C162,Investors!$L:$L,'Investor Exit List'!$B162)-(SUMIFS(Investors!$M:$M,Investors!$I:$I,"&lt;="&amp;'NSST Print'!$B$3,Investors!$J:$J,"&gt;"&amp;'NSST Print'!$B$3,Investors!$A:$A,'Investor Exit List'!$A162,Investors!$E:$E,'Investor Exit List'!$C162,Investors!$L:$L,'Investor Exit List'!$B162)+SUMIFS(Investors!$M:$M,Investors!$I:$I,"&lt;="&amp;'NSST Print'!$B$3,Investors!$J:$J,"",Investors!$A:$A,'Investor Exit List'!$A162,Investors!$E:$E,'Investor Exit List'!$C162,Investors!$L:$L,'Investor Exit List'!$B162))+SUMIFS(Investors!$S:$S,Investors!$O:$O,FALSE,Investors!$P:$P,FALSE,Investors!$K:$K,"&gt;"&amp;'NSST Print'!$B$3,Investors!$I:$I,"&lt;="&amp;'NSST Print'!$B$3,Investors!$A:$A,'Investor Exit List'!$A162,Investors!$E:$E,'Investor Exit List'!$C162,Investors!$L:$L,'Investor Exit List'!$B162)-(SUMIFS(Investors!$S:$S,Investors!$I:$I,"&lt;="&amp;'NSST Print'!$B$3,Investors!$J:$J,"&gt;"&amp;'NSST Print'!$B$3,Investors!$A:$A,'Investor Exit List'!$A162,Investors!$E:$E,'Investor Exit List'!$C162,Investors!$L:$L,'Investor Exit List'!$B162)+SUMIFS(Investors!$S:$S,Investors!$I:$I,"&lt;="&amp;'NSST Print'!$B$3,Investors!$J:$J,"",Investors!$A:$A,'Investor Exit List'!$A162,Investors!$E:$E,'Investor Exit List'!$C162,Investors!$L:$L,'Investor Exit List'!$B162))</f>
        <v>0</v>
      </c>
      <c r="R162" s="117">
        <f t="shared" si="29"/>
        <v>0</v>
      </c>
      <c r="S162" s="117">
        <f>SUMIFS(Investors!$M:$M,Investors!$O:$O,TRUE,Investors!$A:$A,'Investor Exit List'!$A162,Investors!$E:$E,'Investor Exit List'!$C162,Investors!$L:$L,'Investor Exit List'!$B162)+SUMIFS(Investors!$S:$S,Investors!$O:$O,TRUE,Investors!$A:$A,'Investor Exit List'!$A162,Investors!$E:$E,'Investor Exit List'!$C162,Investors!$L:$L,'Investor Exit List'!$B162)</f>
        <v>0</v>
      </c>
      <c r="T162" s="118" t="str">
        <f t="shared" si="30"/>
        <v/>
      </c>
      <c r="U162" s="116" t="b">
        <v>0</v>
      </c>
      <c r="V162" s="117">
        <f t="shared" si="31"/>
        <v>0</v>
      </c>
      <c r="W162" s="116">
        <v>0</v>
      </c>
      <c r="X162" s="116" t="b">
        <v>0</v>
      </c>
      <c r="Y162" s="119">
        <f>IF(H162=FALSE,VLOOKUP($C162,Sales!$C:$F,4,FALSE),1)</f>
        <v>1</v>
      </c>
      <c r="Z162" s="116" t="str">
        <f t="shared" si="32"/>
        <v/>
      </c>
      <c r="AA162" s="118">
        <f t="shared" si="33"/>
        <v>0</v>
      </c>
      <c r="AB162" s="118" t="str">
        <f t="shared" si="34"/>
        <v>HVC106-ZOLI01</v>
      </c>
      <c r="AC162" s="118">
        <f t="shared" si="35"/>
        <v>45619</v>
      </c>
    </row>
    <row r="163" spans="1:29" ht="16" x14ac:dyDescent="0.2">
      <c r="A163" s="116" t="s">
        <v>419</v>
      </c>
      <c r="B163" s="116">
        <v>5</v>
      </c>
      <c r="C163" s="116" t="s">
        <v>415</v>
      </c>
      <c r="D163" s="116" t="s">
        <v>388</v>
      </c>
      <c r="E163" s="116" t="s">
        <v>2123</v>
      </c>
      <c r="F163" s="117">
        <f>SUMIFS(Investors!$M:$M,Investors!$O:$O,FALSE,Investors!$P:$P,FALSE,Investors!$K:$K,"&gt;"&amp;'NSST Print'!$B$3,Investors!$I:$I,"&lt;="&amp;'NSST Print'!$B$3,Investors!$A:$A,'Investor Exit List'!$A163,Investors!$E:$E,'Investor Exit List'!$C163,Investors!$L:$L,'Investor Exit List'!$B163)-(SUMIFS(Investors!$M:$M,Investors!$I:$I,"&lt;="&amp;'NSST Print'!$B$3,Investors!$J:$J,"&gt;"&amp;'NSST Print'!$B$3,Investors!$A:$A,'Investor Exit List'!$A163,Investors!$E:$E,'Investor Exit List'!$C163,Investors!$L:$L,'Investor Exit List'!$B163)+SUMIFS(Investors!$M:$M,Investors!$I:$I,"&lt;="&amp;'NSST Print'!$B$3,Investors!$J:$J,"",Investors!$A:$A,'Investor Exit List'!$A163,Investors!$E:$E,'Investor Exit List'!$C163,Investors!$L:$L,'Investor Exit List'!$B163))</f>
        <v>0</v>
      </c>
      <c r="G163" s="118">
        <v>44889</v>
      </c>
      <c r="H163" s="116" t="b">
        <f>VLOOKUP($C163,Sales!$C:$E,2,FALSE)</f>
        <v>1</v>
      </c>
      <c r="I163" s="116" t="b">
        <f>VLOOKUP($C163,Sales!$C:$E,3,FALSE)</f>
        <v>1</v>
      </c>
      <c r="J163" s="118">
        <f>SUMIFS(Sales!$H:$H,Sales!$C:$C,'Investor Exit List'!$C163)</f>
        <v>45688</v>
      </c>
      <c r="K163" s="118">
        <f t="shared" si="24"/>
        <v>45688</v>
      </c>
      <c r="L163" s="118">
        <f t="shared" si="25"/>
        <v>45619</v>
      </c>
      <c r="M163" s="118">
        <v>45443</v>
      </c>
      <c r="N163" s="119">
        <f t="shared" si="26"/>
        <v>0</v>
      </c>
      <c r="O163" s="119">
        <f t="shared" si="27"/>
        <v>0</v>
      </c>
      <c r="P163" s="117">
        <f t="shared" si="28"/>
        <v>0</v>
      </c>
      <c r="Q163" s="117">
        <f>SUMIFS(Investors!$M:$M,Investors!$O:$O,FALSE,Investors!$P:$P,FALSE,Investors!$K:$K,"&gt;"&amp;'NSST Print'!$B$3,Investors!$I:$I,"&lt;="&amp;'NSST Print'!$B$3,Investors!$A:$A,'Investor Exit List'!$A163,Investors!$E:$E,'Investor Exit List'!$C163,Investors!$L:$L,'Investor Exit List'!$B163)-(SUMIFS(Investors!$M:$M,Investors!$I:$I,"&lt;="&amp;'NSST Print'!$B$3,Investors!$J:$J,"&gt;"&amp;'NSST Print'!$B$3,Investors!$A:$A,'Investor Exit List'!$A163,Investors!$E:$E,'Investor Exit List'!$C163,Investors!$L:$L,'Investor Exit List'!$B163)+SUMIFS(Investors!$M:$M,Investors!$I:$I,"&lt;="&amp;'NSST Print'!$B$3,Investors!$J:$J,"",Investors!$A:$A,'Investor Exit List'!$A163,Investors!$E:$E,'Investor Exit List'!$C163,Investors!$L:$L,'Investor Exit List'!$B163))+SUMIFS(Investors!$S:$S,Investors!$O:$O,FALSE,Investors!$P:$P,FALSE,Investors!$K:$K,"&gt;"&amp;'NSST Print'!$B$3,Investors!$I:$I,"&lt;="&amp;'NSST Print'!$B$3,Investors!$A:$A,'Investor Exit List'!$A163,Investors!$E:$E,'Investor Exit List'!$C163,Investors!$L:$L,'Investor Exit List'!$B163)-(SUMIFS(Investors!$S:$S,Investors!$I:$I,"&lt;="&amp;'NSST Print'!$B$3,Investors!$J:$J,"&gt;"&amp;'NSST Print'!$B$3,Investors!$A:$A,'Investor Exit List'!$A163,Investors!$E:$E,'Investor Exit List'!$C163,Investors!$L:$L,'Investor Exit List'!$B163)+SUMIFS(Investors!$S:$S,Investors!$I:$I,"&lt;="&amp;'NSST Print'!$B$3,Investors!$J:$J,"",Investors!$A:$A,'Investor Exit List'!$A163,Investors!$E:$E,'Investor Exit List'!$C163,Investors!$L:$L,'Investor Exit List'!$B163))</f>
        <v>0</v>
      </c>
      <c r="R163" s="117">
        <f t="shared" si="29"/>
        <v>0</v>
      </c>
      <c r="S163" s="117">
        <f>SUMIFS(Investors!$M:$M,Investors!$O:$O,TRUE,Investors!$A:$A,'Investor Exit List'!$A163,Investors!$E:$E,'Investor Exit List'!$C163,Investors!$L:$L,'Investor Exit List'!$B163)+SUMIFS(Investors!$S:$S,Investors!$O:$O,TRUE,Investors!$A:$A,'Investor Exit List'!$A163,Investors!$E:$E,'Investor Exit List'!$C163,Investors!$L:$L,'Investor Exit List'!$B163)</f>
        <v>0</v>
      </c>
      <c r="T163" s="118" t="str">
        <f t="shared" si="30"/>
        <v/>
      </c>
      <c r="U163" s="116" t="b">
        <v>0</v>
      </c>
      <c r="V163" s="117">
        <f t="shared" si="31"/>
        <v>0</v>
      </c>
      <c r="W163" s="116">
        <v>0</v>
      </c>
      <c r="X163" s="116" t="b">
        <v>0</v>
      </c>
      <c r="Y163" s="119">
        <f>IF(H163=FALSE,VLOOKUP($C163,Sales!$C:$F,4,FALSE),1)</f>
        <v>1</v>
      </c>
      <c r="Z163" s="116" t="str">
        <f t="shared" si="32"/>
        <v/>
      </c>
      <c r="AA163" s="118">
        <f t="shared" si="33"/>
        <v>0</v>
      </c>
      <c r="AB163" s="118" t="str">
        <f t="shared" si="34"/>
        <v>HVC106-ZRIT01</v>
      </c>
      <c r="AC163" s="118">
        <f t="shared" si="35"/>
        <v>45619</v>
      </c>
    </row>
    <row r="164" spans="1:29" ht="16" x14ac:dyDescent="0.2">
      <c r="A164" s="116" t="s">
        <v>382</v>
      </c>
      <c r="B164" s="116">
        <v>3</v>
      </c>
      <c r="C164" s="116" t="s">
        <v>422</v>
      </c>
      <c r="D164" s="116" t="s">
        <v>388</v>
      </c>
      <c r="E164" s="116" t="s">
        <v>2114</v>
      </c>
      <c r="F164" s="117">
        <f>SUMIFS(Investors!$M:$M,Investors!$O:$O,FALSE,Investors!$P:$P,FALSE,Investors!$K:$K,"&gt;"&amp;'NSST Print'!$B$3,Investors!$I:$I,"&lt;="&amp;'NSST Print'!$B$3,Investors!$A:$A,'Investor Exit List'!$A164,Investors!$E:$E,'Investor Exit List'!$C164,Investors!$L:$L,'Investor Exit List'!$B164)-(SUMIFS(Investors!$M:$M,Investors!$I:$I,"&lt;="&amp;'NSST Print'!$B$3,Investors!$J:$J,"&gt;"&amp;'NSST Print'!$B$3,Investors!$A:$A,'Investor Exit List'!$A164,Investors!$E:$E,'Investor Exit List'!$C164,Investors!$L:$L,'Investor Exit List'!$B164)+SUMIFS(Investors!$M:$M,Investors!$I:$I,"&lt;="&amp;'NSST Print'!$B$3,Investors!$J:$J,"",Investors!$A:$A,'Investor Exit List'!$A164,Investors!$E:$E,'Investor Exit List'!$C164,Investors!$L:$L,'Investor Exit List'!$B164))</f>
        <v>0</v>
      </c>
      <c r="G164" s="118">
        <v>44711</v>
      </c>
      <c r="H164" s="116" t="b">
        <f>VLOOKUP($C164,Sales!$C:$E,2,FALSE)</f>
        <v>1</v>
      </c>
      <c r="I164" s="116" t="b">
        <f>VLOOKUP($C164,Sales!$C:$E,3,FALSE)</f>
        <v>1</v>
      </c>
      <c r="J164" s="118">
        <f>SUMIFS(Sales!$H:$H,Sales!$C:$C,'Investor Exit List'!$C164)</f>
        <v>45688</v>
      </c>
      <c r="K164" s="118">
        <f t="shared" si="24"/>
        <v>45688</v>
      </c>
      <c r="L164" s="118">
        <f t="shared" si="25"/>
        <v>45441</v>
      </c>
      <c r="M164" s="118">
        <v>45443</v>
      </c>
      <c r="N164" s="119">
        <f t="shared" si="26"/>
        <v>0</v>
      </c>
      <c r="O164" s="119">
        <f t="shared" si="27"/>
        <v>0</v>
      </c>
      <c r="P164" s="117">
        <f t="shared" si="28"/>
        <v>0</v>
      </c>
      <c r="Q164" s="117">
        <f>SUMIFS(Investors!$M:$M,Investors!$O:$O,FALSE,Investors!$P:$P,FALSE,Investors!$K:$K,"&gt;"&amp;'NSST Print'!$B$3,Investors!$I:$I,"&lt;="&amp;'NSST Print'!$B$3,Investors!$A:$A,'Investor Exit List'!$A164,Investors!$E:$E,'Investor Exit List'!$C164,Investors!$L:$L,'Investor Exit List'!$B164)-(SUMIFS(Investors!$M:$M,Investors!$I:$I,"&lt;="&amp;'NSST Print'!$B$3,Investors!$J:$J,"&gt;"&amp;'NSST Print'!$B$3,Investors!$A:$A,'Investor Exit List'!$A164,Investors!$E:$E,'Investor Exit List'!$C164,Investors!$L:$L,'Investor Exit List'!$B164)+SUMIFS(Investors!$M:$M,Investors!$I:$I,"&lt;="&amp;'NSST Print'!$B$3,Investors!$J:$J,"",Investors!$A:$A,'Investor Exit List'!$A164,Investors!$E:$E,'Investor Exit List'!$C164,Investors!$L:$L,'Investor Exit List'!$B164))+SUMIFS(Investors!$S:$S,Investors!$O:$O,FALSE,Investors!$P:$P,FALSE,Investors!$K:$K,"&gt;"&amp;'NSST Print'!$B$3,Investors!$I:$I,"&lt;="&amp;'NSST Print'!$B$3,Investors!$A:$A,'Investor Exit List'!$A164,Investors!$E:$E,'Investor Exit List'!$C164,Investors!$L:$L,'Investor Exit List'!$B164)-(SUMIFS(Investors!$S:$S,Investors!$I:$I,"&lt;="&amp;'NSST Print'!$B$3,Investors!$J:$J,"&gt;"&amp;'NSST Print'!$B$3,Investors!$A:$A,'Investor Exit List'!$A164,Investors!$E:$E,'Investor Exit List'!$C164,Investors!$L:$L,'Investor Exit List'!$B164)+SUMIFS(Investors!$S:$S,Investors!$I:$I,"&lt;="&amp;'NSST Print'!$B$3,Investors!$J:$J,"",Investors!$A:$A,'Investor Exit List'!$A164,Investors!$E:$E,'Investor Exit List'!$C164,Investors!$L:$L,'Investor Exit List'!$B164))</f>
        <v>0</v>
      </c>
      <c r="R164" s="117">
        <f t="shared" si="29"/>
        <v>0</v>
      </c>
      <c r="S164" s="117">
        <f>SUMIFS(Investors!$M:$M,Investors!$O:$O,TRUE,Investors!$A:$A,'Investor Exit List'!$A164,Investors!$E:$E,'Investor Exit List'!$C164,Investors!$L:$L,'Investor Exit List'!$B164)+SUMIFS(Investors!$S:$S,Investors!$O:$O,TRUE,Investors!$A:$A,'Investor Exit List'!$A164,Investors!$E:$E,'Investor Exit List'!$C164,Investors!$L:$L,'Investor Exit List'!$B164)</f>
        <v>0</v>
      </c>
      <c r="T164" s="118" t="str">
        <f t="shared" si="30"/>
        <v/>
      </c>
      <c r="U164" s="116" t="b">
        <v>0</v>
      </c>
      <c r="V164" s="117">
        <f t="shared" si="31"/>
        <v>0</v>
      </c>
      <c r="W164" s="116">
        <v>0</v>
      </c>
      <c r="X164" s="116" t="b">
        <v>0</v>
      </c>
      <c r="Y164" s="119">
        <f>IF(H164=FALSE,VLOOKUP($C164,Sales!$C:$F,4,FALSE),1)</f>
        <v>1</v>
      </c>
      <c r="Z164" s="116" t="str">
        <f t="shared" si="32"/>
        <v/>
      </c>
      <c r="AA164" s="118">
        <f t="shared" si="33"/>
        <v>0</v>
      </c>
      <c r="AB164" s="118" t="str">
        <f t="shared" si="34"/>
        <v>HVC201-ZCON01</v>
      </c>
      <c r="AC164" s="118">
        <f t="shared" si="35"/>
        <v>45441</v>
      </c>
    </row>
    <row r="165" spans="1:29" ht="16" x14ac:dyDescent="0.2">
      <c r="A165" s="116" t="s">
        <v>102</v>
      </c>
      <c r="B165" s="116">
        <v>4</v>
      </c>
      <c r="C165" s="116" t="s">
        <v>422</v>
      </c>
      <c r="D165" s="116" t="s">
        <v>388</v>
      </c>
      <c r="E165" s="116" t="s">
        <v>2032</v>
      </c>
      <c r="F165" s="117">
        <f>SUMIFS(Investors!$M:$M,Investors!$O:$O,FALSE,Investors!$P:$P,FALSE,Investors!$K:$K,"&gt;"&amp;'NSST Print'!$B$3,Investors!$I:$I,"&lt;="&amp;'NSST Print'!$B$3,Investors!$A:$A,'Investor Exit List'!$A165,Investors!$E:$E,'Investor Exit List'!$C165,Investors!$L:$L,'Investor Exit List'!$B165)-(SUMIFS(Investors!$M:$M,Investors!$I:$I,"&lt;="&amp;'NSST Print'!$B$3,Investors!$J:$J,"&gt;"&amp;'NSST Print'!$B$3,Investors!$A:$A,'Investor Exit List'!$A165,Investors!$E:$E,'Investor Exit List'!$C165,Investors!$L:$L,'Investor Exit List'!$B165)+SUMIFS(Investors!$M:$M,Investors!$I:$I,"&lt;="&amp;'NSST Print'!$B$3,Investors!$J:$J,"",Investors!$A:$A,'Investor Exit List'!$A165,Investors!$E:$E,'Investor Exit List'!$C165,Investors!$L:$L,'Investor Exit List'!$B165))</f>
        <v>0</v>
      </c>
      <c r="G165" s="118">
        <v>44889</v>
      </c>
      <c r="H165" s="116" t="b">
        <f>VLOOKUP($C165,Sales!$C:$E,2,FALSE)</f>
        <v>1</v>
      </c>
      <c r="I165" s="116" t="b">
        <f>VLOOKUP($C165,Sales!$C:$E,3,FALSE)</f>
        <v>1</v>
      </c>
      <c r="J165" s="118">
        <f>SUMIFS(Sales!$H:$H,Sales!$C:$C,'Investor Exit List'!$C165)</f>
        <v>45688</v>
      </c>
      <c r="K165" s="118">
        <f t="shared" si="24"/>
        <v>45688</v>
      </c>
      <c r="L165" s="118">
        <f t="shared" si="25"/>
        <v>45619</v>
      </c>
      <c r="M165" s="118">
        <v>45443</v>
      </c>
      <c r="N165" s="119">
        <f t="shared" si="26"/>
        <v>0</v>
      </c>
      <c r="O165" s="119">
        <f t="shared" si="27"/>
        <v>0</v>
      </c>
      <c r="P165" s="117">
        <f t="shared" si="28"/>
        <v>0</v>
      </c>
      <c r="Q165" s="117">
        <f>SUMIFS(Investors!$M:$M,Investors!$O:$O,FALSE,Investors!$P:$P,FALSE,Investors!$K:$K,"&gt;"&amp;'NSST Print'!$B$3,Investors!$I:$I,"&lt;="&amp;'NSST Print'!$B$3,Investors!$A:$A,'Investor Exit List'!$A165,Investors!$E:$E,'Investor Exit List'!$C165,Investors!$L:$L,'Investor Exit List'!$B165)-(SUMIFS(Investors!$M:$M,Investors!$I:$I,"&lt;="&amp;'NSST Print'!$B$3,Investors!$J:$J,"&gt;"&amp;'NSST Print'!$B$3,Investors!$A:$A,'Investor Exit List'!$A165,Investors!$E:$E,'Investor Exit List'!$C165,Investors!$L:$L,'Investor Exit List'!$B165)+SUMIFS(Investors!$M:$M,Investors!$I:$I,"&lt;="&amp;'NSST Print'!$B$3,Investors!$J:$J,"",Investors!$A:$A,'Investor Exit List'!$A165,Investors!$E:$E,'Investor Exit List'!$C165,Investors!$L:$L,'Investor Exit List'!$B165))+SUMIFS(Investors!$S:$S,Investors!$O:$O,FALSE,Investors!$P:$P,FALSE,Investors!$K:$K,"&gt;"&amp;'NSST Print'!$B$3,Investors!$I:$I,"&lt;="&amp;'NSST Print'!$B$3,Investors!$A:$A,'Investor Exit List'!$A165,Investors!$E:$E,'Investor Exit List'!$C165,Investors!$L:$L,'Investor Exit List'!$B165)-(SUMIFS(Investors!$S:$S,Investors!$I:$I,"&lt;="&amp;'NSST Print'!$B$3,Investors!$J:$J,"&gt;"&amp;'NSST Print'!$B$3,Investors!$A:$A,'Investor Exit List'!$A165,Investors!$E:$E,'Investor Exit List'!$C165,Investors!$L:$L,'Investor Exit List'!$B165)+SUMIFS(Investors!$S:$S,Investors!$I:$I,"&lt;="&amp;'NSST Print'!$B$3,Investors!$J:$J,"",Investors!$A:$A,'Investor Exit List'!$A165,Investors!$E:$E,'Investor Exit List'!$C165,Investors!$L:$L,'Investor Exit List'!$B165))</f>
        <v>0</v>
      </c>
      <c r="R165" s="117">
        <f t="shared" si="29"/>
        <v>0</v>
      </c>
      <c r="S165" s="117">
        <f>SUMIFS(Investors!$M:$M,Investors!$O:$O,TRUE,Investors!$A:$A,'Investor Exit List'!$A165,Investors!$E:$E,'Investor Exit List'!$C165,Investors!$L:$L,'Investor Exit List'!$B165)+SUMIFS(Investors!$S:$S,Investors!$O:$O,TRUE,Investors!$A:$A,'Investor Exit List'!$A165,Investors!$E:$E,'Investor Exit List'!$C165,Investors!$L:$L,'Investor Exit List'!$B165)</f>
        <v>0</v>
      </c>
      <c r="T165" s="118" t="str">
        <f t="shared" si="30"/>
        <v/>
      </c>
      <c r="U165" s="116" t="b">
        <v>0</v>
      </c>
      <c r="V165" s="117">
        <f t="shared" si="31"/>
        <v>0</v>
      </c>
      <c r="W165" s="116">
        <v>0</v>
      </c>
      <c r="X165" s="116" t="b">
        <v>0</v>
      </c>
      <c r="Y165" s="119">
        <f>IF(H165=FALSE,VLOOKUP($C165,Sales!$C:$F,4,FALSE),1)</f>
        <v>1</v>
      </c>
      <c r="Z165" s="116" t="str">
        <f t="shared" si="32"/>
        <v/>
      </c>
      <c r="AA165" s="118">
        <f t="shared" si="33"/>
        <v>0</v>
      </c>
      <c r="AB165" s="118" t="str">
        <f t="shared" si="34"/>
        <v>HVC201-ZDAV01</v>
      </c>
      <c r="AC165" s="118">
        <f t="shared" si="35"/>
        <v>45619</v>
      </c>
    </row>
    <row r="166" spans="1:29" ht="16" x14ac:dyDescent="0.2">
      <c r="A166" s="116" t="s">
        <v>423</v>
      </c>
      <c r="B166" s="116">
        <v>4</v>
      </c>
      <c r="C166" s="116" t="s">
        <v>422</v>
      </c>
      <c r="D166" s="116" t="s">
        <v>388</v>
      </c>
      <c r="E166" s="116" t="s">
        <v>2124</v>
      </c>
      <c r="F166" s="117">
        <f>SUMIFS(Investors!$M:$M,Investors!$O:$O,FALSE,Investors!$P:$P,FALSE,Investors!$K:$K,"&gt;"&amp;'NSST Print'!$B$3,Investors!$I:$I,"&lt;="&amp;'NSST Print'!$B$3,Investors!$A:$A,'Investor Exit List'!$A166,Investors!$E:$E,'Investor Exit List'!$C166,Investors!$L:$L,'Investor Exit List'!$B166)-(SUMIFS(Investors!$M:$M,Investors!$I:$I,"&lt;="&amp;'NSST Print'!$B$3,Investors!$J:$J,"&gt;"&amp;'NSST Print'!$B$3,Investors!$A:$A,'Investor Exit List'!$A166,Investors!$E:$E,'Investor Exit List'!$C166,Investors!$L:$L,'Investor Exit List'!$B166)+SUMIFS(Investors!$M:$M,Investors!$I:$I,"&lt;="&amp;'NSST Print'!$B$3,Investors!$J:$J,"",Investors!$A:$A,'Investor Exit List'!$A166,Investors!$E:$E,'Investor Exit List'!$C166,Investors!$L:$L,'Investor Exit List'!$B166))</f>
        <v>0</v>
      </c>
      <c r="G166" s="118">
        <v>44903</v>
      </c>
      <c r="H166" s="116" t="b">
        <f>VLOOKUP($C166,Sales!$C:$E,2,FALSE)</f>
        <v>1</v>
      </c>
      <c r="I166" s="116" t="b">
        <f>VLOOKUP($C166,Sales!$C:$E,3,FALSE)</f>
        <v>1</v>
      </c>
      <c r="J166" s="118">
        <f>SUMIFS(Sales!$H:$H,Sales!$C:$C,'Investor Exit List'!$C166)</f>
        <v>45688</v>
      </c>
      <c r="K166" s="118">
        <f t="shared" si="24"/>
        <v>45688</v>
      </c>
      <c r="L166" s="118">
        <f t="shared" si="25"/>
        <v>45633</v>
      </c>
      <c r="M166" s="118">
        <v>45443</v>
      </c>
      <c r="N166" s="119">
        <f t="shared" si="26"/>
        <v>0</v>
      </c>
      <c r="O166" s="119">
        <f t="shared" si="27"/>
        <v>0</v>
      </c>
      <c r="P166" s="117">
        <f t="shared" si="28"/>
        <v>0</v>
      </c>
      <c r="Q166" s="117">
        <f>SUMIFS(Investors!$M:$M,Investors!$O:$O,FALSE,Investors!$P:$P,FALSE,Investors!$K:$K,"&gt;"&amp;'NSST Print'!$B$3,Investors!$I:$I,"&lt;="&amp;'NSST Print'!$B$3,Investors!$A:$A,'Investor Exit List'!$A166,Investors!$E:$E,'Investor Exit List'!$C166,Investors!$L:$L,'Investor Exit List'!$B166)-(SUMIFS(Investors!$M:$M,Investors!$I:$I,"&lt;="&amp;'NSST Print'!$B$3,Investors!$J:$J,"&gt;"&amp;'NSST Print'!$B$3,Investors!$A:$A,'Investor Exit List'!$A166,Investors!$E:$E,'Investor Exit List'!$C166,Investors!$L:$L,'Investor Exit List'!$B166)+SUMIFS(Investors!$M:$M,Investors!$I:$I,"&lt;="&amp;'NSST Print'!$B$3,Investors!$J:$J,"",Investors!$A:$A,'Investor Exit List'!$A166,Investors!$E:$E,'Investor Exit List'!$C166,Investors!$L:$L,'Investor Exit List'!$B166))+SUMIFS(Investors!$S:$S,Investors!$O:$O,FALSE,Investors!$P:$P,FALSE,Investors!$K:$K,"&gt;"&amp;'NSST Print'!$B$3,Investors!$I:$I,"&lt;="&amp;'NSST Print'!$B$3,Investors!$A:$A,'Investor Exit List'!$A166,Investors!$E:$E,'Investor Exit List'!$C166,Investors!$L:$L,'Investor Exit List'!$B166)-(SUMIFS(Investors!$S:$S,Investors!$I:$I,"&lt;="&amp;'NSST Print'!$B$3,Investors!$J:$J,"&gt;"&amp;'NSST Print'!$B$3,Investors!$A:$A,'Investor Exit List'!$A166,Investors!$E:$E,'Investor Exit List'!$C166,Investors!$L:$L,'Investor Exit List'!$B166)+SUMIFS(Investors!$S:$S,Investors!$I:$I,"&lt;="&amp;'NSST Print'!$B$3,Investors!$J:$J,"",Investors!$A:$A,'Investor Exit List'!$A166,Investors!$E:$E,'Investor Exit List'!$C166,Investors!$L:$L,'Investor Exit List'!$B166))</f>
        <v>0</v>
      </c>
      <c r="R166" s="117">
        <f t="shared" si="29"/>
        <v>0</v>
      </c>
      <c r="S166" s="117">
        <f>SUMIFS(Investors!$M:$M,Investors!$O:$O,TRUE,Investors!$A:$A,'Investor Exit List'!$A166,Investors!$E:$E,'Investor Exit List'!$C166,Investors!$L:$L,'Investor Exit List'!$B166)+SUMIFS(Investors!$S:$S,Investors!$O:$O,TRUE,Investors!$A:$A,'Investor Exit List'!$A166,Investors!$E:$E,'Investor Exit List'!$C166,Investors!$L:$L,'Investor Exit List'!$B166)</f>
        <v>0</v>
      </c>
      <c r="T166" s="118" t="str">
        <f t="shared" si="30"/>
        <v/>
      </c>
      <c r="U166" s="116" t="b">
        <v>0</v>
      </c>
      <c r="V166" s="117">
        <f t="shared" si="31"/>
        <v>0</v>
      </c>
      <c r="W166" s="116">
        <v>0</v>
      </c>
      <c r="X166" s="116" t="b">
        <v>0</v>
      </c>
      <c r="Y166" s="119">
        <f>IF(H166=FALSE,VLOOKUP($C166,Sales!$C:$F,4,FALSE),1)</f>
        <v>1</v>
      </c>
      <c r="Z166" s="116" t="str">
        <f t="shared" si="32"/>
        <v/>
      </c>
      <c r="AA166" s="118">
        <f t="shared" si="33"/>
        <v>0</v>
      </c>
      <c r="AB166" s="118" t="str">
        <f t="shared" si="34"/>
        <v>HVC201-ZKUS03</v>
      </c>
      <c r="AC166" s="118">
        <f t="shared" si="35"/>
        <v>45633</v>
      </c>
    </row>
    <row r="167" spans="1:29" ht="16" x14ac:dyDescent="0.2">
      <c r="A167" s="116" t="s">
        <v>426</v>
      </c>
      <c r="B167" s="116">
        <v>6</v>
      </c>
      <c r="C167" s="116" t="s">
        <v>427</v>
      </c>
      <c r="D167" s="116" t="s">
        <v>388</v>
      </c>
      <c r="E167" s="116" t="s">
        <v>2017</v>
      </c>
      <c r="F167" s="117">
        <f>SUMIFS(Investors!$M:$M,Investors!$O:$O,FALSE,Investors!$P:$P,FALSE,Investors!$K:$K,"&gt;"&amp;'NSST Print'!$B$3,Investors!$I:$I,"&lt;="&amp;'NSST Print'!$B$3,Investors!$A:$A,'Investor Exit List'!$A167,Investors!$E:$E,'Investor Exit List'!$C167,Investors!$L:$L,'Investor Exit List'!$B167)-(SUMIFS(Investors!$M:$M,Investors!$I:$I,"&lt;="&amp;'NSST Print'!$B$3,Investors!$J:$J,"&gt;"&amp;'NSST Print'!$B$3,Investors!$A:$A,'Investor Exit List'!$A167,Investors!$E:$E,'Investor Exit List'!$C167,Investors!$L:$L,'Investor Exit List'!$B167)+SUMIFS(Investors!$M:$M,Investors!$I:$I,"&lt;="&amp;'NSST Print'!$B$3,Investors!$J:$J,"",Investors!$A:$A,'Investor Exit List'!$A167,Investors!$E:$E,'Investor Exit List'!$C167,Investors!$L:$L,'Investor Exit List'!$B167))</f>
        <v>100000</v>
      </c>
      <c r="G167" s="118">
        <v>44889</v>
      </c>
      <c r="H167" s="116" t="b">
        <f>VLOOKUP($C167,Sales!$C:$E,2,FALSE)</f>
        <v>0</v>
      </c>
      <c r="I167" s="116" t="b">
        <f>VLOOKUP($C167,Sales!$C:$E,3,FALSE)</f>
        <v>0</v>
      </c>
      <c r="J167" s="118">
        <f>SUMIFS(Sales!$H:$H,Sales!$C:$C,'Investor Exit List'!$C167)</f>
        <v>45646</v>
      </c>
      <c r="K167" s="118" t="str">
        <f t="shared" si="24"/>
        <v/>
      </c>
      <c r="L167" s="118">
        <f t="shared" si="25"/>
        <v>45619</v>
      </c>
      <c r="M167" s="118">
        <v>45443</v>
      </c>
      <c r="N167" s="119">
        <f t="shared" si="26"/>
        <v>176</v>
      </c>
      <c r="O167" s="119">
        <f t="shared" si="27"/>
        <v>176</v>
      </c>
      <c r="P167" s="117">
        <f t="shared" si="28"/>
        <v>0</v>
      </c>
      <c r="Q167" s="117">
        <f>SUMIFS(Investors!$M:$M,Investors!$O:$O,FALSE,Investors!$P:$P,FALSE,Investors!$K:$K,"&gt;"&amp;'NSST Print'!$B$3,Investors!$I:$I,"&lt;="&amp;'NSST Print'!$B$3,Investors!$A:$A,'Investor Exit List'!$A167,Investors!$E:$E,'Investor Exit List'!$C167,Investors!$L:$L,'Investor Exit List'!$B167)-(SUMIFS(Investors!$M:$M,Investors!$I:$I,"&lt;="&amp;'NSST Print'!$B$3,Investors!$J:$J,"&gt;"&amp;'NSST Print'!$B$3,Investors!$A:$A,'Investor Exit List'!$A167,Investors!$E:$E,'Investor Exit List'!$C167,Investors!$L:$L,'Investor Exit List'!$B167)+SUMIFS(Investors!$M:$M,Investors!$I:$I,"&lt;="&amp;'NSST Print'!$B$3,Investors!$J:$J,"",Investors!$A:$A,'Investor Exit List'!$A167,Investors!$E:$E,'Investor Exit List'!$C167,Investors!$L:$L,'Investor Exit List'!$B167))+SUMIFS(Investors!$S:$S,Investors!$O:$O,FALSE,Investors!$P:$P,FALSE,Investors!$K:$K,"&gt;"&amp;'NSST Print'!$B$3,Investors!$I:$I,"&lt;="&amp;'NSST Print'!$B$3,Investors!$A:$A,'Investor Exit List'!$A167,Investors!$E:$E,'Investor Exit List'!$C167,Investors!$L:$L,'Investor Exit List'!$B167)-(SUMIFS(Investors!$S:$S,Investors!$I:$I,"&lt;="&amp;'NSST Print'!$B$3,Investors!$J:$J,"&gt;"&amp;'NSST Print'!$B$3,Investors!$A:$A,'Investor Exit List'!$A167,Investors!$E:$E,'Investor Exit List'!$C167,Investors!$L:$L,'Investor Exit List'!$B167)+SUMIFS(Investors!$S:$S,Investors!$I:$I,"&lt;="&amp;'NSST Print'!$B$3,Investors!$J:$J,"",Investors!$A:$A,'Investor Exit List'!$A167,Investors!$E:$E,'Investor Exit List'!$C167,Investors!$L:$L,'Investor Exit List'!$B167))</f>
        <v>131241.09589041097</v>
      </c>
      <c r="R167" s="117">
        <f t="shared" si="29"/>
        <v>0</v>
      </c>
      <c r="S167" s="117">
        <f>SUMIFS(Investors!$M:$M,Investors!$O:$O,TRUE,Investors!$A:$A,'Investor Exit List'!$A167,Investors!$E:$E,'Investor Exit List'!$C167,Investors!$L:$L,'Investor Exit List'!$B167)+SUMIFS(Investors!$S:$S,Investors!$O:$O,TRUE,Investors!$A:$A,'Investor Exit List'!$A167,Investors!$E:$E,'Investor Exit List'!$C167,Investors!$L:$L,'Investor Exit List'!$B167)</f>
        <v>0</v>
      </c>
      <c r="T167" s="118" t="str">
        <f t="shared" si="30"/>
        <v/>
      </c>
      <c r="U167" s="116" t="b">
        <v>0</v>
      </c>
      <c r="V167" s="117">
        <f t="shared" si="31"/>
        <v>0</v>
      </c>
      <c r="W167" s="116">
        <v>0</v>
      </c>
      <c r="X167" s="116" t="b">
        <v>0</v>
      </c>
      <c r="Y167" s="119">
        <f>IF(H167=FALSE,VLOOKUP($C167,Sales!$C:$F,4,FALSE),1)</f>
        <v>1</v>
      </c>
      <c r="Z167" s="116" t="str">
        <f t="shared" si="32"/>
        <v>Release</v>
      </c>
      <c r="AA167" s="118">
        <f t="shared" si="33"/>
        <v>45619</v>
      </c>
      <c r="AB167" s="118" t="str">
        <f t="shared" si="34"/>
        <v>HVC202-ZALM01</v>
      </c>
      <c r="AC167" s="118">
        <f t="shared" si="35"/>
        <v>45619</v>
      </c>
    </row>
    <row r="168" spans="1:29" ht="16" x14ac:dyDescent="0.2">
      <c r="A168" s="116" t="s">
        <v>207</v>
      </c>
      <c r="B168" s="116">
        <v>14</v>
      </c>
      <c r="C168" s="116" t="s">
        <v>427</v>
      </c>
      <c r="D168" s="116" t="s">
        <v>388</v>
      </c>
      <c r="E168" s="116" t="s">
        <v>2017</v>
      </c>
      <c r="F168" s="117">
        <f>SUMIFS(Investors!$M:$M,Investors!$O:$O,FALSE,Investors!$P:$P,FALSE,Investors!$K:$K,"&gt;"&amp;'NSST Print'!$B$3,Investors!$I:$I,"&lt;="&amp;'NSST Print'!$B$3,Investors!$A:$A,'Investor Exit List'!$A168,Investors!$E:$E,'Investor Exit List'!$C168,Investors!$L:$L,'Investor Exit List'!$B168)-(SUMIFS(Investors!$M:$M,Investors!$I:$I,"&lt;="&amp;'NSST Print'!$B$3,Investors!$J:$J,"&gt;"&amp;'NSST Print'!$B$3,Investors!$A:$A,'Investor Exit List'!$A168,Investors!$E:$E,'Investor Exit List'!$C168,Investors!$L:$L,'Investor Exit List'!$B168)+SUMIFS(Investors!$M:$M,Investors!$I:$I,"&lt;="&amp;'NSST Print'!$B$3,Investors!$J:$J,"",Investors!$A:$A,'Investor Exit List'!$A168,Investors!$E:$E,'Investor Exit List'!$C168,Investors!$L:$L,'Investor Exit List'!$B168))</f>
        <v>100000</v>
      </c>
      <c r="G168" s="118">
        <v>45072</v>
      </c>
      <c r="H168" s="116" t="b">
        <f>VLOOKUP($C168,Sales!$C:$E,2,FALSE)</f>
        <v>0</v>
      </c>
      <c r="I168" s="116" t="b">
        <f>VLOOKUP($C168,Sales!$C:$E,3,FALSE)</f>
        <v>0</v>
      </c>
      <c r="J168" s="118">
        <f>SUMIFS(Sales!$H:$H,Sales!$C:$C,'Investor Exit List'!$C168)</f>
        <v>45646</v>
      </c>
      <c r="K168" s="118" t="str">
        <f t="shared" si="24"/>
        <v/>
      </c>
      <c r="L168" s="118">
        <f t="shared" si="25"/>
        <v>45802</v>
      </c>
      <c r="M168" s="118">
        <v>45443</v>
      </c>
      <c r="N168" s="119">
        <f t="shared" si="26"/>
        <v>359</v>
      </c>
      <c r="O168" s="119">
        <f t="shared" si="27"/>
        <v>0</v>
      </c>
      <c r="P168" s="117">
        <f t="shared" si="28"/>
        <v>0</v>
      </c>
      <c r="Q168" s="117">
        <f>SUMIFS(Investors!$M:$M,Investors!$O:$O,FALSE,Investors!$P:$P,FALSE,Investors!$K:$K,"&gt;"&amp;'NSST Print'!$B$3,Investors!$I:$I,"&lt;="&amp;'NSST Print'!$B$3,Investors!$A:$A,'Investor Exit List'!$A168,Investors!$E:$E,'Investor Exit List'!$C168,Investors!$L:$L,'Investor Exit List'!$B168)-(SUMIFS(Investors!$M:$M,Investors!$I:$I,"&lt;="&amp;'NSST Print'!$B$3,Investors!$J:$J,"&gt;"&amp;'NSST Print'!$B$3,Investors!$A:$A,'Investor Exit List'!$A168,Investors!$E:$E,'Investor Exit List'!$C168,Investors!$L:$L,'Investor Exit List'!$B168)+SUMIFS(Investors!$M:$M,Investors!$I:$I,"&lt;="&amp;'NSST Print'!$B$3,Investors!$J:$J,"",Investors!$A:$A,'Investor Exit List'!$A168,Investors!$E:$E,'Investor Exit List'!$C168,Investors!$L:$L,'Investor Exit List'!$B168))+SUMIFS(Investors!$S:$S,Investors!$O:$O,FALSE,Investors!$P:$P,FALSE,Investors!$K:$K,"&gt;"&amp;'NSST Print'!$B$3,Investors!$I:$I,"&lt;="&amp;'NSST Print'!$B$3,Investors!$A:$A,'Investor Exit List'!$A168,Investors!$E:$E,'Investor Exit List'!$C168,Investors!$L:$L,'Investor Exit List'!$B168)-(SUMIFS(Investors!$S:$S,Investors!$I:$I,"&lt;="&amp;'NSST Print'!$B$3,Investors!$J:$J,"&gt;"&amp;'NSST Print'!$B$3,Investors!$A:$A,'Investor Exit List'!$A168,Investors!$E:$E,'Investor Exit List'!$C168,Investors!$L:$L,'Investor Exit List'!$B168)+SUMIFS(Investors!$S:$S,Investors!$I:$I,"&lt;="&amp;'NSST Print'!$B$3,Investors!$J:$J,"",Investors!$A:$A,'Investor Exit List'!$A168,Investors!$E:$E,'Investor Exit List'!$C168,Investors!$L:$L,'Investor Exit List'!$B168))</f>
        <v>124306.8493150685</v>
      </c>
      <c r="R168" s="117">
        <f t="shared" si="29"/>
        <v>0</v>
      </c>
      <c r="S168" s="117">
        <f>SUMIFS(Investors!$M:$M,Investors!$O:$O,TRUE,Investors!$A:$A,'Investor Exit List'!$A168,Investors!$E:$E,'Investor Exit List'!$C168,Investors!$L:$L,'Investor Exit List'!$B168)+SUMIFS(Investors!$S:$S,Investors!$O:$O,TRUE,Investors!$A:$A,'Investor Exit List'!$A168,Investors!$E:$E,'Investor Exit List'!$C168,Investors!$L:$L,'Investor Exit List'!$B168)</f>
        <v>0</v>
      </c>
      <c r="T168" s="118" t="str">
        <f t="shared" si="30"/>
        <v/>
      </c>
      <c r="U168" s="116" t="b">
        <v>0</v>
      </c>
      <c r="V168" s="117">
        <f t="shared" si="31"/>
        <v>0</v>
      </c>
      <c r="W168" s="116">
        <v>0</v>
      </c>
      <c r="X168" s="116" t="b">
        <v>0</v>
      </c>
      <c r="Y168" s="119">
        <f>IF(H168=FALSE,VLOOKUP($C168,Sales!$C:$F,4,FALSE),1)</f>
        <v>1</v>
      </c>
      <c r="Z168" s="116" t="str">
        <f t="shared" si="32"/>
        <v/>
      </c>
      <c r="AA168" s="118">
        <f t="shared" si="33"/>
        <v>45619</v>
      </c>
      <c r="AB168" s="118" t="str">
        <f t="shared" si="34"/>
        <v>HVC202-ZINT01</v>
      </c>
      <c r="AC168" s="118">
        <f t="shared" si="35"/>
        <v>45802</v>
      </c>
    </row>
    <row r="169" spans="1:29" ht="16" x14ac:dyDescent="0.2">
      <c r="A169" s="116" t="s">
        <v>428</v>
      </c>
      <c r="B169" s="116">
        <v>1</v>
      </c>
      <c r="C169" s="116" t="s">
        <v>427</v>
      </c>
      <c r="D169" s="116" t="s">
        <v>388</v>
      </c>
      <c r="E169" s="116" t="s">
        <v>2125</v>
      </c>
      <c r="F169" s="117">
        <f>SUMIFS(Investors!$M:$M,Investors!$O:$O,FALSE,Investors!$P:$P,FALSE,Investors!$K:$K,"&gt;"&amp;'NSST Print'!$B$3,Investors!$I:$I,"&lt;="&amp;'NSST Print'!$B$3,Investors!$A:$A,'Investor Exit List'!$A169,Investors!$E:$E,'Investor Exit List'!$C169,Investors!$L:$L,'Investor Exit List'!$B169)-(SUMIFS(Investors!$M:$M,Investors!$I:$I,"&lt;="&amp;'NSST Print'!$B$3,Investors!$J:$J,"&gt;"&amp;'NSST Print'!$B$3,Investors!$A:$A,'Investor Exit List'!$A169,Investors!$E:$E,'Investor Exit List'!$C169,Investors!$L:$L,'Investor Exit List'!$B169)+SUMIFS(Investors!$M:$M,Investors!$I:$I,"&lt;="&amp;'NSST Print'!$B$3,Investors!$J:$J,"",Investors!$A:$A,'Investor Exit List'!$A169,Investors!$E:$E,'Investor Exit List'!$C169,Investors!$L:$L,'Investor Exit List'!$B169))</f>
        <v>100000</v>
      </c>
      <c r="G169" s="118">
        <v>45016</v>
      </c>
      <c r="H169" s="116" t="b">
        <f>VLOOKUP($C169,Sales!$C:$E,2,FALSE)</f>
        <v>0</v>
      </c>
      <c r="I169" s="116" t="b">
        <f>VLOOKUP($C169,Sales!$C:$E,3,FALSE)</f>
        <v>0</v>
      </c>
      <c r="J169" s="118">
        <f>SUMIFS(Sales!$H:$H,Sales!$C:$C,'Investor Exit List'!$C169)</f>
        <v>45646</v>
      </c>
      <c r="K169" s="118" t="str">
        <f t="shared" si="24"/>
        <v/>
      </c>
      <c r="L169" s="118">
        <f t="shared" si="25"/>
        <v>45746</v>
      </c>
      <c r="M169" s="118">
        <v>45443</v>
      </c>
      <c r="N169" s="119">
        <f t="shared" si="26"/>
        <v>303</v>
      </c>
      <c r="O169" s="119">
        <f t="shared" si="27"/>
        <v>0</v>
      </c>
      <c r="P169" s="117">
        <f t="shared" si="28"/>
        <v>0</v>
      </c>
      <c r="Q169" s="117">
        <f>SUMIFS(Investors!$M:$M,Investors!$O:$O,FALSE,Investors!$P:$P,FALSE,Investors!$K:$K,"&gt;"&amp;'NSST Print'!$B$3,Investors!$I:$I,"&lt;="&amp;'NSST Print'!$B$3,Investors!$A:$A,'Investor Exit List'!$A169,Investors!$E:$E,'Investor Exit List'!$C169,Investors!$L:$L,'Investor Exit List'!$B169)-(SUMIFS(Investors!$M:$M,Investors!$I:$I,"&lt;="&amp;'NSST Print'!$B$3,Investors!$J:$J,"&gt;"&amp;'NSST Print'!$B$3,Investors!$A:$A,'Investor Exit List'!$A169,Investors!$E:$E,'Investor Exit List'!$C169,Investors!$L:$L,'Investor Exit List'!$B169)+SUMIFS(Investors!$M:$M,Investors!$I:$I,"&lt;="&amp;'NSST Print'!$B$3,Investors!$J:$J,"",Investors!$A:$A,'Investor Exit List'!$A169,Investors!$E:$E,'Investor Exit List'!$C169,Investors!$L:$L,'Investor Exit List'!$B169))+SUMIFS(Investors!$S:$S,Investors!$O:$O,FALSE,Investors!$P:$P,FALSE,Investors!$K:$K,"&gt;"&amp;'NSST Print'!$B$3,Investors!$I:$I,"&lt;="&amp;'NSST Print'!$B$3,Investors!$A:$A,'Investor Exit List'!$A169,Investors!$E:$E,'Investor Exit List'!$C169,Investors!$L:$L,'Investor Exit List'!$B169)-(SUMIFS(Investors!$S:$S,Investors!$I:$I,"&lt;="&amp;'NSST Print'!$B$3,Investors!$J:$J,"&gt;"&amp;'NSST Print'!$B$3,Investors!$A:$A,'Investor Exit List'!$A169,Investors!$E:$E,'Investor Exit List'!$C169,Investors!$L:$L,'Investor Exit List'!$B169)+SUMIFS(Investors!$S:$S,Investors!$I:$I,"&lt;="&amp;'NSST Print'!$B$3,Investors!$J:$J,"",Investors!$A:$A,'Investor Exit List'!$A169,Investors!$E:$E,'Investor Exit List'!$C169,Investors!$L:$L,'Investor Exit List'!$B169))</f>
        <v>120773.28767123287</v>
      </c>
      <c r="R169" s="117">
        <f t="shared" si="29"/>
        <v>0</v>
      </c>
      <c r="S169" s="117">
        <f>SUMIFS(Investors!$M:$M,Investors!$O:$O,TRUE,Investors!$A:$A,'Investor Exit List'!$A169,Investors!$E:$E,'Investor Exit List'!$C169,Investors!$L:$L,'Investor Exit List'!$B169)+SUMIFS(Investors!$S:$S,Investors!$O:$O,TRUE,Investors!$A:$A,'Investor Exit List'!$A169,Investors!$E:$E,'Investor Exit List'!$C169,Investors!$L:$L,'Investor Exit List'!$B169)</f>
        <v>0</v>
      </c>
      <c r="T169" s="118" t="str">
        <f t="shared" si="30"/>
        <v/>
      </c>
      <c r="U169" s="116" t="b">
        <v>0</v>
      </c>
      <c r="V169" s="117">
        <f t="shared" si="31"/>
        <v>0</v>
      </c>
      <c r="W169" s="116">
        <v>0</v>
      </c>
      <c r="X169" s="116" t="b">
        <v>0</v>
      </c>
      <c r="Y169" s="119">
        <f>IF(H169=FALSE,VLOOKUP($C169,Sales!$C:$F,4,FALSE),1)</f>
        <v>1</v>
      </c>
      <c r="Z169" s="116" t="str">
        <f t="shared" si="32"/>
        <v/>
      </c>
      <c r="AA169" s="118">
        <f t="shared" si="33"/>
        <v>45619</v>
      </c>
      <c r="AB169" s="118" t="str">
        <f t="shared" si="34"/>
        <v>HVC202-ZMON01</v>
      </c>
      <c r="AC169" s="118">
        <f t="shared" si="35"/>
        <v>45746</v>
      </c>
    </row>
    <row r="170" spans="1:29" ht="16" x14ac:dyDescent="0.2">
      <c r="A170" s="116" t="s">
        <v>431</v>
      </c>
      <c r="B170" s="116">
        <v>1</v>
      </c>
      <c r="C170" s="116" t="s">
        <v>427</v>
      </c>
      <c r="D170" s="116" t="s">
        <v>388</v>
      </c>
      <c r="E170" s="116" t="s">
        <v>2126</v>
      </c>
      <c r="F170" s="117">
        <f>SUMIFS(Investors!$M:$M,Investors!$O:$O,FALSE,Investors!$P:$P,FALSE,Investors!$K:$K,"&gt;"&amp;'NSST Print'!$B$3,Investors!$I:$I,"&lt;="&amp;'NSST Print'!$B$3,Investors!$A:$A,'Investor Exit List'!$A170,Investors!$E:$E,'Investor Exit List'!$C170,Investors!$L:$L,'Investor Exit List'!$B170)-(SUMIFS(Investors!$M:$M,Investors!$I:$I,"&lt;="&amp;'NSST Print'!$B$3,Investors!$J:$J,"&gt;"&amp;'NSST Print'!$B$3,Investors!$A:$A,'Investor Exit List'!$A170,Investors!$E:$E,'Investor Exit List'!$C170,Investors!$L:$L,'Investor Exit List'!$B170)+SUMIFS(Investors!$M:$M,Investors!$I:$I,"&lt;="&amp;'NSST Print'!$B$3,Investors!$J:$J,"",Investors!$A:$A,'Investor Exit List'!$A170,Investors!$E:$E,'Investor Exit List'!$C170,Investors!$L:$L,'Investor Exit List'!$B170))</f>
        <v>100000</v>
      </c>
      <c r="G170" s="118">
        <v>44903</v>
      </c>
      <c r="H170" s="116" t="b">
        <f>VLOOKUP($C170,Sales!$C:$E,2,FALSE)</f>
        <v>0</v>
      </c>
      <c r="I170" s="116" t="b">
        <f>VLOOKUP($C170,Sales!$C:$E,3,FALSE)</f>
        <v>0</v>
      </c>
      <c r="J170" s="118">
        <f>SUMIFS(Sales!$H:$H,Sales!$C:$C,'Investor Exit List'!$C170)</f>
        <v>45646</v>
      </c>
      <c r="K170" s="118" t="str">
        <f t="shared" si="24"/>
        <v/>
      </c>
      <c r="L170" s="118">
        <f t="shared" si="25"/>
        <v>45633</v>
      </c>
      <c r="M170" s="118">
        <v>45443</v>
      </c>
      <c r="N170" s="119">
        <f t="shared" si="26"/>
        <v>190</v>
      </c>
      <c r="O170" s="119">
        <f t="shared" si="27"/>
        <v>0</v>
      </c>
      <c r="P170" s="117">
        <f t="shared" si="28"/>
        <v>0</v>
      </c>
      <c r="Q170" s="117">
        <f>SUMIFS(Investors!$M:$M,Investors!$O:$O,FALSE,Investors!$P:$P,FALSE,Investors!$K:$K,"&gt;"&amp;'NSST Print'!$B$3,Investors!$I:$I,"&lt;="&amp;'NSST Print'!$B$3,Investors!$A:$A,'Investor Exit List'!$A170,Investors!$E:$E,'Investor Exit List'!$C170,Investors!$L:$L,'Investor Exit List'!$B170)-(SUMIFS(Investors!$M:$M,Investors!$I:$I,"&lt;="&amp;'NSST Print'!$B$3,Investors!$J:$J,"&gt;"&amp;'NSST Print'!$B$3,Investors!$A:$A,'Investor Exit List'!$A170,Investors!$E:$E,'Investor Exit List'!$C170,Investors!$L:$L,'Investor Exit List'!$B170)+SUMIFS(Investors!$M:$M,Investors!$I:$I,"&lt;="&amp;'NSST Print'!$B$3,Investors!$J:$J,"",Investors!$A:$A,'Investor Exit List'!$A170,Investors!$E:$E,'Investor Exit List'!$C170,Investors!$L:$L,'Investor Exit List'!$B170))+SUMIFS(Investors!$S:$S,Investors!$O:$O,FALSE,Investors!$P:$P,FALSE,Investors!$K:$K,"&gt;"&amp;'NSST Print'!$B$3,Investors!$I:$I,"&lt;="&amp;'NSST Print'!$B$3,Investors!$A:$A,'Investor Exit List'!$A170,Investors!$E:$E,'Investor Exit List'!$C170,Investors!$L:$L,'Investor Exit List'!$B170)-(SUMIFS(Investors!$S:$S,Investors!$I:$I,"&lt;="&amp;'NSST Print'!$B$3,Investors!$J:$J,"&gt;"&amp;'NSST Print'!$B$3,Investors!$A:$A,'Investor Exit List'!$A170,Investors!$E:$E,'Investor Exit List'!$C170,Investors!$L:$L,'Investor Exit List'!$B170)+SUMIFS(Investors!$S:$S,Investors!$I:$I,"&lt;="&amp;'NSST Print'!$B$3,Investors!$J:$J,"",Investors!$A:$A,'Investor Exit List'!$A170,Investors!$E:$E,'Investor Exit List'!$C170,Investors!$L:$L,'Investor Exit List'!$B170))</f>
        <v>123526.02739726027</v>
      </c>
      <c r="R170" s="117">
        <f t="shared" si="29"/>
        <v>0</v>
      </c>
      <c r="S170" s="117">
        <f>SUMIFS(Investors!$M:$M,Investors!$O:$O,TRUE,Investors!$A:$A,'Investor Exit List'!$A170,Investors!$E:$E,'Investor Exit List'!$C170,Investors!$L:$L,'Investor Exit List'!$B170)+SUMIFS(Investors!$S:$S,Investors!$O:$O,TRUE,Investors!$A:$A,'Investor Exit List'!$A170,Investors!$E:$E,'Investor Exit List'!$C170,Investors!$L:$L,'Investor Exit List'!$B170)</f>
        <v>0</v>
      </c>
      <c r="T170" s="118" t="str">
        <f t="shared" si="30"/>
        <v/>
      </c>
      <c r="U170" s="116" t="b">
        <v>0</v>
      </c>
      <c r="V170" s="117">
        <f t="shared" si="31"/>
        <v>0</v>
      </c>
      <c r="W170" s="116">
        <v>0</v>
      </c>
      <c r="X170" s="116" t="b">
        <v>0</v>
      </c>
      <c r="Y170" s="119">
        <f>IF(H170=FALSE,VLOOKUP($C170,Sales!$C:$F,4,FALSE),1)</f>
        <v>1</v>
      </c>
      <c r="Z170" s="116" t="str">
        <f t="shared" si="32"/>
        <v/>
      </c>
      <c r="AA170" s="118">
        <f t="shared" si="33"/>
        <v>45619</v>
      </c>
      <c r="AB170" s="118" t="str">
        <f t="shared" si="34"/>
        <v>HVC202-ZPER01</v>
      </c>
      <c r="AC170" s="118">
        <f t="shared" si="35"/>
        <v>45633</v>
      </c>
    </row>
    <row r="171" spans="1:29" ht="16" x14ac:dyDescent="0.2">
      <c r="A171" s="116" t="s">
        <v>433</v>
      </c>
      <c r="B171" s="116">
        <v>2</v>
      </c>
      <c r="C171" s="116" t="s">
        <v>427</v>
      </c>
      <c r="D171" s="116" t="s">
        <v>388</v>
      </c>
      <c r="E171" s="116" t="s">
        <v>2127</v>
      </c>
      <c r="F171" s="117">
        <f>SUMIFS(Investors!$M:$M,Investors!$O:$O,FALSE,Investors!$P:$P,FALSE,Investors!$K:$K,"&gt;"&amp;'NSST Print'!$B$3,Investors!$I:$I,"&lt;="&amp;'NSST Print'!$B$3,Investors!$A:$A,'Investor Exit List'!$A171,Investors!$E:$E,'Investor Exit List'!$C171,Investors!$L:$L,'Investor Exit List'!$B171)-(SUMIFS(Investors!$M:$M,Investors!$I:$I,"&lt;="&amp;'NSST Print'!$B$3,Investors!$J:$J,"&gt;"&amp;'NSST Print'!$B$3,Investors!$A:$A,'Investor Exit List'!$A171,Investors!$E:$E,'Investor Exit List'!$C171,Investors!$L:$L,'Investor Exit List'!$B171)+SUMIFS(Investors!$M:$M,Investors!$I:$I,"&lt;="&amp;'NSST Print'!$B$3,Investors!$J:$J,"",Investors!$A:$A,'Investor Exit List'!$A171,Investors!$E:$E,'Investor Exit List'!$C171,Investors!$L:$L,'Investor Exit List'!$B171))</f>
        <v>300000</v>
      </c>
      <c r="G171" s="118">
        <v>44903</v>
      </c>
      <c r="H171" s="116" t="b">
        <f>VLOOKUP($C171,Sales!$C:$E,2,FALSE)</f>
        <v>0</v>
      </c>
      <c r="I171" s="116" t="b">
        <f>VLOOKUP($C171,Sales!$C:$E,3,FALSE)</f>
        <v>0</v>
      </c>
      <c r="J171" s="118">
        <f>SUMIFS(Sales!$H:$H,Sales!$C:$C,'Investor Exit List'!$C171)</f>
        <v>45646</v>
      </c>
      <c r="K171" s="118" t="str">
        <f t="shared" si="24"/>
        <v/>
      </c>
      <c r="L171" s="118">
        <f t="shared" si="25"/>
        <v>45633</v>
      </c>
      <c r="M171" s="118">
        <v>45443</v>
      </c>
      <c r="N171" s="119">
        <f t="shared" si="26"/>
        <v>190</v>
      </c>
      <c r="O171" s="119">
        <f t="shared" si="27"/>
        <v>0</v>
      </c>
      <c r="P171" s="117">
        <f t="shared" si="28"/>
        <v>0</v>
      </c>
      <c r="Q171" s="117">
        <f>SUMIFS(Investors!$M:$M,Investors!$O:$O,FALSE,Investors!$P:$P,FALSE,Investors!$K:$K,"&gt;"&amp;'NSST Print'!$B$3,Investors!$I:$I,"&lt;="&amp;'NSST Print'!$B$3,Investors!$A:$A,'Investor Exit List'!$A171,Investors!$E:$E,'Investor Exit List'!$C171,Investors!$L:$L,'Investor Exit List'!$B171)-(SUMIFS(Investors!$M:$M,Investors!$I:$I,"&lt;="&amp;'NSST Print'!$B$3,Investors!$J:$J,"&gt;"&amp;'NSST Print'!$B$3,Investors!$A:$A,'Investor Exit List'!$A171,Investors!$E:$E,'Investor Exit List'!$C171,Investors!$L:$L,'Investor Exit List'!$B171)+SUMIFS(Investors!$M:$M,Investors!$I:$I,"&lt;="&amp;'NSST Print'!$B$3,Investors!$J:$J,"",Investors!$A:$A,'Investor Exit List'!$A171,Investors!$E:$E,'Investor Exit List'!$C171,Investors!$L:$L,'Investor Exit List'!$B171))+SUMIFS(Investors!$S:$S,Investors!$O:$O,FALSE,Investors!$P:$P,FALSE,Investors!$K:$K,"&gt;"&amp;'NSST Print'!$B$3,Investors!$I:$I,"&lt;="&amp;'NSST Print'!$B$3,Investors!$A:$A,'Investor Exit List'!$A171,Investors!$E:$E,'Investor Exit List'!$C171,Investors!$L:$L,'Investor Exit List'!$B171)-(SUMIFS(Investors!$S:$S,Investors!$I:$I,"&lt;="&amp;'NSST Print'!$B$3,Investors!$J:$J,"&gt;"&amp;'NSST Print'!$B$3,Investors!$A:$A,'Investor Exit List'!$A171,Investors!$E:$E,'Investor Exit List'!$C171,Investors!$L:$L,'Investor Exit List'!$B171)+SUMIFS(Investors!$S:$S,Investors!$I:$I,"&lt;="&amp;'NSST Print'!$B$3,Investors!$J:$J,"",Investors!$A:$A,'Investor Exit List'!$A171,Investors!$E:$E,'Investor Exit List'!$C171,Investors!$L:$L,'Investor Exit List'!$B171))</f>
        <v>371613.69863013696</v>
      </c>
      <c r="R171" s="117">
        <f t="shared" si="29"/>
        <v>0</v>
      </c>
      <c r="S171" s="117">
        <f>SUMIFS(Investors!$M:$M,Investors!$O:$O,TRUE,Investors!$A:$A,'Investor Exit List'!$A171,Investors!$E:$E,'Investor Exit List'!$C171,Investors!$L:$L,'Investor Exit List'!$B171)+SUMIFS(Investors!$S:$S,Investors!$O:$O,TRUE,Investors!$A:$A,'Investor Exit List'!$A171,Investors!$E:$E,'Investor Exit List'!$C171,Investors!$L:$L,'Investor Exit List'!$B171)</f>
        <v>0</v>
      </c>
      <c r="T171" s="118" t="str">
        <f t="shared" si="30"/>
        <v/>
      </c>
      <c r="U171" s="116" t="b">
        <v>0</v>
      </c>
      <c r="V171" s="117">
        <f t="shared" si="31"/>
        <v>0</v>
      </c>
      <c r="W171" s="116">
        <v>0</v>
      </c>
      <c r="X171" s="116" t="b">
        <v>0</v>
      </c>
      <c r="Y171" s="119">
        <f>IF(H171=FALSE,VLOOKUP($C171,Sales!$C:$F,4,FALSE),1)</f>
        <v>1</v>
      </c>
      <c r="Z171" s="116" t="str">
        <f t="shared" si="32"/>
        <v/>
      </c>
      <c r="AA171" s="118">
        <f t="shared" si="33"/>
        <v>45619</v>
      </c>
      <c r="AB171" s="118" t="str">
        <f t="shared" si="34"/>
        <v>HVC202-ZRAB02</v>
      </c>
      <c r="AC171" s="118">
        <f t="shared" si="35"/>
        <v>45633</v>
      </c>
    </row>
    <row r="172" spans="1:29" ht="16" x14ac:dyDescent="0.2">
      <c r="A172" s="116" t="s">
        <v>419</v>
      </c>
      <c r="B172" s="116">
        <v>6</v>
      </c>
      <c r="C172" s="116" t="s">
        <v>427</v>
      </c>
      <c r="D172" s="116" t="s">
        <v>388</v>
      </c>
      <c r="E172" s="116" t="s">
        <v>2123</v>
      </c>
      <c r="F172" s="117">
        <f>SUMIFS(Investors!$M:$M,Investors!$O:$O,FALSE,Investors!$P:$P,FALSE,Investors!$K:$K,"&gt;"&amp;'NSST Print'!$B$3,Investors!$I:$I,"&lt;="&amp;'NSST Print'!$B$3,Investors!$A:$A,'Investor Exit List'!$A172,Investors!$E:$E,'Investor Exit List'!$C172,Investors!$L:$L,'Investor Exit List'!$B172)-(SUMIFS(Investors!$M:$M,Investors!$I:$I,"&lt;="&amp;'NSST Print'!$B$3,Investors!$J:$J,"&gt;"&amp;'NSST Print'!$B$3,Investors!$A:$A,'Investor Exit List'!$A172,Investors!$E:$E,'Investor Exit List'!$C172,Investors!$L:$L,'Investor Exit List'!$B172)+SUMIFS(Investors!$M:$M,Investors!$I:$I,"&lt;="&amp;'NSST Print'!$B$3,Investors!$J:$J,"",Investors!$A:$A,'Investor Exit List'!$A172,Investors!$E:$E,'Investor Exit List'!$C172,Investors!$L:$L,'Investor Exit List'!$B172))</f>
        <v>300000</v>
      </c>
      <c r="G172" s="118">
        <v>44889</v>
      </c>
      <c r="H172" s="116" t="b">
        <f>VLOOKUP($C172,Sales!$C:$E,2,FALSE)</f>
        <v>0</v>
      </c>
      <c r="I172" s="116" t="b">
        <f>VLOOKUP($C172,Sales!$C:$E,3,FALSE)</f>
        <v>0</v>
      </c>
      <c r="J172" s="118">
        <f>SUMIFS(Sales!$H:$H,Sales!$C:$C,'Investor Exit List'!$C172)</f>
        <v>45646</v>
      </c>
      <c r="K172" s="118" t="str">
        <f t="shared" si="24"/>
        <v/>
      </c>
      <c r="L172" s="118">
        <f t="shared" si="25"/>
        <v>45619</v>
      </c>
      <c r="M172" s="118">
        <v>45443</v>
      </c>
      <c r="N172" s="119">
        <f t="shared" si="26"/>
        <v>176</v>
      </c>
      <c r="O172" s="119">
        <f t="shared" si="27"/>
        <v>176</v>
      </c>
      <c r="P172" s="117">
        <f t="shared" si="28"/>
        <v>0</v>
      </c>
      <c r="Q172" s="117">
        <f>SUMIFS(Investors!$M:$M,Investors!$O:$O,FALSE,Investors!$P:$P,FALSE,Investors!$K:$K,"&gt;"&amp;'NSST Print'!$B$3,Investors!$I:$I,"&lt;="&amp;'NSST Print'!$B$3,Investors!$A:$A,'Investor Exit List'!$A172,Investors!$E:$E,'Investor Exit List'!$C172,Investors!$L:$L,'Investor Exit List'!$B172)-(SUMIFS(Investors!$M:$M,Investors!$I:$I,"&lt;="&amp;'NSST Print'!$B$3,Investors!$J:$J,"&gt;"&amp;'NSST Print'!$B$3,Investors!$A:$A,'Investor Exit List'!$A172,Investors!$E:$E,'Investor Exit List'!$C172,Investors!$L:$L,'Investor Exit List'!$B172)+SUMIFS(Investors!$M:$M,Investors!$I:$I,"&lt;="&amp;'NSST Print'!$B$3,Investors!$J:$J,"",Investors!$A:$A,'Investor Exit List'!$A172,Investors!$E:$E,'Investor Exit List'!$C172,Investors!$L:$L,'Investor Exit List'!$B172))+SUMIFS(Investors!$S:$S,Investors!$O:$O,FALSE,Investors!$P:$P,FALSE,Investors!$K:$K,"&gt;"&amp;'NSST Print'!$B$3,Investors!$I:$I,"&lt;="&amp;'NSST Print'!$B$3,Investors!$A:$A,'Investor Exit List'!$A172,Investors!$E:$E,'Investor Exit List'!$C172,Investors!$L:$L,'Investor Exit List'!$B172)-(SUMIFS(Investors!$S:$S,Investors!$I:$I,"&lt;="&amp;'NSST Print'!$B$3,Investors!$J:$J,"&gt;"&amp;'NSST Print'!$B$3,Investors!$A:$A,'Investor Exit List'!$A172,Investors!$E:$E,'Investor Exit List'!$C172,Investors!$L:$L,'Investor Exit List'!$B172)+SUMIFS(Investors!$S:$S,Investors!$I:$I,"&lt;="&amp;'NSST Print'!$B$3,Investors!$J:$J,"",Investors!$A:$A,'Investor Exit List'!$A172,Investors!$E:$E,'Investor Exit List'!$C172,Investors!$L:$L,'Investor Exit List'!$B172))</f>
        <v>393427.39726027398</v>
      </c>
      <c r="R172" s="117">
        <f t="shared" si="29"/>
        <v>0</v>
      </c>
      <c r="S172" s="117">
        <f>SUMIFS(Investors!$M:$M,Investors!$O:$O,TRUE,Investors!$A:$A,'Investor Exit List'!$A172,Investors!$E:$E,'Investor Exit List'!$C172,Investors!$L:$L,'Investor Exit List'!$B172)+SUMIFS(Investors!$S:$S,Investors!$O:$O,TRUE,Investors!$A:$A,'Investor Exit List'!$A172,Investors!$E:$E,'Investor Exit List'!$C172,Investors!$L:$L,'Investor Exit List'!$B172)</f>
        <v>0</v>
      </c>
      <c r="T172" s="118" t="str">
        <f t="shared" si="30"/>
        <v/>
      </c>
      <c r="U172" s="116" t="b">
        <v>0</v>
      </c>
      <c r="V172" s="117">
        <f t="shared" si="31"/>
        <v>0</v>
      </c>
      <c r="W172" s="116">
        <v>0</v>
      </c>
      <c r="X172" s="116" t="b">
        <v>0</v>
      </c>
      <c r="Y172" s="119">
        <f>IF(H172=FALSE,VLOOKUP($C172,Sales!$C:$F,4,FALSE),1)</f>
        <v>1</v>
      </c>
      <c r="Z172" s="116" t="str">
        <f t="shared" si="32"/>
        <v>Release</v>
      </c>
      <c r="AA172" s="118">
        <f t="shared" si="33"/>
        <v>45619</v>
      </c>
      <c r="AB172" s="118" t="str">
        <f t="shared" si="34"/>
        <v>HVC202-ZRIT01</v>
      </c>
      <c r="AC172" s="118">
        <f t="shared" si="35"/>
        <v>45619</v>
      </c>
    </row>
    <row r="173" spans="1:29" ht="16" x14ac:dyDescent="0.2">
      <c r="A173" s="116" t="s">
        <v>436</v>
      </c>
      <c r="B173" s="116">
        <v>1</v>
      </c>
      <c r="C173" s="116" t="s">
        <v>427</v>
      </c>
      <c r="D173" s="116" t="s">
        <v>388</v>
      </c>
      <c r="E173" s="116" t="s">
        <v>2128</v>
      </c>
      <c r="F173" s="117">
        <f>SUMIFS(Investors!$M:$M,Investors!$O:$O,FALSE,Investors!$P:$P,FALSE,Investors!$K:$K,"&gt;"&amp;'NSST Print'!$B$3,Investors!$I:$I,"&lt;="&amp;'NSST Print'!$B$3,Investors!$A:$A,'Investor Exit List'!$A173,Investors!$E:$E,'Investor Exit List'!$C173,Investors!$L:$L,'Investor Exit List'!$B173)-(SUMIFS(Investors!$M:$M,Investors!$I:$I,"&lt;="&amp;'NSST Print'!$B$3,Investors!$J:$J,"&gt;"&amp;'NSST Print'!$B$3,Investors!$A:$A,'Investor Exit List'!$A173,Investors!$E:$E,'Investor Exit List'!$C173,Investors!$L:$L,'Investor Exit List'!$B173)+SUMIFS(Investors!$M:$M,Investors!$I:$I,"&lt;="&amp;'NSST Print'!$B$3,Investors!$J:$J,"",Investors!$A:$A,'Investor Exit List'!$A173,Investors!$E:$E,'Investor Exit List'!$C173,Investors!$L:$L,'Investor Exit List'!$B173))</f>
        <v>100000</v>
      </c>
      <c r="G173" s="118">
        <v>44903</v>
      </c>
      <c r="H173" s="116" t="b">
        <f>VLOOKUP($C173,Sales!$C:$E,2,FALSE)</f>
        <v>0</v>
      </c>
      <c r="I173" s="116" t="b">
        <f>VLOOKUP($C173,Sales!$C:$E,3,FALSE)</f>
        <v>0</v>
      </c>
      <c r="J173" s="118">
        <f>SUMIFS(Sales!$H:$H,Sales!$C:$C,'Investor Exit List'!$C173)</f>
        <v>45646</v>
      </c>
      <c r="K173" s="118" t="str">
        <f t="shared" si="24"/>
        <v/>
      </c>
      <c r="L173" s="118">
        <f t="shared" si="25"/>
        <v>45633</v>
      </c>
      <c r="M173" s="118">
        <v>45443</v>
      </c>
      <c r="N173" s="119">
        <f t="shared" si="26"/>
        <v>190</v>
      </c>
      <c r="O173" s="119">
        <f t="shared" si="27"/>
        <v>0</v>
      </c>
      <c r="P173" s="117">
        <f t="shared" si="28"/>
        <v>0</v>
      </c>
      <c r="Q173" s="117">
        <f>SUMIFS(Investors!$M:$M,Investors!$O:$O,FALSE,Investors!$P:$P,FALSE,Investors!$K:$K,"&gt;"&amp;'NSST Print'!$B$3,Investors!$I:$I,"&lt;="&amp;'NSST Print'!$B$3,Investors!$A:$A,'Investor Exit List'!$A173,Investors!$E:$E,'Investor Exit List'!$C173,Investors!$L:$L,'Investor Exit List'!$B173)-(SUMIFS(Investors!$M:$M,Investors!$I:$I,"&lt;="&amp;'NSST Print'!$B$3,Investors!$J:$J,"&gt;"&amp;'NSST Print'!$B$3,Investors!$A:$A,'Investor Exit List'!$A173,Investors!$E:$E,'Investor Exit List'!$C173,Investors!$L:$L,'Investor Exit List'!$B173)+SUMIFS(Investors!$M:$M,Investors!$I:$I,"&lt;="&amp;'NSST Print'!$B$3,Investors!$J:$J,"",Investors!$A:$A,'Investor Exit List'!$A173,Investors!$E:$E,'Investor Exit List'!$C173,Investors!$L:$L,'Investor Exit List'!$B173))+SUMIFS(Investors!$S:$S,Investors!$O:$O,FALSE,Investors!$P:$P,FALSE,Investors!$K:$K,"&gt;"&amp;'NSST Print'!$B$3,Investors!$I:$I,"&lt;="&amp;'NSST Print'!$B$3,Investors!$A:$A,'Investor Exit List'!$A173,Investors!$E:$E,'Investor Exit List'!$C173,Investors!$L:$L,'Investor Exit List'!$B173)-(SUMIFS(Investors!$S:$S,Investors!$I:$I,"&lt;="&amp;'NSST Print'!$B$3,Investors!$J:$J,"&gt;"&amp;'NSST Print'!$B$3,Investors!$A:$A,'Investor Exit List'!$A173,Investors!$E:$E,'Investor Exit List'!$C173,Investors!$L:$L,'Investor Exit List'!$B173)+SUMIFS(Investors!$S:$S,Investors!$I:$I,"&lt;="&amp;'NSST Print'!$B$3,Investors!$J:$J,"",Investors!$A:$A,'Investor Exit List'!$A173,Investors!$E:$E,'Investor Exit List'!$C173,Investors!$L:$L,'Investor Exit List'!$B173))</f>
        <v>123673.97260273973</v>
      </c>
      <c r="R173" s="117">
        <f t="shared" si="29"/>
        <v>0</v>
      </c>
      <c r="S173" s="117">
        <f>SUMIFS(Investors!$M:$M,Investors!$O:$O,TRUE,Investors!$A:$A,'Investor Exit List'!$A173,Investors!$E:$E,'Investor Exit List'!$C173,Investors!$L:$L,'Investor Exit List'!$B173)+SUMIFS(Investors!$S:$S,Investors!$O:$O,TRUE,Investors!$A:$A,'Investor Exit List'!$A173,Investors!$E:$E,'Investor Exit List'!$C173,Investors!$L:$L,'Investor Exit List'!$B173)</f>
        <v>0</v>
      </c>
      <c r="T173" s="118" t="str">
        <f t="shared" si="30"/>
        <v/>
      </c>
      <c r="U173" s="116" t="b">
        <v>0</v>
      </c>
      <c r="V173" s="117">
        <f t="shared" si="31"/>
        <v>0</v>
      </c>
      <c r="W173" s="116">
        <v>0</v>
      </c>
      <c r="X173" s="116" t="b">
        <v>0</v>
      </c>
      <c r="Y173" s="119">
        <f>IF(H173=FALSE,VLOOKUP($C173,Sales!$C:$F,4,FALSE),1)</f>
        <v>1</v>
      </c>
      <c r="Z173" s="116" t="str">
        <f t="shared" si="32"/>
        <v/>
      </c>
      <c r="AA173" s="118">
        <f t="shared" si="33"/>
        <v>45619</v>
      </c>
      <c r="AB173" s="118" t="str">
        <f t="shared" si="34"/>
        <v>HVC202-ZVAN11</v>
      </c>
      <c r="AC173" s="118">
        <f t="shared" si="35"/>
        <v>45633</v>
      </c>
    </row>
    <row r="174" spans="1:29" ht="16" x14ac:dyDescent="0.2">
      <c r="A174" s="116" t="s">
        <v>439</v>
      </c>
      <c r="B174" s="116">
        <v>2</v>
      </c>
      <c r="C174" s="116" t="s">
        <v>442</v>
      </c>
      <c r="D174" s="116" t="s">
        <v>388</v>
      </c>
      <c r="E174" s="116" t="s">
        <v>2129</v>
      </c>
      <c r="F174" s="117">
        <f>SUMIFS(Investors!$M:$M,Investors!$O:$O,FALSE,Investors!$P:$P,FALSE,Investors!$K:$K,"&gt;"&amp;'NSST Print'!$B$3,Investors!$I:$I,"&lt;="&amp;'NSST Print'!$B$3,Investors!$A:$A,'Investor Exit List'!$A174,Investors!$E:$E,'Investor Exit List'!$C174,Investors!$L:$L,'Investor Exit List'!$B174)-(SUMIFS(Investors!$M:$M,Investors!$I:$I,"&lt;="&amp;'NSST Print'!$B$3,Investors!$J:$J,"&gt;"&amp;'NSST Print'!$B$3,Investors!$A:$A,'Investor Exit List'!$A174,Investors!$E:$E,'Investor Exit List'!$C174,Investors!$L:$L,'Investor Exit List'!$B174)+SUMIFS(Investors!$M:$M,Investors!$I:$I,"&lt;="&amp;'NSST Print'!$B$3,Investors!$J:$J,"",Investors!$A:$A,'Investor Exit List'!$A174,Investors!$E:$E,'Investor Exit List'!$C174,Investors!$L:$L,'Investor Exit List'!$B174))</f>
        <v>0</v>
      </c>
      <c r="G174" s="118">
        <v>44889</v>
      </c>
      <c r="H174" s="116" t="b">
        <f>VLOOKUP($C174,Sales!$C:$E,2,FALSE)</f>
        <v>1</v>
      </c>
      <c r="I174" s="116" t="b">
        <f>VLOOKUP($C174,Sales!$C:$E,3,FALSE)</f>
        <v>1</v>
      </c>
      <c r="J174" s="118">
        <f>SUMIFS(Sales!$H:$H,Sales!$C:$C,'Investor Exit List'!$C174)</f>
        <v>45688</v>
      </c>
      <c r="K174" s="118">
        <f t="shared" si="24"/>
        <v>45688</v>
      </c>
      <c r="L174" s="118">
        <f t="shared" si="25"/>
        <v>45619</v>
      </c>
      <c r="M174" s="118">
        <v>45443</v>
      </c>
      <c r="N174" s="119">
        <f t="shared" si="26"/>
        <v>0</v>
      </c>
      <c r="O174" s="119">
        <f t="shared" si="27"/>
        <v>0</v>
      </c>
      <c r="P174" s="117">
        <f t="shared" si="28"/>
        <v>0</v>
      </c>
      <c r="Q174" s="117">
        <f>SUMIFS(Investors!$M:$M,Investors!$O:$O,FALSE,Investors!$P:$P,FALSE,Investors!$K:$K,"&gt;"&amp;'NSST Print'!$B$3,Investors!$I:$I,"&lt;="&amp;'NSST Print'!$B$3,Investors!$A:$A,'Investor Exit List'!$A174,Investors!$E:$E,'Investor Exit List'!$C174,Investors!$L:$L,'Investor Exit List'!$B174)-(SUMIFS(Investors!$M:$M,Investors!$I:$I,"&lt;="&amp;'NSST Print'!$B$3,Investors!$J:$J,"&gt;"&amp;'NSST Print'!$B$3,Investors!$A:$A,'Investor Exit List'!$A174,Investors!$E:$E,'Investor Exit List'!$C174,Investors!$L:$L,'Investor Exit List'!$B174)+SUMIFS(Investors!$M:$M,Investors!$I:$I,"&lt;="&amp;'NSST Print'!$B$3,Investors!$J:$J,"",Investors!$A:$A,'Investor Exit List'!$A174,Investors!$E:$E,'Investor Exit List'!$C174,Investors!$L:$L,'Investor Exit List'!$B174))+SUMIFS(Investors!$S:$S,Investors!$O:$O,FALSE,Investors!$P:$P,FALSE,Investors!$K:$K,"&gt;"&amp;'NSST Print'!$B$3,Investors!$I:$I,"&lt;="&amp;'NSST Print'!$B$3,Investors!$A:$A,'Investor Exit List'!$A174,Investors!$E:$E,'Investor Exit List'!$C174,Investors!$L:$L,'Investor Exit List'!$B174)-(SUMIFS(Investors!$S:$S,Investors!$I:$I,"&lt;="&amp;'NSST Print'!$B$3,Investors!$J:$J,"&gt;"&amp;'NSST Print'!$B$3,Investors!$A:$A,'Investor Exit List'!$A174,Investors!$E:$E,'Investor Exit List'!$C174,Investors!$L:$L,'Investor Exit List'!$B174)+SUMIFS(Investors!$S:$S,Investors!$I:$I,"&lt;="&amp;'NSST Print'!$B$3,Investors!$J:$J,"",Investors!$A:$A,'Investor Exit List'!$A174,Investors!$E:$E,'Investor Exit List'!$C174,Investors!$L:$L,'Investor Exit List'!$B174))</f>
        <v>0</v>
      </c>
      <c r="R174" s="117">
        <f t="shared" si="29"/>
        <v>0</v>
      </c>
      <c r="S174" s="117">
        <f>SUMIFS(Investors!$M:$M,Investors!$O:$O,TRUE,Investors!$A:$A,'Investor Exit List'!$A174,Investors!$E:$E,'Investor Exit List'!$C174,Investors!$L:$L,'Investor Exit List'!$B174)+SUMIFS(Investors!$S:$S,Investors!$O:$O,TRUE,Investors!$A:$A,'Investor Exit List'!$A174,Investors!$E:$E,'Investor Exit List'!$C174,Investors!$L:$L,'Investor Exit List'!$B174)</f>
        <v>0</v>
      </c>
      <c r="T174" s="118" t="str">
        <f t="shared" si="30"/>
        <v/>
      </c>
      <c r="U174" s="116" t="b">
        <v>0</v>
      </c>
      <c r="V174" s="117">
        <f t="shared" si="31"/>
        <v>0</v>
      </c>
      <c r="W174" s="116">
        <v>0</v>
      </c>
      <c r="X174" s="116" t="b">
        <v>0</v>
      </c>
      <c r="Y174" s="119">
        <f>IF(H174=FALSE,VLOOKUP($C174,Sales!$C:$F,4,FALSE),1)</f>
        <v>1</v>
      </c>
      <c r="Z174" s="116" t="str">
        <f t="shared" si="32"/>
        <v/>
      </c>
      <c r="AA174" s="118">
        <f t="shared" si="33"/>
        <v>0</v>
      </c>
      <c r="AB174" s="118" t="str">
        <f t="shared" si="34"/>
        <v>HVC203-ZDEC01</v>
      </c>
      <c r="AC174" s="118">
        <f t="shared" si="35"/>
        <v>45619</v>
      </c>
    </row>
    <row r="175" spans="1:29" ht="16" x14ac:dyDescent="0.2">
      <c r="A175" s="116" t="s">
        <v>443</v>
      </c>
      <c r="B175" s="116">
        <v>2</v>
      </c>
      <c r="C175" s="116" t="s">
        <v>442</v>
      </c>
      <c r="D175" s="116" t="s">
        <v>388</v>
      </c>
      <c r="E175" s="116" t="s">
        <v>2130</v>
      </c>
      <c r="F175" s="117">
        <f>SUMIFS(Investors!$M:$M,Investors!$O:$O,FALSE,Investors!$P:$P,FALSE,Investors!$K:$K,"&gt;"&amp;'NSST Print'!$B$3,Investors!$I:$I,"&lt;="&amp;'NSST Print'!$B$3,Investors!$A:$A,'Investor Exit List'!$A175,Investors!$E:$E,'Investor Exit List'!$C175,Investors!$L:$L,'Investor Exit List'!$B175)-(SUMIFS(Investors!$M:$M,Investors!$I:$I,"&lt;="&amp;'NSST Print'!$B$3,Investors!$J:$J,"&gt;"&amp;'NSST Print'!$B$3,Investors!$A:$A,'Investor Exit List'!$A175,Investors!$E:$E,'Investor Exit List'!$C175,Investors!$L:$L,'Investor Exit List'!$B175)+SUMIFS(Investors!$M:$M,Investors!$I:$I,"&lt;="&amp;'NSST Print'!$B$3,Investors!$J:$J,"",Investors!$A:$A,'Investor Exit List'!$A175,Investors!$E:$E,'Investor Exit List'!$C175,Investors!$L:$L,'Investor Exit List'!$B175))</f>
        <v>0</v>
      </c>
      <c r="G175" s="118">
        <v>44889</v>
      </c>
      <c r="H175" s="116" t="b">
        <f>VLOOKUP($C175,Sales!$C:$E,2,FALSE)</f>
        <v>1</v>
      </c>
      <c r="I175" s="116" t="b">
        <f>VLOOKUP($C175,Sales!$C:$E,3,FALSE)</f>
        <v>1</v>
      </c>
      <c r="J175" s="118">
        <f>SUMIFS(Sales!$H:$H,Sales!$C:$C,'Investor Exit List'!$C175)</f>
        <v>45688</v>
      </c>
      <c r="K175" s="118">
        <f t="shared" si="24"/>
        <v>45688</v>
      </c>
      <c r="L175" s="118">
        <f t="shared" si="25"/>
        <v>45619</v>
      </c>
      <c r="M175" s="118">
        <v>45443</v>
      </c>
      <c r="N175" s="119">
        <f t="shared" si="26"/>
        <v>0</v>
      </c>
      <c r="O175" s="119">
        <f t="shared" si="27"/>
        <v>0</v>
      </c>
      <c r="P175" s="117">
        <f t="shared" si="28"/>
        <v>0</v>
      </c>
      <c r="Q175" s="117">
        <f>SUMIFS(Investors!$M:$M,Investors!$O:$O,FALSE,Investors!$P:$P,FALSE,Investors!$K:$K,"&gt;"&amp;'NSST Print'!$B$3,Investors!$I:$I,"&lt;="&amp;'NSST Print'!$B$3,Investors!$A:$A,'Investor Exit List'!$A175,Investors!$E:$E,'Investor Exit List'!$C175,Investors!$L:$L,'Investor Exit List'!$B175)-(SUMIFS(Investors!$M:$M,Investors!$I:$I,"&lt;="&amp;'NSST Print'!$B$3,Investors!$J:$J,"&gt;"&amp;'NSST Print'!$B$3,Investors!$A:$A,'Investor Exit List'!$A175,Investors!$E:$E,'Investor Exit List'!$C175,Investors!$L:$L,'Investor Exit List'!$B175)+SUMIFS(Investors!$M:$M,Investors!$I:$I,"&lt;="&amp;'NSST Print'!$B$3,Investors!$J:$J,"",Investors!$A:$A,'Investor Exit List'!$A175,Investors!$E:$E,'Investor Exit List'!$C175,Investors!$L:$L,'Investor Exit List'!$B175))+SUMIFS(Investors!$S:$S,Investors!$O:$O,FALSE,Investors!$P:$P,FALSE,Investors!$K:$K,"&gt;"&amp;'NSST Print'!$B$3,Investors!$I:$I,"&lt;="&amp;'NSST Print'!$B$3,Investors!$A:$A,'Investor Exit List'!$A175,Investors!$E:$E,'Investor Exit List'!$C175,Investors!$L:$L,'Investor Exit List'!$B175)-(SUMIFS(Investors!$S:$S,Investors!$I:$I,"&lt;="&amp;'NSST Print'!$B$3,Investors!$J:$J,"&gt;"&amp;'NSST Print'!$B$3,Investors!$A:$A,'Investor Exit List'!$A175,Investors!$E:$E,'Investor Exit List'!$C175,Investors!$L:$L,'Investor Exit List'!$B175)+SUMIFS(Investors!$S:$S,Investors!$I:$I,"&lt;="&amp;'NSST Print'!$B$3,Investors!$J:$J,"",Investors!$A:$A,'Investor Exit List'!$A175,Investors!$E:$E,'Investor Exit List'!$C175,Investors!$L:$L,'Investor Exit List'!$B175))</f>
        <v>0</v>
      </c>
      <c r="R175" s="117">
        <f t="shared" si="29"/>
        <v>0</v>
      </c>
      <c r="S175" s="117">
        <f>SUMIFS(Investors!$M:$M,Investors!$O:$O,TRUE,Investors!$A:$A,'Investor Exit List'!$A175,Investors!$E:$E,'Investor Exit List'!$C175,Investors!$L:$L,'Investor Exit List'!$B175)+SUMIFS(Investors!$S:$S,Investors!$O:$O,TRUE,Investors!$A:$A,'Investor Exit List'!$A175,Investors!$E:$E,'Investor Exit List'!$C175,Investors!$L:$L,'Investor Exit List'!$B175)</f>
        <v>0</v>
      </c>
      <c r="T175" s="118" t="str">
        <f t="shared" si="30"/>
        <v/>
      </c>
      <c r="U175" s="116" t="b">
        <v>0</v>
      </c>
      <c r="V175" s="117">
        <f t="shared" si="31"/>
        <v>0</v>
      </c>
      <c r="W175" s="116">
        <v>0</v>
      </c>
      <c r="X175" s="116" t="b">
        <v>0</v>
      </c>
      <c r="Y175" s="119">
        <f>IF(H175=FALSE,VLOOKUP($C175,Sales!$C:$F,4,FALSE),1)</f>
        <v>1</v>
      </c>
      <c r="Z175" s="116" t="str">
        <f t="shared" si="32"/>
        <v/>
      </c>
      <c r="AA175" s="118">
        <f t="shared" si="33"/>
        <v>0</v>
      </c>
      <c r="AB175" s="118" t="str">
        <f t="shared" si="34"/>
        <v>HVC203-ZNIE02</v>
      </c>
      <c r="AC175" s="118">
        <f t="shared" si="35"/>
        <v>45619</v>
      </c>
    </row>
    <row r="176" spans="1:29" ht="16" x14ac:dyDescent="0.2">
      <c r="A176" s="116" t="s">
        <v>52</v>
      </c>
      <c r="B176" s="116">
        <v>13</v>
      </c>
      <c r="C176" s="116" t="s">
        <v>446</v>
      </c>
      <c r="D176" s="116" t="s">
        <v>388</v>
      </c>
      <c r="E176" s="116" t="s">
        <v>2017</v>
      </c>
      <c r="F176" s="117">
        <f>SUMIFS(Investors!$M:$M,Investors!$O:$O,FALSE,Investors!$P:$P,FALSE,Investors!$K:$K,"&gt;"&amp;'NSST Print'!$B$3,Investors!$I:$I,"&lt;="&amp;'NSST Print'!$B$3,Investors!$A:$A,'Investor Exit List'!$A176,Investors!$E:$E,'Investor Exit List'!$C176,Investors!$L:$L,'Investor Exit List'!$B176)-(SUMIFS(Investors!$M:$M,Investors!$I:$I,"&lt;="&amp;'NSST Print'!$B$3,Investors!$J:$J,"&gt;"&amp;'NSST Print'!$B$3,Investors!$A:$A,'Investor Exit List'!$A176,Investors!$E:$E,'Investor Exit List'!$C176,Investors!$L:$L,'Investor Exit List'!$B176)+SUMIFS(Investors!$M:$M,Investors!$I:$I,"&lt;="&amp;'NSST Print'!$B$3,Investors!$J:$J,"",Investors!$A:$A,'Investor Exit List'!$A176,Investors!$E:$E,'Investor Exit List'!$C176,Investors!$L:$L,'Investor Exit List'!$B176))</f>
        <v>150000</v>
      </c>
      <c r="G176" s="118">
        <v>45107</v>
      </c>
      <c r="H176" s="116" t="b">
        <f>VLOOKUP($C176,Sales!$C:$E,2,FALSE)</f>
        <v>0</v>
      </c>
      <c r="I176" s="116" t="b">
        <f>VLOOKUP($C176,Sales!$C:$E,3,FALSE)</f>
        <v>0</v>
      </c>
      <c r="J176" s="118">
        <f>SUMIFS(Sales!$H:$H,Sales!$C:$C,'Investor Exit List'!$C176)</f>
        <v>45646</v>
      </c>
      <c r="K176" s="118" t="str">
        <f t="shared" si="24"/>
        <v/>
      </c>
      <c r="L176" s="118">
        <f t="shared" si="25"/>
        <v>45837</v>
      </c>
      <c r="M176" s="118">
        <v>45443</v>
      </c>
      <c r="N176" s="119">
        <f t="shared" si="26"/>
        <v>394</v>
      </c>
      <c r="O176" s="119">
        <f t="shared" si="27"/>
        <v>0</v>
      </c>
      <c r="P176" s="117">
        <f t="shared" si="28"/>
        <v>0</v>
      </c>
      <c r="Q176" s="117">
        <f>SUMIFS(Investors!$M:$M,Investors!$O:$O,FALSE,Investors!$P:$P,FALSE,Investors!$K:$K,"&gt;"&amp;'NSST Print'!$B$3,Investors!$I:$I,"&lt;="&amp;'NSST Print'!$B$3,Investors!$A:$A,'Investor Exit List'!$A176,Investors!$E:$E,'Investor Exit List'!$C176,Investors!$L:$L,'Investor Exit List'!$B176)-(SUMIFS(Investors!$M:$M,Investors!$I:$I,"&lt;="&amp;'NSST Print'!$B$3,Investors!$J:$J,"&gt;"&amp;'NSST Print'!$B$3,Investors!$A:$A,'Investor Exit List'!$A176,Investors!$E:$E,'Investor Exit List'!$C176,Investors!$L:$L,'Investor Exit List'!$B176)+SUMIFS(Investors!$M:$M,Investors!$I:$I,"&lt;="&amp;'NSST Print'!$B$3,Investors!$J:$J,"",Investors!$A:$A,'Investor Exit List'!$A176,Investors!$E:$E,'Investor Exit List'!$C176,Investors!$L:$L,'Investor Exit List'!$B176))+SUMIFS(Investors!$S:$S,Investors!$O:$O,FALSE,Investors!$P:$P,FALSE,Investors!$K:$K,"&gt;"&amp;'NSST Print'!$B$3,Investors!$I:$I,"&lt;="&amp;'NSST Print'!$B$3,Investors!$A:$A,'Investor Exit List'!$A176,Investors!$E:$E,'Investor Exit List'!$C176,Investors!$L:$L,'Investor Exit List'!$B176)-(SUMIFS(Investors!$S:$S,Investors!$I:$I,"&lt;="&amp;'NSST Print'!$B$3,Investors!$J:$J,"&gt;"&amp;'NSST Print'!$B$3,Investors!$A:$A,'Investor Exit List'!$A176,Investors!$E:$E,'Investor Exit List'!$C176,Investors!$L:$L,'Investor Exit List'!$B176)+SUMIFS(Investors!$S:$S,Investors!$I:$I,"&lt;="&amp;'NSST Print'!$B$3,Investors!$J:$J,"",Investors!$A:$A,'Investor Exit List'!$A176,Investors!$E:$E,'Investor Exit List'!$C176,Investors!$L:$L,'Investor Exit List'!$B176))</f>
        <v>186265.06849315067</v>
      </c>
      <c r="R176" s="117">
        <f t="shared" si="29"/>
        <v>0</v>
      </c>
      <c r="S176" s="117">
        <f>SUMIFS(Investors!$M:$M,Investors!$O:$O,TRUE,Investors!$A:$A,'Investor Exit List'!$A176,Investors!$E:$E,'Investor Exit List'!$C176,Investors!$L:$L,'Investor Exit List'!$B176)+SUMIFS(Investors!$S:$S,Investors!$O:$O,TRUE,Investors!$A:$A,'Investor Exit List'!$A176,Investors!$E:$E,'Investor Exit List'!$C176,Investors!$L:$L,'Investor Exit List'!$B176)</f>
        <v>0</v>
      </c>
      <c r="T176" s="118" t="str">
        <f t="shared" si="30"/>
        <v/>
      </c>
      <c r="U176" s="116" t="b">
        <v>0</v>
      </c>
      <c r="V176" s="117">
        <f t="shared" si="31"/>
        <v>0</v>
      </c>
      <c r="W176" s="116">
        <v>0</v>
      </c>
      <c r="X176" s="116" t="b">
        <v>0</v>
      </c>
      <c r="Y176" s="119">
        <f>IF(H176=FALSE,VLOOKUP($C176,Sales!$C:$F,4,FALSE),1)</f>
        <v>1</v>
      </c>
      <c r="Z176" s="116" t="str">
        <f t="shared" si="32"/>
        <v/>
      </c>
      <c r="AA176" s="118">
        <f t="shared" si="33"/>
        <v>45619</v>
      </c>
      <c r="AB176" s="118" t="str">
        <f t="shared" si="34"/>
        <v>HVC204-ZCRO01</v>
      </c>
      <c r="AC176" s="118">
        <f t="shared" si="35"/>
        <v>45837</v>
      </c>
    </row>
    <row r="177" spans="1:29" ht="16" x14ac:dyDescent="0.2">
      <c r="A177" s="116" t="s">
        <v>111</v>
      </c>
      <c r="B177" s="116">
        <v>3</v>
      </c>
      <c r="C177" s="116" t="s">
        <v>446</v>
      </c>
      <c r="D177" s="116" t="s">
        <v>388</v>
      </c>
      <c r="E177" s="116" t="s">
        <v>2035</v>
      </c>
      <c r="F177" s="117">
        <f>SUMIFS(Investors!$M:$M,Investors!$O:$O,FALSE,Investors!$P:$P,FALSE,Investors!$K:$K,"&gt;"&amp;'NSST Print'!$B$3,Investors!$I:$I,"&lt;="&amp;'NSST Print'!$B$3,Investors!$A:$A,'Investor Exit List'!$A177,Investors!$E:$E,'Investor Exit List'!$C177,Investors!$L:$L,'Investor Exit List'!$B177)-(SUMIFS(Investors!$M:$M,Investors!$I:$I,"&lt;="&amp;'NSST Print'!$B$3,Investors!$J:$J,"&gt;"&amp;'NSST Print'!$B$3,Investors!$A:$A,'Investor Exit List'!$A177,Investors!$E:$E,'Investor Exit List'!$C177,Investors!$L:$L,'Investor Exit List'!$B177)+SUMIFS(Investors!$M:$M,Investors!$I:$I,"&lt;="&amp;'NSST Print'!$B$3,Investors!$J:$J,"",Investors!$A:$A,'Investor Exit List'!$A177,Investors!$E:$E,'Investor Exit List'!$C177,Investors!$L:$L,'Investor Exit List'!$B177))</f>
        <v>113202.05</v>
      </c>
      <c r="G177" s="118">
        <v>44916</v>
      </c>
      <c r="H177" s="116" t="b">
        <f>VLOOKUP($C177,Sales!$C:$E,2,FALSE)</f>
        <v>0</v>
      </c>
      <c r="I177" s="116" t="b">
        <f>VLOOKUP($C177,Sales!$C:$E,3,FALSE)</f>
        <v>0</v>
      </c>
      <c r="J177" s="118">
        <f>SUMIFS(Sales!$H:$H,Sales!$C:$C,'Investor Exit List'!$C177)</f>
        <v>45646</v>
      </c>
      <c r="K177" s="118" t="str">
        <f t="shared" si="24"/>
        <v/>
      </c>
      <c r="L177" s="118">
        <f t="shared" si="25"/>
        <v>45646</v>
      </c>
      <c r="M177" s="118">
        <v>45443</v>
      </c>
      <c r="N177" s="119">
        <f t="shared" si="26"/>
        <v>203</v>
      </c>
      <c r="O177" s="119">
        <f t="shared" si="27"/>
        <v>0</v>
      </c>
      <c r="P177" s="117">
        <f t="shared" si="28"/>
        <v>0</v>
      </c>
      <c r="Q177" s="117">
        <f>SUMIFS(Investors!$M:$M,Investors!$O:$O,FALSE,Investors!$P:$P,FALSE,Investors!$K:$K,"&gt;"&amp;'NSST Print'!$B$3,Investors!$I:$I,"&lt;="&amp;'NSST Print'!$B$3,Investors!$A:$A,'Investor Exit List'!$A177,Investors!$E:$E,'Investor Exit List'!$C177,Investors!$L:$L,'Investor Exit List'!$B177)-(SUMIFS(Investors!$M:$M,Investors!$I:$I,"&lt;="&amp;'NSST Print'!$B$3,Investors!$J:$J,"&gt;"&amp;'NSST Print'!$B$3,Investors!$A:$A,'Investor Exit List'!$A177,Investors!$E:$E,'Investor Exit List'!$C177,Investors!$L:$L,'Investor Exit List'!$B177)+SUMIFS(Investors!$M:$M,Investors!$I:$I,"&lt;="&amp;'NSST Print'!$B$3,Investors!$J:$J,"",Investors!$A:$A,'Investor Exit List'!$A177,Investors!$E:$E,'Investor Exit List'!$C177,Investors!$L:$L,'Investor Exit List'!$B177))+SUMIFS(Investors!$S:$S,Investors!$O:$O,FALSE,Investors!$P:$P,FALSE,Investors!$K:$K,"&gt;"&amp;'NSST Print'!$B$3,Investors!$I:$I,"&lt;="&amp;'NSST Print'!$B$3,Investors!$A:$A,'Investor Exit List'!$A177,Investors!$E:$E,'Investor Exit List'!$C177,Investors!$L:$L,'Investor Exit List'!$B177)-(SUMIFS(Investors!$S:$S,Investors!$I:$I,"&lt;="&amp;'NSST Print'!$B$3,Investors!$J:$J,"&gt;"&amp;'NSST Print'!$B$3,Investors!$A:$A,'Investor Exit List'!$A177,Investors!$E:$E,'Investor Exit List'!$C177,Investors!$L:$L,'Investor Exit List'!$B177)+SUMIFS(Investors!$S:$S,Investors!$I:$I,"&lt;="&amp;'NSST Print'!$B$3,Investors!$J:$J,"",Investors!$A:$A,'Investor Exit List'!$A177,Investors!$E:$E,'Investor Exit List'!$C177,Investors!$L:$L,'Investor Exit List'!$B177))</f>
        <v>140720.22778458905</v>
      </c>
      <c r="R177" s="117">
        <f t="shared" si="29"/>
        <v>0</v>
      </c>
      <c r="S177" s="117">
        <f>SUMIFS(Investors!$M:$M,Investors!$O:$O,TRUE,Investors!$A:$A,'Investor Exit List'!$A177,Investors!$E:$E,'Investor Exit List'!$C177,Investors!$L:$L,'Investor Exit List'!$B177)+SUMIFS(Investors!$S:$S,Investors!$O:$O,TRUE,Investors!$A:$A,'Investor Exit List'!$A177,Investors!$E:$E,'Investor Exit List'!$C177,Investors!$L:$L,'Investor Exit List'!$B177)</f>
        <v>0</v>
      </c>
      <c r="T177" s="118" t="str">
        <f t="shared" si="30"/>
        <v/>
      </c>
      <c r="U177" s="116" t="b">
        <v>0</v>
      </c>
      <c r="V177" s="117">
        <f t="shared" si="31"/>
        <v>0</v>
      </c>
      <c r="W177" s="116">
        <v>0</v>
      </c>
      <c r="X177" s="116" t="b">
        <v>0</v>
      </c>
      <c r="Y177" s="119">
        <f>IF(H177=FALSE,VLOOKUP($C177,Sales!$C:$F,4,FALSE),1)</f>
        <v>1</v>
      </c>
      <c r="Z177" s="116" t="str">
        <f t="shared" si="32"/>
        <v/>
      </c>
      <c r="AA177" s="118">
        <f t="shared" si="33"/>
        <v>45619</v>
      </c>
      <c r="AB177" s="118" t="str">
        <f t="shared" si="34"/>
        <v>HVC204-ZFEM01</v>
      </c>
      <c r="AC177" s="118">
        <f t="shared" si="35"/>
        <v>45646</v>
      </c>
    </row>
    <row r="178" spans="1:29" ht="16" x14ac:dyDescent="0.2">
      <c r="A178" s="116" t="s">
        <v>447</v>
      </c>
      <c r="B178" s="116">
        <v>3</v>
      </c>
      <c r="C178" s="116" t="s">
        <v>446</v>
      </c>
      <c r="D178" s="116" t="s">
        <v>388</v>
      </c>
      <c r="E178" s="116" t="s">
        <v>2131</v>
      </c>
      <c r="F178" s="117">
        <f>SUMIFS(Investors!$M:$M,Investors!$O:$O,FALSE,Investors!$P:$P,FALSE,Investors!$K:$K,"&gt;"&amp;'NSST Print'!$B$3,Investors!$I:$I,"&lt;="&amp;'NSST Print'!$B$3,Investors!$A:$A,'Investor Exit List'!$A178,Investors!$E:$E,'Investor Exit List'!$C178,Investors!$L:$L,'Investor Exit List'!$B178)-(SUMIFS(Investors!$M:$M,Investors!$I:$I,"&lt;="&amp;'NSST Print'!$B$3,Investors!$J:$J,"&gt;"&amp;'NSST Print'!$B$3,Investors!$A:$A,'Investor Exit List'!$A178,Investors!$E:$E,'Investor Exit List'!$C178,Investors!$L:$L,'Investor Exit List'!$B178)+SUMIFS(Investors!$M:$M,Investors!$I:$I,"&lt;="&amp;'NSST Print'!$B$3,Investors!$J:$J,"",Investors!$A:$A,'Investor Exit List'!$A178,Investors!$E:$E,'Investor Exit List'!$C178,Investors!$L:$L,'Investor Exit List'!$B178))</f>
        <v>275583.65000000002</v>
      </c>
      <c r="G178" s="118">
        <v>44889</v>
      </c>
      <c r="H178" s="116" t="b">
        <f>VLOOKUP($C178,Sales!$C:$E,2,FALSE)</f>
        <v>0</v>
      </c>
      <c r="I178" s="116" t="b">
        <f>VLOOKUP($C178,Sales!$C:$E,3,FALSE)</f>
        <v>0</v>
      </c>
      <c r="J178" s="118">
        <f>SUMIFS(Sales!$H:$H,Sales!$C:$C,'Investor Exit List'!$C178)</f>
        <v>45646</v>
      </c>
      <c r="K178" s="118" t="str">
        <f t="shared" si="24"/>
        <v/>
      </c>
      <c r="L178" s="118">
        <f t="shared" si="25"/>
        <v>45619</v>
      </c>
      <c r="M178" s="118">
        <v>45443</v>
      </c>
      <c r="N178" s="119">
        <f t="shared" si="26"/>
        <v>176</v>
      </c>
      <c r="O178" s="119">
        <f t="shared" si="27"/>
        <v>176</v>
      </c>
      <c r="P178" s="117">
        <f t="shared" si="28"/>
        <v>0</v>
      </c>
      <c r="Q178" s="117">
        <f>SUMIFS(Investors!$M:$M,Investors!$O:$O,FALSE,Investors!$P:$P,FALSE,Investors!$K:$K,"&gt;"&amp;'NSST Print'!$B$3,Investors!$I:$I,"&lt;="&amp;'NSST Print'!$B$3,Investors!$A:$A,'Investor Exit List'!$A178,Investors!$E:$E,'Investor Exit List'!$C178,Investors!$L:$L,'Investor Exit List'!$B178)-(SUMIFS(Investors!$M:$M,Investors!$I:$I,"&lt;="&amp;'NSST Print'!$B$3,Investors!$J:$J,"&gt;"&amp;'NSST Print'!$B$3,Investors!$A:$A,'Investor Exit List'!$A178,Investors!$E:$E,'Investor Exit List'!$C178,Investors!$L:$L,'Investor Exit List'!$B178)+SUMIFS(Investors!$M:$M,Investors!$I:$I,"&lt;="&amp;'NSST Print'!$B$3,Investors!$J:$J,"",Investors!$A:$A,'Investor Exit List'!$A178,Investors!$E:$E,'Investor Exit List'!$C178,Investors!$L:$L,'Investor Exit List'!$B178))+SUMIFS(Investors!$S:$S,Investors!$O:$O,FALSE,Investors!$P:$P,FALSE,Investors!$K:$K,"&gt;"&amp;'NSST Print'!$B$3,Investors!$I:$I,"&lt;="&amp;'NSST Print'!$B$3,Investors!$A:$A,'Investor Exit List'!$A178,Investors!$E:$E,'Investor Exit List'!$C178,Investors!$L:$L,'Investor Exit List'!$B178)-(SUMIFS(Investors!$S:$S,Investors!$I:$I,"&lt;="&amp;'NSST Print'!$B$3,Investors!$J:$J,"&gt;"&amp;'NSST Print'!$B$3,Investors!$A:$A,'Investor Exit List'!$A178,Investors!$E:$E,'Investor Exit List'!$C178,Investors!$L:$L,'Investor Exit List'!$B178)+SUMIFS(Investors!$S:$S,Investors!$I:$I,"&lt;="&amp;'NSST Print'!$B$3,Investors!$J:$J,"",Investors!$A:$A,'Investor Exit List'!$A178,Investors!$E:$E,'Investor Exit List'!$C178,Investors!$L:$L,'Investor Exit List'!$B178))</f>
        <v>345717.80136575346</v>
      </c>
      <c r="R178" s="117">
        <f t="shared" si="29"/>
        <v>0</v>
      </c>
      <c r="S178" s="117">
        <f>SUMIFS(Investors!$M:$M,Investors!$O:$O,TRUE,Investors!$A:$A,'Investor Exit List'!$A178,Investors!$E:$E,'Investor Exit List'!$C178,Investors!$L:$L,'Investor Exit List'!$B178)+SUMIFS(Investors!$S:$S,Investors!$O:$O,TRUE,Investors!$A:$A,'Investor Exit List'!$A178,Investors!$E:$E,'Investor Exit List'!$C178,Investors!$L:$L,'Investor Exit List'!$B178)</f>
        <v>0</v>
      </c>
      <c r="T178" s="118" t="str">
        <f t="shared" si="30"/>
        <v/>
      </c>
      <c r="U178" s="116" t="b">
        <v>0</v>
      </c>
      <c r="V178" s="117">
        <f t="shared" si="31"/>
        <v>0</v>
      </c>
      <c r="W178" s="116">
        <v>0</v>
      </c>
      <c r="X178" s="116" t="b">
        <v>0</v>
      </c>
      <c r="Y178" s="119">
        <f>IF(H178=FALSE,VLOOKUP($C178,Sales!$C:$F,4,FALSE),1)</f>
        <v>1</v>
      </c>
      <c r="Z178" s="116" t="str">
        <f t="shared" si="32"/>
        <v>Release</v>
      </c>
      <c r="AA178" s="118">
        <f t="shared" si="33"/>
        <v>45619</v>
      </c>
      <c r="AB178" s="118" t="str">
        <f t="shared" si="34"/>
        <v>HVC204-ZKUS02</v>
      </c>
      <c r="AC178" s="118">
        <f t="shared" si="35"/>
        <v>45619</v>
      </c>
    </row>
    <row r="179" spans="1:29" ht="16" x14ac:dyDescent="0.2">
      <c r="A179" s="116" t="s">
        <v>449</v>
      </c>
      <c r="B179" s="116">
        <v>3</v>
      </c>
      <c r="C179" s="116" t="s">
        <v>446</v>
      </c>
      <c r="D179" s="116" t="s">
        <v>388</v>
      </c>
      <c r="E179" s="116" t="s">
        <v>2132</v>
      </c>
      <c r="F179" s="117">
        <f>SUMIFS(Investors!$M:$M,Investors!$O:$O,FALSE,Investors!$P:$P,FALSE,Investors!$K:$K,"&gt;"&amp;'NSST Print'!$B$3,Investors!$I:$I,"&lt;="&amp;'NSST Print'!$B$3,Investors!$A:$A,'Investor Exit List'!$A179,Investors!$E:$E,'Investor Exit List'!$C179,Investors!$L:$L,'Investor Exit List'!$B179)-(SUMIFS(Investors!$M:$M,Investors!$I:$I,"&lt;="&amp;'NSST Print'!$B$3,Investors!$J:$J,"&gt;"&amp;'NSST Print'!$B$3,Investors!$A:$A,'Investor Exit List'!$A179,Investors!$E:$E,'Investor Exit List'!$C179,Investors!$L:$L,'Investor Exit List'!$B179)+SUMIFS(Investors!$M:$M,Investors!$I:$I,"&lt;="&amp;'NSST Print'!$B$3,Investors!$J:$J,"",Investors!$A:$A,'Investor Exit List'!$A179,Investors!$E:$E,'Investor Exit List'!$C179,Investors!$L:$L,'Investor Exit List'!$B179))</f>
        <v>200000</v>
      </c>
      <c r="G179" s="118">
        <v>44889</v>
      </c>
      <c r="H179" s="116" t="b">
        <f>VLOOKUP($C179,Sales!$C:$E,2,FALSE)</f>
        <v>0</v>
      </c>
      <c r="I179" s="116" t="b">
        <f>VLOOKUP($C179,Sales!$C:$E,3,FALSE)</f>
        <v>0</v>
      </c>
      <c r="J179" s="118">
        <f>SUMIFS(Sales!$H:$H,Sales!$C:$C,'Investor Exit List'!$C179)</f>
        <v>45646</v>
      </c>
      <c r="K179" s="118" t="str">
        <f t="shared" si="24"/>
        <v/>
      </c>
      <c r="L179" s="118">
        <f t="shared" si="25"/>
        <v>45619</v>
      </c>
      <c r="M179" s="118">
        <v>45443</v>
      </c>
      <c r="N179" s="119">
        <f t="shared" si="26"/>
        <v>176</v>
      </c>
      <c r="O179" s="119">
        <f t="shared" si="27"/>
        <v>176</v>
      </c>
      <c r="P179" s="117">
        <f t="shared" si="28"/>
        <v>0</v>
      </c>
      <c r="Q179" s="117">
        <f>SUMIFS(Investors!$M:$M,Investors!$O:$O,FALSE,Investors!$P:$P,FALSE,Investors!$K:$K,"&gt;"&amp;'NSST Print'!$B$3,Investors!$I:$I,"&lt;="&amp;'NSST Print'!$B$3,Investors!$A:$A,'Investor Exit List'!$A179,Investors!$E:$E,'Investor Exit List'!$C179,Investors!$L:$L,'Investor Exit List'!$B179)-(SUMIFS(Investors!$M:$M,Investors!$I:$I,"&lt;="&amp;'NSST Print'!$B$3,Investors!$J:$J,"&gt;"&amp;'NSST Print'!$B$3,Investors!$A:$A,'Investor Exit List'!$A179,Investors!$E:$E,'Investor Exit List'!$C179,Investors!$L:$L,'Investor Exit List'!$B179)+SUMIFS(Investors!$M:$M,Investors!$I:$I,"&lt;="&amp;'NSST Print'!$B$3,Investors!$J:$J,"",Investors!$A:$A,'Investor Exit List'!$A179,Investors!$E:$E,'Investor Exit List'!$C179,Investors!$L:$L,'Investor Exit List'!$B179))+SUMIFS(Investors!$S:$S,Investors!$O:$O,FALSE,Investors!$P:$P,FALSE,Investors!$K:$K,"&gt;"&amp;'NSST Print'!$B$3,Investors!$I:$I,"&lt;="&amp;'NSST Print'!$B$3,Investors!$A:$A,'Investor Exit List'!$A179,Investors!$E:$E,'Investor Exit List'!$C179,Investors!$L:$L,'Investor Exit List'!$B179)-(SUMIFS(Investors!$S:$S,Investors!$I:$I,"&lt;="&amp;'NSST Print'!$B$3,Investors!$J:$J,"&gt;"&amp;'NSST Print'!$B$3,Investors!$A:$A,'Investor Exit List'!$A179,Investors!$E:$E,'Investor Exit List'!$C179,Investors!$L:$L,'Investor Exit List'!$B179)+SUMIFS(Investors!$S:$S,Investors!$I:$I,"&lt;="&amp;'NSST Print'!$B$3,Investors!$J:$J,"",Investors!$A:$A,'Investor Exit List'!$A179,Investors!$E:$E,'Investor Exit List'!$C179,Investors!$L:$L,'Investor Exit List'!$B179))</f>
        <v>257726.02739726027</v>
      </c>
      <c r="R179" s="117">
        <f t="shared" si="29"/>
        <v>0</v>
      </c>
      <c r="S179" s="117">
        <f>SUMIFS(Investors!$M:$M,Investors!$O:$O,TRUE,Investors!$A:$A,'Investor Exit List'!$A179,Investors!$E:$E,'Investor Exit List'!$C179,Investors!$L:$L,'Investor Exit List'!$B179)+SUMIFS(Investors!$S:$S,Investors!$O:$O,TRUE,Investors!$A:$A,'Investor Exit List'!$A179,Investors!$E:$E,'Investor Exit List'!$C179,Investors!$L:$L,'Investor Exit List'!$B179)</f>
        <v>0</v>
      </c>
      <c r="T179" s="118" t="str">
        <f t="shared" si="30"/>
        <v/>
      </c>
      <c r="U179" s="116" t="b">
        <v>0</v>
      </c>
      <c r="V179" s="117">
        <f t="shared" si="31"/>
        <v>0</v>
      </c>
      <c r="W179" s="116">
        <v>0</v>
      </c>
      <c r="X179" s="116" t="b">
        <v>0</v>
      </c>
      <c r="Y179" s="119">
        <f>IF(H179=FALSE,VLOOKUP($C179,Sales!$C:$F,4,FALSE),1)</f>
        <v>1</v>
      </c>
      <c r="Z179" s="116" t="str">
        <f t="shared" si="32"/>
        <v>Release</v>
      </c>
      <c r="AA179" s="118">
        <f t="shared" si="33"/>
        <v>45619</v>
      </c>
      <c r="AB179" s="118" t="str">
        <f t="shared" si="34"/>
        <v>HVC204-ZSTO01</v>
      </c>
      <c r="AC179" s="118">
        <f t="shared" si="35"/>
        <v>45619</v>
      </c>
    </row>
    <row r="180" spans="1:29" ht="16" x14ac:dyDescent="0.2">
      <c r="A180" s="116" t="s">
        <v>452</v>
      </c>
      <c r="B180" s="116">
        <v>1</v>
      </c>
      <c r="C180" s="116" t="s">
        <v>446</v>
      </c>
      <c r="D180" s="116" t="s">
        <v>388</v>
      </c>
      <c r="E180" s="116" t="s">
        <v>2133</v>
      </c>
      <c r="F180" s="117">
        <f>SUMIFS(Investors!$M:$M,Investors!$O:$O,FALSE,Investors!$P:$P,FALSE,Investors!$K:$K,"&gt;"&amp;'NSST Print'!$B$3,Investors!$I:$I,"&lt;="&amp;'NSST Print'!$B$3,Investors!$A:$A,'Investor Exit List'!$A180,Investors!$E:$E,'Investor Exit List'!$C180,Investors!$L:$L,'Investor Exit List'!$B180)-(SUMIFS(Investors!$M:$M,Investors!$I:$I,"&lt;="&amp;'NSST Print'!$B$3,Investors!$J:$J,"&gt;"&amp;'NSST Print'!$B$3,Investors!$A:$A,'Investor Exit List'!$A180,Investors!$E:$E,'Investor Exit List'!$C180,Investors!$L:$L,'Investor Exit List'!$B180)+SUMIFS(Investors!$M:$M,Investors!$I:$I,"&lt;="&amp;'NSST Print'!$B$3,Investors!$J:$J,"",Investors!$A:$A,'Investor Exit List'!$A180,Investors!$E:$E,'Investor Exit List'!$C180,Investors!$L:$L,'Investor Exit List'!$B180))</f>
        <v>250000</v>
      </c>
      <c r="G180" s="118">
        <v>44889</v>
      </c>
      <c r="H180" s="116" t="b">
        <f>VLOOKUP($C180,Sales!$C:$E,2,FALSE)</f>
        <v>0</v>
      </c>
      <c r="I180" s="116" t="b">
        <f>VLOOKUP($C180,Sales!$C:$E,3,FALSE)</f>
        <v>0</v>
      </c>
      <c r="J180" s="118">
        <f>SUMIFS(Sales!$H:$H,Sales!$C:$C,'Investor Exit List'!$C180)</f>
        <v>45646</v>
      </c>
      <c r="K180" s="118" t="str">
        <f t="shared" si="24"/>
        <v/>
      </c>
      <c r="L180" s="118">
        <f t="shared" si="25"/>
        <v>45619</v>
      </c>
      <c r="M180" s="118">
        <v>45443</v>
      </c>
      <c r="N180" s="119">
        <f t="shared" si="26"/>
        <v>176</v>
      </c>
      <c r="O180" s="119">
        <f t="shared" si="27"/>
        <v>176</v>
      </c>
      <c r="P180" s="117">
        <f t="shared" si="28"/>
        <v>0</v>
      </c>
      <c r="Q180" s="117">
        <f>SUMIFS(Investors!$M:$M,Investors!$O:$O,FALSE,Investors!$P:$P,FALSE,Investors!$K:$K,"&gt;"&amp;'NSST Print'!$B$3,Investors!$I:$I,"&lt;="&amp;'NSST Print'!$B$3,Investors!$A:$A,'Investor Exit List'!$A180,Investors!$E:$E,'Investor Exit List'!$C180,Investors!$L:$L,'Investor Exit List'!$B180)-(SUMIFS(Investors!$M:$M,Investors!$I:$I,"&lt;="&amp;'NSST Print'!$B$3,Investors!$J:$J,"&gt;"&amp;'NSST Print'!$B$3,Investors!$A:$A,'Investor Exit List'!$A180,Investors!$E:$E,'Investor Exit List'!$C180,Investors!$L:$L,'Investor Exit List'!$B180)+SUMIFS(Investors!$M:$M,Investors!$I:$I,"&lt;="&amp;'NSST Print'!$B$3,Investors!$J:$J,"",Investors!$A:$A,'Investor Exit List'!$A180,Investors!$E:$E,'Investor Exit List'!$C180,Investors!$L:$L,'Investor Exit List'!$B180))+SUMIFS(Investors!$S:$S,Investors!$O:$O,FALSE,Investors!$P:$P,FALSE,Investors!$K:$K,"&gt;"&amp;'NSST Print'!$B$3,Investors!$I:$I,"&lt;="&amp;'NSST Print'!$B$3,Investors!$A:$A,'Investor Exit List'!$A180,Investors!$E:$E,'Investor Exit List'!$C180,Investors!$L:$L,'Investor Exit List'!$B180)-(SUMIFS(Investors!$S:$S,Investors!$I:$I,"&lt;="&amp;'NSST Print'!$B$3,Investors!$J:$J,"&gt;"&amp;'NSST Print'!$B$3,Investors!$A:$A,'Investor Exit List'!$A180,Investors!$E:$E,'Investor Exit List'!$C180,Investors!$L:$L,'Investor Exit List'!$B180)+SUMIFS(Investors!$S:$S,Investors!$I:$I,"&lt;="&amp;'NSST Print'!$B$3,Investors!$J:$J,"",Investors!$A:$A,'Investor Exit List'!$A180,Investors!$E:$E,'Investor Exit List'!$C180,Investors!$L:$L,'Investor Exit List'!$B180))</f>
        <v>313315.0684931507</v>
      </c>
      <c r="R180" s="117">
        <f t="shared" si="29"/>
        <v>0</v>
      </c>
      <c r="S180" s="117">
        <f>SUMIFS(Investors!$M:$M,Investors!$O:$O,TRUE,Investors!$A:$A,'Investor Exit List'!$A180,Investors!$E:$E,'Investor Exit List'!$C180,Investors!$L:$L,'Investor Exit List'!$B180)+SUMIFS(Investors!$S:$S,Investors!$O:$O,TRUE,Investors!$A:$A,'Investor Exit List'!$A180,Investors!$E:$E,'Investor Exit List'!$C180,Investors!$L:$L,'Investor Exit List'!$B180)</f>
        <v>0</v>
      </c>
      <c r="T180" s="118" t="str">
        <f t="shared" si="30"/>
        <v/>
      </c>
      <c r="U180" s="116" t="b">
        <v>0</v>
      </c>
      <c r="V180" s="117">
        <f t="shared" si="31"/>
        <v>0</v>
      </c>
      <c r="W180" s="116">
        <v>0</v>
      </c>
      <c r="X180" s="116" t="b">
        <v>0</v>
      </c>
      <c r="Y180" s="119">
        <f>IF(H180=FALSE,VLOOKUP($C180,Sales!$C:$F,4,FALSE),1)</f>
        <v>1</v>
      </c>
      <c r="Z180" s="116" t="str">
        <f t="shared" si="32"/>
        <v>Release</v>
      </c>
      <c r="AA180" s="118">
        <f t="shared" si="33"/>
        <v>45619</v>
      </c>
      <c r="AB180" s="118" t="str">
        <f t="shared" si="34"/>
        <v>HVC204-ZVAN10</v>
      </c>
      <c r="AC180" s="118">
        <f t="shared" si="35"/>
        <v>45619</v>
      </c>
    </row>
    <row r="181" spans="1:29" ht="16" x14ac:dyDescent="0.2">
      <c r="A181" s="116" t="s">
        <v>454</v>
      </c>
      <c r="B181" s="116">
        <v>2</v>
      </c>
      <c r="C181" s="116" t="s">
        <v>446</v>
      </c>
      <c r="D181" s="116" t="s">
        <v>388</v>
      </c>
      <c r="E181" s="116" t="s">
        <v>2134</v>
      </c>
      <c r="F181" s="117">
        <f>SUMIFS(Investors!$M:$M,Investors!$O:$O,FALSE,Investors!$P:$P,FALSE,Investors!$K:$K,"&gt;"&amp;'NSST Print'!$B$3,Investors!$I:$I,"&lt;="&amp;'NSST Print'!$B$3,Investors!$A:$A,'Investor Exit List'!$A181,Investors!$E:$E,'Investor Exit List'!$C181,Investors!$L:$L,'Investor Exit List'!$B181)-(SUMIFS(Investors!$M:$M,Investors!$I:$I,"&lt;="&amp;'NSST Print'!$B$3,Investors!$J:$J,"&gt;"&amp;'NSST Print'!$B$3,Investors!$A:$A,'Investor Exit List'!$A181,Investors!$E:$E,'Investor Exit List'!$C181,Investors!$L:$L,'Investor Exit List'!$B181)+SUMIFS(Investors!$M:$M,Investors!$I:$I,"&lt;="&amp;'NSST Print'!$B$3,Investors!$J:$J,"",Investors!$A:$A,'Investor Exit List'!$A181,Investors!$E:$E,'Investor Exit List'!$C181,Investors!$L:$L,'Investor Exit List'!$B181))</f>
        <v>118664.38</v>
      </c>
      <c r="G181" s="118">
        <v>44903</v>
      </c>
      <c r="H181" s="116" t="b">
        <f>VLOOKUP($C181,Sales!$C:$E,2,FALSE)</f>
        <v>0</v>
      </c>
      <c r="I181" s="116" t="b">
        <f>VLOOKUP($C181,Sales!$C:$E,3,FALSE)</f>
        <v>0</v>
      </c>
      <c r="J181" s="118">
        <f>SUMIFS(Sales!$H:$H,Sales!$C:$C,'Investor Exit List'!$C181)</f>
        <v>45646</v>
      </c>
      <c r="K181" s="118" t="str">
        <f t="shared" si="24"/>
        <v/>
      </c>
      <c r="L181" s="118">
        <f t="shared" si="25"/>
        <v>45633</v>
      </c>
      <c r="M181" s="118">
        <v>45443</v>
      </c>
      <c r="N181" s="119">
        <f t="shared" si="26"/>
        <v>190</v>
      </c>
      <c r="O181" s="119">
        <f t="shared" si="27"/>
        <v>0</v>
      </c>
      <c r="P181" s="117">
        <f t="shared" si="28"/>
        <v>0</v>
      </c>
      <c r="Q181" s="117">
        <f>SUMIFS(Investors!$M:$M,Investors!$O:$O,FALSE,Investors!$P:$P,FALSE,Investors!$K:$K,"&gt;"&amp;'NSST Print'!$B$3,Investors!$I:$I,"&lt;="&amp;'NSST Print'!$B$3,Investors!$A:$A,'Investor Exit List'!$A181,Investors!$E:$E,'Investor Exit List'!$C181,Investors!$L:$L,'Investor Exit List'!$B181)-(SUMIFS(Investors!$M:$M,Investors!$I:$I,"&lt;="&amp;'NSST Print'!$B$3,Investors!$J:$J,"&gt;"&amp;'NSST Print'!$B$3,Investors!$A:$A,'Investor Exit List'!$A181,Investors!$E:$E,'Investor Exit List'!$C181,Investors!$L:$L,'Investor Exit List'!$B181)+SUMIFS(Investors!$M:$M,Investors!$I:$I,"&lt;="&amp;'NSST Print'!$B$3,Investors!$J:$J,"",Investors!$A:$A,'Investor Exit List'!$A181,Investors!$E:$E,'Investor Exit List'!$C181,Investors!$L:$L,'Investor Exit List'!$B181))+SUMIFS(Investors!$S:$S,Investors!$O:$O,FALSE,Investors!$P:$P,FALSE,Investors!$K:$K,"&gt;"&amp;'NSST Print'!$B$3,Investors!$I:$I,"&lt;="&amp;'NSST Print'!$B$3,Investors!$A:$A,'Investor Exit List'!$A181,Investors!$E:$E,'Investor Exit List'!$C181,Investors!$L:$L,'Investor Exit List'!$B181)-(SUMIFS(Investors!$S:$S,Investors!$I:$I,"&lt;="&amp;'NSST Print'!$B$3,Investors!$J:$J,"&gt;"&amp;'NSST Print'!$B$3,Investors!$A:$A,'Investor Exit List'!$A181,Investors!$E:$E,'Investor Exit List'!$C181,Investors!$L:$L,'Investor Exit List'!$B181)+SUMIFS(Investors!$S:$S,Investors!$I:$I,"&lt;="&amp;'NSST Print'!$B$3,Investors!$J:$J,"",Investors!$A:$A,'Investor Exit List'!$A181,Investors!$E:$E,'Investor Exit List'!$C181,Investors!$L:$L,'Investor Exit List'!$B181))</f>
        <v>148128.90810794523</v>
      </c>
      <c r="R181" s="117">
        <f t="shared" si="29"/>
        <v>0</v>
      </c>
      <c r="S181" s="117">
        <f>SUMIFS(Investors!$M:$M,Investors!$O:$O,TRUE,Investors!$A:$A,'Investor Exit List'!$A181,Investors!$E:$E,'Investor Exit List'!$C181,Investors!$L:$L,'Investor Exit List'!$B181)+SUMIFS(Investors!$S:$S,Investors!$O:$O,TRUE,Investors!$A:$A,'Investor Exit List'!$A181,Investors!$E:$E,'Investor Exit List'!$C181,Investors!$L:$L,'Investor Exit List'!$B181)</f>
        <v>0</v>
      </c>
      <c r="T181" s="118" t="str">
        <f t="shared" si="30"/>
        <v/>
      </c>
      <c r="U181" s="116" t="b">
        <v>0</v>
      </c>
      <c r="V181" s="117">
        <f t="shared" si="31"/>
        <v>0</v>
      </c>
      <c r="W181" s="116">
        <v>0</v>
      </c>
      <c r="X181" s="116" t="b">
        <v>0</v>
      </c>
      <c r="Y181" s="119">
        <f>IF(H181=FALSE,VLOOKUP($C181,Sales!$C:$F,4,FALSE),1)</f>
        <v>1</v>
      </c>
      <c r="Z181" s="116" t="str">
        <f t="shared" si="32"/>
        <v/>
      </c>
      <c r="AA181" s="118">
        <f t="shared" si="33"/>
        <v>45619</v>
      </c>
      <c r="AB181" s="118" t="str">
        <f t="shared" si="34"/>
        <v>HVC204-ZWIL01</v>
      </c>
      <c r="AC181" s="118">
        <f t="shared" si="35"/>
        <v>45633</v>
      </c>
    </row>
    <row r="182" spans="1:29" ht="16" x14ac:dyDescent="0.2">
      <c r="A182" s="116" t="s">
        <v>457</v>
      </c>
      <c r="B182" s="116">
        <v>1</v>
      </c>
      <c r="C182" s="116" t="s">
        <v>460</v>
      </c>
      <c r="D182" s="116" t="s">
        <v>388</v>
      </c>
      <c r="E182" s="116" t="s">
        <v>2135</v>
      </c>
      <c r="F182" s="117">
        <f>SUMIFS(Investors!$M:$M,Investors!$O:$O,FALSE,Investors!$P:$P,FALSE,Investors!$K:$K,"&gt;"&amp;'NSST Print'!$B$3,Investors!$I:$I,"&lt;="&amp;'NSST Print'!$B$3,Investors!$A:$A,'Investor Exit List'!$A182,Investors!$E:$E,'Investor Exit List'!$C182,Investors!$L:$L,'Investor Exit List'!$B182)-(SUMIFS(Investors!$M:$M,Investors!$I:$I,"&lt;="&amp;'NSST Print'!$B$3,Investors!$J:$J,"&gt;"&amp;'NSST Print'!$B$3,Investors!$A:$A,'Investor Exit List'!$A182,Investors!$E:$E,'Investor Exit List'!$C182,Investors!$L:$L,'Investor Exit List'!$B182)+SUMIFS(Investors!$M:$M,Investors!$I:$I,"&lt;="&amp;'NSST Print'!$B$3,Investors!$J:$J,"",Investors!$A:$A,'Investor Exit List'!$A182,Investors!$E:$E,'Investor Exit List'!$C182,Investors!$L:$L,'Investor Exit List'!$B182))</f>
        <v>0</v>
      </c>
      <c r="G182" s="118">
        <v>44903</v>
      </c>
      <c r="H182" s="116" t="b">
        <f>VLOOKUP($C182,Sales!$C:$E,2,FALSE)</f>
        <v>1</v>
      </c>
      <c r="I182" s="116" t="b">
        <f>VLOOKUP($C182,Sales!$C:$E,3,FALSE)</f>
        <v>0</v>
      </c>
      <c r="J182" s="118">
        <f>SUMIFS(Sales!$H:$H,Sales!$C:$C,'Investor Exit List'!$C182)</f>
        <v>45473</v>
      </c>
      <c r="K182" s="118" t="str">
        <f t="shared" si="24"/>
        <v/>
      </c>
      <c r="L182" s="118">
        <f t="shared" si="25"/>
        <v>45633</v>
      </c>
      <c r="M182" s="118">
        <v>45443</v>
      </c>
      <c r="N182" s="119">
        <f t="shared" si="26"/>
        <v>190</v>
      </c>
      <c r="O182" s="119">
        <f t="shared" si="27"/>
        <v>0</v>
      </c>
      <c r="P182" s="117">
        <f t="shared" si="28"/>
        <v>0</v>
      </c>
      <c r="Q182" s="117">
        <f>SUMIFS(Investors!$M:$M,Investors!$O:$O,FALSE,Investors!$P:$P,FALSE,Investors!$K:$K,"&gt;"&amp;'NSST Print'!$B$3,Investors!$I:$I,"&lt;="&amp;'NSST Print'!$B$3,Investors!$A:$A,'Investor Exit List'!$A182,Investors!$E:$E,'Investor Exit List'!$C182,Investors!$L:$L,'Investor Exit List'!$B182)-(SUMIFS(Investors!$M:$M,Investors!$I:$I,"&lt;="&amp;'NSST Print'!$B$3,Investors!$J:$J,"&gt;"&amp;'NSST Print'!$B$3,Investors!$A:$A,'Investor Exit List'!$A182,Investors!$E:$E,'Investor Exit List'!$C182,Investors!$L:$L,'Investor Exit List'!$B182)+SUMIFS(Investors!$M:$M,Investors!$I:$I,"&lt;="&amp;'NSST Print'!$B$3,Investors!$J:$J,"",Investors!$A:$A,'Investor Exit List'!$A182,Investors!$E:$E,'Investor Exit List'!$C182,Investors!$L:$L,'Investor Exit List'!$B182))+SUMIFS(Investors!$S:$S,Investors!$O:$O,FALSE,Investors!$P:$P,FALSE,Investors!$K:$K,"&gt;"&amp;'NSST Print'!$B$3,Investors!$I:$I,"&lt;="&amp;'NSST Print'!$B$3,Investors!$A:$A,'Investor Exit List'!$A182,Investors!$E:$E,'Investor Exit List'!$C182,Investors!$L:$L,'Investor Exit List'!$B182)-(SUMIFS(Investors!$S:$S,Investors!$I:$I,"&lt;="&amp;'NSST Print'!$B$3,Investors!$J:$J,"&gt;"&amp;'NSST Print'!$B$3,Investors!$A:$A,'Investor Exit List'!$A182,Investors!$E:$E,'Investor Exit List'!$C182,Investors!$L:$L,'Investor Exit List'!$B182)+SUMIFS(Investors!$S:$S,Investors!$I:$I,"&lt;="&amp;'NSST Print'!$B$3,Investors!$J:$J,"",Investors!$A:$A,'Investor Exit List'!$A182,Investors!$E:$E,'Investor Exit List'!$C182,Investors!$L:$L,'Investor Exit List'!$B182))</f>
        <v>0</v>
      </c>
      <c r="R182" s="117">
        <f t="shared" si="29"/>
        <v>0</v>
      </c>
      <c r="S182" s="117">
        <f>SUMIFS(Investors!$M:$M,Investors!$O:$O,TRUE,Investors!$A:$A,'Investor Exit List'!$A182,Investors!$E:$E,'Investor Exit List'!$C182,Investors!$L:$L,'Investor Exit List'!$B182)+SUMIFS(Investors!$S:$S,Investors!$O:$O,TRUE,Investors!$A:$A,'Investor Exit List'!$A182,Investors!$E:$E,'Investor Exit List'!$C182,Investors!$L:$L,'Investor Exit List'!$B182)</f>
        <v>0</v>
      </c>
      <c r="T182" s="118" t="str">
        <f t="shared" si="30"/>
        <v/>
      </c>
      <c r="U182" s="116" t="b">
        <v>0</v>
      </c>
      <c r="V182" s="117">
        <f t="shared" si="31"/>
        <v>0</v>
      </c>
      <c r="W182" s="116">
        <v>0</v>
      </c>
      <c r="X182" s="116" t="b">
        <v>0</v>
      </c>
      <c r="Y182" s="119">
        <f>IF(H182=FALSE,VLOOKUP($C182,Sales!$C:$F,4,FALSE),1)</f>
        <v>1</v>
      </c>
      <c r="Z182" s="116" t="str">
        <f t="shared" si="32"/>
        <v/>
      </c>
      <c r="AA182" s="118">
        <f t="shared" si="33"/>
        <v>0</v>
      </c>
      <c r="AB182" s="118" t="str">
        <f t="shared" si="34"/>
        <v>HVC205-ZMIL01</v>
      </c>
      <c r="AC182" s="118">
        <f t="shared" si="35"/>
        <v>45633</v>
      </c>
    </row>
    <row r="183" spans="1:29" ht="16" x14ac:dyDescent="0.2">
      <c r="A183" s="116" t="s">
        <v>461</v>
      </c>
      <c r="B183" s="116">
        <v>2</v>
      </c>
      <c r="C183" s="116" t="s">
        <v>460</v>
      </c>
      <c r="D183" s="116" t="s">
        <v>388</v>
      </c>
      <c r="E183" s="116" t="s">
        <v>2136</v>
      </c>
      <c r="F183" s="117">
        <f>SUMIFS(Investors!$M:$M,Investors!$O:$O,FALSE,Investors!$P:$P,FALSE,Investors!$K:$K,"&gt;"&amp;'NSST Print'!$B$3,Investors!$I:$I,"&lt;="&amp;'NSST Print'!$B$3,Investors!$A:$A,'Investor Exit List'!$A183,Investors!$E:$E,'Investor Exit List'!$C183,Investors!$L:$L,'Investor Exit List'!$B183)-(SUMIFS(Investors!$M:$M,Investors!$I:$I,"&lt;="&amp;'NSST Print'!$B$3,Investors!$J:$J,"&gt;"&amp;'NSST Print'!$B$3,Investors!$A:$A,'Investor Exit List'!$A183,Investors!$E:$E,'Investor Exit List'!$C183,Investors!$L:$L,'Investor Exit List'!$B183)+SUMIFS(Investors!$M:$M,Investors!$I:$I,"&lt;="&amp;'NSST Print'!$B$3,Investors!$J:$J,"",Investors!$A:$A,'Investor Exit List'!$A183,Investors!$E:$E,'Investor Exit List'!$C183,Investors!$L:$L,'Investor Exit List'!$B183))</f>
        <v>0</v>
      </c>
      <c r="G183" s="118">
        <v>44903</v>
      </c>
      <c r="H183" s="116" t="b">
        <f>VLOOKUP($C183,Sales!$C:$E,2,FALSE)</f>
        <v>1</v>
      </c>
      <c r="I183" s="116" t="b">
        <f>VLOOKUP($C183,Sales!$C:$E,3,FALSE)</f>
        <v>0</v>
      </c>
      <c r="J183" s="118">
        <f>SUMIFS(Sales!$H:$H,Sales!$C:$C,'Investor Exit List'!$C183)</f>
        <v>45473</v>
      </c>
      <c r="K183" s="118" t="str">
        <f t="shared" si="24"/>
        <v/>
      </c>
      <c r="L183" s="118">
        <f t="shared" si="25"/>
        <v>45633</v>
      </c>
      <c r="M183" s="118">
        <v>45443</v>
      </c>
      <c r="N183" s="119">
        <f t="shared" si="26"/>
        <v>190</v>
      </c>
      <c r="O183" s="119">
        <f t="shared" si="27"/>
        <v>0</v>
      </c>
      <c r="P183" s="117">
        <f t="shared" si="28"/>
        <v>0</v>
      </c>
      <c r="Q183" s="117">
        <f>SUMIFS(Investors!$M:$M,Investors!$O:$O,FALSE,Investors!$P:$P,FALSE,Investors!$K:$K,"&gt;"&amp;'NSST Print'!$B$3,Investors!$I:$I,"&lt;="&amp;'NSST Print'!$B$3,Investors!$A:$A,'Investor Exit List'!$A183,Investors!$E:$E,'Investor Exit List'!$C183,Investors!$L:$L,'Investor Exit List'!$B183)-(SUMIFS(Investors!$M:$M,Investors!$I:$I,"&lt;="&amp;'NSST Print'!$B$3,Investors!$J:$J,"&gt;"&amp;'NSST Print'!$B$3,Investors!$A:$A,'Investor Exit List'!$A183,Investors!$E:$E,'Investor Exit List'!$C183,Investors!$L:$L,'Investor Exit List'!$B183)+SUMIFS(Investors!$M:$M,Investors!$I:$I,"&lt;="&amp;'NSST Print'!$B$3,Investors!$J:$J,"",Investors!$A:$A,'Investor Exit List'!$A183,Investors!$E:$E,'Investor Exit List'!$C183,Investors!$L:$L,'Investor Exit List'!$B183))+SUMIFS(Investors!$S:$S,Investors!$O:$O,FALSE,Investors!$P:$P,FALSE,Investors!$K:$K,"&gt;"&amp;'NSST Print'!$B$3,Investors!$I:$I,"&lt;="&amp;'NSST Print'!$B$3,Investors!$A:$A,'Investor Exit List'!$A183,Investors!$E:$E,'Investor Exit List'!$C183,Investors!$L:$L,'Investor Exit List'!$B183)-(SUMIFS(Investors!$S:$S,Investors!$I:$I,"&lt;="&amp;'NSST Print'!$B$3,Investors!$J:$J,"&gt;"&amp;'NSST Print'!$B$3,Investors!$A:$A,'Investor Exit List'!$A183,Investors!$E:$E,'Investor Exit List'!$C183,Investors!$L:$L,'Investor Exit List'!$B183)+SUMIFS(Investors!$S:$S,Investors!$I:$I,"&lt;="&amp;'NSST Print'!$B$3,Investors!$J:$J,"",Investors!$A:$A,'Investor Exit List'!$A183,Investors!$E:$E,'Investor Exit List'!$C183,Investors!$L:$L,'Investor Exit List'!$B183))</f>
        <v>0</v>
      </c>
      <c r="R183" s="117">
        <f t="shared" si="29"/>
        <v>0</v>
      </c>
      <c r="S183" s="117">
        <f>SUMIFS(Investors!$M:$M,Investors!$O:$O,TRUE,Investors!$A:$A,'Investor Exit List'!$A183,Investors!$E:$E,'Investor Exit List'!$C183,Investors!$L:$L,'Investor Exit List'!$B183)+SUMIFS(Investors!$S:$S,Investors!$O:$O,TRUE,Investors!$A:$A,'Investor Exit List'!$A183,Investors!$E:$E,'Investor Exit List'!$C183,Investors!$L:$L,'Investor Exit List'!$B183)</f>
        <v>0</v>
      </c>
      <c r="T183" s="118" t="str">
        <f t="shared" si="30"/>
        <v/>
      </c>
      <c r="U183" s="116" t="b">
        <v>0</v>
      </c>
      <c r="V183" s="117">
        <f t="shared" si="31"/>
        <v>0</v>
      </c>
      <c r="W183" s="116">
        <v>0</v>
      </c>
      <c r="X183" s="116" t="b">
        <v>0</v>
      </c>
      <c r="Y183" s="119">
        <f>IF(H183=FALSE,VLOOKUP($C183,Sales!$C:$F,4,FALSE),1)</f>
        <v>1</v>
      </c>
      <c r="Z183" s="116" t="str">
        <f t="shared" si="32"/>
        <v/>
      </c>
      <c r="AA183" s="118">
        <f t="shared" si="33"/>
        <v>0</v>
      </c>
      <c r="AB183" s="118" t="str">
        <f t="shared" si="34"/>
        <v>HVC205-ZSCA03</v>
      </c>
      <c r="AC183" s="118">
        <f t="shared" si="35"/>
        <v>45633</v>
      </c>
    </row>
    <row r="184" spans="1:29" ht="16" x14ac:dyDescent="0.2">
      <c r="A184" s="116" t="s">
        <v>463</v>
      </c>
      <c r="B184" s="116">
        <v>1</v>
      </c>
      <c r="C184" s="116" t="s">
        <v>460</v>
      </c>
      <c r="D184" s="116" t="s">
        <v>388</v>
      </c>
      <c r="E184" s="116" t="s">
        <v>2137</v>
      </c>
      <c r="F184" s="117">
        <f>SUMIFS(Investors!$M:$M,Investors!$O:$O,FALSE,Investors!$P:$P,FALSE,Investors!$K:$K,"&gt;"&amp;'NSST Print'!$B$3,Investors!$I:$I,"&lt;="&amp;'NSST Print'!$B$3,Investors!$A:$A,'Investor Exit List'!$A184,Investors!$E:$E,'Investor Exit List'!$C184,Investors!$L:$L,'Investor Exit List'!$B184)-(SUMIFS(Investors!$M:$M,Investors!$I:$I,"&lt;="&amp;'NSST Print'!$B$3,Investors!$J:$J,"&gt;"&amp;'NSST Print'!$B$3,Investors!$A:$A,'Investor Exit List'!$A184,Investors!$E:$E,'Investor Exit List'!$C184,Investors!$L:$L,'Investor Exit List'!$B184)+SUMIFS(Investors!$M:$M,Investors!$I:$I,"&lt;="&amp;'NSST Print'!$B$3,Investors!$J:$J,"",Investors!$A:$A,'Investor Exit List'!$A184,Investors!$E:$E,'Investor Exit List'!$C184,Investors!$L:$L,'Investor Exit List'!$B184))</f>
        <v>0</v>
      </c>
      <c r="G184" s="118">
        <v>44903</v>
      </c>
      <c r="H184" s="116" t="b">
        <f>VLOOKUP($C184,Sales!$C:$E,2,FALSE)</f>
        <v>1</v>
      </c>
      <c r="I184" s="116" t="b">
        <f>VLOOKUP($C184,Sales!$C:$E,3,FALSE)</f>
        <v>0</v>
      </c>
      <c r="J184" s="118">
        <f>SUMIFS(Sales!$H:$H,Sales!$C:$C,'Investor Exit List'!$C184)</f>
        <v>45473</v>
      </c>
      <c r="K184" s="118" t="str">
        <f t="shared" si="24"/>
        <v/>
      </c>
      <c r="L184" s="118">
        <f t="shared" si="25"/>
        <v>45633</v>
      </c>
      <c r="M184" s="118">
        <v>45443</v>
      </c>
      <c r="N184" s="119">
        <f t="shared" si="26"/>
        <v>190</v>
      </c>
      <c r="O184" s="119">
        <f t="shared" si="27"/>
        <v>0</v>
      </c>
      <c r="P184" s="117">
        <f t="shared" si="28"/>
        <v>0</v>
      </c>
      <c r="Q184" s="117">
        <f>SUMIFS(Investors!$M:$M,Investors!$O:$O,FALSE,Investors!$P:$P,FALSE,Investors!$K:$K,"&gt;"&amp;'NSST Print'!$B$3,Investors!$I:$I,"&lt;="&amp;'NSST Print'!$B$3,Investors!$A:$A,'Investor Exit List'!$A184,Investors!$E:$E,'Investor Exit List'!$C184,Investors!$L:$L,'Investor Exit List'!$B184)-(SUMIFS(Investors!$M:$M,Investors!$I:$I,"&lt;="&amp;'NSST Print'!$B$3,Investors!$J:$J,"&gt;"&amp;'NSST Print'!$B$3,Investors!$A:$A,'Investor Exit List'!$A184,Investors!$E:$E,'Investor Exit List'!$C184,Investors!$L:$L,'Investor Exit List'!$B184)+SUMIFS(Investors!$M:$M,Investors!$I:$I,"&lt;="&amp;'NSST Print'!$B$3,Investors!$J:$J,"",Investors!$A:$A,'Investor Exit List'!$A184,Investors!$E:$E,'Investor Exit List'!$C184,Investors!$L:$L,'Investor Exit List'!$B184))+SUMIFS(Investors!$S:$S,Investors!$O:$O,FALSE,Investors!$P:$P,FALSE,Investors!$K:$K,"&gt;"&amp;'NSST Print'!$B$3,Investors!$I:$I,"&lt;="&amp;'NSST Print'!$B$3,Investors!$A:$A,'Investor Exit List'!$A184,Investors!$E:$E,'Investor Exit List'!$C184,Investors!$L:$L,'Investor Exit List'!$B184)-(SUMIFS(Investors!$S:$S,Investors!$I:$I,"&lt;="&amp;'NSST Print'!$B$3,Investors!$J:$J,"&gt;"&amp;'NSST Print'!$B$3,Investors!$A:$A,'Investor Exit List'!$A184,Investors!$E:$E,'Investor Exit List'!$C184,Investors!$L:$L,'Investor Exit List'!$B184)+SUMIFS(Investors!$S:$S,Investors!$I:$I,"&lt;="&amp;'NSST Print'!$B$3,Investors!$J:$J,"",Investors!$A:$A,'Investor Exit List'!$A184,Investors!$E:$E,'Investor Exit List'!$C184,Investors!$L:$L,'Investor Exit List'!$B184))</f>
        <v>0</v>
      </c>
      <c r="R184" s="117">
        <f t="shared" si="29"/>
        <v>0</v>
      </c>
      <c r="S184" s="117">
        <f>SUMIFS(Investors!$M:$M,Investors!$O:$O,TRUE,Investors!$A:$A,'Investor Exit List'!$A184,Investors!$E:$E,'Investor Exit List'!$C184,Investors!$L:$L,'Investor Exit List'!$B184)+SUMIFS(Investors!$S:$S,Investors!$O:$O,TRUE,Investors!$A:$A,'Investor Exit List'!$A184,Investors!$E:$E,'Investor Exit List'!$C184,Investors!$L:$L,'Investor Exit List'!$B184)</f>
        <v>0</v>
      </c>
      <c r="T184" s="118" t="str">
        <f t="shared" si="30"/>
        <v/>
      </c>
      <c r="U184" s="116" t="b">
        <v>0</v>
      </c>
      <c r="V184" s="117">
        <f t="shared" si="31"/>
        <v>0</v>
      </c>
      <c r="W184" s="116">
        <v>0</v>
      </c>
      <c r="X184" s="116" t="b">
        <v>0</v>
      </c>
      <c r="Y184" s="119">
        <f>IF(H184=FALSE,VLOOKUP($C184,Sales!$C:$F,4,FALSE),1)</f>
        <v>1</v>
      </c>
      <c r="Z184" s="116" t="str">
        <f t="shared" si="32"/>
        <v/>
      </c>
      <c r="AA184" s="118">
        <f t="shared" si="33"/>
        <v>0</v>
      </c>
      <c r="AB184" s="118" t="str">
        <f t="shared" si="34"/>
        <v>HVC205-ZVIV01</v>
      </c>
      <c r="AC184" s="118">
        <f t="shared" si="35"/>
        <v>45633</v>
      </c>
    </row>
    <row r="185" spans="1:29" ht="16" x14ac:dyDescent="0.2">
      <c r="A185" s="116" t="s">
        <v>466</v>
      </c>
      <c r="B185" s="116">
        <v>4</v>
      </c>
      <c r="C185" s="116" t="s">
        <v>460</v>
      </c>
      <c r="D185" s="116" t="s">
        <v>388</v>
      </c>
      <c r="E185" s="116" t="s">
        <v>2138</v>
      </c>
      <c r="F185" s="117">
        <f>SUMIFS(Investors!$M:$M,Investors!$O:$O,FALSE,Investors!$P:$P,FALSE,Investors!$K:$K,"&gt;"&amp;'NSST Print'!$B$3,Investors!$I:$I,"&lt;="&amp;'NSST Print'!$B$3,Investors!$A:$A,'Investor Exit List'!$A185,Investors!$E:$E,'Investor Exit List'!$C185,Investors!$L:$L,'Investor Exit List'!$B185)-(SUMIFS(Investors!$M:$M,Investors!$I:$I,"&lt;="&amp;'NSST Print'!$B$3,Investors!$J:$J,"&gt;"&amp;'NSST Print'!$B$3,Investors!$A:$A,'Investor Exit List'!$A185,Investors!$E:$E,'Investor Exit List'!$C185,Investors!$L:$L,'Investor Exit List'!$B185)+SUMIFS(Investors!$M:$M,Investors!$I:$I,"&lt;="&amp;'NSST Print'!$B$3,Investors!$J:$J,"",Investors!$A:$A,'Investor Exit List'!$A185,Investors!$E:$E,'Investor Exit List'!$C185,Investors!$L:$L,'Investor Exit List'!$B185))</f>
        <v>0</v>
      </c>
      <c r="G185" s="118">
        <v>44903</v>
      </c>
      <c r="H185" s="116" t="b">
        <f>VLOOKUP($C185,Sales!$C:$E,2,FALSE)</f>
        <v>1</v>
      </c>
      <c r="I185" s="116" t="b">
        <f>VLOOKUP($C185,Sales!$C:$E,3,FALSE)</f>
        <v>0</v>
      </c>
      <c r="J185" s="118">
        <f>SUMIFS(Sales!$H:$H,Sales!$C:$C,'Investor Exit List'!$C185)</f>
        <v>45473</v>
      </c>
      <c r="K185" s="118" t="str">
        <f t="shared" si="24"/>
        <v/>
      </c>
      <c r="L185" s="118">
        <f t="shared" si="25"/>
        <v>45633</v>
      </c>
      <c r="M185" s="118">
        <v>45443</v>
      </c>
      <c r="N185" s="119">
        <f t="shared" si="26"/>
        <v>190</v>
      </c>
      <c r="O185" s="119">
        <f t="shared" si="27"/>
        <v>0</v>
      </c>
      <c r="P185" s="117">
        <f t="shared" si="28"/>
        <v>0</v>
      </c>
      <c r="Q185" s="117">
        <f>SUMIFS(Investors!$M:$M,Investors!$O:$O,FALSE,Investors!$P:$P,FALSE,Investors!$K:$K,"&gt;"&amp;'NSST Print'!$B$3,Investors!$I:$I,"&lt;="&amp;'NSST Print'!$B$3,Investors!$A:$A,'Investor Exit List'!$A185,Investors!$E:$E,'Investor Exit List'!$C185,Investors!$L:$L,'Investor Exit List'!$B185)-(SUMIFS(Investors!$M:$M,Investors!$I:$I,"&lt;="&amp;'NSST Print'!$B$3,Investors!$J:$J,"&gt;"&amp;'NSST Print'!$B$3,Investors!$A:$A,'Investor Exit List'!$A185,Investors!$E:$E,'Investor Exit List'!$C185,Investors!$L:$L,'Investor Exit List'!$B185)+SUMIFS(Investors!$M:$M,Investors!$I:$I,"&lt;="&amp;'NSST Print'!$B$3,Investors!$J:$J,"",Investors!$A:$A,'Investor Exit List'!$A185,Investors!$E:$E,'Investor Exit List'!$C185,Investors!$L:$L,'Investor Exit List'!$B185))+SUMIFS(Investors!$S:$S,Investors!$O:$O,FALSE,Investors!$P:$P,FALSE,Investors!$K:$K,"&gt;"&amp;'NSST Print'!$B$3,Investors!$I:$I,"&lt;="&amp;'NSST Print'!$B$3,Investors!$A:$A,'Investor Exit List'!$A185,Investors!$E:$E,'Investor Exit List'!$C185,Investors!$L:$L,'Investor Exit List'!$B185)-(SUMIFS(Investors!$S:$S,Investors!$I:$I,"&lt;="&amp;'NSST Print'!$B$3,Investors!$J:$J,"&gt;"&amp;'NSST Print'!$B$3,Investors!$A:$A,'Investor Exit List'!$A185,Investors!$E:$E,'Investor Exit List'!$C185,Investors!$L:$L,'Investor Exit List'!$B185)+SUMIFS(Investors!$S:$S,Investors!$I:$I,"&lt;="&amp;'NSST Print'!$B$3,Investors!$J:$J,"",Investors!$A:$A,'Investor Exit List'!$A185,Investors!$E:$E,'Investor Exit List'!$C185,Investors!$L:$L,'Investor Exit List'!$B185))</f>
        <v>0</v>
      </c>
      <c r="R185" s="117">
        <f t="shared" si="29"/>
        <v>0</v>
      </c>
      <c r="S185" s="117">
        <f>SUMIFS(Investors!$M:$M,Investors!$O:$O,TRUE,Investors!$A:$A,'Investor Exit List'!$A185,Investors!$E:$E,'Investor Exit List'!$C185,Investors!$L:$L,'Investor Exit List'!$B185)+SUMIFS(Investors!$S:$S,Investors!$O:$O,TRUE,Investors!$A:$A,'Investor Exit List'!$A185,Investors!$E:$E,'Investor Exit List'!$C185,Investors!$L:$L,'Investor Exit List'!$B185)</f>
        <v>0</v>
      </c>
      <c r="T185" s="118" t="str">
        <f t="shared" si="30"/>
        <v/>
      </c>
      <c r="U185" s="116" t="b">
        <v>0</v>
      </c>
      <c r="V185" s="117">
        <f t="shared" si="31"/>
        <v>0</v>
      </c>
      <c r="W185" s="116">
        <v>0</v>
      </c>
      <c r="X185" s="116" t="b">
        <v>0</v>
      </c>
      <c r="Y185" s="119">
        <f>IF(H185=FALSE,VLOOKUP($C185,Sales!$C:$F,4,FALSE),1)</f>
        <v>1</v>
      </c>
      <c r="Z185" s="116" t="str">
        <f t="shared" si="32"/>
        <v/>
      </c>
      <c r="AA185" s="118">
        <f t="shared" si="33"/>
        <v>0</v>
      </c>
      <c r="AB185" s="118" t="str">
        <f t="shared" si="34"/>
        <v>HVC205-ZWAL02</v>
      </c>
      <c r="AC185" s="118">
        <f t="shared" si="35"/>
        <v>45633</v>
      </c>
    </row>
    <row r="186" spans="1:29" ht="16" x14ac:dyDescent="0.2">
      <c r="A186" s="116" t="s">
        <v>395</v>
      </c>
      <c r="B186" s="116">
        <v>3</v>
      </c>
      <c r="C186" s="116" t="s">
        <v>469</v>
      </c>
      <c r="D186" s="116" t="s">
        <v>388</v>
      </c>
      <c r="E186" s="116" t="s">
        <v>2117</v>
      </c>
      <c r="F186" s="117">
        <f>SUMIFS(Investors!$M:$M,Investors!$O:$O,FALSE,Investors!$P:$P,FALSE,Investors!$K:$K,"&gt;"&amp;'NSST Print'!$B$3,Investors!$I:$I,"&lt;="&amp;'NSST Print'!$B$3,Investors!$A:$A,'Investor Exit List'!$A186,Investors!$E:$E,'Investor Exit List'!$C186,Investors!$L:$L,'Investor Exit List'!$B186)-(SUMIFS(Investors!$M:$M,Investors!$I:$I,"&lt;="&amp;'NSST Print'!$B$3,Investors!$J:$J,"&gt;"&amp;'NSST Print'!$B$3,Investors!$A:$A,'Investor Exit List'!$A186,Investors!$E:$E,'Investor Exit List'!$C186,Investors!$L:$L,'Investor Exit List'!$B186)+SUMIFS(Investors!$M:$M,Investors!$I:$I,"&lt;="&amp;'NSST Print'!$B$3,Investors!$J:$J,"",Investors!$A:$A,'Investor Exit List'!$A186,Investors!$E:$E,'Investor Exit List'!$C186,Investors!$L:$L,'Investor Exit List'!$B186))</f>
        <v>0</v>
      </c>
      <c r="G186" s="118">
        <v>44861</v>
      </c>
      <c r="H186" s="116" t="b">
        <f>VLOOKUP($C186,Sales!$C:$E,2,FALSE)</f>
        <v>1</v>
      </c>
      <c r="I186" s="116" t="b">
        <f>VLOOKUP($C186,Sales!$C:$E,3,FALSE)</f>
        <v>0</v>
      </c>
      <c r="J186" s="118">
        <f>SUMIFS(Sales!$H:$H,Sales!$C:$C,'Investor Exit List'!$C186)</f>
        <v>45473</v>
      </c>
      <c r="K186" s="118" t="str">
        <f t="shared" si="24"/>
        <v/>
      </c>
      <c r="L186" s="118">
        <f t="shared" si="25"/>
        <v>45591</v>
      </c>
      <c r="M186" s="118">
        <v>45443</v>
      </c>
      <c r="N186" s="119">
        <f t="shared" si="26"/>
        <v>148</v>
      </c>
      <c r="O186" s="119">
        <f t="shared" si="27"/>
        <v>148</v>
      </c>
      <c r="P186" s="117">
        <f t="shared" si="28"/>
        <v>0</v>
      </c>
      <c r="Q186" s="117">
        <f>SUMIFS(Investors!$M:$M,Investors!$O:$O,FALSE,Investors!$P:$P,FALSE,Investors!$K:$K,"&gt;"&amp;'NSST Print'!$B$3,Investors!$I:$I,"&lt;="&amp;'NSST Print'!$B$3,Investors!$A:$A,'Investor Exit List'!$A186,Investors!$E:$E,'Investor Exit List'!$C186,Investors!$L:$L,'Investor Exit List'!$B186)-(SUMIFS(Investors!$M:$M,Investors!$I:$I,"&lt;="&amp;'NSST Print'!$B$3,Investors!$J:$J,"&gt;"&amp;'NSST Print'!$B$3,Investors!$A:$A,'Investor Exit List'!$A186,Investors!$E:$E,'Investor Exit List'!$C186,Investors!$L:$L,'Investor Exit List'!$B186)+SUMIFS(Investors!$M:$M,Investors!$I:$I,"&lt;="&amp;'NSST Print'!$B$3,Investors!$J:$J,"",Investors!$A:$A,'Investor Exit List'!$A186,Investors!$E:$E,'Investor Exit List'!$C186,Investors!$L:$L,'Investor Exit List'!$B186))+SUMIFS(Investors!$S:$S,Investors!$O:$O,FALSE,Investors!$P:$P,FALSE,Investors!$K:$K,"&gt;"&amp;'NSST Print'!$B$3,Investors!$I:$I,"&lt;="&amp;'NSST Print'!$B$3,Investors!$A:$A,'Investor Exit List'!$A186,Investors!$E:$E,'Investor Exit List'!$C186,Investors!$L:$L,'Investor Exit List'!$B186)-(SUMIFS(Investors!$S:$S,Investors!$I:$I,"&lt;="&amp;'NSST Print'!$B$3,Investors!$J:$J,"&gt;"&amp;'NSST Print'!$B$3,Investors!$A:$A,'Investor Exit List'!$A186,Investors!$E:$E,'Investor Exit List'!$C186,Investors!$L:$L,'Investor Exit List'!$B186)+SUMIFS(Investors!$S:$S,Investors!$I:$I,"&lt;="&amp;'NSST Print'!$B$3,Investors!$J:$J,"",Investors!$A:$A,'Investor Exit List'!$A186,Investors!$E:$E,'Investor Exit List'!$C186,Investors!$L:$L,'Investor Exit List'!$B186))</f>
        <v>0</v>
      </c>
      <c r="R186" s="117">
        <f t="shared" si="29"/>
        <v>0</v>
      </c>
      <c r="S186" s="117">
        <f>SUMIFS(Investors!$M:$M,Investors!$O:$O,TRUE,Investors!$A:$A,'Investor Exit List'!$A186,Investors!$E:$E,'Investor Exit List'!$C186,Investors!$L:$L,'Investor Exit List'!$B186)+SUMIFS(Investors!$S:$S,Investors!$O:$O,TRUE,Investors!$A:$A,'Investor Exit List'!$A186,Investors!$E:$E,'Investor Exit List'!$C186,Investors!$L:$L,'Investor Exit List'!$B186)</f>
        <v>0</v>
      </c>
      <c r="T186" s="118" t="str">
        <f t="shared" si="30"/>
        <v/>
      </c>
      <c r="U186" s="116" t="b">
        <v>0</v>
      </c>
      <c r="V186" s="117">
        <f t="shared" si="31"/>
        <v>0</v>
      </c>
      <c r="W186" s="116">
        <v>0</v>
      </c>
      <c r="X186" s="116" t="b">
        <v>0</v>
      </c>
      <c r="Y186" s="119">
        <f>IF(H186=FALSE,VLOOKUP($C186,Sales!$C:$F,4,FALSE),1)</f>
        <v>1</v>
      </c>
      <c r="Z186" s="116" t="str">
        <f t="shared" si="32"/>
        <v/>
      </c>
      <c r="AA186" s="118">
        <f t="shared" si="33"/>
        <v>0</v>
      </c>
      <c r="AB186" s="118" t="str">
        <f t="shared" si="34"/>
        <v>HVC206-ZKRI02</v>
      </c>
      <c r="AC186" s="118">
        <f t="shared" si="35"/>
        <v>45591</v>
      </c>
    </row>
    <row r="187" spans="1:29" ht="16" x14ac:dyDescent="0.2">
      <c r="A187" s="116" t="s">
        <v>382</v>
      </c>
      <c r="B187" s="116">
        <v>4</v>
      </c>
      <c r="C187" s="116" t="s">
        <v>470</v>
      </c>
      <c r="D187" s="116" t="s">
        <v>388</v>
      </c>
      <c r="E187" s="116" t="s">
        <v>2114</v>
      </c>
      <c r="F187" s="117">
        <f>SUMIFS(Investors!$M:$M,Investors!$O:$O,FALSE,Investors!$P:$P,FALSE,Investors!$K:$K,"&gt;"&amp;'NSST Print'!$B$3,Investors!$I:$I,"&lt;="&amp;'NSST Print'!$B$3,Investors!$A:$A,'Investor Exit List'!$A187,Investors!$E:$E,'Investor Exit List'!$C187,Investors!$L:$L,'Investor Exit List'!$B187)-(SUMIFS(Investors!$M:$M,Investors!$I:$I,"&lt;="&amp;'NSST Print'!$B$3,Investors!$J:$J,"&gt;"&amp;'NSST Print'!$B$3,Investors!$A:$A,'Investor Exit List'!$A187,Investors!$E:$E,'Investor Exit List'!$C187,Investors!$L:$L,'Investor Exit List'!$B187)+SUMIFS(Investors!$M:$M,Investors!$I:$I,"&lt;="&amp;'NSST Print'!$B$3,Investors!$J:$J,"",Investors!$A:$A,'Investor Exit List'!$A187,Investors!$E:$E,'Investor Exit List'!$C187,Investors!$L:$L,'Investor Exit List'!$B187))</f>
        <v>0</v>
      </c>
      <c r="G187" s="118">
        <v>44755</v>
      </c>
      <c r="H187" s="116" t="b">
        <f>VLOOKUP($C187,Sales!$C:$E,2,FALSE)</f>
        <v>1</v>
      </c>
      <c r="I187" s="116" t="b">
        <f>VLOOKUP($C187,Sales!$C:$E,3,FALSE)</f>
        <v>1</v>
      </c>
      <c r="J187" s="118">
        <f>SUMIFS(Sales!$H:$H,Sales!$C:$C,'Investor Exit List'!$C187)</f>
        <v>45688</v>
      </c>
      <c r="K187" s="118">
        <f t="shared" si="24"/>
        <v>45688</v>
      </c>
      <c r="L187" s="118">
        <f t="shared" si="25"/>
        <v>45485</v>
      </c>
      <c r="M187" s="118">
        <v>45443</v>
      </c>
      <c r="N187" s="119">
        <f t="shared" si="26"/>
        <v>0</v>
      </c>
      <c r="O187" s="119">
        <f t="shared" si="27"/>
        <v>0</v>
      </c>
      <c r="P187" s="117">
        <f t="shared" si="28"/>
        <v>0</v>
      </c>
      <c r="Q187" s="117">
        <f>SUMIFS(Investors!$M:$M,Investors!$O:$O,FALSE,Investors!$P:$P,FALSE,Investors!$K:$K,"&gt;"&amp;'NSST Print'!$B$3,Investors!$I:$I,"&lt;="&amp;'NSST Print'!$B$3,Investors!$A:$A,'Investor Exit List'!$A187,Investors!$E:$E,'Investor Exit List'!$C187,Investors!$L:$L,'Investor Exit List'!$B187)-(SUMIFS(Investors!$M:$M,Investors!$I:$I,"&lt;="&amp;'NSST Print'!$B$3,Investors!$J:$J,"&gt;"&amp;'NSST Print'!$B$3,Investors!$A:$A,'Investor Exit List'!$A187,Investors!$E:$E,'Investor Exit List'!$C187,Investors!$L:$L,'Investor Exit List'!$B187)+SUMIFS(Investors!$M:$M,Investors!$I:$I,"&lt;="&amp;'NSST Print'!$B$3,Investors!$J:$J,"",Investors!$A:$A,'Investor Exit List'!$A187,Investors!$E:$E,'Investor Exit List'!$C187,Investors!$L:$L,'Investor Exit List'!$B187))+SUMIFS(Investors!$S:$S,Investors!$O:$O,FALSE,Investors!$P:$P,FALSE,Investors!$K:$K,"&gt;"&amp;'NSST Print'!$B$3,Investors!$I:$I,"&lt;="&amp;'NSST Print'!$B$3,Investors!$A:$A,'Investor Exit List'!$A187,Investors!$E:$E,'Investor Exit List'!$C187,Investors!$L:$L,'Investor Exit List'!$B187)-(SUMIFS(Investors!$S:$S,Investors!$I:$I,"&lt;="&amp;'NSST Print'!$B$3,Investors!$J:$J,"&gt;"&amp;'NSST Print'!$B$3,Investors!$A:$A,'Investor Exit List'!$A187,Investors!$E:$E,'Investor Exit List'!$C187,Investors!$L:$L,'Investor Exit List'!$B187)+SUMIFS(Investors!$S:$S,Investors!$I:$I,"&lt;="&amp;'NSST Print'!$B$3,Investors!$J:$J,"",Investors!$A:$A,'Investor Exit List'!$A187,Investors!$E:$E,'Investor Exit List'!$C187,Investors!$L:$L,'Investor Exit List'!$B187))</f>
        <v>0</v>
      </c>
      <c r="R187" s="117">
        <f t="shared" si="29"/>
        <v>0</v>
      </c>
      <c r="S187" s="117">
        <f>SUMIFS(Investors!$M:$M,Investors!$O:$O,TRUE,Investors!$A:$A,'Investor Exit List'!$A187,Investors!$E:$E,'Investor Exit List'!$C187,Investors!$L:$L,'Investor Exit List'!$B187)+SUMIFS(Investors!$S:$S,Investors!$O:$O,TRUE,Investors!$A:$A,'Investor Exit List'!$A187,Investors!$E:$E,'Investor Exit List'!$C187,Investors!$L:$L,'Investor Exit List'!$B187)</f>
        <v>0</v>
      </c>
      <c r="T187" s="118" t="str">
        <f t="shared" si="30"/>
        <v/>
      </c>
      <c r="U187" s="116" t="b">
        <v>0</v>
      </c>
      <c r="V187" s="117">
        <f t="shared" si="31"/>
        <v>0</v>
      </c>
      <c r="W187" s="116">
        <v>0</v>
      </c>
      <c r="X187" s="116" t="b">
        <v>0</v>
      </c>
      <c r="Y187" s="119">
        <f>IF(H187=FALSE,VLOOKUP($C187,Sales!$C:$F,4,FALSE),1)</f>
        <v>1</v>
      </c>
      <c r="Z187" s="116" t="str">
        <f t="shared" si="32"/>
        <v/>
      </c>
      <c r="AA187" s="118">
        <f t="shared" si="33"/>
        <v>0</v>
      </c>
      <c r="AB187" s="118" t="str">
        <f t="shared" si="34"/>
        <v>HVC301-ZCON01</v>
      </c>
      <c r="AC187" s="118">
        <f t="shared" si="35"/>
        <v>45485</v>
      </c>
    </row>
    <row r="188" spans="1:29" ht="16" x14ac:dyDescent="0.2">
      <c r="A188" s="116" t="s">
        <v>207</v>
      </c>
      <c r="B188" s="116">
        <v>15</v>
      </c>
      <c r="C188" s="116" t="s">
        <v>470</v>
      </c>
      <c r="D188" s="116" t="s">
        <v>388</v>
      </c>
      <c r="E188" s="116" t="s">
        <v>2017</v>
      </c>
      <c r="F188" s="117">
        <f>SUMIFS(Investors!$M:$M,Investors!$O:$O,FALSE,Investors!$P:$P,FALSE,Investors!$K:$K,"&gt;"&amp;'NSST Print'!$B$3,Investors!$I:$I,"&lt;="&amp;'NSST Print'!$B$3,Investors!$A:$A,'Investor Exit List'!$A188,Investors!$E:$E,'Investor Exit List'!$C188,Investors!$L:$L,'Investor Exit List'!$B188)-(SUMIFS(Investors!$M:$M,Investors!$I:$I,"&lt;="&amp;'NSST Print'!$B$3,Investors!$J:$J,"&gt;"&amp;'NSST Print'!$B$3,Investors!$A:$A,'Investor Exit List'!$A188,Investors!$E:$E,'Investor Exit List'!$C188,Investors!$L:$L,'Investor Exit List'!$B188)+SUMIFS(Investors!$M:$M,Investors!$I:$I,"&lt;="&amp;'NSST Print'!$B$3,Investors!$J:$J,"",Investors!$A:$A,'Investor Exit List'!$A188,Investors!$E:$E,'Investor Exit List'!$C188,Investors!$L:$L,'Investor Exit List'!$B188))</f>
        <v>0</v>
      </c>
      <c r="G188" s="118">
        <v>45072</v>
      </c>
      <c r="H188" s="116" t="b">
        <f>VLOOKUP($C188,Sales!$C:$E,2,FALSE)</f>
        <v>1</v>
      </c>
      <c r="I188" s="116" t="b">
        <f>VLOOKUP($C188,Sales!$C:$E,3,FALSE)</f>
        <v>1</v>
      </c>
      <c r="J188" s="118">
        <f>SUMIFS(Sales!$H:$H,Sales!$C:$C,'Investor Exit List'!$C188)</f>
        <v>45688</v>
      </c>
      <c r="K188" s="118">
        <f t="shared" si="24"/>
        <v>45688</v>
      </c>
      <c r="L188" s="118">
        <f t="shared" si="25"/>
        <v>45802</v>
      </c>
      <c r="M188" s="118">
        <v>45443</v>
      </c>
      <c r="N188" s="119">
        <f t="shared" si="26"/>
        <v>0</v>
      </c>
      <c r="O188" s="119">
        <f t="shared" si="27"/>
        <v>0</v>
      </c>
      <c r="P188" s="117">
        <f t="shared" si="28"/>
        <v>0</v>
      </c>
      <c r="Q188" s="117">
        <f>SUMIFS(Investors!$M:$M,Investors!$O:$O,FALSE,Investors!$P:$P,FALSE,Investors!$K:$K,"&gt;"&amp;'NSST Print'!$B$3,Investors!$I:$I,"&lt;="&amp;'NSST Print'!$B$3,Investors!$A:$A,'Investor Exit List'!$A188,Investors!$E:$E,'Investor Exit List'!$C188,Investors!$L:$L,'Investor Exit List'!$B188)-(SUMIFS(Investors!$M:$M,Investors!$I:$I,"&lt;="&amp;'NSST Print'!$B$3,Investors!$J:$J,"&gt;"&amp;'NSST Print'!$B$3,Investors!$A:$A,'Investor Exit List'!$A188,Investors!$E:$E,'Investor Exit List'!$C188,Investors!$L:$L,'Investor Exit List'!$B188)+SUMIFS(Investors!$M:$M,Investors!$I:$I,"&lt;="&amp;'NSST Print'!$B$3,Investors!$J:$J,"",Investors!$A:$A,'Investor Exit List'!$A188,Investors!$E:$E,'Investor Exit List'!$C188,Investors!$L:$L,'Investor Exit List'!$B188))+SUMIFS(Investors!$S:$S,Investors!$O:$O,FALSE,Investors!$P:$P,FALSE,Investors!$K:$K,"&gt;"&amp;'NSST Print'!$B$3,Investors!$I:$I,"&lt;="&amp;'NSST Print'!$B$3,Investors!$A:$A,'Investor Exit List'!$A188,Investors!$E:$E,'Investor Exit List'!$C188,Investors!$L:$L,'Investor Exit List'!$B188)-(SUMIFS(Investors!$S:$S,Investors!$I:$I,"&lt;="&amp;'NSST Print'!$B$3,Investors!$J:$J,"&gt;"&amp;'NSST Print'!$B$3,Investors!$A:$A,'Investor Exit List'!$A188,Investors!$E:$E,'Investor Exit List'!$C188,Investors!$L:$L,'Investor Exit List'!$B188)+SUMIFS(Investors!$S:$S,Investors!$I:$I,"&lt;="&amp;'NSST Print'!$B$3,Investors!$J:$J,"",Investors!$A:$A,'Investor Exit List'!$A188,Investors!$E:$E,'Investor Exit List'!$C188,Investors!$L:$L,'Investor Exit List'!$B188))</f>
        <v>0</v>
      </c>
      <c r="R188" s="117">
        <f t="shared" si="29"/>
        <v>0</v>
      </c>
      <c r="S188" s="117">
        <f>SUMIFS(Investors!$M:$M,Investors!$O:$O,TRUE,Investors!$A:$A,'Investor Exit List'!$A188,Investors!$E:$E,'Investor Exit List'!$C188,Investors!$L:$L,'Investor Exit List'!$B188)+SUMIFS(Investors!$S:$S,Investors!$O:$O,TRUE,Investors!$A:$A,'Investor Exit List'!$A188,Investors!$E:$E,'Investor Exit List'!$C188,Investors!$L:$L,'Investor Exit List'!$B188)</f>
        <v>0</v>
      </c>
      <c r="T188" s="118" t="str">
        <f t="shared" si="30"/>
        <v/>
      </c>
      <c r="U188" s="116" t="b">
        <v>0</v>
      </c>
      <c r="V188" s="117">
        <f t="shared" si="31"/>
        <v>0</v>
      </c>
      <c r="W188" s="116">
        <v>0</v>
      </c>
      <c r="X188" s="116" t="b">
        <v>0</v>
      </c>
      <c r="Y188" s="119">
        <f>IF(H188=FALSE,VLOOKUP($C188,Sales!$C:$F,4,FALSE),1)</f>
        <v>1</v>
      </c>
      <c r="Z188" s="116" t="str">
        <f t="shared" si="32"/>
        <v/>
      </c>
      <c r="AA188" s="118">
        <f t="shared" si="33"/>
        <v>0</v>
      </c>
      <c r="AB188" s="118" t="str">
        <f t="shared" si="34"/>
        <v>HVC301-ZINT01</v>
      </c>
      <c r="AC188" s="118">
        <f t="shared" si="35"/>
        <v>45802</v>
      </c>
    </row>
    <row r="189" spans="1:29" ht="16" x14ac:dyDescent="0.2">
      <c r="A189" s="116" t="s">
        <v>382</v>
      </c>
      <c r="B189" s="116">
        <v>5</v>
      </c>
      <c r="C189" s="116" t="s">
        <v>471</v>
      </c>
      <c r="D189" s="116" t="s">
        <v>388</v>
      </c>
      <c r="E189" s="116" t="s">
        <v>2114</v>
      </c>
      <c r="F189" s="117">
        <f>SUMIFS(Investors!$M:$M,Investors!$O:$O,FALSE,Investors!$P:$P,FALSE,Investors!$K:$K,"&gt;"&amp;'NSST Print'!$B$3,Investors!$I:$I,"&lt;="&amp;'NSST Print'!$B$3,Investors!$A:$A,'Investor Exit List'!$A189,Investors!$E:$E,'Investor Exit List'!$C189,Investors!$L:$L,'Investor Exit List'!$B189)-(SUMIFS(Investors!$M:$M,Investors!$I:$I,"&lt;="&amp;'NSST Print'!$B$3,Investors!$J:$J,"&gt;"&amp;'NSST Print'!$B$3,Investors!$A:$A,'Investor Exit List'!$A189,Investors!$E:$E,'Investor Exit List'!$C189,Investors!$L:$L,'Investor Exit List'!$B189)+SUMIFS(Investors!$M:$M,Investors!$I:$I,"&lt;="&amp;'NSST Print'!$B$3,Investors!$J:$J,"",Investors!$A:$A,'Investor Exit List'!$A189,Investors!$E:$E,'Investor Exit List'!$C189,Investors!$L:$L,'Investor Exit List'!$B189))</f>
        <v>990694.47</v>
      </c>
      <c r="G189" s="118">
        <v>44755</v>
      </c>
      <c r="H189" s="116" t="b">
        <f>VLOOKUP($C189,Sales!$C:$E,2,FALSE)</f>
        <v>0</v>
      </c>
      <c r="I189" s="116" t="b">
        <f>VLOOKUP($C189,Sales!$C:$E,3,FALSE)</f>
        <v>0</v>
      </c>
      <c r="J189" s="118">
        <f>SUMIFS(Sales!$H:$H,Sales!$C:$C,'Investor Exit List'!$C189)</f>
        <v>45646</v>
      </c>
      <c r="K189" s="118" t="str">
        <f t="shared" si="24"/>
        <v/>
      </c>
      <c r="L189" s="118">
        <f t="shared" si="25"/>
        <v>45485</v>
      </c>
      <c r="M189" s="118">
        <v>45443</v>
      </c>
      <c r="N189" s="119">
        <f t="shared" si="26"/>
        <v>42</v>
      </c>
      <c r="O189" s="119">
        <f t="shared" si="27"/>
        <v>42</v>
      </c>
      <c r="P189" s="117">
        <f t="shared" si="28"/>
        <v>1265713.9691034248</v>
      </c>
      <c r="Q189" s="117">
        <f>SUMIFS(Investors!$M:$M,Investors!$O:$O,FALSE,Investors!$P:$P,FALSE,Investors!$K:$K,"&gt;"&amp;'NSST Print'!$B$3,Investors!$I:$I,"&lt;="&amp;'NSST Print'!$B$3,Investors!$A:$A,'Investor Exit List'!$A189,Investors!$E:$E,'Investor Exit List'!$C189,Investors!$L:$L,'Investor Exit List'!$B189)-(SUMIFS(Investors!$M:$M,Investors!$I:$I,"&lt;="&amp;'NSST Print'!$B$3,Investors!$J:$J,"&gt;"&amp;'NSST Print'!$B$3,Investors!$A:$A,'Investor Exit List'!$A189,Investors!$E:$E,'Investor Exit List'!$C189,Investors!$L:$L,'Investor Exit List'!$B189)+SUMIFS(Investors!$M:$M,Investors!$I:$I,"&lt;="&amp;'NSST Print'!$B$3,Investors!$J:$J,"",Investors!$A:$A,'Investor Exit List'!$A189,Investors!$E:$E,'Investor Exit List'!$C189,Investors!$L:$L,'Investor Exit List'!$B189))+SUMIFS(Investors!$S:$S,Investors!$O:$O,FALSE,Investors!$P:$P,FALSE,Investors!$K:$K,"&gt;"&amp;'NSST Print'!$B$3,Investors!$I:$I,"&lt;="&amp;'NSST Print'!$B$3,Investors!$A:$A,'Investor Exit List'!$A189,Investors!$E:$E,'Investor Exit List'!$C189,Investors!$L:$L,'Investor Exit List'!$B189)-(SUMIFS(Investors!$S:$S,Investors!$I:$I,"&lt;="&amp;'NSST Print'!$B$3,Investors!$J:$J,"&gt;"&amp;'NSST Print'!$B$3,Investors!$A:$A,'Investor Exit List'!$A189,Investors!$E:$E,'Investor Exit List'!$C189,Investors!$L:$L,'Investor Exit List'!$B189)+SUMIFS(Investors!$S:$S,Investors!$I:$I,"&lt;="&amp;'NSST Print'!$B$3,Investors!$J:$J,"",Investors!$A:$A,'Investor Exit List'!$A189,Investors!$E:$E,'Investor Exit List'!$C189,Investors!$L:$L,'Investor Exit List'!$B189))</f>
        <v>1265713.9691034248</v>
      </c>
      <c r="R189" s="117">
        <f t="shared" si="29"/>
        <v>0</v>
      </c>
      <c r="S189" s="117">
        <f>SUMIFS(Investors!$M:$M,Investors!$O:$O,TRUE,Investors!$A:$A,'Investor Exit List'!$A189,Investors!$E:$E,'Investor Exit List'!$C189,Investors!$L:$L,'Investor Exit List'!$B189)+SUMIFS(Investors!$S:$S,Investors!$O:$O,TRUE,Investors!$A:$A,'Investor Exit List'!$A189,Investors!$E:$E,'Investor Exit List'!$C189,Investors!$L:$L,'Investor Exit List'!$B189)</f>
        <v>0</v>
      </c>
      <c r="T189" s="118" t="str">
        <f t="shared" si="30"/>
        <v/>
      </c>
      <c r="U189" s="116" t="b">
        <v>0</v>
      </c>
      <c r="V189" s="117">
        <f t="shared" si="31"/>
        <v>0</v>
      </c>
      <c r="W189" s="116">
        <v>0</v>
      </c>
      <c r="X189" s="116" t="b">
        <v>0</v>
      </c>
      <c r="Y189" s="119">
        <f>IF(H189=FALSE,VLOOKUP($C189,Sales!$C:$F,4,FALSE),1)</f>
        <v>1</v>
      </c>
      <c r="Z189" s="116" t="str">
        <f t="shared" si="32"/>
        <v>Release</v>
      </c>
      <c r="AA189" s="118">
        <f t="shared" si="33"/>
        <v>45485</v>
      </c>
      <c r="AB189" s="118" t="str">
        <f t="shared" si="34"/>
        <v>HVC302-ZCON01</v>
      </c>
      <c r="AC189" s="118">
        <f t="shared" si="35"/>
        <v>45485</v>
      </c>
    </row>
    <row r="190" spans="1:29" ht="16" x14ac:dyDescent="0.2">
      <c r="A190" s="116" t="s">
        <v>472</v>
      </c>
      <c r="B190" s="116">
        <v>2</v>
      </c>
      <c r="C190" s="116" t="s">
        <v>471</v>
      </c>
      <c r="D190" s="116" t="s">
        <v>388</v>
      </c>
      <c r="E190" s="116" t="s">
        <v>2139</v>
      </c>
      <c r="F190" s="117">
        <f>SUMIFS(Investors!$M:$M,Investors!$O:$O,FALSE,Investors!$P:$P,FALSE,Investors!$K:$K,"&gt;"&amp;'NSST Print'!$B$3,Investors!$I:$I,"&lt;="&amp;'NSST Print'!$B$3,Investors!$A:$A,'Investor Exit List'!$A190,Investors!$E:$E,'Investor Exit List'!$C190,Investors!$L:$L,'Investor Exit List'!$B190)-(SUMIFS(Investors!$M:$M,Investors!$I:$I,"&lt;="&amp;'NSST Print'!$B$3,Investors!$J:$J,"&gt;"&amp;'NSST Print'!$B$3,Investors!$A:$A,'Investor Exit List'!$A190,Investors!$E:$E,'Investor Exit List'!$C190,Investors!$L:$L,'Investor Exit List'!$B190)+SUMIFS(Investors!$M:$M,Investors!$I:$I,"&lt;="&amp;'NSST Print'!$B$3,Investors!$J:$J,"",Investors!$A:$A,'Investor Exit List'!$A190,Investors!$E:$E,'Investor Exit List'!$C190,Investors!$L:$L,'Investor Exit List'!$B190))</f>
        <v>117205.48</v>
      </c>
      <c r="G190" s="118">
        <v>44903</v>
      </c>
      <c r="H190" s="116" t="b">
        <f>VLOOKUP($C190,Sales!$C:$E,2,FALSE)</f>
        <v>0</v>
      </c>
      <c r="I190" s="116" t="b">
        <f>VLOOKUP($C190,Sales!$C:$E,3,FALSE)</f>
        <v>0</v>
      </c>
      <c r="J190" s="118">
        <f>SUMIFS(Sales!$H:$H,Sales!$C:$C,'Investor Exit List'!$C190)</f>
        <v>45646</v>
      </c>
      <c r="K190" s="118" t="str">
        <f t="shared" si="24"/>
        <v/>
      </c>
      <c r="L190" s="118">
        <f t="shared" si="25"/>
        <v>45633</v>
      </c>
      <c r="M190" s="118">
        <v>45443</v>
      </c>
      <c r="N190" s="119">
        <f t="shared" si="26"/>
        <v>190</v>
      </c>
      <c r="O190" s="119">
        <f t="shared" si="27"/>
        <v>0</v>
      </c>
      <c r="P190" s="117">
        <f t="shared" si="28"/>
        <v>0</v>
      </c>
      <c r="Q190" s="117">
        <f>SUMIFS(Investors!$M:$M,Investors!$O:$O,FALSE,Investors!$P:$P,FALSE,Investors!$K:$K,"&gt;"&amp;'NSST Print'!$B$3,Investors!$I:$I,"&lt;="&amp;'NSST Print'!$B$3,Investors!$A:$A,'Investor Exit List'!$A190,Investors!$E:$E,'Investor Exit List'!$C190,Investors!$L:$L,'Investor Exit List'!$B190)-(SUMIFS(Investors!$M:$M,Investors!$I:$I,"&lt;="&amp;'NSST Print'!$B$3,Investors!$J:$J,"&gt;"&amp;'NSST Print'!$B$3,Investors!$A:$A,'Investor Exit List'!$A190,Investors!$E:$E,'Investor Exit List'!$C190,Investors!$L:$L,'Investor Exit List'!$B190)+SUMIFS(Investors!$M:$M,Investors!$I:$I,"&lt;="&amp;'NSST Print'!$B$3,Investors!$J:$J,"",Investors!$A:$A,'Investor Exit List'!$A190,Investors!$E:$E,'Investor Exit List'!$C190,Investors!$L:$L,'Investor Exit List'!$B190))+SUMIFS(Investors!$S:$S,Investors!$O:$O,FALSE,Investors!$P:$P,FALSE,Investors!$K:$K,"&gt;"&amp;'NSST Print'!$B$3,Investors!$I:$I,"&lt;="&amp;'NSST Print'!$B$3,Investors!$A:$A,'Investor Exit List'!$A190,Investors!$E:$E,'Investor Exit List'!$C190,Investors!$L:$L,'Investor Exit List'!$B190)-(SUMIFS(Investors!$S:$S,Investors!$I:$I,"&lt;="&amp;'NSST Print'!$B$3,Investors!$J:$J,"&gt;"&amp;'NSST Print'!$B$3,Investors!$A:$A,'Investor Exit List'!$A190,Investors!$E:$E,'Investor Exit List'!$C190,Investors!$L:$L,'Investor Exit List'!$B190)+SUMIFS(Investors!$S:$S,Investors!$I:$I,"&lt;="&amp;'NSST Print'!$B$3,Investors!$J:$J,"",Investors!$A:$A,'Investor Exit List'!$A190,Investors!$E:$E,'Investor Exit List'!$C190,Investors!$L:$L,'Investor Exit List'!$B190))</f>
        <v>144124.20709150683</v>
      </c>
      <c r="R190" s="117">
        <f t="shared" si="29"/>
        <v>0</v>
      </c>
      <c r="S190" s="117">
        <f>SUMIFS(Investors!$M:$M,Investors!$O:$O,TRUE,Investors!$A:$A,'Investor Exit List'!$A190,Investors!$E:$E,'Investor Exit List'!$C190,Investors!$L:$L,'Investor Exit List'!$B190)+SUMIFS(Investors!$S:$S,Investors!$O:$O,TRUE,Investors!$A:$A,'Investor Exit List'!$A190,Investors!$E:$E,'Investor Exit List'!$C190,Investors!$L:$L,'Investor Exit List'!$B190)</f>
        <v>0</v>
      </c>
      <c r="T190" s="118" t="str">
        <f t="shared" si="30"/>
        <v/>
      </c>
      <c r="U190" s="116" t="b">
        <v>0</v>
      </c>
      <c r="V190" s="117">
        <f t="shared" si="31"/>
        <v>0</v>
      </c>
      <c r="W190" s="116">
        <v>0</v>
      </c>
      <c r="X190" s="116" t="b">
        <v>0</v>
      </c>
      <c r="Y190" s="119">
        <f>IF(H190=FALSE,VLOOKUP($C190,Sales!$C:$F,4,FALSE),1)</f>
        <v>1</v>
      </c>
      <c r="Z190" s="116" t="str">
        <f t="shared" si="32"/>
        <v/>
      </c>
      <c r="AA190" s="118">
        <f t="shared" si="33"/>
        <v>45485</v>
      </c>
      <c r="AB190" s="118" t="str">
        <f t="shared" si="34"/>
        <v>HVC302-ZKEW01</v>
      </c>
      <c r="AC190" s="118">
        <f t="shared" si="35"/>
        <v>45633</v>
      </c>
    </row>
    <row r="191" spans="1:29" ht="16" x14ac:dyDescent="0.2">
      <c r="A191" s="116" t="s">
        <v>475</v>
      </c>
      <c r="B191" s="116">
        <v>2</v>
      </c>
      <c r="C191" s="116" t="s">
        <v>478</v>
      </c>
      <c r="D191" s="116" t="s">
        <v>388</v>
      </c>
      <c r="E191" s="116" t="s">
        <v>2140</v>
      </c>
      <c r="F191" s="117">
        <f>SUMIFS(Investors!$M:$M,Investors!$O:$O,FALSE,Investors!$P:$P,FALSE,Investors!$K:$K,"&gt;"&amp;'NSST Print'!$B$3,Investors!$I:$I,"&lt;="&amp;'NSST Print'!$B$3,Investors!$A:$A,'Investor Exit List'!$A191,Investors!$E:$E,'Investor Exit List'!$C191,Investors!$L:$L,'Investor Exit List'!$B191)-(SUMIFS(Investors!$M:$M,Investors!$I:$I,"&lt;="&amp;'NSST Print'!$B$3,Investors!$J:$J,"&gt;"&amp;'NSST Print'!$B$3,Investors!$A:$A,'Investor Exit List'!$A191,Investors!$E:$E,'Investor Exit List'!$C191,Investors!$L:$L,'Investor Exit List'!$B191)+SUMIFS(Investors!$M:$M,Investors!$I:$I,"&lt;="&amp;'NSST Print'!$B$3,Investors!$J:$J,"",Investors!$A:$A,'Investor Exit List'!$A191,Investors!$E:$E,'Investor Exit List'!$C191,Investors!$L:$L,'Investor Exit List'!$B191))</f>
        <v>0</v>
      </c>
      <c r="G191" s="118">
        <v>44903</v>
      </c>
      <c r="H191" s="116" t="b">
        <f>VLOOKUP($C191,Sales!$C:$E,2,FALSE)</f>
        <v>1</v>
      </c>
      <c r="I191" s="116" t="b">
        <f>VLOOKUP($C191,Sales!$C:$E,3,FALSE)</f>
        <v>1</v>
      </c>
      <c r="J191" s="118">
        <f>SUMIFS(Sales!$H:$H,Sales!$C:$C,'Investor Exit List'!$C191)</f>
        <v>45688</v>
      </c>
      <c r="K191" s="118">
        <f t="shared" si="24"/>
        <v>45688</v>
      </c>
      <c r="L191" s="118">
        <f t="shared" si="25"/>
        <v>45633</v>
      </c>
      <c r="M191" s="118">
        <v>45443</v>
      </c>
      <c r="N191" s="119">
        <f t="shared" si="26"/>
        <v>0</v>
      </c>
      <c r="O191" s="119">
        <f t="shared" si="27"/>
        <v>0</v>
      </c>
      <c r="P191" s="117">
        <f t="shared" si="28"/>
        <v>0</v>
      </c>
      <c r="Q191" s="117">
        <f>SUMIFS(Investors!$M:$M,Investors!$O:$O,FALSE,Investors!$P:$P,FALSE,Investors!$K:$K,"&gt;"&amp;'NSST Print'!$B$3,Investors!$I:$I,"&lt;="&amp;'NSST Print'!$B$3,Investors!$A:$A,'Investor Exit List'!$A191,Investors!$E:$E,'Investor Exit List'!$C191,Investors!$L:$L,'Investor Exit List'!$B191)-(SUMIFS(Investors!$M:$M,Investors!$I:$I,"&lt;="&amp;'NSST Print'!$B$3,Investors!$J:$J,"&gt;"&amp;'NSST Print'!$B$3,Investors!$A:$A,'Investor Exit List'!$A191,Investors!$E:$E,'Investor Exit List'!$C191,Investors!$L:$L,'Investor Exit List'!$B191)+SUMIFS(Investors!$M:$M,Investors!$I:$I,"&lt;="&amp;'NSST Print'!$B$3,Investors!$J:$J,"",Investors!$A:$A,'Investor Exit List'!$A191,Investors!$E:$E,'Investor Exit List'!$C191,Investors!$L:$L,'Investor Exit List'!$B191))+SUMIFS(Investors!$S:$S,Investors!$O:$O,FALSE,Investors!$P:$P,FALSE,Investors!$K:$K,"&gt;"&amp;'NSST Print'!$B$3,Investors!$I:$I,"&lt;="&amp;'NSST Print'!$B$3,Investors!$A:$A,'Investor Exit List'!$A191,Investors!$E:$E,'Investor Exit List'!$C191,Investors!$L:$L,'Investor Exit List'!$B191)-(SUMIFS(Investors!$S:$S,Investors!$I:$I,"&lt;="&amp;'NSST Print'!$B$3,Investors!$J:$J,"&gt;"&amp;'NSST Print'!$B$3,Investors!$A:$A,'Investor Exit List'!$A191,Investors!$E:$E,'Investor Exit List'!$C191,Investors!$L:$L,'Investor Exit List'!$B191)+SUMIFS(Investors!$S:$S,Investors!$I:$I,"&lt;="&amp;'NSST Print'!$B$3,Investors!$J:$J,"",Investors!$A:$A,'Investor Exit List'!$A191,Investors!$E:$E,'Investor Exit List'!$C191,Investors!$L:$L,'Investor Exit List'!$B191))</f>
        <v>0</v>
      </c>
      <c r="R191" s="117">
        <f t="shared" si="29"/>
        <v>0</v>
      </c>
      <c r="S191" s="117">
        <f>SUMIFS(Investors!$M:$M,Investors!$O:$O,TRUE,Investors!$A:$A,'Investor Exit List'!$A191,Investors!$E:$E,'Investor Exit List'!$C191,Investors!$L:$L,'Investor Exit List'!$B191)+SUMIFS(Investors!$S:$S,Investors!$O:$O,TRUE,Investors!$A:$A,'Investor Exit List'!$A191,Investors!$E:$E,'Investor Exit List'!$C191,Investors!$L:$L,'Investor Exit List'!$B191)</f>
        <v>0</v>
      </c>
      <c r="T191" s="118" t="str">
        <f t="shared" si="30"/>
        <v/>
      </c>
      <c r="U191" s="116" t="b">
        <v>0</v>
      </c>
      <c r="V191" s="117">
        <f t="shared" si="31"/>
        <v>0</v>
      </c>
      <c r="W191" s="116">
        <v>0</v>
      </c>
      <c r="X191" s="116" t="b">
        <v>0</v>
      </c>
      <c r="Y191" s="119">
        <f>IF(H191=FALSE,VLOOKUP($C191,Sales!$C:$F,4,FALSE),1)</f>
        <v>1</v>
      </c>
      <c r="Z191" s="116" t="str">
        <f t="shared" si="32"/>
        <v/>
      </c>
      <c r="AA191" s="118">
        <f t="shared" si="33"/>
        <v>0</v>
      </c>
      <c r="AB191" s="118" t="str">
        <f t="shared" si="34"/>
        <v>HVC303-ZJEN01</v>
      </c>
      <c r="AC191" s="118">
        <f t="shared" si="35"/>
        <v>45633</v>
      </c>
    </row>
    <row r="192" spans="1:29" ht="16" x14ac:dyDescent="0.2">
      <c r="A192" s="116" t="s">
        <v>479</v>
      </c>
      <c r="B192" s="116">
        <v>2</v>
      </c>
      <c r="C192" s="116" t="s">
        <v>478</v>
      </c>
      <c r="D192" s="116" t="s">
        <v>388</v>
      </c>
      <c r="E192" s="116" t="s">
        <v>2141</v>
      </c>
      <c r="F192" s="117">
        <f>SUMIFS(Investors!$M:$M,Investors!$O:$O,FALSE,Investors!$P:$P,FALSE,Investors!$K:$K,"&gt;"&amp;'NSST Print'!$B$3,Investors!$I:$I,"&lt;="&amp;'NSST Print'!$B$3,Investors!$A:$A,'Investor Exit List'!$A192,Investors!$E:$E,'Investor Exit List'!$C192,Investors!$L:$L,'Investor Exit List'!$B192)-(SUMIFS(Investors!$M:$M,Investors!$I:$I,"&lt;="&amp;'NSST Print'!$B$3,Investors!$J:$J,"&gt;"&amp;'NSST Print'!$B$3,Investors!$A:$A,'Investor Exit List'!$A192,Investors!$E:$E,'Investor Exit List'!$C192,Investors!$L:$L,'Investor Exit List'!$B192)+SUMIFS(Investors!$M:$M,Investors!$I:$I,"&lt;="&amp;'NSST Print'!$B$3,Investors!$J:$J,"",Investors!$A:$A,'Investor Exit List'!$A192,Investors!$E:$E,'Investor Exit List'!$C192,Investors!$L:$L,'Investor Exit List'!$B192))</f>
        <v>0</v>
      </c>
      <c r="G192" s="118">
        <v>44903</v>
      </c>
      <c r="H192" s="116" t="b">
        <f>VLOOKUP($C192,Sales!$C:$E,2,FALSE)</f>
        <v>1</v>
      </c>
      <c r="I192" s="116" t="b">
        <f>VLOOKUP($C192,Sales!$C:$E,3,FALSE)</f>
        <v>1</v>
      </c>
      <c r="J192" s="118">
        <f>SUMIFS(Sales!$H:$H,Sales!$C:$C,'Investor Exit List'!$C192)</f>
        <v>45688</v>
      </c>
      <c r="K192" s="118">
        <f t="shared" si="24"/>
        <v>45688</v>
      </c>
      <c r="L192" s="118">
        <f t="shared" si="25"/>
        <v>45633</v>
      </c>
      <c r="M192" s="118">
        <v>45443</v>
      </c>
      <c r="N192" s="119">
        <f t="shared" si="26"/>
        <v>0</v>
      </c>
      <c r="O192" s="119">
        <f t="shared" si="27"/>
        <v>0</v>
      </c>
      <c r="P192" s="117">
        <f t="shared" si="28"/>
        <v>0</v>
      </c>
      <c r="Q192" s="117">
        <f>SUMIFS(Investors!$M:$M,Investors!$O:$O,FALSE,Investors!$P:$P,FALSE,Investors!$K:$K,"&gt;"&amp;'NSST Print'!$B$3,Investors!$I:$I,"&lt;="&amp;'NSST Print'!$B$3,Investors!$A:$A,'Investor Exit List'!$A192,Investors!$E:$E,'Investor Exit List'!$C192,Investors!$L:$L,'Investor Exit List'!$B192)-(SUMIFS(Investors!$M:$M,Investors!$I:$I,"&lt;="&amp;'NSST Print'!$B$3,Investors!$J:$J,"&gt;"&amp;'NSST Print'!$B$3,Investors!$A:$A,'Investor Exit List'!$A192,Investors!$E:$E,'Investor Exit List'!$C192,Investors!$L:$L,'Investor Exit List'!$B192)+SUMIFS(Investors!$M:$M,Investors!$I:$I,"&lt;="&amp;'NSST Print'!$B$3,Investors!$J:$J,"",Investors!$A:$A,'Investor Exit List'!$A192,Investors!$E:$E,'Investor Exit List'!$C192,Investors!$L:$L,'Investor Exit List'!$B192))+SUMIFS(Investors!$S:$S,Investors!$O:$O,FALSE,Investors!$P:$P,FALSE,Investors!$K:$K,"&gt;"&amp;'NSST Print'!$B$3,Investors!$I:$I,"&lt;="&amp;'NSST Print'!$B$3,Investors!$A:$A,'Investor Exit List'!$A192,Investors!$E:$E,'Investor Exit List'!$C192,Investors!$L:$L,'Investor Exit List'!$B192)-(SUMIFS(Investors!$S:$S,Investors!$I:$I,"&lt;="&amp;'NSST Print'!$B$3,Investors!$J:$J,"&gt;"&amp;'NSST Print'!$B$3,Investors!$A:$A,'Investor Exit List'!$A192,Investors!$E:$E,'Investor Exit List'!$C192,Investors!$L:$L,'Investor Exit List'!$B192)+SUMIFS(Investors!$S:$S,Investors!$I:$I,"&lt;="&amp;'NSST Print'!$B$3,Investors!$J:$J,"",Investors!$A:$A,'Investor Exit List'!$A192,Investors!$E:$E,'Investor Exit List'!$C192,Investors!$L:$L,'Investor Exit List'!$B192))</f>
        <v>0</v>
      </c>
      <c r="R192" s="117">
        <f t="shared" si="29"/>
        <v>0</v>
      </c>
      <c r="S192" s="117">
        <f>SUMIFS(Investors!$M:$M,Investors!$O:$O,TRUE,Investors!$A:$A,'Investor Exit List'!$A192,Investors!$E:$E,'Investor Exit List'!$C192,Investors!$L:$L,'Investor Exit List'!$B192)+SUMIFS(Investors!$S:$S,Investors!$O:$O,TRUE,Investors!$A:$A,'Investor Exit List'!$A192,Investors!$E:$E,'Investor Exit List'!$C192,Investors!$L:$L,'Investor Exit List'!$B192)</f>
        <v>0</v>
      </c>
      <c r="T192" s="118" t="str">
        <f t="shared" si="30"/>
        <v/>
      </c>
      <c r="U192" s="116" t="b">
        <v>0</v>
      </c>
      <c r="V192" s="117">
        <f t="shared" si="31"/>
        <v>0</v>
      </c>
      <c r="W192" s="116">
        <v>0</v>
      </c>
      <c r="X192" s="116" t="b">
        <v>0</v>
      </c>
      <c r="Y192" s="119">
        <f>IF(H192=FALSE,VLOOKUP($C192,Sales!$C:$F,4,FALSE),1)</f>
        <v>1</v>
      </c>
      <c r="Z192" s="116" t="str">
        <f t="shared" si="32"/>
        <v/>
      </c>
      <c r="AA192" s="118">
        <f t="shared" si="33"/>
        <v>0</v>
      </c>
      <c r="AB192" s="118" t="str">
        <f t="shared" si="34"/>
        <v>HVC303-ZMEY02</v>
      </c>
      <c r="AC192" s="118">
        <f t="shared" si="35"/>
        <v>45633</v>
      </c>
    </row>
    <row r="193" spans="1:29" ht="16" x14ac:dyDescent="0.2">
      <c r="A193" s="116" t="s">
        <v>419</v>
      </c>
      <c r="B193" s="116">
        <v>7</v>
      </c>
      <c r="C193" s="116" t="s">
        <v>478</v>
      </c>
      <c r="D193" s="116" t="s">
        <v>388</v>
      </c>
      <c r="E193" s="116" t="s">
        <v>2123</v>
      </c>
      <c r="F193" s="117">
        <f>SUMIFS(Investors!$M:$M,Investors!$O:$O,FALSE,Investors!$P:$P,FALSE,Investors!$K:$K,"&gt;"&amp;'NSST Print'!$B$3,Investors!$I:$I,"&lt;="&amp;'NSST Print'!$B$3,Investors!$A:$A,'Investor Exit List'!$A193,Investors!$E:$E,'Investor Exit List'!$C193,Investors!$L:$L,'Investor Exit List'!$B193)-(SUMIFS(Investors!$M:$M,Investors!$I:$I,"&lt;="&amp;'NSST Print'!$B$3,Investors!$J:$J,"&gt;"&amp;'NSST Print'!$B$3,Investors!$A:$A,'Investor Exit List'!$A193,Investors!$E:$E,'Investor Exit List'!$C193,Investors!$L:$L,'Investor Exit List'!$B193)+SUMIFS(Investors!$M:$M,Investors!$I:$I,"&lt;="&amp;'NSST Print'!$B$3,Investors!$J:$J,"",Investors!$A:$A,'Investor Exit List'!$A193,Investors!$E:$E,'Investor Exit List'!$C193,Investors!$L:$L,'Investor Exit List'!$B193))</f>
        <v>0</v>
      </c>
      <c r="G193" s="118">
        <v>44903</v>
      </c>
      <c r="H193" s="116" t="b">
        <f>VLOOKUP($C193,Sales!$C:$E,2,FALSE)</f>
        <v>1</v>
      </c>
      <c r="I193" s="116" t="b">
        <f>VLOOKUP($C193,Sales!$C:$E,3,FALSE)</f>
        <v>1</v>
      </c>
      <c r="J193" s="118">
        <f>SUMIFS(Sales!$H:$H,Sales!$C:$C,'Investor Exit List'!$C193)</f>
        <v>45688</v>
      </c>
      <c r="K193" s="118">
        <f t="shared" si="24"/>
        <v>45688</v>
      </c>
      <c r="L193" s="118">
        <f t="shared" si="25"/>
        <v>45633</v>
      </c>
      <c r="M193" s="118">
        <v>45443</v>
      </c>
      <c r="N193" s="119">
        <f t="shared" si="26"/>
        <v>0</v>
      </c>
      <c r="O193" s="119">
        <f t="shared" si="27"/>
        <v>0</v>
      </c>
      <c r="P193" s="117">
        <f t="shared" si="28"/>
        <v>0</v>
      </c>
      <c r="Q193" s="117">
        <f>SUMIFS(Investors!$M:$M,Investors!$O:$O,FALSE,Investors!$P:$P,FALSE,Investors!$K:$K,"&gt;"&amp;'NSST Print'!$B$3,Investors!$I:$I,"&lt;="&amp;'NSST Print'!$B$3,Investors!$A:$A,'Investor Exit List'!$A193,Investors!$E:$E,'Investor Exit List'!$C193,Investors!$L:$L,'Investor Exit List'!$B193)-(SUMIFS(Investors!$M:$M,Investors!$I:$I,"&lt;="&amp;'NSST Print'!$B$3,Investors!$J:$J,"&gt;"&amp;'NSST Print'!$B$3,Investors!$A:$A,'Investor Exit List'!$A193,Investors!$E:$E,'Investor Exit List'!$C193,Investors!$L:$L,'Investor Exit List'!$B193)+SUMIFS(Investors!$M:$M,Investors!$I:$I,"&lt;="&amp;'NSST Print'!$B$3,Investors!$J:$J,"",Investors!$A:$A,'Investor Exit List'!$A193,Investors!$E:$E,'Investor Exit List'!$C193,Investors!$L:$L,'Investor Exit List'!$B193))+SUMIFS(Investors!$S:$S,Investors!$O:$O,FALSE,Investors!$P:$P,FALSE,Investors!$K:$K,"&gt;"&amp;'NSST Print'!$B$3,Investors!$I:$I,"&lt;="&amp;'NSST Print'!$B$3,Investors!$A:$A,'Investor Exit List'!$A193,Investors!$E:$E,'Investor Exit List'!$C193,Investors!$L:$L,'Investor Exit List'!$B193)-(SUMIFS(Investors!$S:$S,Investors!$I:$I,"&lt;="&amp;'NSST Print'!$B$3,Investors!$J:$J,"&gt;"&amp;'NSST Print'!$B$3,Investors!$A:$A,'Investor Exit List'!$A193,Investors!$E:$E,'Investor Exit List'!$C193,Investors!$L:$L,'Investor Exit List'!$B193)+SUMIFS(Investors!$S:$S,Investors!$I:$I,"&lt;="&amp;'NSST Print'!$B$3,Investors!$J:$J,"",Investors!$A:$A,'Investor Exit List'!$A193,Investors!$E:$E,'Investor Exit List'!$C193,Investors!$L:$L,'Investor Exit List'!$B193))</f>
        <v>0</v>
      </c>
      <c r="R193" s="117">
        <f t="shared" si="29"/>
        <v>0</v>
      </c>
      <c r="S193" s="117">
        <f>SUMIFS(Investors!$M:$M,Investors!$O:$O,TRUE,Investors!$A:$A,'Investor Exit List'!$A193,Investors!$E:$E,'Investor Exit List'!$C193,Investors!$L:$L,'Investor Exit List'!$B193)+SUMIFS(Investors!$S:$S,Investors!$O:$O,TRUE,Investors!$A:$A,'Investor Exit List'!$A193,Investors!$E:$E,'Investor Exit List'!$C193,Investors!$L:$L,'Investor Exit List'!$B193)</f>
        <v>0</v>
      </c>
      <c r="T193" s="118" t="str">
        <f t="shared" si="30"/>
        <v/>
      </c>
      <c r="U193" s="116" t="b">
        <v>0</v>
      </c>
      <c r="V193" s="117">
        <f t="shared" si="31"/>
        <v>0</v>
      </c>
      <c r="W193" s="116">
        <v>0</v>
      </c>
      <c r="X193" s="116" t="b">
        <v>0</v>
      </c>
      <c r="Y193" s="119">
        <f>IF(H193=FALSE,VLOOKUP($C193,Sales!$C:$F,4,FALSE),1)</f>
        <v>1</v>
      </c>
      <c r="Z193" s="116" t="str">
        <f t="shared" si="32"/>
        <v/>
      </c>
      <c r="AA193" s="118">
        <f t="shared" si="33"/>
        <v>0</v>
      </c>
      <c r="AB193" s="118" t="str">
        <f t="shared" si="34"/>
        <v>HVC303-ZRIT01</v>
      </c>
      <c r="AC193" s="118">
        <f t="shared" si="35"/>
        <v>45633</v>
      </c>
    </row>
    <row r="194" spans="1:29" ht="16" x14ac:dyDescent="0.2">
      <c r="A194" s="116" t="s">
        <v>482</v>
      </c>
      <c r="B194" s="116">
        <v>2</v>
      </c>
      <c r="C194" s="116" t="s">
        <v>478</v>
      </c>
      <c r="D194" s="116" t="s">
        <v>388</v>
      </c>
      <c r="E194" s="116" t="s">
        <v>2142</v>
      </c>
      <c r="F194" s="117">
        <f>SUMIFS(Investors!$M:$M,Investors!$O:$O,FALSE,Investors!$P:$P,FALSE,Investors!$K:$K,"&gt;"&amp;'NSST Print'!$B$3,Investors!$I:$I,"&lt;="&amp;'NSST Print'!$B$3,Investors!$A:$A,'Investor Exit List'!$A194,Investors!$E:$E,'Investor Exit List'!$C194,Investors!$L:$L,'Investor Exit List'!$B194)-(SUMIFS(Investors!$M:$M,Investors!$I:$I,"&lt;="&amp;'NSST Print'!$B$3,Investors!$J:$J,"&gt;"&amp;'NSST Print'!$B$3,Investors!$A:$A,'Investor Exit List'!$A194,Investors!$E:$E,'Investor Exit List'!$C194,Investors!$L:$L,'Investor Exit List'!$B194)+SUMIFS(Investors!$M:$M,Investors!$I:$I,"&lt;="&amp;'NSST Print'!$B$3,Investors!$J:$J,"",Investors!$A:$A,'Investor Exit List'!$A194,Investors!$E:$E,'Investor Exit List'!$C194,Investors!$L:$L,'Investor Exit List'!$B194))</f>
        <v>0</v>
      </c>
      <c r="G194" s="118">
        <v>44903</v>
      </c>
      <c r="H194" s="116" t="b">
        <f>VLOOKUP($C194,Sales!$C:$E,2,FALSE)</f>
        <v>1</v>
      </c>
      <c r="I194" s="116" t="b">
        <f>VLOOKUP($C194,Sales!$C:$E,3,FALSE)</f>
        <v>1</v>
      </c>
      <c r="J194" s="118">
        <f>SUMIFS(Sales!$H:$H,Sales!$C:$C,'Investor Exit List'!$C194)</f>
        <v>45688</v>
      </c>
      <c r="K194" s="118">
        <f t="shared" si="24"/>
        <v>45688</v>
      </c>
      <c r="L194" s="118">
        <f t="shared" si="25"/>
        <v>45633</v>
      </c>
      <c r="M194" s="118">
        <v>45443</v>
      </c>
      <c r="N194" s="119">
        <f t="shared" si="26"/>
        <v>0</v>
      </c>
      <c r="O194" s="119">
        <f t="shared" si="27"/>
        <v>0</v>
      </c>
      <c r="P194" s="117">
        <f t="shared" si="28"/>
        <v>0</v>
      </c>
      <c r="Q194" s="117">
        <f>SUMIFS(Investors!$M:$M,Investors!$O:$O,FALSE,Investors!$P:$P,FALSE,Investors!$K:$K,"&gt;"&amp;'NSST Print'!$B$3,Investors!$I:$I,"&lt;="&amp;'NSST Print'!$B$3,Investors!$A:$A,'Investor Exit List'!$A194,Investors!$E:$E,'Investor Exit List'!$C194,Investors!$L:$L,'Investor Exit List'!$B194)-(SUMIFS(Investors!$M:$M,Investors!$I:$I,"&lt;="&amp;'NSST Print'!$B$3,Investors!$J:$J,"&gt;"&amp;'NSST Print'!$B$3,Investors!$A:$A,'Investor Exit List'!$A194,Investors!$E:$E,'Investor Exit List'!$C194,Investors!$L:$L,'Investor Exit List'!$B194)+SUMIFS(Investors!$M:$M,Investors!$I:$I,"&lt;="&amp;'NSST Print'!$B$3,Investors!$J:$J,"",Investors!$A:$A,'Investor Exit List'!$A194,Investors!$E:$E,'Investor Exit List'!$C194,Investors!$L:$L,'Investor Exit List'!$B194))+SUMIFS(Investors!$S:$S,Investors!$O:$O,FALSE,Investors!$P:$P,FALSE,Investors!$K:$K,"&gt;"&amp;'NSST Print'!$B$3,Investors!$I:$I,"&lt;="&amp;'NSST Print'!$B$3,Investors!$A:$A,'Investor Exit List'!$A194,Investors!$E:$E,'Investor Exit List'!$C194,Investors!$L:$L,'Investor Exit List'!$B194)-(SUMIFS(Investors!$S:$S,Investors!$I:$I,"&lt;="&amp;'NSST Print'!$B$3,Investors!$J:$J,"&gt;"&amp;'NSST Print'!$B$3,Investors!$A:$A,'Investor Exit List'!$A194,Investors!$E:$E,'Investor Exit List'!$C194,Investors!$L:$L,'Investor Exit List'!$B194)+SUMIFS(Investors!$S:$S,Investors!$I:$I,"&lt;="&amp;'NSST Print'!$B$3,Investors!$J:$J,"",Investors!$A:$A,'Investor Exit List'!$A194,Investors!$E:$E,'Investor Exit List'!$C194,Investors!$L:$L,'Investor Exit List'!$B194))</f>
        <v>0</v>
      </c>
      <c r="R194" s="117">
        <f t="shared" si="29"/>
        <v>0</v>
      </c>
      <c r="S194" s="117">
        <f>SUMIFS(Investors!$M:$M,Investors!$O:$O,TRUE,Investors!$A:$A,'Investor Exit List'!$A194,Investors!$E:$E,'Investor Exit List'!$C194,Investors!$L:$L,'Investor Exit List'!$B194)+SUMIFS(Investors!$S:$S,Investors!$O:$O,TRUE,Investors!$A:$A,'Investor Exit List'!$A194,Investors!$E:$E,'Investor Exit List'!$C194,Investors!$L:$L,'Investor Exit List'!$B194)</f>
        <v>0</v>
      </c>
      <c r="T194" s="118" t="str">
        <f t="shared" si="30"/>
        <v/>
      </c>
      <c r="U194" s="116" t="b">
        <v>0</v>
      </c>
      <c r="V194" s="117">
        <f t="shared" si="31"/>
        <v>0</v>
      </c>
      <c r="W194" s="116">
        <v>0</v>
      </c>
      <c r="X194" s="116" t="b">
        <v>0</v>
      </c>
      <c r="Y194" s="119">
        <f>IF(H194=FALSE,VLOOKUP($C194,Sales!$C:$F,4,FALSE),1)</f>
        <v>1</v>
      </c>
      <c r="Z194" s="116" t="str">
        <f t="shared" si="32"/>
        <v/>
      </c>
      <c r="AA194" s="118">
        <f t="shared" si="33"/>
        <v>0</v>
      </c>
      <c r="AB194" s="118" t="str">
        <f t="shared" si="34"/>
        <v>HVC303-ZWES01</v>
      </c>
      <c r="AC194" s="118">
        <f t="shared" si="35"/>
        <v>45633</v>
      </c>
    </row>
    <row r="195" spans="1:29" ht="16" x14ac:dyDescent="0.2">
      <c r="A195" s="116" t="s">
        <v>485</v>
      </c>
      <c r="B195" s="116">
        <v>3</v>
      </c>
      <c r="C195" s="116" t="s">
        <v>488</v>
      </c>
      <c r="D195" s="116" t="s">
        <v>388</v>
      </c>
      <c r="E195" s="116" t="s">
        <v>2143</v>
      </c>
      <c r="F195" s="117">
        <f>SUMIFS(Investors!$M:$M,Investors!$O:$O,FALSE,Investors!$P:$P,FALSE,Investors!$K:$K,"&gt;"&amp;'NSST Print'!$B$3,Investors!$I:$I,"&lt;="&amp;'NSST Print'!$B$3,Investors!$A:$A,'Investor Exit List'!$A195,Investors!$E:$E,'Investor Exit List'!$C195,Investors!$L:$L,'Investor Exit List'!$B195)-(SUMIFS(Investors!$M:$M,Investors!$I:$I,"&lt;="&amp;'NSST Print'!$B$3,Investors!$J:$J,"&gt;"&amp;'NSST Print'!$B$3,Investors!$A:$A,'Investor Exit List'!$A195,Investors!$E:$E,'Investor Exit List'!$C195,Investors!$L:$L,'Investor Exit List'!$B195)+SUMIFS(Investors!$M:$M,Investors!$I:$I,"&lt;="&amp;'NSST Print'!$B$3,Investors!$J:$J,"",Investors!$A:$A,'Investor Exit List'!$A195,Investors!$E:$E,'Investor Exit List'!$C195,Investors!$L:$L,'Investor Exit List'!$B195))</f>
        <v>1028006.85</v>
      </c>
      <c r="G195" s="118">
        <v>44903</v>
      </c>
      <c r="H195" s="116" t="b">
        <f>VLOOKUP($C195,Sales!$C:$E,2,FALSE)</f>
        <v>0</v>
      </c>
      <c r="I195" s="116" t="b">
        <f>VLOOKUP($C195,Sales!$C:$E,3,FALSE)</f>
        <v>0</v>
      </c>
      <c r="J195" s="118">
        <f>SUMIFS(Sales!$H:$H,Sales!$C:$C,'Investor Exit List'!$C195)</f>
        <v>45646</v>
      </c>
      <c r="K195" s="118" t="str">
        <f t="shared" si="24"/>
        <v/>
      </c>
      <c r="L195" s="118">
        <f t="shared" si="25"/>
        <v>45633</v>
      </c>
      <c r="M195" s="118">
        <v>45443</v>
      </c>
      <c r="N195" s="119">
        <f t="shared" si="26"/>
        <v>190</v>
      </c>
      <c r="O195" s="119">
        <f t="shared" si="27"/>
        <v>0</v>
      </c>
      <c r="P195" s="117">
        <f t="shared" si="28"/>
        <v>0</v>
      </c>
      <c r="Q195" s="117">
        <f>SUMIFS(Investors!$M:$M,Investors!$O:$O,FALSE,Investors!$P:$P,FALSE,Investors!$K:$K,"&gt;"&amp;'NSST Print'!$B$3,Investors!$I:$I,"&lt;="&amp;'NSST Print'!$B$3,Investors!$A:$A,'Investor Exit List'!$A195,Investors!$E:$E,'Investor Exit List'!$C195,Investors!$L:$L,'Investor Exit List'!$B195)-(SUMIFS(Investors!$M:$M,Investors!$I:$I,"&lt;="&amp;'NSST Print'!$B$3,Investors!$J:$J,"&gt;"&amp;'NSST Print'!$B$3,Investors!$A:$A,'Investor Exit List'!$A195,Investors!$E:$E,'Investor Exit List'!$C195,Investors!$L:$L,'Investor Exit List'!$B195)+SUMIFS(Investors!$M:$M,Investors!$I:$I,"&lt;="&amp;'NSST Print'!$B$3,Investors!$J:$J,"",Investors!$A:$A,'Investor Exit List'!$A195,Investors!$E:$E,'Investor Exit List'!$C195,Investors!$L:$L,'Investor Exit List'!$B195))+SUMIFS(Investors!$S:$S,Investors!$O:$O,FALSE,Investors!$P:$P,FALSE,Investors!$K:$K,"&gt;"&amp;'NSST Print'!$B$3,Investors!$I:$I,"&lt;="&amp;'NSST Print'!$B$3,Investors!$A:$A,'Investor Exit List'!$A195,Investors!$E:$E,'Investor Exit List'!$C195,Investors!$L:$L,'Investor Exit List'!$B195)-(SUMIFS(Investors!$S:$S,Investors!$I:$I,"&lt;="&amp;'NSST Print'!$B$3,Investors!$J:$J,"&gt;"&amp;'NSST Print'!$B$3,Investors!$A:$A,'Investor Exit List'!$A195,Investors!$E:$E,'Investor Exit List'!$C195,Investors!$L:$L,'Investor Exit List'!$B195)+SUMIFS(Investors!$S:$S,Investors!$I:$I,"&lt;="&amp;'NSST Print'!$B$3,Investors!$J:$J,"",Investors!$A:$A,'Investor Exit List'!$A195,Investors!$E:$E,'Investor Exit List'!$C195,Investors!$L:$L,'Investor Exit List'!$B195))</f>
        <v>1357954.8019931507</v>
      </c>
      <c r="R195" s="117">
        <f t="shared" si="29"/>
        <v>0</v>
      </c>
      <c r="S195" s="117">
        <f>SUMIFS(Investors!$M:$M,Investors!$O:$O,TRUE,Investors!$A:$A,'Investor Exit List'!$A195,Investors!$E:$E,'Investor Exit List'!$C195,Investors!$L:$L,'Investor Exit List'!$B195)+SUMIFS(Investors!$S:$S,Investors!$O:$O,TRUE,Investors!$A:$A,'Investor Exit List'!$A195,Investors!$E:$E,'Investor Exit List'!$C195,Investors!$L:$L,'Investor Exit List'!$B195)</f>
        <v>0</v>
      </c>
      <c r="T195" s="118" t="str">
        <f t="shared" si="30"/>
        <v/>
      </c>
      <c r="U195" s="116" t="b">
        <v>0</v>
      </c>
      <c r="V195" s="117">
        <f t="shared" si="31"/>
        <v>0</v>
      </c>
      <c r="W195" s="116">
        <v>0</v>
      </c>
      <c r="X195" s="116" t="b">
        <v>0</v>
      </c>
      <c r="Y195" s="119">
        <f>IF(H195=FALSE,VLOOKUP($C195,Sales!$C:$F,4,FALSE),1)</f>
        <v>1</v>
      </c>
      <c r="Z195" s="116" t="str">
        <f t="shared" si="32"/>
        <v/>
      </c>
      <c r="AA195" s="118">
        <f t="shared" si="33"/>
        <v>45633</v>
      </c>
      <c r="AB195" s="118" t="str">
        <f t="shared" si="34"/>
        <v>HVC304-ZVAN05</v>
      </c>
      <c r="AC195" s="118">
        <f t="shared" si="35"/>
        <v>45633</v>
      </c>
    </row>
    <row r="196" spans="1:29" ht="16" x14ac:dyDescent="0.2">
      <c r="A196" s="116" t="s">
        <v>489</v>
      </c>
      <c r="B196" s="116">
        <v>1</v>
      </c>
      <c r="C196" s="116" t="s">
        <v>492</v>
      </c>
      <c r="D196" s="116" t="s">
        <v>388</v>
      </c>
      <c r="E196" s="116" t="s">
        <v>2144</v>
      </c>
      <c r="F196" s="117">
        <f>SUMIFS(Investors!$M:$M,Investors!$O:$O,FALSE,Investors!$P:$P,FALSE,Investors!$K:$K,"&gt;"&amp;'NSST Print'!$B$3,Investors!$I:$I,"&lt;="&amp;'NSST Print'!$B$3,Investors!$A:$A,'Investor Exit List'!$A196,Investors!$E:$E,'Investor Exit List'!$C196,Investors!$L:$L,'Investor Exit List'!$B196)-(SUMIFS(Investors!$M:$M,Investors!$I:$I,"&lt;="&amp;'NSST Print'!$B$3,Investors!$J:$J,"&gt;"&amp;'NSST Print'!$B$3,Investors!$A:$A,'Investor Exit List'!$A196,Investors!$E:$E,'Investor Exit List'!$C196,Investors!$L:$L,'Investor Exit List'!$B196)+SUMIFS(Investors!$M:$M,Investors!$I:$I,"&lt;="&amp;'NSST Print'!$B$3,Investors!$J:$J,"",Investors!$A:$A,'Investor Exit List'!$A196,Investors!$E:$E,'Investor Exit List'!$C196,Investors!$L:$L,'Investor Exit List'!$B196))</f>
        <v>350000</v>
      </c>
      <c r="G196" s="118">
        <v>44909</v>
      </c>
      <c r="H196" s="116" t="b">
        <f>VLOOKUP($C196,Sales!$C:$E,2,FALSE)</f>
        <v>0</v>
      </c>
      <c r="I196" s="116" t="b">
        <f>VLOOKUP($C196,Sales!$C:$E,3,FALSE)</f>
        <v>0</v>
      </c>
      <c r="J196" s="118">
        <f>SUMIFS(Sales!$H:$H,Sales!$C:$C,'Investor Exit List'!$C196)</f>
        <v>45646</v>
      </c>
      <c r="K196" s="118" t="str">
        <f t="shared" ref="K196:K259" si="36">IF(I196=TRUE,J196,"")</f>
        <v/>
      </c>
      <c r="L196" s="118">
        <f t="shared" ref="L196:L259" si="37">G196+730</f>
        <v>45639</v>
      </c>
      <c r="M196" s="118">
        <v>45443</v>
      </c>
      <c r="N196" s="119">
        <f t="shared" ref="N196:N259" si="38">IFERROR(IF(G196&lt;&gt;"",IF(I196=TRUE,0,IF(U196=TRUE,0,L196-M196)),0),0)</f>
        <v>196</v>
      </c>
      <c r="O196" s="119">
        <f t="shared" ref="O196:O259" si="39">IF(N196&gt;0,IF(N196&lt;=180,N196,0),0)</f>
        <v>0</v>
      </c>
      <c r="P196" s="117">
        <f t="shared" ref="P196:P259" si="40">IF(AND(N196&lt;90,N196&gt;0),Q196,0)</f>
        <v>0</v>
      </c>
      <c r="Q196" s="117">
        <f>SUMIFS(Investors!$M:$M,Investors!$O:$O,FALSE,Investors!$P:$P,FALSE,Investors!$K:$K,"&gt;"&amp;'NSST Print'!$B$3,Investors!$I:$I,"&lt;="&amp;'NSST Print'!$B$3,Investors!$A:$A,'Investor Exit List'!$A196,Investors!$E:$E,'Investor Exit List'!$C196,Investors!$L:$L,'Investor Exit List'!$B196)-(SUMIFS(Investors!$M:$M,Investors!$I:$I,"&lt;="&amp;'NSST Print'!$B$3,Investors!$J:$J,"&gt;"&amp;'NSST Print'!$B$3,Investors!$A:$A,'Investor Exit List'!$A196,Investors!$E:$E,'Investor Exit List'!$C196,Investors!$L:$L,'Investor Exit List'!$B196)+SUMIFS(Investors!$M:$M,Investors!$I:$I,"&lt;="&amp;'NSST Print'!$B$3,Investors!$J:$J,"",Investors!$A:$A,'Investor Exit List'!$A196,Investors!$E:$E,'Investor Exit List'!$C196,Investors!$L:$L,'Investor Exit List'!$B196))+SUMIFS(Investors!$S:$S,Investors!$O:$O,FALSE,Investors!$P:$P,FALSE,Investors!$K:$K,"&gt;"&amp;'NSST Print'!$B$3,Investors!$I:$I,"&lt;="&amp;'NSST Print'!$B$3,Investors!$A:$A,'Investor Exit List'!$A196,Investors!$E:$E,'Investor Exit List'!$C196,Investors!$L:$L,'Investor Exit List'!$B196)-(SUMIFS(Investors!$S:$S,Investors!$I:$I,"&lt;="&amp;'NSST Print'!$B$3,Investors!$J:$J,"&gt;"&amp;'NSST Print'!$B$3,Investors!$A:$A,'Investor Exit List'!$A196,Investors!$E:$E,'Investor Exit List'!$C196,Investors!$L:$L,'Investor Exit List'!$B196)+SUMIFS(Investors!$S:$S,Investors!$I:$I,"&lt;="&amp;'NSST Print'!$B$3,Investors!$J:$J,"",Investors!$A:$A,'Investor Exit List'!$A196,Investors!$E:$E,'Investor Exit List'!$C196,Investors!$L:$L,'Investor Exit List'!$B196))</f>
        <v>461343.15068493149</v>
      </c>
      <c r="R196" s="117">
        <f t="shared" ref="R196:R259" si="41">IF(AND(H196=TRUE,I196=FALSE),Q196,0)</f>
        <v>0</v>
      </c>
      <c r="S196" s="117">
        <f>SUMIFS(Investors!$M:$M,Investors!$O:$O,TRUE,Investors!$A:$A,'Investor Exit List'!$A196,Investors!$E:$E,'Investor Exit List'!$C196,Investors!$L:$L,'Investor Exit List'!$B196)+SUMIFS(Investors!$S:$S,Investors!$O:$O,TRUE,Investors!$A:$A,'Investor Exit List'!$A196,Investors!$E:$E,'Investor Exit List'!$C196,Investors!$L:$L,'Investor Exit List'!$B196)</f>
        <v>0</v>
      </c>
      <c r="T196" s="118" t="str">
        <f t="shared" ref="T196:T259" si="42">IF(U196=TRUE,$J196,"")</f>
        <v/>
      </c>
      <c r="U196" s="116" t="b">
        <v>0</v>
      </c>
      <c r="V196" s="117">
        <f t="shared" ref="V196:V259" si="43">IF(AND(H196=TRUE,OR(K196="",K196&gt;M196)),S196,0)</f>
        <v>0</v>
      </c>
      <c r="W196" s="116">
        <v>0</v>
      </c>
      <c r="X196" s="116" t="b">
        <v>0</v>
      </c>
      <c r="Y196" s="119">
        <f>IF(H196=FALSE,VLOOKUP($C196,Sales!$C:$F,4,FALSE),1)</f>
        <v>1</v>
      </c>
      <c r="Z196" s="116" t="str">
        <f t="shared" ref="Z196:Z259" si="44">IF(Y196=0,"Release",IF(AND(L196&lt;J196,Y196=1,H196=FALSE,U196=FALSE,MONTH(L196)&amp;"/"&amp;YEAR(L196)&lt;&gt;MONTH(J196)&amp;"/"&amp;YEAR(J196)),"Release",""))</f>
        <v/>
      </c>
      <c r="AA196" s="118">
        <f t="shared" ref="AA196:AA259" si="45">_xlfn.MINIFS($L:$L,$C:$C,$C196,$F:$F,"&lt;&gt;0")</f>
        <v>45633</v>
      </c>
      <c r="AB196" s="118" t="str">
        <f t="shared" ref="AB196:AB259" si="46">C196&amp;"-"&amp;A196</f>
        <v>HVC305-ZBER01</v>
      </c>
      <c r="AC196" s="118">
        <f t="shared" ref="AC196:AC259" si="47">L196</f>
        <v>45639</v>
      </c>
    </row>
    <row r="197" spans="1:29" ht="16" x14ac:dyDescent="0.2">
      <c r="A197" s="116" t="s">
        <v>261</v>
      </c>
      <c r="B197" s="116">
        <v>3</v>
      </c>
      <c r="C197" s="116" t="s">
        <v>492</v>
      </c>
      <c r="D197" s="116" t="s">
        <v>388</v>
      </c>
      <c r="E197" s="116" t="s">
        <v>2081</v>
      </c>
      <c r="F197" s="117">
        <f>SUMIFS(Investors!$M:$M,Investors!$O:$O,FALSE,Investors!$P:$P,FALSE,Investors!$K:$K,"&gt;"&amp;'NSST Print'!$B$3,Investors!$I:$I,"&lt;="&amp;'NSST Print'!$B$3,Investors!$A:$A,'Investor Exit List'!$A197,Investors!$E:$E,'Investor Exit List'!$C197,Investors!$L:$L,'Investor Exit List'!$B197)-(SUMIFS(Investors!$M:$M,Investors!$I:$I,"&lt;="&amp;'NSST Print'!$B$3,Investors!$J:$J,"&gt;"&amp;'NSST Print'!$B$3,Investors!$A:$A,'Investor Exit List'!$A197,Investors!$E:$E,'Investor Exit List'!$C197,Investors!$L:$L,'Investor Exit List'!$B197)+SUMIFS(Investors!$M:$M,Investors!$I:$I,"&lt;="&amp;'NSST Print'!$B$3,Investors!$J:$J,"",Investors!$A:$A,'Investor Exit List'!$A197,Investors!$E:$E,'Investor Exit List'!$C197,Investors!$L:$L,'Investor Exit List'!$B197))</f>
        <v>254616.44</v>
      </c>
      <c r="G197" s="118">
        <v>45107</v>
      </c>
      <c r="H197" s="116" t="b">
        <f>VLOOKUP($C197,Sales!$C:$E,2,FALSE)</f>
        <v>0</v>
      </c>
      <c r="I197" s="116" t="b">
        <f>VLOOKUP($C197,Sales!$C:$E,3,FALSE)</f>
        <v>0</v>
      </c>
      <c r="J197" s="118">
        <f>SUMIFS(Sales!$H:$H,Sales!$C:$C,'Investor Exit List'!$C197)</f>
        <v>45646</v>
      </c>
      <c r="K197" s="118" t="str">
        <f t="shared" si="36"/>
        <v/>
      </c>
      <c r="L197" s="118">
        <f t="shared" si="37"/>
        <v>45837</v>
      </c>
      <c r="M197" s="118">
        <v>45443</v>
      </c>
      <c r="N197" s="119">
        <f t="shared" si="38"/>
        <v>394</v>
      </c>
      <c r="O197" s="119">
        <f t="shared" si="39"/>
        <v>0</v>
      </c>
      <c r="P197" s="117">
        <f t="shared" si="40"/>
        <v>0</v>
      </c>
      <c r="Q197" s="117">
        <f>SUMIFS(Investors!$M:$M,Investors!$O:$O,FALSE,Investors!$P:$P,FALSE,Investors!$K:$K,"&gt;"&amp;'NSST Print'!$B$3,Investors!$I:$I,"&lt;="&amp;'NSST Print'!$B$3,Investors!$A:$A,'Investor Exit List'!$A197,Investors!$E:$E,'Investor Exit List'!$C197,Investors!$L:$L,'Investor Exit List'!$B197)-(SUMIFS(Investors!$M:$M,Investors!$I:$I,"&lt;="&amp;'NSST Print'!$B$3,Investors!$J:$J,"&gt;"&amp;'NSST Print'!$B$3,Investors!$A:$A,'Investor Exit List'!$A197,Investors!$E:$E,'Investor Exit List'!$C197,Investors!$L:$L,'Investor Exit List'!$B197)+SUMIFS(Investors!$M:$M,Investors!$I:$I,"&lt;="&amp;'NSST Print'!$B$3,Investors!$J:$J,"",Investors!$A:$A,'Investor Exit List'!$A197,Investors!$E:$E,'Investor Exit List'!$C197,Investors!$L:$L,'Investor Exit List'!$B197))+SUMIFS(Investors!$S:$S,Investors!$O:$O,FALSE,Investors!$P:$P,FALSE,Investors!$K:$K,"&gt;"&amp;'NSST Print'!$B$3,Investors!$I:$I,"&lt;="&amp;'NSST Print'!$B$3,Investors!$A:$A,'Investor Exit List'!$A197,Investors!$E:$E,'Investor Exit List'!$C197,Investors!$L:$L,'Investor Exit List'!$B197)-(SUMIFS(Investors!$S:$S,Investors!$I:$I,"&lt;="&amp;'NSST Print'!$B$3,Investors!$J:$J,"&gt;"&amp;'NSST Print'!$B$3,Investors!$A:$A,'Investor Exit List'!$A197,Investors!$E:$E,'Investor Exit List'!$C197,Investors!$L:$L,'Investor Exit List'!$B197)+SUMIFS(Investors!$S:$S,Investors!$I:$I,"&lt;="&amp;'NSST Print'!$B$3,Investors!$J:$J,"",Investors!$A:$A,'Investor Exit List'!$A197,Investors!$E:$E,'Investor Exit List'!$C197,Investors!$L:$L,'Investor Exit List'!$B197))</f>
        <v>310886.67323999997</v>
      </c>
      <c r="R197" s="117">
        <f t="shared" si="41"/>
        <v>0</v>
      </c>
      <c r="S197" s="117">
        <f>SUMIFS(Investors!$M:$M,Investors!$O:$O,TRUE,Investors!$A:$A,'Investor Exit List'!$A197,Investors!$E:$E,'Investor Exit List'!$C197,Investors!$L:$L,'Investor Exit List'!$B197)+SUMIFS(Investors!$S:$S,Investors!$O:$O,TRUE,Investors!$A:$A,'Investor Exit List'!$A197,Investors!$E:$E,'Investor Exit List'!$C197,Investors!$L:$L,'Investor Exit List'!$B197)</f>
        <v>0</v>
      </c>
      <c r="T197" s="118" t="str">
        <f t="shared" si="42"/>
        <v/>
      </c>
      <c r="U197" s="116" t="b">
        <v>0</v>
      </c>
      <c r="V197" s="117">
        <f t="shared" si="43"/>
        <v>0</v>
      </c>
      <c r="W197" s="116">
        <v>0</v>
      </c>
      <c r="X197" s="116" t="b">
        <v>0</v>
      </c>
      <c r="Y197" s="119">
        <f>IF(H197=FALSE,VLOOKUP($C197,Sales!$C:$F,4,FALSE),1)</f>
        <v>1</v>
      </c>
      <c r="Z197" s="116" t="str">
        <f t="shared" si="44"/>
        <v/>
      </c>
      <c r="AA197" s="118">
        <f t="shared" si="45"/>
        <v>45633</v>
      </c>
      <c r="AB197" s="118" t="str">
        <f t="shared" si="46"/>
        <v>HVC305-ZDEK01</v>
      </c>
      <c r="AC197" s="118">
        <f t="shared" si="47"/>
        <v>45837</v>
      </c>
    </row>
    <row r="198" spans="1:29" ht="16" x14ac:dyDescent="0.2">
      <c r="A198" s="116" t="s">
        <v>493</v>
      </c>
      <c r="B198" s="116">
        <v>1</v>
      </c>
      <c r="C198" s="116" t="s">
        <v>492</v>
      </c>
      <c r="D198" s="116" t="s">
        <v>388</v>
      </c>
      <c r="E198" s="116" t="s">
        <v>2145</v>
      </c>
      <c r="F198" s="117">
        <f>SUMIFS(Investors!$M:$M,Investors!$O:$O,FALSE,Investors!$P:$P,FALSE,Investors!$K:$K,"&gt;"&amp;'NSST Print'!$B$3,Investors!$I:$I,"&lt;="&amp;'NSST Print'!$B$3,Investors!$A:$A,'Investor Exit List'!$A198,Investors!$E:$E,'Investor Exit List'!$C198,Investors!$L:$L,'Investor Exit List'!$B198)-(SUMIFS(Investors!$M:$M,Investors!$I:$I,"&lt;="&amp;'NSST Print'!$B$3,Investors!$J:$J,"&gt;"&amp;'NSST Print'!$B$3,Investors!$A:$A,'Investor Exit List'!$A198,Investors!$E:$E,'Investor Exit List'!$C198,Investors!$L:$L,'Investor Exit List'!$B198)+SUMIFS(Investors!$M:$M,Investors!$I:$I,"&lt;="&amp;'NSST Print'!$B$3,Investors!$J:$J,"",Investors!$A:$A,'Investor Exit List'!$A198,Investors!$E:$E,'Investor Exit List'!$C198,Investors!$L:$L,'Investor Exit List'!$B198))</f>
        <v>100000</v>
      </c>
      <c r="G198" s="118">
        <v>44903</v>
      </c>
      <c r="H198" s="116" t="b">
        <f>VLOOKUP($C198,Sales!$C:$E,2,FALSE)</f>
        <v>0</v>
      </c>
      <c r="I198" s="116" t="b">
        <f>VLOOKUP($C198,Sales!$C:$E,3,FALSE)</f>
        <v>0</v>
      </c>
      <c r="J198" s="118">
        <f>SUMIFS(Sales!$H:$H,Sales!$C:$C,'Investor Exit List'!$C198)</f>
        <v>45646</v>
      </c>
      <c r="K198" s="118" t="str">
        <f t="shared" si="36"/>
        <v/>
      </c>
      <c r="L198" s="118">
        <f t="shared" si="37"/>
        <v>45633</v>
      </c>
      <c r="M198" s="118">
        <v>45443</v>
      </c>
      <c r="N198" s="119">
        <f t="shared" si="38"/>
        <v>190</v>
      </c>
      <c r="O198" s="119">
        <f t="shared" si="39"/>
        <v>0</v>
      </c>
      <c r="P198" s="117">
        <f t="shared" si="40"/>
        <v>0</v>
      </c>
      <c r="Q198" s="117">
        <f>SUMIFS(Investors!$M:$M,Investors!$O:$O,FALSE,Investors!$P:$P,FALSE,Investors!$K:$K,"&gt;"&amp;'NSST Print'!$B$3,Investors!$I:$I,"&lt;="&amp;'NSST Print'!$B$3,Investors!$A:$A,'Investor Exit List'!$A198,Investors!$E:$E,'Investor Exit List'!$C198,Investors!$L:$L,'Investor Exit List'!$B198)-(SUMIFS(Investors!$M:$M,Investors!$I:$I,"&lt;="&amp;'NSST Print'!$B$3,Investors!$J:$J,"&gt;"&amp;'NSST Print'!$B$3,Investors!$A:$A,'Investor Exit List'!$A198,Investors!$E:$E,'Investor Exit List'!$C198,Investors!$L:$L,'Investor Exit List'!$B198)+SUMIFS(Investors!$M:$M,Investors!$I:$I,"&lt;="&amp;'NSST Print'!$B$3,Investors!$J:$J,"",Investors!$A:$A,'Investor Exit List'!$A198,Investors!$E:$E,'Investor Exit List'!$C198,Investors!$L:$L,'Investor Exit List'!$B198))+SUMIFS(Investors!$S:$S,Investors!$O:$O,FALSE,Investors!$P:$P,FALSE,Investors!$K:$K,"&gt;"&amp;'NSST Print'!$B$3,Investors!$I:$I,"&lt;="&amp;'NSST Print'!$B$3,Investors!$A:$A,'Investor Exit List'!$A198,Investors!$E:$E,'Investor Exit List'!$C198,Investors!$L:$L,'Investor Exit List'!$B198)-(SUMIFS(Investors!$S:$S,Investors!$I:$I,"&lt;="&amp;'NSST Print'!$B$3,Investors!$J:$J,"&gt;"&amp;'NSST Print'!$B$3,Investors!$A:$A,'Investor Exit List'!$A198,Investors!$E:$E,'Investor Exit List'!$C198,Investors!$L:$L,'Investor Exit List'!$B198)+SUMIFS(Investors!$S:$S,Investors!$I:$I,"&lt;="&amp;'NSST Print'!$B$3,Investors!$J:$J,"",Investors!$A:$A,'Investor Exit List'!$A198,Investors!$E:$E,'Investor Exit List'!$C198,Investors!$L:$L,'Investor Exit List'!$B198))</f>
        <v>124846.57534246575</v>
      </c>
      <c r="R198" s="117">
        <f t="shared" si="41"/>
        <v>0</v>
      </c>
      <c r="S198" s="117">
        <f>SUMIFS(Investors!$M:$M,Investors!$O:$O,TRUE,Investors!$A:$A,'Investor Exit List'!$A198,Investors!$E:$E,'Investor Exit List'!$C198,Investors!$L:$L,'Investor Exit List'!$B198)+SUMIFS(Investors!$S:$S,Investors!$O:$O,TRUE,Investors!$A:$A,'Investor Exit List'!$A198,Investors!$E:$E,'Investor Exit List'!$C198,Investors!$L:$L,'Investor Exit List'!$B198)</f>
        <v>0</v>
      </c>
      <c r="T198" s="118" t="str">
        <f t="shared" si="42"/>
        <v/>
      </c>
      <c r="U198" s="116" t="b">
        <v>0</v>
      </c>
      <c r="V198" s="117">
        <f t="shared" si="43"/>
        <v>0</v>
      </c>
      <c r="W198" s="116">
        <v>0</v>
      </c>
      <c r="X198" s="116" t="b">
        <v>0</v>
      </c>
      <c r="Y198" s="119">
        <f>IF(H198=FALSE,VLOOKUP($C198,Sales!$C:$F,4,FALSE),1)</f>
        <v>1</v>
      </c>
      <c r="Z198" s="116" t="str">
        <f t="shared" si="44"/>
        <v/>
      </c>
      <c r="AA198" s="118">
        <f t="shared" si="45"/>
        <v>45633</v>
      </c>
      <c r="AB198" s="118" t="str">
        <f t="shared" si="46"/>
        <v>HVC305-ZDUT01</v>
      </c>
      <c r="AC198" s="118">
        <f t="shared" si="47"/>
        <v>45633</v>
      </c>
    </row>
    <row r="199" spans="1:29" ht="16" x14ac:dyDescent="0.2">
      <c r="A199" s="116" t="s">
        <v>176</v>
      </c>
      <c r="B199" s="116">
        <v>3</v>
      </c>
      <c r="C199" s="116" t="s">
        <v>492</v>
      </c>
      <c r="D199" s="116" t="s">
        <v>388</v>
      </c>
      <c r="E199" s="116" t="s">
        <v>2055</v>
      </c>
      <c r="F199" s="117">
        <f>SUMIFS(Investors!$M:$M,Investors!$O:$O,FALSE,Investors!$P:$P,FALSE,Investors!$K:$K,"&gt;"&amp;'NSST Print'!$B$3,Investors!$I:$I,"&lt;="&amp;'NSST Print'!$B$3,Investors!$A:$A,'Investor Exit List'!$A199,Investors!$E:$E,'Investor Exit List'!$C199,Investors!$L:$L,'Investor Exit List'!$B199)-(SUMIFS(Investors!$M:$M,Investors!$I:$I,"&lt;="&amp;'NSST Print'!$B$3,Investors!$J:$J,"&gt;"&amp;'NSST Print'!$B$3,Investors!$A:$A,'Investor Exit List'!$A199,Investors!$E:$E,'Investor Exit List'!$C199,Investors!$L:$L,'Investor Exit List'!$B199)+SUMIFS(Investors!$M:$M,Investors!$I:$I,"&lt;="&amp;'NSST Print'!$B$3,Investors!$J:$J,"",Investors!$A:$A,'Investor Exit List'!$A199,Investors!$E:$E,'Investor Exit List'!$C199,Investors!$L:$L,'Investor Exit List'!$B199))</f>
        <v>100000</v>
      </c>
      <c r="G199" s="118">
        <v>44916</v>
      </c>
      <c r="H199" s="116" t="b">
        <f>VLOOKUP($C199,Sales!$C:$E,2,FALSE)</f>
        <v>0</v>
      </c>
      <c r="I199" s="116" t="b">
        <f>VLOOKUP($C199,Sales!$C:$E,3,FALSE)</f>
        <v>0</v>
      </c>
      <c r="J199" s="118">
        <f>SUMIFS(Sales!$H:$H,Sales!$C:$C,'Investor Exit List'!$C199)</f>
        <v>45646</v>
      </c>
      <c r="K199" s="118" t="str">
        <f t="shared" si="36"/>
        <v/>
      </c>
      <c r="L199" s="118">
        <f t="shared" si="37"/>
        <v>45646</v>
      </c>
      <c r="M199" s="118">
        <v>45443</v>
      </c>
      <c r="N199" s="119">
        <f t="shared" si="38"/>
        <v>203</v>
      </c>
      <c r="O199" s="119">
        <f t="shared" si="39"/>
        <v>0</v>
      </c>
      <c r="P199" s="117">
        <f t="shared" si="40"/>
        <v>0</v>
      </c>
      <c r="Q199" s="117">
        <f>SUMIFS(Investors!$M:$M,Investors!$O:$O,FALSE,Investors!$P:$P,FALSE,Investors!$K:$K,"&gt;"&amp;'NSST Print'!$B$3,Investors!$I:$I,"&lt;="&amp;'NSST Print'!$B$3,Investors!$A:$A,'Investor Exit List'!$A199,Investors!$E:$E,'Investor Exit List'!$C199,Investors!$L:$L,'Investor Exit List'!$B199)-(SUMIFS(Investors!$M:$M,Investors!$I:$I,"&lt;="&amp;'NSST Print'!$B$3,Investors!$J:$J,"&gt;"&amp;'NSST Print'!$B$3,Investors!$A:$A,'Investor Exit List'!$A199,Investors!$E:$E,'Investor Exit List'!$C199,Investors!$L:$L,'Investor Exit List'!$B199)+SUMIFS(Investors!$M:$M,Investors!$I:$I,"&lt;="&amp;'NSST Print'!$B$3,Investors!$J:$J,"",Investors!$A:$A,'Investor Exit List'!$A199,Investors!$E:$E,'Investor Exit List'!$C199,Investors!$L:$L,'Investor Exit List'!$B199))+SUMIFS(Investors!$S:$S,Investors!$O:$O,FALSE,Investors!$P:$P,FALSE,Investors!$K:$K,"&gt;"&amp;'NSST Print'!$B$3,Investors!$I:$I,"&lt;="&amp;'NSST Print'!$B$3,Investors!$A:$A,'Investor Exit List'!$A199,Investors!$E:$E,'Investor Exit List'!$C199,Investors!$L:$L,'Investor Exit List'!$B199)-(SUMIFS(Investors!$S:$S,Investors!$I:$I,"&lt;="&amp;'NSST Print'!$B$3,Investors!$J:$J,"&gt;"&amp;'NSST Print'!$B$3,Investors!$A:$A,'Investor Exit List'!$A199,Investors!$E:$E,'Investor Exit List'!$C199,Investors!$L:$L,'Investor Exit List'!$B199)+SUMIFS(Investors!$S:$S,Investors!$I:$I,"&lt;="&amp;'NSST Print'!$B$3,Investors!$J:$J,"",Investors!$A:$A,'Investor Exit List'!$A199,Investors!$E:$E,'Investor Exit List'!$C199,Investors!$L:$L,'Investor Exit List'!$B199))</f>
        <v>127804.79452054793</v>
      </c>
      <c r="R199" s="117">
        <f t="shared" si="41"/>
        <v>0</v>
      </c>
      <c r="S199" s="117">
        <f>SUMIFS(Investors!$M:$M,Investors!$O:$O,TRUE,Investors!$A:$A,'Investor Exit List'!$A199,Investors!$E:$E,'Investor Exit List'!$C199,Investors!$L:$L,'Investor Exit List'!$B199)+SUMIFS(Investors!$S:$S,Investors!$O:$O,TRUE,Investors!$A:$A,'Investor Exit List'!$A199,Investors!$E:$E,'Investor Exit List'!$C199,Investors!$L:$L,'Investor Exit List'!$B199)</f>
        <v>0</v>
      </c>
      <c r="T199" s="118" t="str">
        <f t="shared" si="42"/>
        <v/>
      </c>
      <c r="U199" s="116" t="b">
        <v>0</v>
      </c>
      <c r="V199" s="117">
        <f t="shared" si="43"/>
        <v>0</v>
      </c>
      <c r="W199" s="116">
        <v>0</v>
      </c>
      <c r="X199" s="116" t="b">
        <v>0</v>
      </c>
      <c r="Y199" s="119">
        <f>IF(H199=FALSE,VLOOKUP($C199,Sales!$C:$F,4,FALSE),1)</f>
        <v>1</v>
      </c>
      <c r="Z199" s="116" t="str">
        <f t="shared" si="44"/>
        <v/>
      </c>
      <c r="AA199" s="118">
        <f t="shared" si="45"/>
        <v>45633</v>
      </c>
      <c r="AB199" s="118" t="str">
        <f t="shared" si="46"/>
        <v>HVC305-ZKRO01</v>
      </c>
      <c r="AC199" s="118">
        <f t="shared" si="47"/>
        <v>45646</v>
      </c>
    </row>
    <row r="200" spans="1:29" ht="16" x14ac:dyDescent="0.2">
      <c r="A200" s="116" t="s">
        <v>204</v>
      </c>
      <c r="B200" s="116">
        <v>4</v>
      </c>
      <c r="C200" s="116" t="s">
        <v>492</v>
      </c>
      <c r="D200" s="116" t="s">
        <v>388</v>
      </c>
      <c r="E200" s="116" t="s">
        <v>2064</v>
      </c>
      <c r="F200" s="117">
        <f>SUMIFS(Investors!$M:$M,Investors!$O:$O,FALSE,Investors!$P:$P,FALSE,Investors!$K:$K,"&gt;"&amp;'NSST Print'!$B$3,Investors!$I:$I,"&lt;="&amp;'NSST Print'!$B$3,Investors!$A:$A,'Investor Exit List'!$A200,Investors!$E:$E,'Investor Exit List'!$C200,Investors!$L:$L,'Investor Exit List'!$B200)-(SUMIFS(Investors!$M:$M,Investors!$I:$I,"&lt;="&amp;'NSST Print'!$B$3,Investors!$J:$J,"&gt;"&amp;'NSST Print'!$B$3,Investors!$A:$A,'Investor Exit List'!$A200,Investors!$E:$E,'Investor Exit List'!$C200,Investors!$L:$L,'Investor Exit List'!$B200)+SUMIFS(Investors!$M:$M,Investors!$I:$I,"&lt;="&amp;'NSST Print'!$B$3,Investors!$J:$J,"",Investors!$A:$A,'Investor Exit List'!$A200,Investors!$E:$E,'Investor Exit List'!$C200,Investors!$L:$L,'Investor Exit List'!$B200))</f>
        <v>313690.76</v>
      </c>
      <c r="G200" s="118">
        <v>44903</v>
      </c>
      <c r="H200" s="116" t="b">
        <f>VLOOKUP($C200,Sales!$C:$E,2,FALSE)</f>
        <v>0</v>
      </c>
      <c r="I200" s="116" t="b">
        <f>VLOOKUP($C200,Sales!$C:$E,3,FALSE)</f>
        <v>0</v>
      </c>
      <c r="J200" s="118">
        <f>SUMIFS(Sales!$H:$H,Sales!$C:$C,'Investor Exit List'!$C200)</f>
        <v>45646</v>
      </c>
      <c r="K200" s="118" t="str">
        <f t="shared" si="36"/>
        <v/>
      </c>
      <c r="L200" s="118">
        <f t="shared" si="37"/>
        <v>45633</v>
      </c>
      <c r="M200" s="118">
        <v>45443</v>
      </c>
      <c r="N200" s="119">
        <f t="shared" si="38"/>
        <v>190</v>
      </c>
      <c r="O200" s="119">
        <f t="shared" si="39"/>
        <v>0</v>
      </c>
      <c r="P200" s="117">
        <f t="shared" si="40"/>
        <v>0</v>
      </c>
      <c r="Q200" s="117">
        <f>SUMIFS(Investors!$M:$M,Investors!$O:$O,FALSE,Investors!$P:$P,FALSE,Investors!$K:$K,"&gt;"&amp;'NSST Print'!$B$3,Investors!$I:$I,"&lt;="&amp;'NSST Print'!$B$3,Investors!$A:$A,'Investor Exit List'!$A200,Investors!$E:$E,'Investor Exit List'!$C200,Investors!$L:$L,'Investor Exit List'!$B200)-(SUMIFS(Investors!$M:$M,Investors!$I:$I,"&lt;="&amp;'NSST Print'!$B$3,Investors!$J:$J,"&gt;"&amp;'NSST Print'!$B$3,Investors!$A:$A,'Investor Exit List'!$A200,Investors!$E:$E,'Investor Exit List'!$C200,Investors!$L:$L,'Investor Exit List'!$B200)+SUMIFS(Investors!$M:$M,Investors!$I:$I,"&lt;="&amp;'NSST Print'!$B$3,Investors!$J:$J,"",Investors!$A:$A,'Investor Exit List'!$A200,Investors!$E:$E,'Investor Exit List'!$C200,Investors!$L:$L,'Investor Exit List'!$B200))+SUMIFS(Investors!$S:$S,Investors!$O:$O,FALSE,Investors!$P:$P,FALSE,Investors!$K:$K,"&gt;"&amp;'NSST Print'!$B$3,Investors!$I:$I,"&lt;="&amp;'NSST Print'!$B$3,Investors!$A:$A,'Investor Exit List'!$A200,Investors!$E:$E,'Investor Exit List'!$C200,Investors!$L:$L,'Investor Exit List'!$B200)-(SUMIFS(Investors!$S:$S,Investors!$I:$I,"&lt;="&amp;'NSST Print'!$B$3,Investors!$J:$J,"&gt;"&amp;'NSST Print'!$B$3,Investors!$A:$A,'Investor Exit List'!$A200,Investors!$E:$E,'Investor Exit List'!$C200,Investors!$L:$L,'Investor Exit List'!$B200)+SUMIFS(Investors!$S:$S,Investors!$I:$I,"&lt;="&amp;'NSST Print'!$B$3,Investors!$J:$J,"",Investors!$A:$A,'Investor Exit List'!$A200,Investors!$E:$E,'Investor Exit List'!$C200,Investors!$L:$L,'Investor Exit List'!$B200))</f>
        <v>391632.17102575343</v>
      </c>
      <c r="R200" s="117">
        <f t="shared" si="41"/>
        <v>0</v>
      </c>
      <c r="S200" s="117">
        <f>SUMIFS(Investors!$M:$M,Investors!$O:$O,TRUE,Investors!$A:$A,'Investor Exit List'!$A200,Investors!$E:$E,'Investor Exit List'!$C200,Investors!$L:$L,'Investor Exit List'!$B200)+SUMIFS(Investors!$S:$S,Investors!$O:$O,TRUE,Investors!$A:$A,'Investor Exit List'!$A200,Investors!$E:$E,'Investor Exit List'!$C200,Investors!$L:$L,'Investor Exit List'!$B200)</f>
        <v>0</v>
      </c>
      <c r="T200" s="118" t="str">
        <f t="shared" si="42"/>
        <v/>
      </c>
      <c r="U200" s="116" t="b">
        <v>0</v>
      </c>
      <c r="V200" s="117">
        <f t="shared" si="43"/>
        <v>0</v>
      </c>
      <c r="W200" s="116">
        <v>0</v>
      </c>
      <c r="X200" s="116" t="b">
        <v>0</v>
      </c>
      <c r="Y200" s="119">
        <f>IF(H200=FALSE,VLOOKUP($C200,Sales!$C:$F,4,FALSE),1)</f>
        <v>1</v>
      </c>
      <c r="Z200" s="116" t="str">
        <f t="shared" si="44"/>
        <v/>
      </c>
      <c r="AA200" s="118">
        <f t="shared" si="45"/>
        <v>45633</v>
      </c>
      <c r="AB200" s="118" t="str">
        <f t="shared" si="46"/>
        <v>HVC305-ZVOL01</v>
      </c>
      <c r="AC200" s="118">
        <f t="shared" si="47"/>
        <v>45633</v>
      </c>
    </row>
    <row r="201" spans="1:29" ht="16" x14ac:dyDescent="0.2">
      <c r="A201" s="116" t="s">
        <v>485</v>
      </c>
      <c r="B201" s="116">
        <v>4</v>
      </c>
      <c r="C201" s="116" t="s">
        <v>495</v>
      </c>
      <c r="D201" s="116" t="s">
        <v>388</v>
      </c>
      <c r="E201" s="116" t="s">
        <v>2143</v>
      </c>
      <c r="F201" s="117">
        <f>SUMIFS(Investors!$M:$M,Investors!$O:$O,FALSE,Investors!$P:$P,FALSE,Investors!$K:$K,"&gt;"&amp;'NSST Print'!$B$3,Investors!$I:$I,"&lt;="&amp;'NSST Print'!$B$3,Investors!$A:$A,'Investor Exit List'!$A201,Investors!$E:$E,'Investor Exit List'!$C201,Investors!$L:$L,'Investor Exit List'!$B201)-(SUMIFS(Investors!$M:$M,Investors!$I:$I,"&lt;="&amp;'NSST Print'!$B$3,Investors!$J:$J,"&gt;"&amp;'NSST Print'!$B$3,Investors!$A:$A,'Investor Exit List'!$A201,Investors!$E:$E,'Investor Exit List'!$C201,Investors!$L:$L,'Investor Exit List'!$B201)+SUMIFS(Investors!$M:$M,Investors!$I:$I,"&lt;="&amp;'NSST Print'!$B$3,Investors!$J:$J,"",Investors!$A:$A,'Investor Exit List'!$A201,Investors!$E:$E,'Investor Exit List'!$C201,Investors!$L:$L,'Investor Exit List'!$B201))</f>
        <v>0</v>
      </c>
      <c r="G201" s="118">
        <v>44903</v>
      </c>
      <c r="H201" s="116" t="b">
        <f>VLOOKUP($C201,Sales!$C:$E,2,FALSE)</f>
        <v>1</v>
      </c>
      <c r="I201" s="116" t="b">
        <f>VLOOKUP($C201,Sales!$C:$E,3,FALSE)</f>
        <v>1</v>
      </c>
      <c r="J201" s="118">
        <f>SUMIFS(Sales!$H:$H,Sales!$C:$C,'Investor Exit List'!$C201)</f>
        <v>45394</v>
      </c>
      <c r="K201" s="118">
        <f t="shared" si="36"/>
        <v>45394</v>
      </c>
      <c r="L201" s="118">
        <f t="shared" si="37"/>
        <v>45633</v>
      </c>
      <c r="M201" s="118">
        <v>45443</v>
      </c>
      <c r="N201" s="119">
        <f t="shared" si="38"/>
        <v>0</v>
      </c>
      <c r="O201" s="119">
        <f t="shared" si="39"/>
        <v>0</v>
      </c>
      <c r="P201" s="117">
        <f t="shared" si="40"/>
        <v>0</v>
      </c>
      <c r="Q201" s="117">
        <f>SUMIFS(Investors!$M:$M,Investors!$O:$O,FALSE,Investors!$P:$P,FALSE,Investors!$K:$K,"&gt;"&amp;'NSST Print'!$B$3,Investors!$I:$I,"&lt;="&amp;'NSST Print'!$B$3,Investors!$A:$A,'Investor Exit List'!$A201,Investors!$E:$E,'Investor Exit List'!$C201,Investors!$L:$L,'Investor Exit List'!$B201)-(SUMIFS(Investors!$M:$M,Investors!$I:$I,"&lt;="&amp;'NSST Print'!$B$3,Investors!$J:$J,"&gt;"&amp;'NSST Print'!$B$3,Investors!$A:$A,'Investor Exit List'!$A201,Investors!$E:$E,'Investor Exit List'!$C201,Investors!$L:$L,'Investor Exit List'!$B201)+SUMIFS(Investors!$M:$M,Investors!$I:$I,"&lt;="&amp;'NSST Print'!$B$3,Investors!$J:$J,"",Investors!$A:$A,'Investor Exit List'!$A201,Investors!$E:$E,'Investor Exit List'!$C201,Investors!$L:$L,'Investor Exit List'!$B201))+SUMIFS(Investors!$S:$S,Investors!$O:$O,FALSE,Investors!$P:$P,FALSE,Investors!$K:$K,"&gt;"&amp;'NSST Print'!$B$3,Investors!$I:$I,"&lt;="&amp;'NSST Print'!$B$3,Investors!$A:$A,'Investor Exit List'!$A201,Investors!$E:$E,'Investor Exit List'!$C201,Investors!$L:$L,'Investor Exit List'!$B201)-(SUMIFS(Investors!$S:$S,Investors!$I:$I,"&lt;="&amp;'NSST Print'!$B$3,Investors!$J:$J,"&gt;"&amp;'NSST Print'!$B$3,Investors!$A:$A,'Investor Exit List'!$A201,Investors!$E:$E,'Investor Exit List'!$C201,Investors!$L:$L,'Investor Exit List'!$B201)+SUMIFS(Investors!$S:$S,Investors!$I:$I,"&lt;="&amp;'NSST Print'!$B$3,Investors!$J:$J,"",Investors!$A:$A,'Investor Exit List'!$A201,Investors!$E:$E,'Investor Exit List'!$C201,Investors!$L:$L,'Investor Exit List'!$B201))</f>
        <v>0</v>
      </c>
      <c r="R201" s="117">
        <f t="shared" si="41"/>
        <v>0</v>
      </c>
      <c r="S201" s="117">
        <f>SUMIFS(Investors!$M:$M,Investors!$O:$O,TRUE,Investors!$A:$A,'Investor Exit List'!$A201,Investors!$E:$E,'Investor Exit List'!$C201,Investors!$L:$L,'Investor Exit List'!$B201)+SUMIFS(Investors!$S:$S,Investors!$O:$O,TRUE,Investors!$A:$A,'Investor Exit List'!$A201,Investors!$E:$E,'Investor Exit List'!$C201,Investors!$L:$L,'Investor Exit List'!$B201)</f>
        <v>0</v>
      </c>
      <c r="T201" s="118" t="str">
        <f t="shared" si="42"/>
        <v/>
      </c>
      <c r="U201" s="116" t="b">
        <v>0</v>
      </c>
      <c r="V201" s="117">
        <f t="shared" si="43"/>
        <v>0</v>
      </c>
      <c r="W201" s="116">
        <v>0</v>
      </c>
      <c r="X201" s="116" t="b">
        <v>0</v>
      </c>
      <c r="Y201" s="119">
        <f>IF(H201=FALSE,VLOOKUP($C201,Sales!$C:$F,4,FALSE),1)</f>
        <v>1</v>
      </c>
      <c r="Z201" s="116" t="str">
        <f t="shared" si="44"/>
        <v/>
      </c>
      <c r="AA201" s="118">
        <f t="shared" si="45"/>
        <v>0</v>
      </c>
      <c r="AB201" s="118" t="str">
        <f t="shared" si="46"/>
        <v>HVC306-ZVAN05</v>
      </c>
      <c r="AC201" s="118">
        <f t="shared" si="47"/>
        <v>45633</v>
      </c>
    </row>
    <row r="202" spans="1:29" ht="16" x14ac:dyDescent="0.2">
      <c r="A202" s="116" t="s">
        <v>207</v>
      </c>
      <c r="B202" s="116">
        <v>9</v>
      </c>
      <c r="C202" s="116" t="s">
        <v>496</v>
      </c>
      <c r="D202" s="116" t="s">
        <v>497</v>
      </c>
      <c r="E202" s="116" t="s">
        <v>2017</v>
      </c>
      <c r="F202" s="117">
        <f>SUMIFS(Investors!$M:$M,Investors!$O:$O,FALSE,Investors!$P:$P,FALSE,Investors!$K:$K,"&gt;"&amp;'NSST Print'!$B$3,Investors!$I:$I,"&lt;="&amp;'NSST Print'!$B$3,Investors!$A:$A,'Investor Exit List'!$A202,Investors!$E:$E,'Investor Exit List'!$C202,Investors!$L:$L,'Investor Exit List'!$B202)-(SUMIFS(Investors!$M:$M,Investors!$I:$I,"&lt;="&amp;'NSST Print'!$B$3,Investors!$J:$J,"&gt;"&amp;'NSST Print'!$B$3,Investors!$A:$A,'Investor Exit List'!$A202,Investors!$E:$E,'Investor Exit List'!$C202,Investors!$L:$L,'Investor Exit List'!$B202)+SUMIFS(Investors!$M:$M,Investors!$I:$I,"&lt;="&amp;'NSST Print'!$B$3,Investors!$J:$J,"",Investors!$A:$A,'Investor Exit List'!$A202,Investors!$E:$E,'Investor Exit List'!$C202,Investors!$L:$L,'Investor Exit List'!$B202))</f>
        <v>0</v>
      </c>
      <c r="G202" s="118">
        <v>44706</v>
      </c>
      <c r="H202" s="116" t="b">
        <f>VLOOKUP($C202,Sales!$C:$E,2,FALSE)</f>
        <v>1</v>
      </c>
      <c r="I202" s="116" t="b">
        <f>VLOOKUP($C202,Sales!$C:$E,3,FALSE)</f>
        <v>1</v>
      </c>
      <c r="J202" s="118">
        <f>SUMIFS(Sales!$H:$H,Sales!$C:$C,'Investor Exit List'!$C202)</f>
        <v>45688</v>
      </c>
      <c r="K202" s="118">
        <f t="shared" si="36"/>
        <v>45688</v>
      </c>
      <c r="L202" s="118">
        <f t="shared" si="37"/>
        <v>45436</v>
      </c>
      <c r="M202" s="118">
        <v>45443</v>
      </c>
      <c r="N202" s="119">
        <f t="shared" si="38"/>
        <v>0</v>
      </c>
      <c r="O202" s="119">
        <f t="shared" si="39"/>
        <v>0</v>
      </c>
      <c r="P202" s="117">
        <f t="shared" si="40"/>
        <v>0</v>
      </c>
      <c r="Q202" s="117">
        <f>SUMIFS(Investors!$M:$M,Investors!$O:$O,FALSE,Investors!$P:$P,FALSE,Investors!$K:$K,"&gt;"&amp;'NSST Print'!$B$3,Investors!$I:$I,"&lt;="&amp;'NSST Print'!$B$3,Investors!$A:$A,'Investor Exit List'!$A202,Investors!$E:$E,'Investor Exit List'!$C202,Investors!$L:$L,'Investor Exit List'!$B202)-(SUMIFS(Investors!$M:$M,Investors!$I:$I,"&lt;="&amp;'NSST Print'!$B$3,Investors!$J:$J,"&gt;"&amp;'NSST Print'!$B$3,Investors!$A:$A,'Investor Exit List'!$A202,Investors!$E:$E,'Investor Exit List'!$C202,Investors!$L:$L,'Investor Exit List'!$B202)+SUMIFS(Investors!$M:$M,Investors!$I:$I,"&lt;="&amp;'NSST Print'!$B$3,Investors!$J:$J,"",Investors!$A:$A,'Investor Exit List'!$A202,Investors!$E:$E,'Investor Exit List'!$C202,Investors!$L:$L,'Investor Exit List'!$B202))+SUMIFS(Investors!$S:$S,Investors!$O:$O,FALSE,Investors!$P:$P,FALSE,Investors!$K:$K,"&gt;"&amp;'NSST Print'!$B$3,Investors!$I:$I,"&lt;="&amp;'NSST Print'!$B$3,Investors!$A:$A,'Investor Exit List'!$A202,Investors!$E:$E,'Investor Exit List'!$C202,Investors!$L:$L,'Investor Exit List'!$B202)-(SUMIFS(Investors!$S:$S,Investors!$I:$I,"&lt;="&amp;'NSST Print'!$B$3,Investors!$J:$J,"&gt;"&amp;'NSST Print'!$B$3,Investors!$A:$A,'Investor Exit List'!$A202,Investors!$E:$E,'Investor Exit List'!$C202,Investors!$L:$L,'Investor Exit List'!$B202)+SUMIFS(Investors!$S:$S,Investors!$I:$I,"&lt;="&amp;'NSST Print'!$B$3,Investors!$J:$J,"",Investors!$A:$A,'Investor Exit List'!$A202,Investors!$E:$E,'Investor Exit List'!$C202,Investors!$L:$L,'Investor Exit List'!$B202))</f>
        <v>0</v>
      </c>
      <c r="R202" s="117">
        <f t="shared" si="41"/>
        <v>0</v>
      </c>
      <c r="S202" s="117">
        <f>SUMIFS(Investors!$M:$M,Investors!$O:$O,TRUE,Investors!$A:$A,'Investor Exit List'!$A202,Investors!$E:$E,'Investor Exit List'!$C202,Investors!$L:$L,'Investor Exit List'!$B202)+SUMIFS(Investors!$S:$S,Investors!$O:$O,TRUE,Investors!$A:$A,'Investor Exit List'!$A202,Investors!$E:$E,'Investor Exit List'!$C202,Investors!$L:$L,'Investor Exit List'!$B202)</f>
        <v>128832.87671232877</v>
      </c>
      <c r="T202" s="118">
        <f t="shared" si="42"/>
        <v>45688</v>
      </c>
      <c r="U202" s="116" t="b">
        <v>1</v>
      </c>
      <c r="V202" s="117">
        <f t="shared" si="43"/>
        <v>128832.87671232877</v>
      </c>
      <c r="W202" s="116">
        <v>0</v>
      </c>
      <c r="X202" s="116" t="b">
        <v>0</v>
      </c>
      <c r="Y202" s="119">
        <f>IF(H202=FALSE,VLOOKUP($C202,Sales!$C:$F,4,FALSE),1)</f>
        <v>1</v>
      </c>
      <c r="Z202" s="116" t="str">
        <f t="shared" si="44"/>
        <v/>
      </c>
      <c r="AA202" s="118">
        <f t="shared" si="45"/>
        <v>0</v>
      </c>
      <c r="AB202" s="118" t="str">
        <f t="shared" si="46"/>
        <v>HVD101-ZINT01</v>
      </c>
      <c r="AC202" s="118">
        <f t="shared" si="47"/>
        <v>45436</v>
      </c>
    </row>
    <row r="203" spans="1:29" ht="16" x14ac:dyDescent="0.2">
      <c r="A203" s="116" t="s">
        <v>202</v>
      </c>
      <c r="B203" s="116">
        <v>3</v>
      </c>
      <c r="C203" s="116" t="s">
        <v>496</v>
      </c>
      <c r="D203" s="116" t="s">
        <v>497</v>
      </c>
      <c r="E203" s="116" t="s">
        <v>2063</v>
      </c>
      <c r="F203" s="117">
        <f>SUMIFS(Investors!$M:$M,Investors!$O:$O,FALSE,Investors!$P:$P,FALSE,Investors!$K:$K,"&gt;"&amp;'NSST Print'!$B$3,Investors!$I:$I,"&lt;="&amp;'NSST Print'!$B$3,Investors!$A:$A,'Investor Exit List'!$A203,Investors!$E:$E,'Investor Exit List'!$C203,Investors!$L:$L,'Investor Exit List'!$B203)-(SUMIFS(Investors!$M:$M,Investors!$I:$I,"&lt;="&amp;'NSST Print'!$B$3,Investors!$J:$J,"&gt;"&amp;'NSST Print'!$B$3,Investors!$A:$A,'Investor Exit List'!$A203,Investors!$E:$E,'Investor Exit List'!$C203,Investors!$L:$L,'Investor Exit List'!$B203)+SUMIFS(Investors!$M:$M,Investors!$I:$I,"&lt;="&amp;'NSST Print'!$B$3,Investors!$J:$J,"",Investors!$A:$A,'Investor Exit List'!$A203,Investors!$E:$E,'Investor Exit List'!$C203,Investors!$L:$L,'Investor Exit List'!$B203))</f>
        <v>0</v>
      </c>
      <c r="G203" s="118">
        <v>44706</v>
      </c>
      <c r="H203" s="116" t="b">
        <f>VLOOKUP($C203,Sales!$C:$E,2,FALSE)</f>
        <v>1</v>
      </c>
      <c r="I203" s="116" t="b">
        <f>VLOOKUP($C203,Sales!$C:$E,3,FALSE)</f>
        <v>1</v>
      </c>
      <c r="J203" s="118">
        <f>SUMIFS(Sales!$H:$H,Sales!$C:$C,'Investor Exit List'!$C203)</f>
        <v>45688</v>
      </c>
      <c r="K203" s="118">
        <f t="shared" si="36"/>
        <v>45688</v>
      </c>
      <c r="L203" s="118">
        <f t="shared" si="37"/>
        <v>45436</v>
      </c>
      <c r="M203" s="118">
        <v>45443</v>
      </c>
      <c r="N203" s="119">
        <f t="shared" si="38"/>
        <v>0</v>
      </c>
      <c r="O203" s="119">
        <f t="shared" si="39"/>
        <v>0</v>
      </c>
      <c r="P203" s="117">
        <f t="shared" si="40"/>
        <v>0</v>
      </c>
      <c r="Q203" s="117">
        <f>SUMIFS(Investors!$M:$M,Investors!$O:$O,FALSE,Investors!$P:$P,FALSE,Investors!$K:$K,"&gt;"&amp;'NSST Print'!$B$3,Investors!$I:$I,"&lt;="&amp;'NSST Print'!$B$3,Investors!$A:$A,'Investor Exit List'!$A203,Investors!$E:$E,'Investor Exit List'!$C203,Investors!$L:$L,'Investor Exit List'!$B203)-(SUMIFS(Investors!$M:$M,Investors!$I:$I,"&lt;="&amp;'NSST Print'!$B$3,Investors!$J:$J,"&gt;"&amp;'NSST Print'!$B$3,Investors!$A:$A,'Investor Exit List'!$A203,Investors!$E:$E,'Investor Exit List'!$C203,Investors!$L:$L,'Investor Exit List'!$B203)+SUMIFS(Investors!$M:$M,Investors!$I:$I,"&lt;="&amp;'NSST Print'!$B$3,Investors!$J:$J,"",Investors!$A:$A,'Investor Exit List'!$A203,Investors!$E:$E,'Investor Exit List'!$C203,Investors!$L:$L,'Investor Exit List'!$B203))+SUMIFS(Investors!$S:$S,Investors!$O:$O,FALSE,Investors!$P:$P,FALSE,Investors!$K:$K,"&gt;"&amp;'NSST Print'!$B$3,Investors!$I:$I,"&lt;="&amp;'NSST Print'!$B$3,Investors!$A:$A,'Investor Exit List'!$A203,Investors!$E:$E,'Investor Exit List'!$C203,Investors!$L:$L,'Investor Exit List'!$B203)-(SUMIFS(Investors!$S:$S,Investors!$I:$I,"&lt;="&amp;'NSST Print'!$B$3,Investors!$J:$J,"&gt;"&amp;'NSST Print'!$B$3,Investors!$A:$A,'Investor Exit List'!$A203,Investors!$E:$E,'Investor Exit List'!$C203,Investors!$L:$L,'Investor Exit List'!$B203)+SUMIFS(Investors!$S:$S,Investors!$I:$I,"&lt;="&amp;'NSST Print'!$B$3,Investors!$J:$J,"",Investors!$A:$A,'Investor Exit List'!$A203,Investors!$E:$E,'Investor Exit List'!$C203,Investors!$L:$L,'Investor Exit List'!$B203))</f>
        <v>0</v>
      </c>
      <c r="R203" s="117">
        <f t="shared" si="41"/>
        <v>0</v>
      </c>
      <c r="S203" s="117">
        <f>SUMIFS(Investors!$M:$M,Investors!$O:$O,TRUE,Investors!$A:$A,'Investor Exit List'!$A203,Investors!$E:$E,'Investor Exit List'!$C203,Investors!$L:$L,'Investor Exit List'!$B203)+SUMIFS(Investors!$S:$S,Investors!$O:$O,TRUE,Investors!$A:$A,'Investor Exit List'!$A203,Investors!$E:$E,'Investor Exit List'!$C203,Investors!$L:$L,'Investor Exit List'!$B203)</f>
        <v>0</v>
      </c>
      <c r="T203" s="118" t="str">
        <f t="shared" si="42"/>
        <v/>
      </c>
      <c r="U203" s="116" t="b">
        <v>0</v>
      </c>
      <c r="V203" s="117">
        <f t="shared" si="43"/>
        <v>0</v>
      </c>
      <c r="W203" s="116">
        <v>0</v>
      </c>
      <c r="X203" s="116" t="b">
        <v>0</v>
      </c>
      <c r="Y203" s="119">
        <f>IF(H203=FALSE,VLOOKUP($C203,Sales!$C:$F,4,FALSE),1)</f>
        <v>1</v>
      </c>
      <c r="Z203" s="116" t="str">
        <f t="shared" si="44"/>
        <v/>
      </c>
      <c r="AA203" s="118">
        <f t="shared" si="45"/>
        <v>0</v>
      </c>
      <c r="AB203" s="118" t="str">
        <f t="shared" si="46"/>
        <v>HVD101-ZMAT03</v>
      </c>
      <c r="AC203" s="118">
        <f t="shared" si="47"/>
        <v>45436</v>
      </c>
    </row>
    <row r="204" spans="1:29" ht="16" x14ac:dyDescent="0.2">
      <c r="A204" s="116" t="s">
        <v>498</v>
      </c>
      <c r="B204" s="116">
        <v>10</v>
      </c>
      <c r="C204" s="116" t="s">
        <v>496</v>
      </c>
      <c r="D204" s="116" t="s">
        <v>497</v>
      </c>
      <c r="E204" s="116" t="s">
        <v>2146</v>
      </c>
      <c r="F204" s="117">
        <f>SUMIFS(Investors!$M:$M,Investors!$O:$O,FALSE,Investors!$P:$P,FALSE,Investors!$K:$K,"&gt;"&amp;'NSST Print'!$B$3,Investors!$I:$I,"&lt;="&amp;'NSST Print'!$B$3,Investors!$A:$A,'Investor Exit List'!$A204,Investors!$E:$E,'Investor Exit List'!$C204,Investors!$L:$L,'Investor Exit List'!$B204)-(SUMIFS(Investors!$M:$M,Investors!$I:$I,"&lt;="&amp;'NSST Print'!$B$3,Investors!$J:$J,"&gt;"&amp;'NSST Print'!$B$3,Investors!$A:$A,'Investor Exit List'!$A204,Investors!$E:$E,'Investor Exit List'!$C204,Investors!$L:$L,'Investor Exit List'!$B204)+SUMIFS(Investors!$M:$M,Investors!$I:$I,"&lt;="&amp;'NSST Print'!$B$3,Investors!$J:$J,"",Investors!$A:$A,'Investor Exit List'!$A204,Investors!$E:$E,'Investor Exit List'!$C204,Investors!$L:$L,'Investor Exit List'!$B204))</f>
        <v>0</v>
      </c>
      <c r="G204" s="118">
        <v>44713</v>
      </c>
      <c r="H204" s="116" t="b">
        <f>VLOOKUP($C204,Sales!$C:$E,2,FALSE)</f>
        <v>1</v>
      </c>
      <c r="I204" s="116" t="b">
        <f>VLOOKUP($C204,Sales!$C:$E,3,FALSE)</f>
        <v>1</v>
      </c>
      <c r="J204" s="118">
        <f>SUMIFS(Sales!$H:$H,Sales!$C:$C,'Investor Exit List'!$C204)</f>
        <v>45688</v>
      </c>
      <c r="K204" s="118">
        <f t="shared" si="36"/>
        <v>45688</v>
      </c>
      <c r="L204" s="118">
        <f t="shared" si="37"/>
        <v>45443</v>
      </c>
      <c r="M204" s="118">
        <v>45443</v>
      </c>
      <c r="N204" s="119">
        <f t="shared" si="38"/>
        <v>0</v>
      </c>
      <c r="O204" s="119">
        <f t="shared" si="39"/>
        <v>0</v>
      </c>
      <c r="P204" s="117">
        <f t="shared" si="40"/>
        <v>0</v>
      </c>
      <c r="Q204" s="117">
        <f>SUMIFS(Investors!$M:$M,Investors!$O:$O,FALSE,Investors!$P:$P,FALSE,Investors!$K:$K,"&gt;"&amp;'NSST Print'!$B$3,Investors!$I:$I,"&lt;="&amp;'NSST Print'!$B$3,Investors!$A:$A,'Investor Exit List'!$A204,Investors!$E:$E,'Investor Exit List'!$C204,Investors!$L:$L,'Investor Exit List'!$B204)-(SUMIFS(Investors!$M:$M,Investors!$I:$I,"&lt;="&amp;'NSST Print'!$B$3,Investors!$J:$J,"&gt;"&amp;'NSST Print'!$B$3,Investors!$A:$A,'Investor Exit List'!$A204,Investors!$E:$E,'Investor Exit List'!$C204,Investors!$L:$L,'Investor Exit List'!$B204)+SUMIFS(Investors!$M:$M,Investors!$I:$I,"&lt;="&amp;'NSST Print'!$B$3,Investors!$J:$J,"",Investors!$A:$A,'Investor Exit List'!$A204,Investors!$E:$E,'Investor Exit List'!$C204,Investors!$L:$L,'Investor Exit List'!$B204))+SUMIFS(Investors!$S:$S,Investors!$O:$O,FALSE,Investors!$P:$P,FALSE,Investors!$K:$K,"&gt;"&amp;'NSST Print'!$B$3,Investors!$I:$I,"&lt;="&amp;'NSST Print'!$B$3,Investors!$A:$A,'Investor Exit List'!$A204,Investors!$E:$E,'Investor Exit List'!$C204,Investors!$L:$L,'Investor Exit List'!$B204)-(SUMIFS(Investors!$S:$S,Investors!$I:$I,"&lt;="&amp;'NSST Print'!$B$3,Investors!$J:$J,"&gt;"&amp;'NSST Print'!$B$3,Investors!$A:$A,'Investor Exit List'!$A204,Investors!$E:$E,'Investor Exit List'!$C204,Investors!$L:$L,'Investor Exit List'!$B204)+SUMIFS(Investors!$S:$S,Investors!$I:$I,"&lt;="&amp;'NSST Print'!$B$3,Investors!$J:$J,"",Investors!$A:$A,'Investor Exit List'!$A204,Investors!$E:$E,'Investor Exit List'!$C204,Investors!$L:$L,'Investor Exit List'!$B204))</f>
        <v>0</v>
      </c>
      <c r="R204" s="117">
        <f t="shared" si="41"/>
        <v>0</v>
      </c>
      <c r="S204" s="117">
        <f>SUMIFS(Investors!$M:$M,Investors!$O:$O,TRUE,Investors!$A:$A,'Investor Exit List'!$A204,Investors!$E:$E,'Investor Exit List'!$C204,Investors!$L:$L,'Investor Exit List'!$B204)+SUMIFS(Investors!$S:$S,Investors!$O:$O,TRUE,Investors!$A:$A,'Investor Exit List'!$A204,Investors!$E:$E,'Investor Exit List'!$C204,Investors!$L:$L,'Investor Exit List'!$B204)</f>
        <v>920898.91333849309</v>
      </c>
      <c r="T204" s="118">
        <f t="shared" si="42"/>
        <v>45688</v>
      </c>
      <c r="U204" s="116" t="b">
        <v>1</v>
      </c>
      <c r="V204" s="117">
        <f t="shared" si="43"/>
        <v>920898.91333849309</v>
      </c>
      <c r="W204" s="116">
        <v>0</v>
      </c>
      <c r="X204" s="116" t="b">
        <v>0</v>
      </c>
      <c r="Y204" s="119">
        <f>IF(H204=FALSE,VLOOKUP($C204,Sales!$C:$F,4,FALSE),1)</f>
        <v>1</v>
      </c>
      <c r="Z204" s="116" t="str">
        <f t="shared" si="44"/>
        <v/>
      </c>
      <c r="AA204" s="118">
        <f t="shared" si="45"/>
        <v>0</v>
      </c>
      <c r="AB204" s="118" t="str">
        <f t="shared" si="46"/>
        <v>HVD101-ZWAT01</v>
      </c>
      <c r="AC204" s="118">
        <f t="shared" si="47"/>
        <v>45443</v>
      </c>
    </row>
    <row r="205" spans="1:29" ht="16" x14ac:dyDescent="0.2">
      <c r="A205" s="116" t="s">
        <v>501</v>
      </c>
      <c r="B205" s="116">
        <v>1</v>
      </c>
      <c r="C205" s="116" t="s">
        <v>504</v>
      </c>
      <c r="D205" s="116" t="s">
        <v>497</v>
      </c>
      <c r="E205" s="116" t="s">
        <v>2147</v>
      </c>
      <c r="F205" s="117">
        <f>SUMIFS(Investors!$M:$M,Investors!$O:$O,FALSE,Investors!$P:$P,FALSE,Investors!$K:$K,"&gt;"&amp;'NSST Print'!$B$3,Investors!$I:$I,"&lt;="&amp;'NSST Print'!$B$3,Investors!$A:$A,'Investor Exit List'!$A205,Investors!$E:$E,'Investor Exit List'!$C205,Investors!$L:$L,'Investor Exit List'!$B205)-(SUMIFS(Investors!$M:$M,Investors!$I:$I,"&lt;="&amp;'NSST Print'!$B$3,Investors!$J:$J,"&gt;"&amp;'NSST Print'!$B$3,Investors!$A:$A,'Investor Exit List'!$A205,Investors!$E:$E,'Investor Exit List'!$C205,Investors!$L:$L,'Investor Exit List'!$B205)+SUMIFS(Investors!$M:$M,Investors!$I:$I,"&lt;="&amp;'NSST Print'!$B$3,Investors!$J:$J,"",Investors!$A:$A,'Investor Exit List'!$A205,Investors!$E:$E,'Investor Exit List'!$C205,Investors!$L:$L,'Investor Exit List'!$B205))</f>
        <v>0</v>
      </c>
      <c r="G205" s="118">
        <v>44819</v>
      </c>
      <c r="H205" s="116" t="b">
        <f>VLOOKUP($C205,Sales!$C:$E,2,FALSE)</f>
        <v>1</v>
      </c>
      <c r="I205" s="116" t="b">
        <f>VLOOKUP($C205,Sales!$C:$E,3,FALSE)</f>
        <v>1</v>
      </c>
      <c r="J205" s="118">
        <f>SUMIFS(Sales!$H:$H,Sales!$C:$C,'Investor Exit List'!$C205)</f>
        <v>45341</v>
      </c>
      <c r="K205" s="118">
        <f t="shared" si="36"/>
        <v>45341</v>
      </c>
      <c r="L205" s="118">
        <f t="shared" si="37"/>
        <v>45549</v>
      </c>
      <c r="M205" s="118">
        <v>45443</v>
      </c>
      <c r="N205" s="119">
        <f t="shared" si="38"/>
        <v>0</v>
      </c>
      <c r="O205" s="119">
        <f t="shared" si="39"/>
        <v>0</v>
      </c>
      <c r="P205" s="117">
        <f t="shared" si="40"/>
        <v>0</v>
      </c>
      <c r="Q205" s="117">
        <f>SUMIFS(Investors!$M:$M,Investors!$O:$O,FALSE,Investors!$P:$P,FALSE,Investors!$K:$K,"&gt;"&amp;'NSST Print'!$B$3,Investors!$I:$I,"&lt;="&amp;'NSST Print'!$B$3,Investors!$A:$A,'Investor Exit List'!$A205,Investors!$E:$E,'Investor Exit List'!$C205,Investors!$L:$L,'Investor Exit List'!$B205)-(SUMIFS(Investors!$M:$M,Investors!$I:$I,"&lt;="&amp;'NSST Print'!$B$3,Investors!$J:$J,"&gt;"&amp;'NSST Print'!$B$3,Investors!$A:$A,'Investor Exit List'!$A205,Investors!$E:$E,'Investor Exit List'!$C205,Investors!$L:$L,'Investor Exit List'!$B205)+SUMIFS(Investors!$M:$M,Investors!$I:$I,"&lt;="&amp;'NSST Print'!$B$3,Investors!$J:$J,"",Investors!$A:$A,'Investor Exit List'!$A205,Investors!$E:$E,'Investor Exit List'!$C205,Investors!$L:$L,'Investor Exit List'!$B205))+SUMIFS(Investors!$S:$S,Investors!$O:$O,FALSE,Investors!$P:$P,FALSE,Investors!$K:$K,"&gt;"&amp;'NSST Print'!$B$3,Investors!$I:$I,"&lt;="&amp;'NSST Print'!$B$3,Investors!$A:$A,'Investor Exit List'!$A205,Investors!$E:$E,'Investor Exit List'!$C205,Investors!$L:$L,'Investor Exit List'!$B205)-(SUMIFS(Investors!$S:$S,Investors!$I:$I,"&lt;="&amp;'NSST Print'!$B$3,Investors!$J:$J,"&gt;"&amp;'NSST Print'!$B$3,Investors!$A:$A,'Investor Exit List'!$A205,Investors!$E:$E,'Investor Exit List'!$C205,Investors!$L:$L,'Investor Exit List'!$B205)+SUMIFS(Investors!$S:$S,Investors!$I:$I,"&lt;="&amp;'NSST Print'!$B$3,Investors!$J:$J,"",Investors!$A:$A,'Investor Exit List'!$A205,Investors!$E:$E,'Investor Exit List'!$C205,Investors!$L:$L,'Investor Exit List'!$B205))</f>
        <v>0</v>
      </c>
      <c r="R205" s="117">
        <f t="shared" si="41"/>
        <v>0</v>
      </c>
      <c r="S205" s="117">
        <f>SUMIFS(Investors!$M:$M,Investors!$O:$O,TRUE,Investors!$A:$A,'Investor Exit List'!$A205,Investors!$E:$E,'Investor Exit List'!$C205,Investors!$L:$L,'Investor Exit List'!$B205)+SUMIFS(Investors!$S:$S,Investors!$O:$O,TRUE,Investors!$A:$A,'Investor Exit List'!$A205,Investors!$E:$E,'Investor Exit List'!$C205,Investors!$L:$L,'Investor Exit List'!$B205)</f>
        <v>604260.27397260268</v>
      </c>
      <c r="T205" s="118">
        <f t="shared" si="42"/>
        <v>45341</v>
      </c>
      <c r="U205" s="116" t="b">
        <v>1</v>
      </c>
      <c r="V205" s="117">
        <f t="shared" si="43"/>
        <v>0</v>
      </c>
      <c r="W205" s="116">
        <v>0</v>
      </c>
      <c r="X205" s="116" t="b">
        <v>0</v>
      </c>
      <c r="Y205" s="119">
        <f>IF(H205=FALSE,VLOOKUP($C205,Sales!$C:$F,4,FALSE),1)</f>
        <v>1</v>
      </c>
      <c r="Z205" s="116" t="str">
        <f t="shared" si="44"/>
        <v/>
      </c>
      <c r="AA205" s="118">
        <f t="shared" si="45"/>
        <v>0</v>
      </c>
      <c r="AB205" s="118" t="str">
        <f t="shared" si="46"/>
        <v>HVD102-ZHAL03</v>
      </c>
      <c r="AC205" s="118">
        <f t="shared" si="47"/>
        <v>45549</v>
      </c>
    </row>
    <row r="206" spans="1:29" ht="16" x14ac:dyDescent="0.2">
      <c r="A206" s="116" t="s">
        <v>505</v>
      </c>
      <c r="B206" s="116">
        <v>10</v>
      </c>
      <c r="C206" s="116" t="s">
        <v>504</v>
      </c>
      <c r="D206" s="116" t="s">
        <v>497</v>
      </c>
      <c r="E206" s="116" t="s">
        <v>2148</v>
      </c>
      <c r="F206" s="117">
        <f>SUMIFS(Investors!$M:$M,Investors!$O:$O,FALSE,Investors!$P:$P,FALSE,Investors!$K:$K,"&gt;"&amp;'NSST Print'!$B$3,Investors!$I:$I,"&lt;="&amp;'NSST Print'!$B$3,Investors!$A:$A,'Investor Exit List'!$A206,Investors!$E:$E,'Investor Exit List'!$C206,Investors!$L:$L,'Investor Exit List'!$B206)-(SUMIFS(Investors!$M:$M,Investors!$I:$I,"&lt;="&amp;'NSST Print'!$B$3,Investors!$J:$J,"&gt;"&amp;'NSST Print'!$B$3,Investors!$A:$A,'Investor Exit List'!$A206,Investors!$E:$E,'Investor Exit List'!$C206,Investors!$L:$L,'Investor Exit List'!$B206)+SUMIFS(Investors!$M:$M,Investors!$I:$I,"&lt;="&amp;'NSST Print'!$B$3,Investors!$J:$J,"",Investors!$A:$A,'Investor Exit List'!$A206,Investors!$E:$E,'Investor Exit List'!$C206,Investors!$L:$L,'Investor Exit List'!$B206))</f>
        <v>0</v>
      </c>
      <c r="G206" s="118">
        <v>44694</v>
      </c>
      <c r="H206" s="116" t="b">
        <f>VLOOKUP($C206,Sales!$C:$E,2,FALSE)</f>
        <v>1</v>
      </c>
      <c r="I206" s="116" t="b">
        <f>VLOOKUP($C206,Sales!$C:$E,3,FALSE)</f>
        <v>1</v>
      </c>
      <c r="J206" s="118">
        <f>SUMIFS(Sales!$H:$H,Sales!$C:$C,'Investor Exit List'!$C206)</f>
        <v>45341</v>
      </c>
      <c r="K206" s="118">
        <f t="shared" si="36"/>
        <v>45341</v>
      </c>
      <c r="L206" s="118">
        <f t="shared" si="37"/>
        <v>45424</v>
      </c>
      <c r="M206" s="118">
        <v>45443</v>
      </c>
      <c r="N206" s="119">
        <f t="shared" si="38"/>
        <v>0</v>
      </c>
      <c r="O206" s="119">
        <f t="shared" si="39"/>
        <v>0</v>
      </c>
      <c r="P206" s="117">
        <f t="shared" si="40"/>
        <v>0</v>
      </c>
      <c r="Q206" s="117">
        <f>SUMIFS(Investors!$M:$M,Investors!$O:$O,FALSE,Investors!$P:$P,FALSE,Investors!$K:$K,"&gt;"&amp;'NSST Print'!$B$3,Investors!$I:$I,"&lt;="&amp;'NSST Print'!$B$3,Investors!$A:$A,'Investor Exit List'!$A206,Investors!$E:$E,'Investor Exit List'!$C206,Investors!$L:$L,'Investor Exit List'!$B206)-(SUMIFS(Investors!$M:$M,Investors!$I:$I,"&lt;="&amp;'NSST Print'!$B$3,Investors!$J:$J,"&gt;"&amp;'NSST Print'!$B$3,Investors!$A:$A,'Investor Exit List'!$A206,Investors!$E:$E,'Investor Exit List'!$C206,Investors!$L:$L,'Investor Exit List'!$B206)+SUMIFS(Investors!$M:$M,Investors!$I:$I,"&lt;="&amp;'NSST Print'!$B$3,Investors!$J:$J,"",Investors!$A:$A,'Investor Exit List'!$A206,Investors!$E:$E,'Investor Exit List'!$C206,Investors!$L:$L,'Investor Exit List'!$B206))+SUMIFS(Investors!$S:$S,Investors!$O:$O,FALSE,Investors!$P:$P,FALSE,Investors!$K:$K,"&gt;"&amp;'NSST Print'!$B$3,Investors!$I:$I,"&lt;="&amp;'NSST Print'!$B$3,Investors!$A:$A,'Investor Exit List'!$A206,Investors!$E:$E,'Investor Exit List'!$C206,Investors!$L:$L,'Investor Exit List'!$B206)-(SUMIFS(Investors!$S:$S,Investors!$I:$I,"&lt;="&amp;'NSST Print'!$B$3,Investors!$J:$J,"&gt;"&amp;'NSST Print'!$B$3,Investors!$A:$A,'Investor Exit List'!$A206,Investors!$E:$E,'Investor Exit List'!$C206,Investors!$L:$L,'Investor Exit List'!$B206)+SUMIFS(Investors!$S:$S,Investors!$I:$I,"&lt;="&amp;'NSST Print'!$B$3,Investors!$J:$J,"",Investors!$A:$A,'Investor Exit List'!$A206,Investors!$E:$E,'Investor Exit List'!$C206,Investors!$L:$L,'Investor Exit List'!$B206))</f>
        <v>0</v>
      </c>
      <c r="R206" s="117">
        <f t="shared" si="41"/>
        <v>0</v>
      </c>
      <c r="S206" s="117">
        <f>SUMIFS(Investors!$M:$M,Investors!$O:$O,TRUE,Investors!$A:$A,'Investor Exit List'!$A206,Investors!$E:$E,'Investor Exit List'!$C206,Investors!$L:$L,'Investor Exit List'!$B206)+SUMIFS(Investors!$S:$S,Investors!$O:$O,TRUE,Investors!$A:$A,'Investor Exit List'!$A206,Investors!$E:$E,'Investor Exit List'!$C206,Investors!$L:$L,'Investor Exit List'!$B206)</f>
        <v>658643.83561643842</v>
      </c>
      <c r="T206" s="118">
        <f t="shared" si="42"/>
        <v>45341</v>
      </c>
      <c r="U206" s="116" t="b">
        <v>1</v>
      </c>
      <c r="V206" s="117">
        <f t="shared" si="43"/>
        <v>0</v>
      </c>
      <c r="W206" s="116">
        <v>0</v>
      </c>
      <c r="X206" s="116" t="b">
        <v>0</v>
      </c>
      <c r="Y206" s="119">
        <f>IF(H206=FALSE,VLOOKUP($C206,Sales!$C:$F,4,FALSE),1)</f>
        <v>1</v>
      </c>
      <c r="Z206" s="116" t="str">
        <f t="shared" si="44"/>
        <v/>
      </c>
      <c r="AA206" s="118">
        <f t="shared" si="45"/>
        <v>0</v>
      </c>
      <c r="AB206" s="118" t="str">
        <f t="shared" si="46"/>
        <v>HVD102-ZLEB01</v>
      </c>
      <c r="AC206" s="118">
        <f t="shared" si="47"/>
        <v>45424</v>
      </c>
    </row>
    <row r="207" spans="1:29" ht="16" x14ac:dyDescent="0.2">
      <c r="A207" s="116" t="s">
        <v>508</v>
      </c>
      <c r="B207" s="116">
        <v>2</v>
      </c>
      <c r="C207" s="116" t="s">
        <v>511</v>
      </c>
      <c r="D207" s="116" t="s">
        <v>497</v>
      </c>
      <c r="E207" s="116" t="s">
        <v>2149</v>
      </c>
      <c r="F207" s="117">
        <f>SUMIFS(Investors!$M:$M,Investors!$O:$O,FALSE,Investors!$P:$P,FALSE,Investors!$K:$K,"&gt;"&amp;'NSST Print'!$B$3,Investors!$I:$I,"&lt;="&amp;'NSST Print'!$B$3,Investors!$A:$A,'Investor Exit List'!$A207,Investors!$E:$E,'Investor Exit List'!$C207,Investors!$L:$L,'Investor Exit List'!$B207)-(SUMIFS(Investors!$M:$M,Investors!$I:$I,"&lt;="&amp;'NSST Print'!$B$3,Investors!$J:$J,"&gt;"&amp;'NSST Print'!$B$3,Investors!$A:$A,'Investor Exit List'!$A207,Investors!$E:$E,'Investor Exit List'!$C207,Investors!$L:$L,'Investor Exit List'!$B207)+SUMIFS(Investors!$M:$M,Investors!$I:$I,"&lt;="&amp;'NSST Print'!$B$3,Investors!$J:$J,"",Investors!$A:$A,'Investor Exit List'!$A207,Investors!$E:$E,'Investor Exit List'!$C207,Investors!$L:$L,'Investor Exit List'!$B207))</f>
        <v>0</v>
      </c>
      <c r="G207" s="118">
        <v>45008</v>
      </c>
      <c r="H207" s="116" t="b">
        <f>VLOOKUP($C207,Sales!$C:$E,2,FALSE)</f>
        <v>1</v>
      </c>
      <c r="I207" s="116" t="b">
        <f>VLOOKUP($C207,Sales!$C:$E,3,FALSE)</f>
        <v>1</v>
      </c>
      <c r="J207" s="118">
        <f>SUMIFS(Sales!$H:$H,Sales!$C:$C,'Investor Exit List'!$C207)</f>
        <v>45688</v>
      </c>
      <c r="K207" s="118">
        <f t="shared" si="36"/>
        <v>45688</v>
      </c>
      <c r="L207" s="118">
        <f t="shared" si="37"/>
        <v>45738</v>
      </c>
      <c r="M207" s="118">
        <v>45443</v>
      </c>
      <c r="N207" s="119">
        <f t="shared" si="38"/>
        <v>0</v>
      </c>
      <c r="O207" s="119">
        <f t="shared" si="39"/>
        <v>0</v>
      </c>
      <c r="P207" s="117">
        <f t="shared" si="40"/>
        <v>0</v>
      </c>
      <c r="Q207" s="117">
        <f>SUMIFS(Investors!$M:$M,Investors!$O:$O,FALSE,Investors!$P:$P,FALSE,Investors!$K:$K,"&gt;"&amp;'NSST Print'!$B$3,Investors!$I:$I,"&lt;="&amp;'NSST Print'!$B$3,Investors!$A:$A,'Investor Exit List'!$A207,Investors!$E:$E,'Investor Exit List'!$C207,Investors!$L:$L,'Investor Exit List'!$B207)-(SUMIFS(Investors!$M:$M,Investors!$I:$I,"&lt;="&amp;'NSST Print'!$B$3,Investors!$J:$J,"&gt;"&amp;'NSST Print'!$B$3,Investors!$A:$A,'Investor Exit List'!$A207,Investors!$E:$E,'Investor Exit List'!$C207,Investors!$L:$L,'Investor Exit List'!$B207)+SUMIFS(Investors!$M:$M,Investors!$I:$I,"&lt;="&amp;'NSST Print'!$B$3,Investors!$J:$J,"",Investors!$A:$A,'Investor Exit List'!$A207,Investors!$E:$E,'Investor Exit List'!$C207,Investors!$L:$L,'Investor Exit List'!$B207))+SUMIFS(Investors!$S:$S,Investors!$O:$O,FALSE,Investors!$P:$P,FALSE,Investors!$K:$K,"&gt;"&amp;'NSST Print'!$B$3,Investors!$I:$I,"&lt;="&amp;'NSST Print'!$B$3,Investors!$A:$A,'Investor Exit List'!$A207,Investors!$E:$E,'Investor Exit List'!$C207,Investors!$L:$L,'Investor Exit List'!$B207)-(SUMIFS(Investors!$S:$S,Investors!$I:$I,"&lt;="&amp;'NSST Print'!$B$3,Investors!$J:$J,"&gt;"&amp;'NSST Print'!$B$3,Investors!$A:$A,'Investor Exit List'!$A207,Investors!$E:$E,'Investor Exit List'!$C207,Investors!$L:$L,'Investor Exit List'!$B207)+SUMIFS(Investors!$S:$S,Investors!$I:$I,"&lt;="&amp;'NSST Print'!$B$3,Investors!$J:$J,"",Investors!$A:$A,'Investor Exit List'!$A207,Investors!$E:$E,'Investor Exit List'!$C207,Investors!$L:$L,'Investor Exit List'!$B207))</f>
        <v>0</v>
      </c>
      <c r="R207" s="117">
        <f t="shared" si="41"/>
        <v>0</v>
      </c>
      <c r="S207" s="117">
        <f>SUMIFS(Investors!$M:$M,Investors!$O:$O,TRUE,Investors!$A:$A,'Investor Exit List'!$A207,Investors!$E:$E,'Investor Exit List'!$C207,Investors!$L:$L,'Investor Exit List'!$B207)+SUMIFS(Investors!$S:$S,Investors!$O:$O,TRUE,Investors!$A:$A,'Investor Exit List'!$A207,Investors!$E:$E,'Investor Exit List'!$C207,Investors!$L:$L,'Investor Exit List'!$B207)</f>
        <v>0</v>
      </c>
      <c r="T207" s="118" t="str">
        <f t="shared" si="42"/>
        <v/>
      </c>
      <c r="U207" s="116" t="b">
        <v>0</v>
      </c>
      <c r="V207" s="117">
        <f t="shared" si="43"/>
        <v>0</v>
      </c>
      <c r="W207" s="116">
        <v>0</v>
      </c>
      <c r="X207" s="116" t="b">
        <v>0</v>
      </c>
      <c r="Y207" s="119">
        <f>IF(H207=FALSE,VLOOKUP($C207,Sales!$C:$F,4,FALSE),1)</f>
        <v>1</v>
      </c>
      <c r="Z207" s="116" t="str">
        <f t="shared" si="44"/>
        <v/>
      </c>
      <c r="AA207" s="118">
        <f t="shared" si="45"/>
        <v>0</v>
      </c>
      <c r="AB207" s="118" t="str">
        <f t="shared" si="46"/>
        <v>HVD103-ZCUP01</v>
      </c>
      <c r="AC207" s="118">
        <f t="shared" si="47"/>
        <v>45738</v>
      </c>
    </row>
    <row r="208" spans="1:29" ht="16" x14ac:dyDescent="0.2">
      <c r="A208" s="116" t="s">
        <v>512</v>
      </c>
      <c r="B208" s="116">
        <v>3</v>
      </c>
      <c r="C208" s="116" t="s">
        <v>511</v>
      </c>
      <c r="D208" s="116" t="s">
        <v>497</v>
      </c>
      <c r="E208" s="116" t="s">
        <v>2150</v>
      </c>
      <c r="F208" s="117">
        <f>SUMIFS(Investors!$M:$M,Investors!$O:$O,FALSE,Investors!$P:$P,FALSE,Investors!$K:$K,"&gt;"&amp;'NSST Print'!$B$3,Investors!$I:$I,"&lt;="&amp;'NSST Print'!$B$3,Investors!$A:$A,'Investor Exit List'!$A208,Investors!$E:$E,'Investor Exit List'!$C208,Investors!$L:$L,'Investor Exit List'!$B208)-(SUMIFS(Investors!$M:$M,Investors!$I:$I,"&lt;="&amp;'NSST Print'!$B$3,Investors!$J:$J,"&gt;"&amp;'NSST Print'!$B$3,Investors!$A:$A,'Investor Exit List'!$A208,Investors!$E:$E,'Investor Exit List'!$C208,Investors!$L:$L,'Investor Exit List'!$B208)+SUMIFS(Investors!$M:$M,Investors!$I:$I,"&lt;="&amp;'NSST Print'!$B$3,Investors!$J:$J,"",Investors!$A:$A,'Investor Exit List'!$A208,Investors!$E:$E,'Investor Exit List'!$C208,Investors!$L:$L,'Investor Exit List'!$B208))</f>
        <v>0</v>
      </c>
      <c r="G208" s="118">
        <v>44719</v>
      </c>
      <c r="H208" s="116" t="b">
        <f>VLOOKUP($C208,Sales!$C:$E,2,FALSE)</f>
        <v>1</v>
      </c>
      <c r="I208" s="116" t="b">
        <f>VLOOKUP($C208,Sales!$C:$E,3,FALSE)</f>
        <v>1</v>
      </c>
      <c r="J208" s="118">
        <f>SUMIFS(Sales!$H:$H,Sales!$C:$C,'Investor Exit List'!$C208)</f>
        <v>45688</v>
      </c>
      <c r="K208" s="118">
        <f t="shared" si="36"/>
        <v>45688</v>
      </c>
      <c r="L208" s="118">
        <f t="shared" si="37"/>
        <v>45449</v>
      </c>
      <c r="M208" s="118">
        <v>45443</v>
      </c>
      <c r="N208" s="119">
        <f t="shared" si="38"/>
        <v>0</v>
      </c>
      <c r="O208" s="119">
        <f t="shared" si="39"/>
        <v>0</v>
      </c>
      <c r="P208" s="117">
        <f t="shared" si="40"/>
        <v>0</v>
      </c>
      <c r="Q208" s="117">
        <f>SUMIFS(Investors!$M:$M,Investors!$O:$O,FALSE,Investors!$P:$P,FALSE,Investors!$K:$K,"&gt;"&amp;'NSST Print'!$B$3,Investors!$I:$I,"&lt;="&amp;'NSST Print'!$B$3,Investors!$A:$A,'Investor Exit List'!$A208,Investors!$E:$E,'Investor Exit List'!$C208,Investors!$L:$L,'Investor Exit List'!$B208)-(SUMIFS(Investors!$M:$M,Investors!$I:$I,"&lt;="&amp;'NSST Print'!$B$3,Investors!$J:$J,"&gt;"&amp;'NSST Print'!$B$3,Investors!$A:$A,'Investor Exit List'!$A208,Investors!$E:$E,'Investor Exit List'!$C208,Investors!$L:$L,'Investor Exit List'!$B208)+SUMIFS(Investors!$M:$M,Investors!$I:$I,"&lt;="&amp;'NSST Print'!$B$3,Investors!$J:$J,"",Investors!$A:$A,'Investor Exit List'!$A208,Investors!$E:$E,'Investor Exit List'!$C208,Investors!$L:$L,'Investor Exit List'!$B208))+SUMIFS(Investors!$S:$S,Investors!$O:$O,FALSE,Investors!$P:$P,FALSE,Investors!$K:$K,"&gt;"&amp;'NSST Print'!$B$3,Investors!$I:$I,"&lt;="&amp;'NSST Print'!$B$3,Investors!$A:$A,'Investor Exit List'!$A208,Investors!$E:$E,'Investor Exit List'!$C208,Investors!$L:$L,'Investor Exit List'!$B208)-(SUMIFS(Investors!$S:$S,Investors!$I:$I,"&lt;="&amp;'NSST Print'!$B$3,Investors!$J:$J,"&gt;"&amp;'NSST Print'!$B$3,Investors!$A:$A,'Investor Exit List'!$A208,Investors!$E:$E,'Investor Exit List'!$C208,Investors!$L:$L,'Investor Exit List'!$B208)+SUMIFS(Investors!$S:$S,Investors!$I:$I,"&lt;="&amp;'NSST Print'!$B$3,Investors!$J:$J,"",Investors!$A:$A,'Investor Exit List'!$A208,Investors!$E:$E,'Investor Exit List'!$C208,Investors!$L:$L,'Investor Exit List'!$B208))</f>
        <v>0</v>
      </c>
      <c r="R208" s="117">
        <f t="shared" si="41"/>
        <v>0</v>
      </c>
      <c r="S208" s="117">
        <f>SUMIFS(Investors!$M:$M,Investors!$O:$O,TRUE,Investors!$A:$A,'Investor Exit List'!$A208,Investors!$E:$E,'Investor Exit List'!$C208,Investors!$L:$L,'Investor Exit List'!$B208)+SUMIFS(Investors!$S:$S,Investors!$O:$O,TRUE,Investors!$A:$A,'Investor Exit List'!$A208,Investors!$E:$E,'Investor Exit List'!$C208,Investors!$L:$L,'Investor Exit List'!$B208)</f>
        <v>121489.04109589041</v>
      </c>
      <c r="T208" s="118">
        <f t="shared" si="42"/>
        <v>45688</v>
      </c>
      <c r="U208" s="116" t="b">
        <v>1</v>
      </c>
      <c r="V208" s="117">
        <f t="shared" si="43"/>
        <v>121489.04109589041</v>
      </c>
      <c r="W208" s="116">
        <v>0</v>
      </c>
      <c r="X208" s="116" t="b">
        <v>0</v>
      </c>
      <c r="Y208" s="119">
        <f>IF(H208=FALSE,VLOOKUP($C208,Sales!$C:$F,4,FALSE),1)</f>
        <v>1</v>
      </c>
      <c r="Z208" s="116" t="str">
        <f t="shared" si="44"/>
        <v/>
      </c>
      <c r="AA208" s="118">
        <f t="shared" si="45"/>
        <v>0</v>
      </c>
      <c r="AB208" s="118" t="str">
        <f t="shared" si="46"/>
        <v>HVD103-ZHEN01</v>
      </c>
      <c r="AC208" s="118">
        <f t="shared" si="47"/>
        <v>45449</v>
      </c>
    </row>
    <row r="209" spans="1:29" ht="16" x14ac:dyDescent="0.2">
      <c r="A209" s="116" t="s">
        <v>505</v>
      </c>
      <c r="B209" s="116">
        <v>11</v>
      </c>
      <c r="C209" s="116" t="s">
        <v>511</v>
      </c>
      <c r="D209" s="116" t="s">
        <v>497</v>
      </c>
      <c r="E209" s="116" t="s">
        <v>2148</v>
      </c>
      <c r="F209" s="117">
        <f>SUMIFS(Investors!$M:$M,Investors!$O:$O,FALSE,Investors!$P:$P,FALSE,Investors!$K:$K,"&gt;"&amp;'NSST Print'!$B$3,Investors!$I:$I,"&lt;="&amp;'NSST Print'!$B$3,Investors!$A:$A,'Investor Exit List'!$A209,Investors!$E:$E,'Investor Exit List'!$C209,Investors!$L:$L,'Investor Exit List'!$B209)-(SUMIFS(Investors!$M:$M,Investors!$I:$I,"&lt;="&amp;'NSST Print'!$B$3,Investors!$J:$J,"&gt;"&amp;'NSST Print'!$B$3,Investors!$A:$A,'Investor Exit List'!$A209,Investors!$E:$E,'Investor Exit List'!$C209,Investors!$L:$L,'Investor Exit List'!$B209)+SUMIFS(Investors!$M:$M,Investors!$I:$I,"&lt;="&amp;'NSST Print'!$B$3,Investors!$J:$J,"",Investors!$A:$A,'Investor Exit List'!$A209,Investors!$E:$E,'Investor Exit List'!$C209,Investors!$L:$L,'Investor Exit List'!$B209))</f>
        <v>0</v>
      </c>
      <c r="G209" s="118">
        <v>44694</v>
      </c>
      <c r="H209" s="116" t="b">
        <f>VLOOKUP($C209,Sales!$C:$E,2,FALSE)</f>
        <v>1</v>
      </c>
      <c r="I209" s="116" t="b">
        <f>VLOOKUP($C209,Sales!$C:$E,3,FALSE)</f>
        <v>1</v>
      </c>
      <c r="J209" s="118">
        <f>SUMIFS(Sales!$H:$H,Sales!$C:$C,'Investor Exit List'!$C209)</f>
        <v>45688</v>
      </c>
      <c r="K209" s="118">
        <f t="shared" si="36"/>
        <v>45688</v>
      </c>
      <c r="L209" s="118">
        <f t="shared" si="37"/>
        <v>45424</v>
      </c>
      <c r="M209" s="118">
        <v>45443</v>
      </c>
      <c r="N209" s="119">
        <f t="shared" si="38"/>
        <v>0</v>
      </c>
      <c r="O209" s="119">
        <f t="shared" si="39"/>
        <v>0</v>
      </c>
      <c r="P209" s="117">
        <f t="shared" si="40"/>
        <v>0</v>
      </c>
      <c r="Q209" s="117">
        <f>SUMIFS(Investors!$M:$M,Investors!$O:$O,FALSE,Investors!$P:$P,FALSE,Investors!$K:$K,"&gt;"&amp;'NSST Print'!$B$3,Investors!$I:$I,"&lt;="&amp;'NSST Print'!$B$3,Investors!$A:$A,'Investor Exit List'!$A209,Investors!$E:$E,'Investor Exit List'!$C209,Investors!$L:$L,'Investor Exit List'!$B209)-(SUMIFS(Investors!$M:$M,Investors!$I:$I,"&lt;="&amp;'NSST Print'!$B$3,Investors!$J:$J,"&gt;"&amp;'NSST Print'!$B$3,Investors!$A:$A,'Investor Exit List'!$A209,Investors!$E:$E,'Investor Exit List'!$C209,Investors!$L:$L,'Investor Exit List'!$B209)+SUMIFS(Investors!$M:$M,Investors!$I:$I,"&lt;="&amp;'NSST Print'!$B$3,Investors!$J:$J,"",Investors!$A:$A,'Investor Exit List'!$A209,Investors!$E:$E,'Investor Exit List'!$C209,Investors!$L:$L,'Investor Exit List'!$B209))+SUMIFS(Investors!$S:$S,Investors!$O:$O,FALSE,Investors!$P:$P,FALSE,Investors!$K:$K,"&gt;"&amp;'NSST Print'!$B$3,Investors!$I:$I,"&lt;="&amp;'NSST Print'!$B$3,Investors!$A:$A,'Investor Exit List'!$A209,Investors!$E:$E,'Investor Exit List'!$C209,Investors!$L:$L,'Investor Exit List'!$B209)-(SUMIFS(Investors!$S:$S,Investors!$I:$I,"&lt;="&amp;'NSST Print'!$B$3,Investors!$J:$J,"&gt;"&amp;'NSST Print'!$B$3,Investors!$A:$A,'Investor Exit List'!$A209,Investors!$E:$E,'Investor Exit List'!$C209,Investors!$L:$L,'Investor Exit List'!$B209)+SUMIFS(Investors!$S:$S,Investors!$I:$I,"&lt;="&amp;'NSST Print'!$B$3,Investors!$J:$J,"",Investors!$A:$A,'Investor Exit List'!$A209,Investors!$E:$E,'Investor Exit List'!$C209,Investors!$L:$L,'Investor Exit List'!$B209))</f>
        <v>0</v>
      </c>
      <c r="R209" s="117">
        <f t="shared" si="41"/>
        <v>0</v>
      </c>
      <c r="S209" s="117">
        <f>SUMIFS(Investors!$M:$M,Investors!$O:$O,TRUE,Investors!$A:$A,'Investor Exit List'!$A209,Investors!$E:$E,'Investor Exit List'!$C209,Investors!$L:$L,'Investor Exit List'!$B209)+SUMIFS(Investors!$S:$S,Investors!$O:$O,TRUE,Investors!$A:$A,'Investor Exit List'!$A209,Investors!$E:$E,'Investor Exit List'!$C209,Investors!$L:$L,'Investor Exit List'!$B209)</f>
        <v>0</v>
      </c>
      <c r="T209" s="118" t="str">
        <f t="shared" si="42"/>
        <v/>
      </c>
      <c r="U209" s="116" t="b">
        <v>0</v>
      </c>
      <c r="V209" s="117">
        <f t="shared" si="43"/>
        <v>0</v>
      </c>
      <c r="W209" s="116">
        <v>0</v>
      </c>
      <c r="X209" s="116" t="b">
        <v>0</v>
      </c>
      <c r="Y209" s="119">
        <f>IF(H209=FALSE,VLOOKUP($C209,Sales!$C:$F,4,FALSE),1)</f>
        <v>1</v>
      </c>
      <c r="Z209" s="116" t="str">
        <f t="shared" si="44"/>
        <v/>
      </c>
      <c r="AA209" s="118">
        <f t="shared" si="45"/>
        <v>0</v>
      </c>
      <c r="AB209" s="118" t="str">
        <f t="shared" si="46"/>
        <v>HVD103-ZLEB01</v>
      </c>
      <c r="AC209" s="118">
        <f t="shared" si="47"/>
        <v>45424</v>
      </c>
    </row>
    <row r="210" spans="1:29" ht="16" x14ac:dyDescent="0.2">
      <c r="A210" s="116" t="s">
        <v>515</v>
      </c>
      <c r="B210" s="116">
        <v>1</v>
      </c>
      <c r="C210" s="116" t="s">
        <v>511</v>
      </c>
      <c r="D210" s="116" t="s">
        <v>497</v>
      </c>
      <c r="E210" s="116" t="s">
        <v>2151</v>
      </c>
      <c r="F210" s="117">
        <f>SUMIFS(Investors!$M:$M,Investors!$O:$O,FALSE,Investors!$P:$P,FALSE,Investors!$K:$K,"&gt;"&amp;'NSST Print'!$B$3,Investors!$I:$I,"&lt;="&amp;'NSST Print'!$B$3,Investors!$A:$A,'Investor Exit List'!$A210,Investors!$E:$E,'Investor Exit List'!$C210,Investors!$L:$L,'Investor Exit List'!$B210)-(SUMIFS(Investors!$M:$M,Investors!$I:$I,"&lt;="&amp;'NSST Print'!$B$3,Investors!$J:$J,"&gt;"&amp;'NSST Print'!$B$3,Investors!$A:$A,'Investor Exit List'!$A210,Investors!$E:$E,'Investor Exit List'!$C210,Investors!$L:$L,'Investor Exit List'!$B210)+SUMIFS(Investors!$M:$M,Investors!$I:$I,"&lt;="&amp;'NSST Print'!$B$3,Investors!$J:$J,"",Investors!$A:$A,'Investor Exit List'!$A210,Investors!$E:$E,'Investor Exit List'!$C210,Investors!$L:$L,'Investor Exit List'!$B210))</f>
        <v>0</v>
      </c>
      <c r="G210" s="118">
        <v>45016</v>
      </c>
      <c r="H210" s="116" t="b">
        <f>VLOOKUP($C210,Sales!$C:$E,2,FALSE)</f>
        <v>1</v>
      </c>
      <c r="I210" s="116" t="b">
        <f>VLOOKUP($C210,Sales!$C:$E,3,FALSE)</f>
        <v>1</v>
      </c>
      <c r="J210" s="118">
        <f>SUMIFS(Sales!$H:$H,Sales!$C:$C,'Investor Exit List'!$C210)</f>
        <v>45688</v>
      </c>
      <c r="K210" s="118">
        <f t="shared" si="36"/>
        <v>45688</v>
      </c>
      <c r="L210" s="118">
        <f t="shared" si="37"/>
        <v>45746</v>
      </c>
      <c r="M210" s="118">
        <v>45443</v>
      </c>
      <c r="N210" s="119">
        <f t="shared" si="38"/>
        <v>0</v>
      </c>
      <c r="O210" s="119">
        <f t="shared" si="39"/>
        <v>0</v>
      </c>
      <c r="P210" s="117">
        <f t="shared" si="40"/>
        <v>0</v>
      </c>
      <c r="Q210" s="117">
        <f>SUMIFS(Investors!$M:$M,Investors!$O:$O,FALSE,Investors!$P:$P,FALSE,Investors!$K:$K,"&gt;"&amp;'NSST Print'!$B$3,Investors!$I:$I,"&lt;="&amp;'NSST Print'!$B$3,Investors!$A:$A,'Investor Exit List'!$A210,Investors!$E:$E,'Investor Exit List'!$C210,Investors!$L:$L,'Investor Exit List'!$B210)-(SUMIFS(Investors!$M:$M,Investors!$I:$I,"&lt;="&amp;'NSST Print'!$B$3,Investors!$J:$J,"&gt;"&amp;'NSST Print'!$B$3,Investors!$A:$A,'Investor Exit List'!$A210,Investors!$E:$E,'Investor Exit List'!$C210,Investors!$L:$L,'Investor Exit List'!$B210)+SUMIFS(Investors!$M:$M,Investors!$I:$I,"&lt;="&amp;'NSST Print'!$B$3,Investors!$J:$J,"",Investors!$A:$A,'Investor Exit List'!$A210,Investors!$E:$E,'Investor Exit List'!$C210,Investors!$L:$L,'Investor Exit List'!$B210))+SUMIFS(Investors!$S:$S,Investors!$O:$O,FALSE,Investors!$P:$P,FALSE,Investors!$K:$K,"&gt;"&amp;'NSST Print'!$B$3,Investors!$I:$I,"&lt;="&amp;'NSST Print'!$B$3,Investors!$A:$A,'Investor Exit List'!$A210,Investors!$E:$E,'Investor Exit List'!$C210,Investors!$L:$L,'Investor Exit List'!$B210)-(SUMIFS(Investors!$S:$S,Investors!$I:$I,"&lt;="&amp;'NSST Print'!$B$3,Investors!$J:$J,"&gt;"&amp;'NSST Print'!$B$3,Investors!$A:$A,'Investor Exit List'!$A210,Investors!$E:$E,'Investor Exit List'!$C210,Investors!$L:$L,'Investor Exit List'!$B210)+SUMIFS(Investors!$S:$S,Investors!$I:$I,"&lt;="&amp;'NSST Print'!$B$3,Investors!$J:$J,"",Investors!$A:$A,'Investor Exit List'!$A210,Investors!$E:$E,'Investor Exit List'!$C210,Investors!$L:$L,'Investor Exit List'!$B210))</f>
        <v>0</v>
      </c>
      <c r="R210" s="117">
        <f t="shared" si="41"/>
        <v>0</v>
      </c>
      <c r="S210" s="117">
        <f>SUMIFS(Investors!$M:$M,Investors!$O:$O,TRUE,Investors!$A:$A,'Investor Exit List'!$A210,Investors!$E:$E,'Investor Exit List'!$C210,Investors!$L:$L,'Investor Exit List'!$B210)+SUMIFS(Investors!$S:$S,Investors!$O:$O,TRUE,Investors!$A:$A,'Investor Exit List'!$A210,Investors!$E:$E,'Investor Exit List'!$C210,Investors!$L:$L,'Investor Exit List'!$B210)</f>
        <v>167914.72602739726</v>
      </c>
      <c r="T210" s="118">
        <f t="shared" si="42"/>
        <v>45688</v>
      </c>
      <c r="U210" s="116" t="b">
        <v>1</v>
      </c>
      <c r="V210" s="117">
        <f t="shared" si="43"/>
        <v>167914.72602739726</v>
      </c>
      <c r="W210" s="116">
        <v>0</v>
      </c>
      <c r="X210" s="116" t="b">
        <v>0</v>
      </c>
      <c r="Y210" s="119">
        <f>IF(H210=FALSE,VLOOKUP($C210,Sales!$C:$F,4,FALSE),1)</f>
        <v>1</v>
      </c>
      <c r="Z210" s="116" t="str">
        <f t="shared" si="44"/>
        <v/>
      </c>
      <c r="AA210" s="118">
        <f t="shared" si="45"/>
        <v>0</v>
      </c>
      <c r="AB210" s="118" t="str">
        <f t="shared" si="46"/>
        <v>HVD103-ZLES01</v>
      </c>
      <c r="AC210" s="118">
        <f t="shared" si="47"/>
        <v>45746</v>
      </c>
    </row>
    <row r="211" spans="1:29" ht="16" x14ac:dyDescent="0.2">
      <c r="A211" s="116" t="s">
        <v>518</v>
      </c>
      <c r="B211" s="116">
        <v>1</v>
      </c>
      <c r="C211" s="116" t="s">
        <v>511</v>
      </c>
      <c r="D211" s="116" t="s">
        <v>497</v>
      </c>
      <c r="E211" s="116" t="s">
        <v>2152</v>
      </c>
      <c r="F211" s="117">
        <f>SUMIFS(Investors!$M:$M,Investors!$O:$O,FALSE,Investors!$P:$P,FALSE,Investors!$K:$K,"&gt;"&amp;'NSST Print'!$B$3,Investors!$I:$I,"&lt;="&amp;'NSST Print'!$B$3,Investors!$A:$A,'Investor Exit List'!$A211,Investors!$E:$E,'Investor Exit List'!$C211,Investors!$L:$L,'Investor Exit List'!$B211)-(SUMIFS(Investors!$M:$M,Investors!$I:$I,"&lt;="&amp;'NSST Print'!$B$3,Investors!$J:$J,"&gt;"&amp;'NSST Print'!$B$3,Investors!$A:$A,'Investor Exit List'!$A211,Investors!$E:$E,'Investor Exit List'!$C211,Investors!$L:$L,'Investor Exit List'!$B211)+SUMIFS(Investors!$M:$M,Investors!$I:$I,"&lt;="&amp;'NSST Print'!$B$3,Investors!$J:$J,"",Investors!$A:$A,'Investor Exit List'!$A211,Investors!$E:$E,'Investor Exit List'!$C211,Investors!$L:$L,'Investor Exit List'!$B211))</f>
        <v>0</v>
      </c>
      <c r="G211" s="118">
        <v>44706</v>
      </c>
      <c r="H211" s="116" t="b">
        <f>VLOOKUP($C211,Sales!$C:$E,2,FALSE)</f>
        <v>1</v>
      </c>
      <c r="I211" s="116" t="b">
        <f>VLOOKUP($C211,Sales!$C:$E,3,FALSE)</f>
        <v>1</v>
      </c>
      <c r="J211" s="118">
        <f>SUMIFS(Sales!$H:$H,Sales!$C:$C,'Investor Exit List'!$C211)</f>
        <v>45688</v>
      </c>
      <c r="K211" s="118">
        <f t="shared" si="36"/>
        <v>45688</v>
      </c>
      <c r="L211" s="118">
        <f t="shared" si="37"/>
        <v>45436</v>
      </c>
      <c r="M211" s="118">
        <v>45443</v>
      </c>
      <c r="N211" s="119">
        <f t="shared" si="38"/>
        <v>0</v>
      </c>
      <c r="O211" s="119">
        <f t="shared" si="39"/>
        <v>0</v>
      </c>
      <c r="P211" s="117">
        <f t="shared" si="40"/>
        <v>0</v>
      </c>
      <c r="Q211" s="117">
        <f>SUMIFS(Investors!$M:$M,Investors!$O:$O,FALSE,Investors!$P:$P,FALSE,Investors!$K:$K,"&gt;"&amp;'NSST Print'!$B$3,Investors!$I:$I,"&lt;="&amp;'NSST Print'!$B$3,Investors!$A:$A,'Investor Exit List'!$A211,Investors!$E:$E,'Investor Exit List'!$C211,Investors!$L:$L,'Investor Exit List'!$B211)-(SUMIFS(Investors!$M:$M,Investors!$I:$I,"&lt;="&amp;'NSST Print'!$B$3,Investors!$J:$J,"&gt;"&amp;'NSST Print'!$B$3,Investors!$A:$A,'Investor Exit List'!$A211,Investors!$E:$E,'Investor Exit List'!$C211,Investors!$L:$L,'Investor Exit List'!$B211)+SUMIFS(Investors!$M:$M,Investors!$I:$I,"&lt;="&amp;'NSST Print'!$B$3,Investors!$J:$J,"",Investors!$A:$A,'Investor Exit List'!$A211,Investors!$E:$E,'Investor Exit List'!$C211,Investors!$L:$L,'Investor Exit List'!$B211))+SUMIFS(Investors!$S:$S,Investors!$O:$O,FALSE,Investors!$P:$P,FALSE,Investors!$K:$K,"&gt;"&amp;'NSST Print'!$B$3,Investors!$I:$I,"&lt;="&amp;'NSST Print'!$B$3,Investors!$A:$A,'Investor Exit List'!$A211,Investors!$E:$E,'Investor Exit List'!$C211,Investors!$L:$L,'Investor Exit List'!$B211)-(SUMIFS(Investors!$S:$S,Investors!$I:$I,"&lt;="&amp;'NSST Print'!$B$3,Investors!$J:$J,"&gt;"&amp;'NSST Print'!$B$3,Investors!$A:$A,'Investor Exit List'!$A211,Investors!$E:$E,'Investor Exit List'!$C211,Investors!$L:$L,'Investor Exit List'!$B211)+SUMIFS(Investors!$S:$S,Investors!$I:$I,"&lt;="&amp;'NSST Print'!$B$3,Investors!$J:$J,"",Investors!$A:$A,'Investor Exit List'!$A211,Investors!$E:$E,'Investor Exit List'!$C211,Investors!$L:$L,'Investor Exit List'!$B211))</f>
        <v>0</v>
      </c>
      <c r="R211" s="117">
        <f t="shared" si="41"/>
        <v>0</v>
      </c>
      <c r="S211" s="117">
        <f>SUMIFS(Investors!$M:$M,Investors!$O:$O,TRUE,Investors!$A:$A,'Investor Exit List'!$A211,Investors!$E:$E,'Investor Exit List'!$C211,Investors!$L:$L,'Investor Exit List'!$B211)+SUMIFS(Investors!$S:$S,Investors!$O:$O,TRUE,Investors!$A:$A,'Investor Exit List'!$A211,Investors!$E:$E,'Investor Exit List'!$C211,Investors!$L:$L,'Investor Exit List'!$B211)</f>
        <v>122917.80821917808</v>
      </c>
      <c r="T211" s="118">
        <f t="shared" si="42"/>
        <v>45688</v>
      </c>
      <c r="U211" s="116" t="b">
        <v>1</v>
      </c>
      <c r="V211" s="117">
        <f t="shared" si="43"/>
        <v>122917.80821917808</v>
      </c>
      <c r="W211" s="116">
        <v>0</v>
      </c>
      <c r="X211" s="116" t="b">
        <v>0</v>
      </c>
      <c r="Y211" s="119">
        <f>IF(H211=FALSE,VLOOKUP($C211,Sales!$C:$F,4,FALSE),1)</f>
        <v>1</v>
      </c>
      <c r="Z211" s="116" t="str">
        <f t="shared" si="44"/>
        <v/>
      </c>
      <c r="AA211" s="118">
        <f t="shared" si="45"/>
        <v>0</v>
      </c>
      <c r="AB211" s="118" t="str">
        <f t="shared" si="46"/>
        <v>HVD103-ZZYL04</v>
      </c>
      <c r="AC211" s="118">
        <f t="shared" si="47"/>
        <v>45436</v>
      </c>
    </row>
    <row r="212" spans="1:29" ht="16" x14ac:dyDescent="0.2">
      <c r="A212" s="116" t="s">
        <v>520</v>
      </c>
      <c r="B212" s="116">
        <v>4</v>
      </c>
      <c r="C212" s="116" t="s">
        <v>523</v>
      </c>
      <c r="D212" s="116" t="s">
        <v>497</v>
      </c>
      <c r="E212" s="116" t="s">
        <v>2153</v>
      </c>
      <c r="F212" s="117">
        <f>SUMIFS(Investors!$M:$M,Investors!$O:$O,FALSE,Investors!$P:$P,FALSE,Investors!$K:$K,"&gt;"&amp;'NSST Print'!$B$3,Investors!$I:$I,"&lt;="&amp;'NSST Print'!$B$3,Investors!$A:$A,'Investor Exit List'!$A212,Investors!$E:$E,'Investor Exit List'!$C212,Investors!$L:$L,'Investor Exit List'!$B212)-(SUMIFS(Investors!$M:$M,Investors!$I:$I,"&lt;="&amp;'NSST Print'!$B$3,Investors!$J:$J,"&gt;"&amp;'NSST Print'!$B$3,Investors!$A:$A,'Investor Exit List'!$A212,Investors!$E:$E,'Investor Exit List'!$C212,Investors!$L:$L,'Investor Exit List'!$B212)+SUMIFS(Investors!$M:$M,Investors!$I:$I,"&lt;="&amp;'NSST Print'!$B$3,Investors!$J:$J,"",Investors!$A:$A,'Investor Exit List'!$A212,Investors!$E:$E,'Investor Exit List'!$C212,Investors!$L:$L,'Investor Exit List'!$B212))</f>
        <v>0</v>
      </c>
      <c r="G212" s="118">
        <v>44706</v>
      </c>
      <c r="H212" s="116" t="b">
        <f>VLOOKUP($C212,Sales!$C:$E,2,FALSE)</f>
        <v>1</v>
      </c>
      <c r="I212" s="116" t="b">
        <f>VLOOKUP($C212,Sales!$C:$E,3,FALSE)</f>
        <v>1</v>
      </c>
      <c r="J212" s="118">
        <f>SUMIFS(Sales!$H:$H,Sales!$C:$C,'Investor Exit List'!$C212)</f>
        <v>45688</v>
      </c>
      <c r="K212" s="118">
        <f t="shared" si="36"/>
        <v>45688</v>
      </c>
      <c r="L212" s="118">
        <f t="shared" si="37"/>
        <v>45436</v>
      </c>
      <c r="M212" s="118">
        <v>45443</v>
      </c>
      <c r="N212" s="119">
        <f t="shared" si="38"/>
        <v>0</v>
      </c>
      <c r="O212" s="119">
        <f t="shared" si="39"/>
        <v>0</v>
      </c>
      <c r="P212" s="117">
        <f t="shared" si="40"/>
        <v>0</v>
      </c>
      <c r="Q212" s="117">
        <f>SUMIFS(Investors!$M:$M,Investors!$O:$O,FALSE,Investors!$P:$P,FALSE,Investors!$K:$K,"&gt;"&amp;'NSST Print'!$B$3,Investors!$I:$I,"&lt;="&amp;'NSST Print'!$B$3,Investors!$A:$A,'Investor Exit List'!$A212,Investors!$E:$E,'Investor Exit List'!$C212,Investors!$L:$L,'Investor Exit List'!$B212)-(SUMIFS(Investors!$M:$M,Investors!$I:$I,"&lt;="&amp;'NSST Print'!$B$3,Investors!$J:$J,"&gt;"&amp;'NSST Print'!$B$3,Investors!$A:$A,'Investor Exit List'!$A212,Investors!$E:$E,'Investor Exit List'!$C212,Investors!$L:$L,'Investor Exit List'!$B212)+SUMIFS(Investors!$M:$M,Investors!$I:$I,"&lt;="&amp;'NSST Print'!$B$3,Investors!$J:$J,"",Investors!$A:$A,'Investor Exit List'!$A212,Investors!$E:$E,'Investor Exit List'!$C212,Investors!$L:$L,'Investor Exit List'!$B212))+SUMIFS(Investors!$S:$S,Investors!$O:$O,FALSE,Investors!$P:$P,FALSE,Investors!$K:$K,"&gt;"&amp;'NSST Print'!$B$3,Investors!$I:$I,"&lt;="&amp;'NSST Print'!$B$3,Investors!$A:$A,'Investor Exit List'!$A212,Investors!$E:$E,'Investor Exit List'!$C212,Investors!$L:$L,'Investor Exit List'!$B212)-(SUMIFS(Investors!$S:$S,Investors!$I:$I,"&lt;="&amp;'NSST Print'!$B$3,Investors!$J:$J,"&gt;"&amp;'NSST Print'!$B$3,Investors!$A:$A,'Investor Exit List'!$A212,Investors!$E:$E,'Investor Exit List'!$C212,Investors!$L:$L,'Investor Exit List'!$B212)+SUMIFS(Investors!$S:$S,Investors!$I:$I,"&lt;="&amp;'NSST Print'!$B$3,Investors!$J:$J,"",Investors!$A:$A,'Investor Exit List'!$A212,Investors!$E:$E,'Investor Exit List'!$C212,Investors!$L:$L,'Investor Exit List'!$B212))</f>
        <v>0</v>
      </c>
      <c r="R212" s="117">
        <f t="shared" si="41"/>
        <v>0</v>
      </c>
      <c r="S212" s="117">
        <f>SUMIFS(Investors!$M:$M,Investors!$O:$O,TRUE,Investors!$A:$A,'Investor Exit List'!$A212,Investors!$E:$E,'Investor Exit List'!$C212,Investors!$L:$L,'Investor Exit List'!$B212)+SUMIFS(Investors!$S:$S,Investors!$O:$O,TRUE,Investors!$A:$A,'Investor Exit List'!$A212,Investors!$E:$E,'Investor Exit List'!$C212,Investors!$L:$L,'Investor Exit List'!$B212)</f>
        <v>780885.27142356161</v>
      </c>
      <c r="T212" s="118">
        <f t="shared" si="42"/>
        <v>45688</v>
      </c>
      <c r="U212" s="116" t="b">
        <v>1</v>
      </c>
      <c r="V212" s="117">
        <f t="shared" si="43"/>
        <v>780885.27142356161</v>
      </c>
      <c r="W212" s="116">
        <v>0</v>
      </c>
      <c r="X212" s="116" t="b">
        <v>0</v>
      </c>
      <c r="Y212" s="119">
        <f>IF(H212=FALSE,VLOOKUP($C212,Sales!$C:$F,4,FALSE),1)</f>
        <v>1</v>
      </c>
      <c r="Z212" s="116" t="str">
        <f t="shared" si="44"/>
        <v/>
      </c>
      <c r="AA212" s="118">
        <f t="shared" si="45"/>
        <v>0</v>
      </c>
      <c r="AB212" s="118" t="str">
        <f t="shared" si="46"/>
        <v>HVD104-ZFON01</v>
      </c>
      <c r="AC212" s="118">
        <f t="shared" si="47"/>
        <v>45436</v>
      </c>
    </row>
    <row r="213" spans="1:29" ht="16" x14ac:dyDescent="0.2">
      <c r="A213" s="116" t="s">
        <v>159</v>
      </c>
      <c r="B213" s="116">
        <v>2</v>
      </c>
      <c r="C213" s="116" t="s">
        <v>523</v>
      </c>
      <c r="D213" s="116" t="s">
        <v>497</v>
      </c>
      <c r="E213" s="116" t="s">
        <v>2050</v>
      </c>
      <c r="F213" s="117">
        <f>SUMIFS(Investors!$M:$M,Investors!$O:$O,FALSE,Investors!$P:$P,FALSE,Investors!$K:$K,"&gt;"&amp;'NSST Print'!$B$3,Investors!$I:$I,"&lt;="&amp;'NSST Print'!$B$3,Investors!$A:$A,'Investor Exit List'!$A213,Investors!$E:$E,'Investor Exit List'!$C213,Investors!$L:$L,'Investor Exit List'!$B213)-(SUMIFS(Investors!$M:$M,Investors!$I:$I,"&lt;="&amp;'NSST Print'!$B$3,Investors!$J:$J,"&gt;"&amp;'NSST Print'!$B$3,Investors!$A:$A,'Investor Exit List'!$A213,Investors!$E:$E,'Investor Exit List'!$C213,Investors!$L:$L,'Investor Exit List'!$B213)+SUMIFS(Investors!$M:$M,Investors!$I:$I,"&lt;="&amp;'NSST Print'!$B$3,Investors!$J:$J,"",Investors!$A:$A,'Investor Exit List'!$A213,Investors!$E:$E,'Investor Exit List'!$C213,Investors!$L:$L,'Investor Exit List'!$B213))</f>
        <v>0</v>
      </c>
      <c r="G213" s="118">
        <v>44706</v>
      </c>
      <c r="H213" s="116" t="b">
        <f>VLOOKUP($C213,Sales!$C:$E,2,FALSE)</f>
        <v>1</v>
      </c>
      <c r="I213" s="116" t="b">
        <f>VLOOKUP($C213,Sales!$C:$E,3,FALSE)</f>
        <v>1</v>
      </c>
      <c r="J213" s="118">
        <f>SUMIFS(Sales!$H:$H,Sales!$C:$C,'Investor Exit List'!$C213)</f>
        <v>45688</v>
      </c>
      <c r="K213" s="118">
        <f t="shared" si="36"/>
        <v>45688</v>
      </c>
      <c r="L213" s="118">
        <f t="shared" si="37"/>
        <v>45436</v>
      </c>
      <c r="M213" s="118">
        <v>45443</v>
      </c>
      <c r="N213" s="119">
        <f t="shared" si="38"/>
        <v>0</v>
      </c>
      <c r="O213" s="119">
        <f t="shared" si="39"/>
        <v>0</v>
      </c>
      <c r="P213" s="117">
        <f t="shared" si="40"/>
        <v>0</v>
      </c>
      <c r="Q213" s="117">
        <f>SUMIFS(Investors!$M:$M,Investors!$O:$O,FALSE,Investors!$P:$P,FALSE,Investors!$K:$K,"&gt;"&amp;'NSST Print'!$B$3,Investors!$I:$I,"&lt;="&amp;'NSST Print'!$B$3,Investors!$A:$A,'Investor Exit List'!$A213,Investors!$E:$E,'Investor Exit List'!$C213,Investors!$L:$L,'Investor Exit List'!$B213)-(SUMIFS(Investors!$M:$M,Investors!$I:$I,"&lt;="&amp;'NSST Print'!$B$3,Investors!$J:$J,"&gt;"&amp;'NSST Print'!$B$3,Investors!$A:$A,'Investor Exit List'!$A213,Investors!$E:$E,'Investor Exit List'!$C213,Investors!$L:$L,'Investor Exit List'!$B213)+SUMIFS(Investors!$M:$M,Investors!$I:$I,"&lt;="&amp;'NSST Print'!$B$3,Investors!$J:$J,"",Investors!$A:$A,'Investor Exit List'!$A213,Investors!$E:$E,'Investor Exit List'!$C213,Investors!$L:$L,'Investor Exit List'!$B213))+SUMIFS(Investors!$S:$S,Investors!$O:$O,FALSE,Investors!$P:$P,FALSE,Investors!$K:$K,"&gt;"&amp;'NSST Print'!$B$3,Investors!$I:$I,"&lt;="&amp;'NSST Print'!$B$3,Investors!$A:$A,'Investor Exit List'!$A213,Investors!$E:$E,'Investor Exit List'!$C213,Investors!$L:$L,'Investor Exit List'!$B213)-(SUMIFS(Investors!$S:$S,Investors!$I:$I,"&lt;="&amp;'NSST Print'!$B$3,Investors!$J:$J,"&gt;"&amp;'NSST Print'!$B$3,Investors!$A:$A,'Investor Exit List'!$A213,Investors!$E:$E,'Investor Exit List'!$C213,Investors!$L:$L,'Investor Exit List'!$B213)+SUMIFS(Investors!$S:$S,Investors!$I:$I,"&lt;="&amp;'NSST Print'!$B$3,Investors!$J:$J,"",Investors!$A:$A,'Investor Exit List'!$A213,Investors!$E:$E,'Investor Exit List'!$C213,Investors!$L:$L,'Investor Exit List'!$B213))</f>
        <v>0</v>
      </c>
      <c r="R213" s="117">
        <f t="shared" si="41"/>
        <v>0</v>
      </c>
      <c r="S213" s="117">
        <f>SUMIFS(Investors!$M:$M,Investors!$O:$O,TRUE,Investors!$A:$A,'Investor Exit List'!$A213,Investors!$E:$E,'Investor Exit List'!$C213,Investors!$L:$L,'Investor Exit List'!$B213)+SUMIFS(Investors!$S:$S,Investors!$O:$O,TRUE,Investors!$A:$A,'Investor Exit List'!$A213,Investors!$E:$E,'Investor Exit List'!$C213,Investors!$L:$L,'Investor Exit List'!$B213)</f>
        <v>248175.34246575343</v>
      </c>
      <c r="T213" s="118">
        <f t="shared" si="42"/>
        <v>45688</v>
      </c>
      <c r="U213" s="116" t="b">
        <v>1</v>
      </c>
      <c r="V213" s="117">
        <f t="shared" si="43"/>
        <v>248175.34246575343</v>
      </c>
      <c r="W213" s="116">
        <v>0</v>
      </c>
      <c r="X213" s="116" t="b">
        <v>0</v>
      </c>
      <c r="Y213" s="119">
        <f>IF(H213=FALSE,VLOOKUP($C213,Sales!$C:$F,4,FALSE),1)</f>
        <v>1</v>
      </c>
      <c r="Z213" s="116" t="str">
        <f t="shared" si="44"/>
        <v/>
      </c>
      <c r="AA213" s="118">
        <f t="shared" si="45"/>
        <v>0</v>
      </c>
      <c r="AB213" s="118" t="str">
        <f t="shared" si="46"/>
        <v>HVD104-ZGMA01</v>
      </c>
      <c r="AC213" s="118">
        <f t="shared" si="47"/>
        <v>45436</v>
      </c>
    </row>
    <row r="214" spans="1:29" ht="16" x14ac:dyDescent="0.2">
      <c r="A214" s="116" t="s">
        <v>524</v>
      </c>
      <c r="B214" s="116">
        <v>1</v>
      </c>
      <c r="C214" s="116" t="s">
        <v>523</v>
      </c>
      <c r="D214" s="116" t="s">
        <v>497</v>
      </c>
      <c r="E214" s="116" t="s">
        <v>2154</v>
      </c>
      <c r="F214" s="117">
        <f>SUMIFS(Investors!$M:$M,Investors!$O:$O,FALSE,Investors!$P:$P,FALSE,Investors!$K:$K,"&gt;"&amp;'NSST Print'!$B$3,Investors!$I:$I,"&lt;="&amp;'NSST Print'!$B$3,Investors!$A:$A,'Investor Exit List'!$A214,Investors!$E:$E,'Investor Exit List'!$C214,Investors!$L:$L,'Investor Exit List'!$B214)-(SUMIFS(Investors!$M:$M,Investors!$I:$I,"&lt;="&amp;'NSST Print'!$B$3,Investors!$J:$J,"&gt;"&amp;'NSST Print'!$B$3,Investors!$A:$A,'Investor Exit List'!$A214,Investors!$E:$E,'Investor Exit List'!$C214,Investors!$L:$L,'Investor Exit List'!$B214)+SUMIFS(Investors!$M:$M,Investors!$I:$I,"&lt;="&amp;'NSST Print'!$B$3,Investors!$J:$J,"",Investors!$A:$A,'Investor Exit List'!$A214,Investors!$E:$E,'Investor Exit List'!$C214,Investors!$L:$L,'Investor Exit List'!$B214))</f>
        <v>0</v>
      </c>
      <c r="G214" s="118">
        <v>44706</v>
      </c>
      <c r="H214" s="116" t="b">
        <f>VLOOKUP($C214,Sales!$C:$E,2,FALSE)</f>
        <v>1</v>
      </c>
      <c r="I214" s="116" t="b">
        <f>VLOOKUP($C214,Sales!$C:$E,3,FALSE)</f>
        <v>1</v>
      </c>
      <c r="J214" s="118">
        <f>SUMIFS(Sales!$H:$H,Sales!$C:$C,'Investor Exit List'!$C214)</f>
        <v>45688</v>
      </c>
      <c r="K214" s="118">
        <f t="shared" si="36"/>
        <v>45688</v>
      </c>
      <c r="L214" s="118">
        <f t="shared" si="37"/>
        <v>45436</v>
      </c>
      <c r="M214" s="118">
        <v>45443</v>
      </c>
      <c r="N214" s="119">
        <f t="shared" si="38"/>
        <v>0</v>
      </c>
      <c r="O214" s="119">
        <f t="shared" si="39"/>
        <v>0</v>
      </c>
      <c r="P214" s="117">
        <f t="shared" si="40"/>
        <v>0</v>
      </c>
      <c r="Q214" s="117">
        <f>SUMIFS(Investors!$M:$M,Investors!$O:$O,FALSE,Investors!$P:$P,FALSE,Investors!$K:$K,"&gt;"&amp;'NSST Print'!$B$3,Investors!$I:$I,"&lt;="&amp;'NSST Print'!$B$3,Investors!$A:$A,'Investor Exit List'!$A214,Investors!$E:$E,'Investor Exit List'!$C214,Investors!$L:$L,'Investor Exit List'!$B214)-(SUMIFS(Investors!$M:$M,Investors!$I:$I,"&lt;="&amp;'NSST Print'!$B$3,Investors!$J:$J,"&gt;"&amp;'NSST Print'!$B$3,Investors!$A:$A,'Investor Exit List'!$A214,Investors!$E:$E,'Investor Exit List'!$C214,Investors!$L:$L,'Investor Exit List'!$B214)+SUMIFS(Investors!$M:$M,Investors!$I:$I,"&lt;="&amp;'NSST Print'!$B$3,Investors!$J:$J,"",Investors!$A:$A,'Investor Exit List'!$A214,Investors!$E:$E,'Investor Exit List'!$C214,Investors!$L:$L,'Investor Exit List'!$B214))+SUMIFS(Investors!$S:$S,Investors!$O:$O,FALSE,Investors!$P:$P,FALSE,Investors!$K:$K,"&gt;"&amp;'NSST Print'!$B$3,Investors!$I:$I,"&lt;="&amp;'NSST Print'!$B$3,Investors!$A:$A,'Investor Exit List'!$A214,Investors!$E:$E,'Investor Exit List'!$C214,Investors!$L:$L,'Investor Exit List'!$B214)-(SUMIFS(Investors!$S:$S,Investors!$I:$I,"&lt;="&amp;'NSST Print'!$B$3,Investors!$J:$J,"&gt;"&amp;'NSST Print'!$B$3,Investors!$A:$A,'Investor Exit List'!$A214,Investors!$E:$E,'Investor Exit List'!$C214,Investors!$L:$L,'Investor Exit List'!$B214)+SUMIFS(Investors!$S:$S,Investors!$I:$I,"&lt;="&amp;'NSST Print'!$B$3,Investors!$J:$J,"",Investors!$A:$A,'Investor Exit List'!$A214,Investors!$E:$E,'Investor Exit List'!$C214,Investors!$L:$L,'Investor Exit List'!$B214))</f>
        <v>0</v>
      </c>
      <c r="R214" s="117">
        <f t="shared" si="41"/>
        <v>0</v>
      </c>
      <c r="S214" s="117">
        <f>SUMIFS(Investors!$M:$M,Investors!$O:$O,TRUE,Investors!$A:$A,'Investor Exit List'!$A214,Investors!$E:$E,'Investor Exit List'!$C214,Investors!$L:$L,'Investor Exit List'!$B214)+SUMIFS(Investors!$S:$S,Investors!$O:$O,TRUE,Investors!$A:$A,'Investor Exit List'!$A214,Investors!$E:$E,'Investor Exit List'!$C214,Investors!$L:$L,'Investor Exit List'!$B214)</f>
        <v>247676.71232876711</v>
      </c>
      <c r="T214" s="118">
        <f t="shared" si="42"/>
        <v>45688</v>
      </c>
      <c r="U214" s="116" t="b">
        <v>1</v>
      </c>
      <c r="V214" s="117">
        <f t="shared" si="43"/>
        <v>247676.71232876711</v>
      </c>
      <c r="W214" s="116">
        <v>0</v>
      </c>
      <c r="X214" s="116" t="b">
        <v>0</v>
      </c>
      <c r="Y214" s="119">
        <f>IF(H214=FALSE,VLOOKUP($C214,Sales!$C:$F,4,FALSE),1)</f>
        <v>1</v>
      </c>
      <c r="Z214" s="116" t="str">
        <f t="shared" si="44"/>
        <v/>
      </c>
      <c r="AA214" s="118">
        <f t="shared" si="45"/>
        <v>0</v>
      </c>
      <c r="AB214" s="118" t="str">
        <f t="shared" si="46"/>
        <v>HVD104-ZVAL02</v>
      </c>
      <c r="AC214" s="118">
        <f t="shared" si="47"/>
        <v>45436</v>
      </c>
    </row>
    <row r="215" spans="1:29" ht="16" x14ac:dyDescent="0.2">
      <c r="A215" s="116" t="s">
        <v>123</v>
      </c>
      <c r="B215" s="116">
        <v>9</v>
      </c>
      <c r="C215" s="116" t="s">
        <v>526</v>
      </c>
      <c r="D215" s="116" t="s">
        <v>497</v>
      </c>
      <c r="E215" s="116" t="s">
        <v>2039</v>
      </c>
      <c r="F215" s="117">
        <f>SUMIFS(Investors!$M:$M,Investors!$O:$O,FALSE,Investors!$P:$P,FALSE,Investors!$K:$K,"&gt;"&amp;'NSST Print'!$B$3,Investors!$I:$I,"&lt;="&amp;'NSST Print'!$B$3,Investors!$A:$A,'Investor Exit List'!$A215,Investors!$E:$E,'Investor Exit List'!$C215,Investors!$L:$L,'Investor Exit List'!$B215)-(SUMIFS(Investors!$M:$M,Investors!$I:$I,"&lt;="&amp;'NSST Print'!$B$3,Investors!$J:$J,"&gt;"&amp;'NSST Print'!$B$3,Investors!$A:$A,'Investor Exit List'!$A215,Investors!$E:$E,'Investor Exit List'!$C215,Investors!$L:$L,'Investor Exit List'!$B215)+SUMIFS(Investors!$M:$M,Investors!$I:$I,"&lt;="&amp;'NSST Print'!$B$3,Investors!$J:$J,"",Investors!$A:$A,'Investor Exit List'!$A215,Investors!$E:$E,'Investor Exit List'!$C215,Investors!$L:$L,'Investor Exit List'!$B215))</f>
        <v>0</v>
      </c>
      <c r="G215" s="118">
        <v>44719</v>
      </c>
      <c r="H215" s="116" t="b">
        <f>VLOOKUP($C215,Sales!$C:$E,2,FALSE)</f>
        <v>1</v>
      </c>
      <c r="I215" s="116" t="b">
        <f>VLOOKUP($C215,Sales!$C:$E,3,FALSE)</f>
        <v>1</v>
      </c>
      <c r="J215" s="118">
        <f>SUMIFS(Sales!$H:$H,Sales!$C:$C,'Investor Exit List'!$C215)</f>
        <v>45688</v>
      </c>
      <c r="K215" s="118">
        <f t="shared" si="36"/>
        <v>45688</v>
      </c>
      <c r="L215" s="118">
        <f t="shared" si="37"/>
        <v>45449</v>
      </c>
      <c r="M215" s="118">
        <v>45443</v>
      </c>
      <c r="N215" s="119">
        <f t="shared" si="38"/>
        <v>0</v>
      </c>
      <c r="O215" s="119">
        <f t="shared" si="39"/>
        <v>0</v>
      </c>
      <c r="P215" s="117">
        <f t="shared" si="40"/>
        <v>0</v>
      </c>
      <c r="Q215" s="117">
        <f>SUMIFS(Investors!$M:$M,Investors!$O:$O,FALSE,Investors!$P:$P,FALSE,Investors!$K:$K,"&gt;"&amp;'NSST Print'!$B$3,Investors!$I:$I,"&lt;="&amp;'NSST Print'!$B$3,Investors!$A:$A,'Investor Exit List'!$A215,Investors!$E:$E,'Investor Exit List'!$C215,Investors!$L:$L,'Investor Exit List'!$B215)-(SUMIFS(Investors!$M:$M,Investors!$I:$I,"&lt;="&amp;'NSST Print'!$B$3,Investors!$J:$J,"&gt;"&amp;'NSST Print'!$B$3,Investors!$A:$A,'Investor Exit List'!$A215,Investors!$E:$E,'Investor Exit List'!$C215,Investors!$L:$L,'Investor Exit List'!$B215)+SUMIFS(Investors!$M:$M,Investors!$I:$I,"&lt;="&amp;'NSST Print'!$B$3,Investors!$J:$J,"",Investors!$A:$A,'Investor Exit List'!$A215,Investors!$E:$E,'Investor Exit List'!$C215,Investors!$L:$L,'Investor Exit List'!$B215))+SUMIFS(Investors!$S:$S,Investors!$O:$O,FALSE,Investors!$P:$P,FALSE,Investors!$K:$K,"&gt;"&amp;'NSST Print'!$B$3,Investors!$I:$I,"&lt;="&amp;'NSST Print'!$B$3,Investors!$A:$A,'Investor Exit List'!$A215,Investors!$E:$E,'Investor Exit List'!$C215,Investors!$L:$L,'Investor Exit List'!$B215)-(SUMIFS(Investors!$S:$S,Investors!$I:$I,"&lt;="&amp;'NSST Print'!$B$3,Investors!$J:$J,"&gt;"&amp;'NSST Print'!$B$3,Investors!$A:$A,'Investor Exit List'!$A215,Investors!$E:$E,'Investor Exit List'!$C215,Investors!$L:$L,'Investor Exit List'!$B215)+SUMIFS(Investors!$S:$S,Investors!$I:$I,"&lt;="&amp;'NSST Print'!$B$3,Investors!$J:$J,"",Investors!$A:$A,'Investor Exit List'!$A215,Investors!$E:$E,'Investor Exit List'!$C215,Investors!$L:$L,'Investor Exit List'!$B215))</f>
        <v>0</v>
      </c>
      <c r="R215" s="117">
        <f t="shared" si="41"/>
        <v>0</v>
      </c>
      <c r="S215" s="117">
        <f>SUMIFS(Investors!$M:$M,Investors!$O:$O,TRUE,Investors!$A:$A,'Investor Exit List'!$A215,Investors!$E:$E,'Investor Exit List'!$C215,Investors!$L:$L,'Investor Exit List'!$B215)+SUMIFS(Investors!$S:$S,Investors!$O:$O,TRUE,Investors!$A:$A,'Investor Exit List'!$A215,Investors!$E:$E,'Investor Exit List'!$C215,Investors!$L:$L,'Investor Exit List'!$B215)</f>
        <v>984516.00209835602</v>
      </c>
      <c r="T215" s="118">
        <f t="shared" si="42"/>
        <v>45688</v>
      </c>
      <c r="U215" s="116" t="b">
        <v>1</v>
      </c>
      <c r="V215" s="117">
        <f t="shared" si="43"/>
        <v>984516.00209835602</v>
      </c>
      <c r="W215" s="116">
        <v>0</v>
      </c>
      <c r="X215" s="116" t="b">
        <v>0</v>
      </c>
      <c r="Y215" s="119">
        <f>IF(H215=FALSE,VLOOKUP($C215,Sales!$C:$F,4,FALSE),1)</f>
        <v>1</v>
      </c>
      <c r="Z215" s="116" t="str">
        <f t="shared" si="44"/>
        <v/>
      </c>
      <c r="AA215" s="118">
        <f t="shared" si="45"/>
        <v>0</v>
      </c>
      <c r="AB215" s="118" t="str">
        <f t="shared" si="46"/>
        <v>HVD201-ZHEI01</v>
      </c>
      <c r="AC215" s="118">
        <f t="shared" si="47"/>
        <v>45449</v>
      </c>
    </row>
    <row r="216" spans="1:29" ht="16" x14ac:dyDescent="0.2">
      <c r="A216" s="116" t="s">
        <v>527</v>
      </c>
      <c r="B216" s="116">
        <v>7</v>
      </c>
      <c r="C216" s="116" t="s">
        <v>526</v>
      </c>
      <c r="D216" s="116" t="s">
        <v>497</v>
      </c>
      <c r="E216" s="116" t="s">
        <v>2155</v>
      </c>
      <c r="F216" s="117">
        <f>SUMIFS(Investors!$M:$M,Investors!$O:$O,FALSE,Investors!$P:$P,FALSE,Investors!$K:$K,"&gt;"&amp;'NSST Print'!$B$3,Investors!$I:$I,"&lt;="&amp;'NSST Print'!$B$3,Investors!$A:$A,'Investor Exit List'!$A216,Investors!$E:$E,'Investor Exit List'!$C216,Investors!$L:$L,'Investor Exit List'!$B216)-(SUMIFS(Investors!$M:$M,Investors!$I:$I,"&lt;="&amp;'NSST Print'!$B$3,Investors!$J:$J,"&gt;"&amp;'NSST Print'!$B$3,Investors!$A:$A,'Investor Exit List'!$A216,Investors!$E:$E,'Investor Exit List'!$C216,Investors!$L:$L,'Investor Exit List'!$B216)+SUMIFS(Investors!$M:$M,Investors!$I:$I,"&lt;="&amp;'NSST Print'!$B$3,Investors!$J:$J,"",Investors!$A:$A,'Investor Exit List'!$A216,Investors!$E:$E,'Investor Exit List'!$C216,Investors!$L:$L,'Investor Exit List'!$B216))</f>
        <v>0</v>
      </c>
      <c r="G216" s="118">
        <v>44721</v>
      </c>
      <c r="H216" s="116" t="b">
        <f>VLOOKUP($C216,Sales!$C:$E,2,FALSE)</f>
        <v>1</v>
      </c>
      <c r="I216" s="116" t="b">
        <f>VLOOKUP($C216,Sales!$C:$E,3,FALSE)</f>
        <v>1</v>
      </c>
      <c r="J216" s="118">
        <f>SUMIFS(Sales!$H:$H,Sales!$C:$C,'Investor Exit List'!$C216)</f>
        <v>45688</v>
      </c>
      <c r="K216" s="118">
        <f t="shared" si="36"/>
        <v>45688</v>
      </c>
      <c r="L216" s="118">
        <f t="shared" si="37"/>
        <v>45451</v>
      </c>
      <c r="M216" s="118">
        <v>45443</v>
      </c>
      <c r="N216" s="119">
        <f t="shared" si="38"/>
        <v>0</v>
      </c>
      <c r="O216" s="119">
        <f t="shared" si="39"/>
        <v>0</v>
      </c>
      <c r="P216" s="117">
        <f t="shared" si="40"/>
        <v>0</v>
      </c>
      <c r="Q216" s="117">
        <f>SUMIFS(Investors!$M:$M,Investors!$O:$O,FALSE,Investors!$P:$P,FALSE,Investors!$K:$K,"&gt;"&amp;'NSST Print'!$B$3,Investors!$I:$I,"&lt;="&amp;'NSST Print'!$B$3,Investors!$A:$A,'Investor Exit List'!$A216,Investors!$E:$E,'Investor Exit List'!$C216,Investors!$L:$L,'Investor Exit List'!$B216)-(SUMIFS(Investors!$M:$M,Investors!$I:$I,"&lt;="&amp;'NSST Print'!$B$3,Investors!$J:$J,"&gt;"&amp;'NSST Print'!$B$3,Investors!$A:$A,'Investor Exit List'!$A216,Investors!$E:$E,'Investor Exit List'!$C216,Investors!$L:$L,'Investor Exit List'!$B216)+SUMIFS(Investors!$M:$M,Investors!$I:$I,"&lt;="&amp;'NSST Print'!$B$3,Investors!$J:$J,"",Investors!$A:$A,'Investor Exit List'!$A216,Investors!$E:$E,'Investor Exit List'!$C216,Investors!$L:$L,'Investor Exit List'!$B216))+SUMIFS(Investors!$S:$S,Investors!$O:$O,FALSE,Investors!$P:$P,FALSE,Investors!$K:$K,"&gt;"&amp;'NSST Print'!$B$3,Investors!$I:$I,"&lt;="&amp;'NSST Print'!$B$3,Investors!$A:$A,'Investor Exit List'!$A216,Investors!$E:$E,'Investor Exit List'!$C216,Investors!$L:$L,'Investor Exit List'!$B216)-(SUMIFS(Investors!$S:$S,Investors!$I:$I,"&lt;="&amp;'NSST Print'!$B$3,Investors!$J:$J,"&gt;"&amp;'NSST Print'!$B$3,Investors!$A:$A,'Investor Exit List'!$A216,Investors!$E:$E,'Investor Exit List'!$C216,Investors!$L:$L,'Investor Exit List'!$B216)+SUMIFS(Investors!$S:$S,Investors!$I:$I,"&lt;="&amp;'NSST Print'!$B$3,Investors!$J:$J,"",Investors!$A:$A,'Investor Exit List'!$A216,Investors!$E:$E,'Investor Exit List'!$C216,Investors!$L:$L,'Investor Exit List'!$B216))</f>
        <v>0</v>
      </c>
      <c r="R216" s="117">
        <f t="shared" si="41"/>
        <v>0</v>
      </c>
      <c r="S216" s="117">
        <f>SUMIFS(Investors!$M:$M,Investors!$O:$O,TRUE,Investors!$A:$A,'Investor Exit List'!$A216,Investors!$E:$E,'Investor Exit List'!$C216,Investors!$L:$L,'Investor Exit List'!$B216)+SUMIFS(Investors!$S:$S,Investors!$O:$O,TRUE,Investors!$A:$A,'Investor Exit List'!$A216,Investors!$E:$E,'Investor Exit List'!$C216,Investors!$L:$L,'Investor Exit List'!$B216)</f>
        <v>311181.50684931508</v>
      </c>
      <c r="T216" s="118">
        <f t="shared" si="42"/>
        <v>45688</v>
      </c>
      <c r="U216" s="116" t="b">
        <v>1</v>
      </c>
      <c r="V216" s="117">
        <f t="shared" si="43"/>
        <v>311181.50684931508</v>
      </c>
      <c r="W216" s="116">
        <v>0</v>
      </c>
      <c r="X216" s="116" t="b">
        <v>0</v>
      </c>
      <c r="Y216" s="119">
        <f>IF(H216=FALSE,VLOOKUP($C216,Sales!$C:$F,4,FALSE),1)</f>
        <v>1</v>
      </c>
      <c r="Z216" s="116" t="str">
        <f t="shared" si="44"/>
        <v/>
      </c>
      <c r="AA216" s="118">
        <f t="shared" si="45"/>
        <v>0</v>
      </c>
      <c r="AB216" s="118" t="str">
        <f t="shared" si="46"/>
        <v>HVD201-ZHUT01</v>
      </c>
      <c r="AC216" s="118">
        <f t="shared" si="47"/>
        <v>45451</v>
      </c>
    </row>
    <row r="217" spans="1:29" ht="16" x14ac:dyDescent="0.2">
      <c r="A217" s="116" t="s">
        <v>530</v>
      </c>
      <c r="B217" s="116">
        <v>2</v>
      </c>
      <c r="C217" s="116" t="s">
        <v>532</v>
      </c>
      <c r="D217" s="116" t="s">
        <v>497</v>
      </c>
      <c r="E217" s="116" t="s">
        <v>2156</v>
      </c>
      <c r="F217" s="117">
        <f>SUMIFS(Investors!$M:$M,Investors!$O:$O,FALSE,Investors!$P:$P,FALSE,Investors!$K:$K,"&gt;"&amp;'NSST Print'!$B$3,Investors!$I:$I,"&lt;="&amp;'NSST Print'!$B$3,Investors!$A:$A,'Investor Exit List'!$A217,Investors!$E:$E,'Investor Exit List'!$C217,Investors!$L:$L,'Investor Exit List'!$B217)-(SUMIFS(Investors!$M:$M,Investors!$I:$I,"&lt;="&amp;'NSST Print'!$B$3,Investors!$J:$J,"&gt;"&amp;'NSST Print'!$B$3,Investors!$A:$A,'Investor Exit List'!$A217,Investors!$E:$E,'Investor Exit List'!$C217,Investors!$L:$L,'Investor Exit List'!$B217)+SUMIFS(Investors!$M:$M,Investors!$I:$I,"&lt;="&amp;'NSST Print'!$B$3,Investors!$J:$J,"",Investors!$A:$A,'Investor Exit List'!$A217,Investors!$E:$E,'Investor Exit List'!$C217,Investors!$L:$L,'Investor Exit List'!$B217))</f>
        <v>100000</v>
      </c>
      <c r="G217" s="118">
        <v>44791</v>
      </c>
      <c r="H217" s="116" t="b">
        <f>VLOOKUP($C217,Sales!$C:$E,2,FALSE)</f>
        <v>1</v>
      </c>
      <c r="I217" s="116" t="b">
        <f>VLOOKUP($C217,Sales!$C:$E,3,FALSE)</f>
        <v>0</v>
      </c>
      <c r="J217" s="118">
        <f>SUMIFS(Sales!$H:$H,Sales!$C:$C,'Investor Exit List'!$C217)</f>
        <v>45471</v>
      </c>
      <c r="K217" s="118" t="str">
        <f t="shared" si="36"/>
        <v/>
      </c>
      <c r="L217" s="118">
        <f t="shared" si="37"/>
        <v>45521</v>
      </c>
      <c r="M217" s="118">
        <v>45443</v>
      </c>
      <c r="N217" s="119">
        <f t="shared" si="38"/>
        <v>78</v>
      </c>
      <c r="O217" s="119">
        <f t="shared" si="39"/>
        <v>78</v>
      </c>
      <c r="P217" s="117">
        <f t="shared" si="40"/>
        <v>126369.86301369862</v>
      </c>
      <c r="Q217" s="117">
        <f>SUMIFS(Investors!$M:$M,Investors!$O:$O,FALSE,Investors!$P:$P,FALSE,Investors!$K:$K,"&gt;"&amp;'NSST Print'!$B$3,Investors!$I:$I,"&lt;="&amp;'NSST Print'!$B$3,Investors!$A:$A,'Investor Exit List'!$A217,Investors!$E:$E,'Investor Exit List'!$C217,Investors!$L:$L,'Investor Exit List'!$B217)-(SUMIFS(Investors!$M:$M,Investors!$I:$I,"&lt;="&amp;'NSST Print'!$B$3,Investors!$J:$J,"&gt;"&amp;'NSST Print'!$B$3,Investors!$A:$A,'Investor Exit List'!$A217,Investors!$E:$E,'Investor Exit List'!$C217,Investors!$L:$L,'Investor Exit List'!$B217)+SUMIFS(Investors!$M:$M,Investors!$I:$I,"&lt;="&amp;'NSST Print'!$B$3,Investors!$J:$J,"",Investors!$A:$A,'Investor Exit List'!$A217,Investors!$E:$E,'Investor Exit List'!$C217,Investors!$L:$L,'Investor Exit List'!$B217))+SUMIFS(Investors!$S:$S,Investors!$O:$O,FALSE,Investors!$P:$P,FALSE,Investors!$K:$K,"&gt;"&amp;'NSST Print'!$B$3,Investors!$I:$I,"&lt;="&amp;'NSST Print'!$B$3,Investors!$A:$A,'Investor Exit List'!$A217,Investors!$E:$E,'Investor Exit List'!$C217,Investors!$L:$L,'Investor Exit List'!$B217)-(SUMIFS(Investors!$S:$S,Investors!$I:$I,"&lt;="&amp;'NSST Print'!$B$3,Investors!$J:$J,"&gt;"&amp;'NSST Print'!$B$3,Investors!$A:$A,'Investor Exit List'!$A217,Investors!$E:$E,'Investor Exit List'!$C217,Investors!$L:$L,'Investor Exit List'!$B217)+SUMIFS(Investors!$S:$S,Investors!$I:$I,"&lt;="&amp;'NSST Print'!$B$3,Investors!$J:$J,"",Investors!$A:$A,'Investor Exit List'!$A217,Investors!$E:$E,'Investor Exit List'!$C217,Investors!$L:$L,'Investor Exit List'!$B217))</f>
        <v>126369.86301369862</v>
      </c>
      <c r="R217" s="117">
        <f t="shared" si="41"/>
        <v>126369.86301369862</v>
      </c>
      <c r="S217" s="117">
        <f>SUMIFS(Investors!$M:$M,Investors!$O:$O,TRUE,Investors!$A:$A,'Investor Exit List'!$A217,Investors!$E:$E,'Investor Exit List'!$C217,Investors!$L:$L,'Investor Exit List'!$B217)+SUMIFS(Investors!$S:$S,Investors!$O:$O,TRUE,Investors!$A:$A,'Investor Exit List'!$A217,Investors!$E:$E,'Investor Exit List'!$C217,Investors!$L:$L,'Investor Exit List'!$B217)</f>
        <v>0</v>
      </c>
      <c r="T217" s="118" t="str">
        <f t="shared" si="42"/>
        <v/>
      </c>
      <c r="U217" s="116" t="b">
        <v>0</v>
      </c>
      <c r="V217" s="117">
        <f t="shared" si="43"/>
        <v>0</v>
      </c>
      <c r="W217" s="116">
        <v>0</v>
      </c>
      <c r="X217" s="116" t="b">
        <v>0</v>
      </c>
      <c r="Y217" s="119">
        <f>IF(H217=FALSE,VLOOKUP($C217,Sales!$C:$F,4,FALSE),1)</f>
        <v>1</v>
      </c>
      <c r="Z217" s="116" t="str">
        <f t="shared" si="44"/>
        <v/>
      </c>
      <c r="AA217" s="118">
        <f t="shared" si="45"/>
        <v>45451</v>
      </c>
      <c r="AB217" s="118" t="str">
        <f t="shared" si="46"/>
        <v>HVD202-ZFER01</v>
      </c>
      <c r="AC217" s="118">
        <f t="shared" si="47"/>
        <v>45521</v>
      </c>
    </row>
    <row r="218" spans="1:29" ht="16" x14ac:dyDescent="0.2">
      <c r="A218" s="116" t="s">
        <v>533</v>
      </c>
      <c r="B218" s="116">
        <v>2</v>
      </c>
      <c r="C218" s="116" t="s">
        <v>532</v>
      </c>
      <c r="D218" s="116" t="s">
        <v>497</v>
      </c>
      <c r="E218" s="116" t="s">
        <v>2157</v>
      </c>
      <c r="F218" s="117">
        <f>SUMIFS(Investors!$M:$M,Investors!$O:$O,FALSE,Investors!$P:$P,FALSE,Investors!$K:$K,"&gt;"&amp;'NSST Print'!$B$3,Investors!$I:$I,"&lt;="&amp;'NSST Print'!$B$3,Investors!$A:$A,'Investor Exit List'!$A218,Investors!$E:$E,'Investor Exit List'!$C218,Investors!$L:$L,'Investor Exit List'!$B218)-(SUMIFS(Investors!$M:$M,Investors!$I:$I,"&lt;="&amp;'NSST Print'!$B$3,Investors!$J:$J,"&gt;"&amp;'NSST Print'!$B$3,Investors!$A:$A,'Investor Exit List'!$A218,Investors!$E:$E,'Investor Exit List'!$C218,Investors!$L:$L,'Investor Exit List'!$B218)+SUMIFS(Investors!$M:$M,Investors!$I:$I,"&lt;="&amp;'NSST Print'!$B$3,Investors!$J:$J,"",Investors!$A:$A,'Investor Exit List'!$A218,Investors!$E:$E,'Investor Exit List'!$C218,Investors!$L:$L,'Investor Exit List'!$B218))</f>
        <v>0</v>
      </c>
      <c r="G218" s="118">
        <v>44735</v>
      </c>
      <c r="H218" s="116" t="b">
        <f>VLOOKUP($C218,Sales!$C:$E,2,FALSE)</f>
        <v>1</v>
      </c>
      <c r="I218" s="116" t="b">
        <f>VLOOKUP($C218,Sales!$C:$E,3,FALSE)</f>
        <v>0</v>
      </c>
      <c r="J218" s="118">
        <f>SUMIFS(Sales!$H:$H,Sales!$C:$C,'Investor Exit List'!$C218)</f>
        <v>45471</v>
      </c>
      <c r="K218" s="118" t="str">
        <f t="shared" si="36"/>
        <v/>
      </c>
      <c r="L218" s="118">
        <f t="shared" si="37"/>
        <v>45465</v>
      </c>
      <c r="M218" s="118">
        <v>45443</v>
      </c>
      <c r="N218" s="119">
        <f t="shared" si="38"/>
        <v>0</v>
      </c>
      <c r="O218" s="119">
        <f t="shared" si="39"/>
        <v>0</v>
      </c>
      <c r="P218" s="117">
        <f t="shared" si="40"/>
        <v>0</v>
      </c>
      <c r="Q218" s="117">
        <f>SUMIFS(Investors!$M:$M,Investors!$O:$O,FALSE,Investors!$P:$P,FALSE,Investors!$K:$K,"&gt;"&amp;'NSST Print'!$B$3,Investors!$I:$I,"&lt;="&amp;'NSST Print'!$B$3,Investors!$A:$A,'Investor Exit List'!$A218,Investors!$E:$E,'Investor Exit List'!$C218,Investors!$L:$L,'Investor Exit List'!$B218)-(SUMIFS(Investors!$M:$M,Investors!$I:$I,"&lt;="&amp;'NSST Print'!$B$3,Investors!$J:$J,"&gt;"&amp;'NSST Print'!$B$3,Investors!$A:$A,'Investor Exit List'!$A218,Investors!$E:$E,'Investor Exit List'!$C218,Investors!$L:$L,'Investor Exit List'!$B218)+SUMIFS(Investors!$M:$M,Investors!$I:$I,"&lt;="&amp;'NSST Print'!$B$3,Investors!$J:$J,"",Investors!$A:$A,'Investor Exit List'!$A218,Investors!$E:$E,'Investor Exit List'!$C218,Investors!$L:$L,'Investor Exit List'!$B218))+SUMIFS(Investors!$S:$S,Investors!$O:$O,FALSE,Investors!$P:$P,FALSE,Investors!$K:$K,"&gt;"&amp;'NSST Print'!$B$3,Investors!$I:$I,"&lt;="&amp;'NSST Print'!$B$3,Investors!$A:$A,'Investor Exit List'!$A218,Investors!$E:$E,'Investor Exit List'!$C218,Investors!$L:$L,'Investor Exit List'!$B218)-(SUMIFS(Investors!$S:$S,Investors!$I:$I,"&lt;="&amp;'NSST Print'!$B$3,Investors!$J:$J,"&gt;"&amp;'NSST Print'!$B$3,Investors!$A:$A,'Investor Exit List'!$A218,Investors!$E:$E,'Investor Exit List'!$C218,Investors!$L:$L,'Investor Exit List'!$B218)+SUMIFS(Investors!$S:$S,Investors!$I:$I,"&lt;="&amp;'NSST Print'!$B$3,Investors!$J:$J,"",Investors!$A:$A,'Investor Exit List'!$A218,Investors!$E:$E,'Investor Exit List'!$C218,Investors!$L:$L,'Investor Exit List'!$B218))</f>
        <v>0</v>
      </c>
      <c r="R218" s="117">
        <f t="shared" si="41"/>
        <v>0</v>
      </c>
      <c r="S218" s="117">
        <f>SUMIFS(Investors!$M:$M,Investors!$O:$O,TRUE,Investors!$A:$A,'Investor Exit List'!$A218,Investors!$E:$E,'Investor Exit List'!$C218,Investors!$L:$L,'Investor Exit List'!$B218)+SUMIFS(Investors!$S:$S,Investors!$O:$O,TRUE,Investors!$A:$A,'Investor Exit List'!$A218,Investors!$E:$E,'Investor Exit List'!$C218,Investors!$L:$L,'Investor Exit List'!$B218)</f>
        <v>161720.53001452054</v>
      </c>
      <c r="T218" s="118">
        <f t="shared" si="42"/>
        <v>45471</v>
      </c>
      <c r="U218" s="116" t="b">
        <v>1</v>
      </c>
      <c r="V218" s="117">
        <f t="shared" si="43"/>
        <v>161720.53001452054</v>
      </c>
      <c r="W218" s="116">
        <v>0</v>
      </c>
      <c r="X218" s="116" t="b">
        <v>0</v>
      </c>
      <c r="Y218" s="119">
        <f>IF(H218=FALSE,VLOOKUP($C218,Sales!$C:$F,4,FALSE),1)</f>
        <v>1</v>
      </c>
      <c r="Z218" s="116" t="str">
        <f t="shared" si="44"/>
        <v/>
      </c>
      <c r="AA218" s="118">
        <f t="shared" si="45"/>
        <v>45451</v>
      </c>
      <c r="AB218" s="118" t="str">
        <f t="shared" si="46"/>
        <v>HVD202-ZHAR01</v>
      </c>
      <c r="AC218" s="118">
        <f t="shared" si="47"/>
        <v>45465</v>
      </c>
    </row>
    <row r="219" spans="1:29" ht="16" x14ac:dyDescent="0.2">
      <c r="A219" s="116" t="s">
        <v>536</v>
      </c>
      <c r="B219" s="116">
        <v>2</v>
      </c>
      <c r="C219" s="116" t="s">
        <v>532</v>
      </c>
      <c r="D219" s="116" t="s">
        <v>497</v>
      </c>
      <c r="E219" s="116" t="s">
        <v>2158</v>
      </c>
      <c r="F219" s="117">
        <f>SUMIFS(Investors!$M:$M,Investors!$O:$O,FALSE,Investors!$P:$P,FALSE,Investors!$K:$K,"&gt;"&amp;'NSST Print'!$B$3,Investors!$I:$I,"&lt;="&amp;'NSST Print'!$B$3,Investors!$A:$A,'Investor Exit List'!$A219,Investors!$E:$E,'Investor Exit List'!$C219,Investors!$L:$L,'Investor Exit List'!$B219)-(SUMIFS(Investors!$M:$M,Investors!$I:$I,"&lt;="&amp;'NSST Print'!$B$3,Investors!$J:$J,"&gt;"&amp;'NSST Print'!$B$3,Investors!$A:$A,'Investor Exit List'!$A219,Investors!$E:$E,'Investor Exit List'!$C219,Investors!$L:$L,'Investor Exit List'!$B219)+SUMIFS(Investors!$M:$M,Investors!$I:$I,"&lt;="&amp;'NSST Print'!$B$3,Investors!$J:$J,"",Investors!$A:$A,'Investor Exit List'!$A219,Investors!$E:$E,'Investor Exit List'!$C219,Investors!$L:$L,'Investor Exit List'!$B219))</f>
        <v>350000</v>
      </c>
      <c r="G219" s="118">
        <v>44721</v>
      </c>
      <c r="H219" s="116" t="b">
        <f>VLOOKUP($C219,Sales!$C:$E,2,FALSE)</f>
        <v>1</v>
      </c>
      <c r="I219" s="116" t="b">
        <f>VLOOKUP($C219,Sales!$C:$E,3,FALSE)</f>
        <v>0</v>
      </c>
      <c r="J219" s="118">
        <f>SUMIFS(Sales!$H:$H,Sales!$C:$C,'Investor Exit List'!$C219)</f>
        <v>45471</v>
      </c>
      <c r="K219" s="118" t="str">
        <f t="shared" si="36"/>
        <v/>
      </c>
      <c r="L219" s="118">
        <f t="shared" si="37"/>
        <v>45451</v>
      </c>
      <c r="M219" s="118">
        <v>45443</v>
      </c>
      <c r="N219" s="119">
        <f t="shared" si="38"/>
        <v>8</v>
      </c>
      <c r="O219" s="119">
        <f t="shared" si="39"/>
        <v>8</v>
      </c>
      <c r="P219" s="117">
        <f t="shared" si="40"/>
        <v>450593.8356164383</v>
      </c>
      <c r="Q219" s="117">
        <f>SUMIFS(Investors!$M:$M,Investors!$O:$O,FALSE,Investors!$P:$P,FALSE,Investors!$K:$K,"&gt;"&amp;'NSST Print'!$B$3,Investors!$I:$I,"&lt;="&amp;'NSST Print'!$B$3,Investors!$A:$A,'Investor Exit List'!$A219,Investors!$E:$E,'Investor Exit List'!$C219,Investors!$L:$L,'Investor Exit List'!$B219)-(SUMIFS(Investors!$M:$M,Investors!$I:$I,"&lt;="&amp;'NSST Print'!$B$3,Investors!$J:$J,"&gt;"&amp;'NSST Print'!$B$3,Investors!$A:$A,'Investor Exit List'!$A219,Investors!$E:$E,'Investor Exit List'!$C219,Investors!$L:$L,'Investor Exit List'!$B219)+SUMIFS(Investors!$M:$M,Investors!$I:$I,"&lt;="&amp;'NSST Print'!$B$3,Investors!$J:$J,"",Investors!$A:$A,'Investor Exit List'!$A219,Investors!$E:$E,'Investor Exit List'!$C219,Investors!$L:$L,'Investor Exit List'!$B219))+SUMIFS(Investors!$S:$S,Investors!$O:$O,FALSE,Investors!$P:$P,FALSE,Investors!$K:$K,"&gt;"&amp;'NSST Print'!$B$3,Investors!$I:$I,"&lt;="&amp;'NSST Print'!$B$3,Investors!$A:$A,'Investor Exit List'!$A219,Investors!$E:$E,'Investor Exit List'!$C219,Investors!$L:$L,'Investor Exit List'!$B219)-(SUMIFS(Investors!$S:$S,Investors!$I:$I,"&lt;="&amp;'NSST Print'!$B$3,Investors!$J:$J,"&gt;"&amp;'NSST Print'!$B$3,Investors!$A:$A,'Investor Exit List'!$A219,Investors!$E:$E,'Investor Exit List'!$C219,Investors!$L:$L,'Investor Exit List'!$B219)+SUMIFS(Investors!$S:$S,Investors!$I:$I,"&lt;="&amp;'NSST Print'!$B$3,Investors!$J:$J,"",Investors!$A:$A,'Investor Exit List'!$A219,Investors!$E:$E,'Investor Exit List'!$C219,Investors!$L:$L,'Investor Exit List'!$B219))</f>
        <v>450593.8356164383</v>
      </c>
      <c r="R219" s="117">
        <f t="shared" si="41"/>
        <v>450593.8356164383</v>
      </c>
      <c r="S219" s="117">
        <f>SUMIFS(Investors!$M:$M,Investors!$O:$O,TRUE,Investors!$A:$A,'Investor Exit List'!$A219,Investors!$E:$E,'Investor Exit List'!$C219,Investors!$L:$L,'Investor Exit List'!$B219)+SUMIFS(Investors!$S:$S,Investors!$O:$O,TRUE,Investors!$A:$A,'Investor Exit List'!$A219,Investors!$E:$E,'Investor Exit List'!$C219,Investors!$L:$L,'Investor Exit List'!$B219)</f>
        <v>0</v>
      </c>
      <c r="T219" s="118" t="str">
        <f t="shared" si="42"/>
        <v/>
      </c>
      <c r="U219" s="116" t="b">
        <v>0</v>
      </c>
      <c r="V219" s="117">
        <f t="shared" si="43"/>
        <v>0</v>
      </c>
      <c r="W219" s="116">
        <v>0</v>
      </c>
      <c r="X219" s="116" t="b">
        <v>0</v>
      </c>
      <c r="Y219" s="119">
        <f>IF(H219=FALSE,VLOOKUP($C219,Sales!$C:$F,4,FALSE),1)</f>
        <v>1</v>
      </c>
      <c r="Z219" s="116" t="str">
        <f t="shared" si="44"/>
        <v/>
      </c>
      <c r="AA219" s="118">
        <f t="shared" si="45"/>
        <v>45451</v>
      </c>
      <c r="AB219" s="118" t="str">
        <f t="shared" si="46"/>
        <v>HVD202-ZJAN01</v>
      </c>
      <c r="AC219" s="118">
        <f t="shared" si="47"/>
        <v>45451</v>
      </c>
    </row>
    <row r="220" spans="1:29" ht="16" x14ac:dyDescent="0.2">
      <c r="A220" s="116" t="s">
        <v>539</v>
      </c>
      <c r="B220" s="116">
        <v>12</v>
      </c>
      <c r="C220" s="116" t="s">
        <v>532</v>
      </c>
      <c r="D220" s="116" t="s">
        <v>497</v>
      </c>
      <c r="E220" s="116" t="s">
        <v>2159</v>
      </c>
      <c r="F220" s="117">
        <f>SUMIFS(Investors!$M:$M,Investors!$O:$O,FALSE,Investors!$P:$P,FALSE,Investors!$K:$K,"&gt;"&amp;'NSST Print'!$B$3,Investors!$I:$I,"&lt;="&amp;'NSST Print'!$B$3,Investors!$A:$A,'Investor Exit List'!$A220,Investors!$E:$E,'Investor Exit List'!$C220,Investors!$L:$L,'Investor Exit List'!$B220)-(SUMIFS(Investors!$M:$M,Investors!$I:$I,"&lt;="&amp;'NSST Print'!$B$3,Investors!$J:$J,"&gt;"&amp;'NSST Print'!$B$3,Investors!$A:$A,'Investor Exit List'!$A220,Investors!$E:$E,'Investor Exit List'!$C220,Investors!$L:$L,'Investor Exit List'!$B220)+SUMIFS(Investors!$M:$M,Investors!$I:$I,"&lt;="&amp;'NSST Print'!$B$3,Investors!$J:$J,"",Investors!$A:$A,'Investor Exit List'!$A220,Investors!$E:$E,'Investor Exit List'!$C220,Investors!$L:$L,'Investor Exit List'!$B220))</f>
        <v>288241.52</v>
      </c>
      <c r="G220" s="118">
        <v>44819</v>
      </c>
      <c r="H220" s="116" t="b">
        <f>VLOOKUP($C220,Sales!$C:$E,2,FALSE)</f>
        <v>1</v>
      </c>
      <c r="I220" s="116" t="b">
        <f>VLOOKUP($C220,Sales!$C:$E,3,FALSE)</f>
        <v>0</v>
      </c>
      <c r="J220" s="118">
        <f>SUMIFS(Sales!$H:$H,Sales!$C:$C,'Investor Exit List'!$C220)</f>
        <v>45471</v>
      </c>
      <c r="K220" s="118" t="str">
        <f t="shared" si="36"/>
        <v/>
      </c>
      <c r="L220" s="118">
        <f t="shared" si="37"/>
        <v>45549</v>
      </c>
      <c r="M220" s="118">
        <v>45443</v>
      </c>
      <c r="N220" s="119">
        <f t="shared" si="38"/>
        <v>106</v>
      </c>
      <c r="O220" s="119">
        <f t="shared" si="39"/>
        <v>106</v>
      </c>
      <c r="P220" s="117">
        <f t="shared" si="40"/>
        <v>0</v>
      </c>
      <c r="Q220" s="117">
        <f>SUMIFS(Investors!$M:$M,Investors!$O:$O,FALSE,Investors!$P:$P,FALSE,Investors!$K:$K,"&gt;"&amp;'NSST Print'!$B$3,Investors!$I:$I,"&lt;="&amp;'NSST Print'!$B$3,Investors!$A:$A,'Investor Exit List'!$A220,Investors!$E:$E,'Investor Exit List'!$C220,Investors!$L:$L,'Investor Exit List'!$B220)-(SUMIFS(Investors!$M:$M,Investors!$I:$I,"&lt;="&amp;'NSST Print'!$B$3,Investors!$J:$J,"&gt;"&amp;'NSST Print'!$B$3,Investors!$A:$A,'Investor Exit List'!$A220,Investors!$E:$E,'Investor Exit List'!$C220,Investors!$L:$L,'Investor Exit List'!$B220)+SUMIFS(Investors!$M:$M,Investors!$I:$I,"&lt;="&amp;'NSST Print'!$B$3,Investors!$J:$J,"",Investors!$A:$A,'Investor Exit List'!$A220,Investors!$E:$E,'Investor Exit List'!$C220,Investors!$L:$L,'Investor Exit List'!$B220))+SUMIFS(Investors!$S:$S,Investors!$O:$O,FALSE,Investors!$P:$P,FALSE,Investors!$K:$K,"&gt;"&amp;'NSST Print'!$B$3,Investors!$I:$I,"&lt;="&amp;'NSST Print'!$B$3,Investors!$A:$A,'Investor Exit List'!$A220,Investors!$E:$E,'Investor Exit List'!$C220,Investors!$L:$L,'Investor Exit List'!$B220)-(SUMIFS(Investors!$S:$S,Investors!$I:$I,"&lt;="&amp;'NSST Print'!$B$3,Investors!$J:$J,"&gt;"&amp;'NSST Print'!$B$3,Investors!$A:$A,'Investor Exit List'!$A220,Investors!$E:$E,'Investor Exit List'!$C220,Investors!$L:$L,'Investor Exit List'!$B220)+SUMIFS(Investors!$S:$S,Investors!$I:$I,"&lt;="&amp;'NSST Print'!$B$3,Investors!$J:$J,"",Investors!$A:$A,'Investor Exit List'!$A220,Investors!$E:$E,'Investor Exit List'!$C220,Investors!$L:$L,'Investor Exit List'!$B220))</f>
        <v>381465.9348931507</v>
      </c>
      <c r="R220" s="117">
        <f t="shared" si="41"/>
        <v>381465.9348931507</v>
      </c>
      <c r="S220" s="117">
        <f>SUMIFS(Investors!$M:$M,Investors!$O:$O,TRUE,Investors!$A:$A,'Investor Exit List'!$A220,Investors!$E:$E,'Investor Exit List'!$C220,Investors!$L:$L,'Investor Exit List'!$B220)+SUMIFS(Investors!$S:$S,Investors!$O:$O,TRUE,Investors!$A:$A,'Investor Exit List'!$A220,Investors!$E:$E,'Investor Exit List'!$C220,Investors!$L:$L,'Investor Exit List'!$B220)</f>
        <v>0</v>
      </c>
      <c r="T220" s="118" t="str">
        <f t="shared" si="42"/>
        <v/>
      </c>
      <c r="U220" s="116" t="b">
        <v>0</v>
      </c>
      <c r="V220" s="117">
        <f t="shared" si="43"/>
        <v>0</v>
      </c>
      <c r="W220" s="116">
        <v>0</v>
      </c>
      <c r="X220" s="116" t="b">
        <v>0</v>
      </c>
      <c r="Y220" s="119">
        <f>IF(H220=FALSE,VLOOKUP($C220,Sales!$C:$F,4,FALSE),1)</f>
        <v>1</v>
      </c>
      <c r="Z220" s="116" t="str">
        <f t="shared" si="44"/>
        <v/>
      </c>
      <c r="AA220" s="118">
        <f t="shared" si="45"/>
        <v>45451</v>
      </c>
      <c r="AB220" s="118" t="str">
        <f t="shared" si="46"/>
        <v>HVD202-ZSON01</v>
      </c>
      <c r="AC220" s="118">
        <f t="shared" si="47"/>
        <v>45549</v>
      </c>
    </row>
    <row r="221" spans="1:29" ht="16" x14ac:dyDescent="0.2">
      <c r="A221" s="116" t="s">
        <v>542</v>
      </c>
      <c r="B221" s="116">
        <v>3</v>
      </c>
      <c r="C221" s="116" t="s">
        <v>532</v>
      </c>
      <c r="D221" s="116" t="s">
        <v>497</v>
      </c>
      <c r="E221" s="116" t="s">
        <v>2160</v>
      </c>
      <c r="F221" s="117">
        <f>SUMIFS(Investors!$M:$M,Investors!$O:$O,FALSE,Investors!$P:$P,FALSE,Investors!$K:$K,"&gt;"&amp;'NSST Print'!$B$3,Investors!$I:$I,"&lt;="&amp;'NSST Print'!$B$3,Investors!$A:$A,'Investor Exit List'!$A221,Investors!$E:$E,'Investor Exit List'!$C221,Investors!$L:$L,'Investor Exit List'!$B221)-(SUMIFS(Investors!$M:$M,Investors!$I:$I,"&lt;="&amp;'NSST Print'!$B$3,Investors!$J:$J,"&gt;"&amp;'NSST Print'!$B$3,Investors!$A:$A,'Investor Exit List'!$A221,Investors!$E:$E,'Investor Exit List'!$C221,Investors!$L:$L,'Investor Exit List'!$B221)+SUMIFS(Investors!$M:$M,Investors!$I:$I,"&lt;="&amp;'NSST Print'!$B$3,Investors!$J:$J,"",Investors!$A:$A,'Investor Exit List'!$A221,Investors!$E:$E,'Investor Exit List'!$C221,Investors!$L:$L,'Investor Exit List'!$B221))</f>
        <v>146383.1</v>
      </c>
      <c r="G221" s="118">
        <v>44721</v>
      </c>
      <c r="H221" s="116" t="b">
        <f>VLOOKUP($C221,Sales!$C:$E,2,FALSE)</f>
        <v>1</v>
      </c>
      <c r="I221" s="116" t="b">
        <f>VLOOKUP($C221,Sales!$C:$E,3,FALSE)</f>
        <v>0</v>
      </c>
      <c r="J221" s="118">
        <f>SUMIFS(Sales!$H:$H,Sales!$C:$C,'Investor Exit List'!$C221)</f>
        <v>45471</v>
      </c>
      <c r="K221" s="118" t="str">
        <f t="shared" si="36"/>
        <v/>
      </c>
      <c r="L221" s="118">
        <f t="shared" si="37"/>
        <v>45451</v>
      </c>
      <c r="M221" s="118">
        <v>45443</v>
      </c>
      <c r="N221" s="119">
        <f t="shared" si="38"/>
        <v>8</v>
      </c>
      <c r="O221" s="119">
        <f t="shared" si="39"/>
        <v>8</v>
      </c>
      <c r="P221" s="117">
        <f t="shared" si="40"/>
        <v>194342.61510547946</v>
      </c>
      <c r="Q221" s="117">
        <f>SUMIFS(Investors!$M:$M,Investors!$O:$O,FALSE,Investors!$P:$P,FALSE,Investors!$K:$K,"&gt;"&amp;'NSST Print'!$B$3,Investors!$I:$I,"&lt;="&amp;'NSST Print'!$B$3,Investors!$A:$A,'Investor Exit List'!$A221,Investors!$E:$E,'Investor Exit List'!$C221,Investors!$L:$L,'Investor Exit List'!$B221)-(SUMIFS(Investors!$M:$M,Investors!$I:$I,"&lt;="&amp;'NSST Print'!$B$3,Investors!$J:$J,"&gt;"&amp;'NSST Print'!$B$3,Investors!$A:$A,'Investor Exit List'!$A221,Investors!$E:$E,'Investor Exit List'!$C221,Investors!$L:$L,'Investor Exit List'!$B221)+SUMIFS(Investors!$M:$M,Investors!$I:$I,"&lt;="&amp;'NSST Print'!$B$3,Investors!$J:$J,"",Investors!$A:$A,'Investor Exit List'!$A221,Investors!$E:$E,'Investor Exit List'!$C221,Investors!$L:$L,'Investor Exit List'!$B221))+SUMIFS(Investors!$S:$S,Investors!$O:$O,FALSE,Investors!$P:$P,FALSE,Investors!$K:$K,"&gt;"&amp;'NSST Print'!$B$3,Investors!$I:$I,"&lt;="&amp;'NSST Print'!$B$3,Investors!$A:$A,'Investor Exit List'!$A221,Investors!$E:$E,'Investor Exit List'!$C221,Investors!$L:$L,'Investor Exit List'!$B221)-(SUMIFS(Investors!$S:$S,Investors!$I:$I,"&lt;="&amp;'NSST Print'!$B$3,Investors!$J:$J,"&gt;"&amp;'NSST Print'!$B$3,Investors!$A:$A,'Investor Exit List'!$A221,Investors!$E:$E,'Investor Exit List'!$C221,Investors!$L:$L,'Investor Exit List'!$B221)+SUMIFS(Investors!$S:$S,Investors!$I:$I,"&lt;="&amp;'NSST Print'!$B$3,Investors!$J:$J,"",Investors!$A:$A,'Investor Exit List'!$A221,Investors!$E:$E,'Investor Exit List'!$C221,Investors!$L:$L,'Investor Exit List'!$B221))</f>
        <v>194342.61510547946</v>
      </c>
      <c r="R221" s="117">
        <f t="shared" si="41"/>
        <v>194342.61510547946</v>
      </c>
      <c r="S221" s="117">
        <f>SUMIFS(Investors!$M:$M,Investors!$O:$O,TRUE,Investors!$A:$A,'Investor Exit List'!$A221,Investors!$E:$E,'Investor Exit List'!$C221,Investors!$L:$L,'Investor Exit List'!$B221)+SUMIFS(Investors!$S:$S,Investors!$O:$O,TRUE,Investors!$A:$A,'Investor Exit List'!$A221,Investors!$E:$E,'Investor Exit List'!$C221,Investors!$L:$L,'Investor Exit List'!$B221)</f>
        <v>0</v>
      </c>
      <c r="T221" s="118" t="str">
        <f t="shared" si="42"/>
        <v/>
      </c>
      <c r="U221" s="116" t="b">
        <v>0</v>
      </c>
      <c r="V221" s="117">
        <f t="shared" si="43"/>
        <v>0</v>
      </c>
      <c r="W221" s="116">
        <v>0</v>
      </c>
      <c r="X221" s="116" t="b">
        <v>0</v>
      </c>
      <c r="Y221" s="119">
        <f>IF(H221=FALSE,VLOOKUP($C221,Sales!$C:$F,4,FALSE),1)</f>
        <v>1</v>
      </c>
      <c r="Z221" s="116" t="str">
        <f t="shared" si="44"/>
        <v/>
      </c>
      <c r="AA221" s="118">
        <f t="shared" si="45"/>
        <v>45451</v>
      </c>
      <c r="AB221" s="118" t="str">
        <f t="shared" si="46"/>
        <v>HVD202-ZWEL01</v>
      </c>
      <c r="AC221" s="118">
        <f t="shared" si="47"/>
        <v>45451</v>
      </c>
    </row>
    <row r="222" spans="1:29" ht="16" x14ac:dyDescent="0.2">
      <c r="A222" s="116" t="s">
        <v>253</v>
      </c>
      <c r="B222" s="116">
        <v>8</v>
      </c>
      <c r="C222" s="116" t="s">
        <v>545</v>
      </c>
      <c r="D222" s="116" t="s">
        <v>497</v>
      </c>
      <c r="E222" s="116" t="s">
        <v>2079</v>
      </c>
      <c r="F222" s="117">
        <f>SUMIFS(Investors!$M:$M,Investors!$O:$O,FALSE,Investors!$P:$P,FALSE,Investors!$K:$K,"&gt;"&amp;'NSST Print'!$B$3,Investors!$I:$I,"&lt;="&amp;'NSST Print'!$B$3,Investors!$A:$A,'Investor Exit List'!$A222,Investors!$E:$E,'Investor Exit List'!$C222,Investors!$L:$L,'Investor Exit List'!$B222)-(SUMIFS(Investors!$M:$M,Investors!$I:$I,"&lt;="&amp;'NSST Print'!$B$3,Investors!$J:$J,"&gt;"&amp;'NSST Print'!$B$3,Investors!$A:$A,'Investor Exit List'!$A222,Investors!$E:$E,'Investor Exit List'!$C222,Investors!$L:$L,'Investor Exit List'!$B222)+SUMIFS(Investors!$M:$M,Investors!$I:$I,"&lt;="&amp;'NSST Print'!$B$3,Investors!$J:$J,"",Investors!$A:$A,'Investor Exit List'!$A222,Investors!$E:$E,'Investor Exit List'!$C222,Investors!$L:$L,'Investor Exit List'!$B222))</f>
        <v>0</v>
      </c>
      <c r="G222" s="118">
        <v>44721</v>
      </c>
      <c r="H222" s="116" t="b">
        <f>VLOOKUP($C222,Sales!$C:$E,2,FALSE)</f>
        <v>1</v>
      </c>
      <c r="I222" s="116" t="b">
        <f>VLOOKUP($C222,Sales!$C:$E,3,FALSE)</f>
        <v>1</v>
      </c>
      <c r="J222" s="118">
        <f>SUMIFS(Sales!$H:$H,Sales!$C:$C,'Investor Exit List'!$C222)</f>
        <v>45377</v>
      </c>
      <c r="K222" s="118">
        <f t="shared" si="36"/>
        <v>45377</v>
      </c>
      <c r="L222" s="118">
        <f t="shared" si="37"/>
        <v>45451</v>
      </c>
      <c r="M222" s="118">
        <v>45443</v>
      </c>
      <c r="N222" s="119">
        <f t="shared" si="38"/>
        <v>0</v>
      </c>
      <c r="O222" s="119">
        <f t="shared" si="39"/>
        <v>0</v>
      </c>
      <c r="P222" s="117">
        <f t="shared" si="40"/>
        <v>0</v>
      </c>
      <c r="Q222" s="117">
        <f>SUMIFS(Investors!$M:$M,Investors!$O:$O,FALSE,Investors!$P:$P,FALSE,Investors!$K:$K,"&gt;"&amp;'NSST Print'!$B$3,Investors!$I:$I,"&lt;="&amp;'NSST Print'!$B$3,Investors!$A:$A,'Investor Exit List'!$A222,Investors!$E:$E,'Investor Exit List'!$C222,Investors!$L:$L,'Investor Exit List'!$B222)-(SUMIFS(Investors!$M:$M,Investors!$I:$I,"&lt;="&amp;'NSST Print'!$B$3,Investors!$J:$J,"&gt;"&amp;'NSST Print'!$B$3,Investors!$A:$A,'Investor Exit List'!$A222,Investors!$E:$E,'Investor Exit List'!$C222,Investors!$L:$L,'Investor Exit List'!$B222)+SUMIFS(Investors!$M:$M,Investors!$I:$I,"&lt;="&amp;'NSST Print'!$B$3,Investors!$J:$J,"",Investors!$A:$A,'Investor Exit List'!$A222,Investors!$E:$E,'Investor Exit List'!$C222,Investors!$L:$L,'Investor Exit List'!$B222))+SUMIFS(Investors!$S:$S,Investors!$O:$O,FALSE,Investors!$P:$P,FALSE,Investors!$K:$K,"&gt;"&amp;'NSST Print'!$B$3,Investors!$I:$I,"&lt;="&amp;'NSST Print'!$B$3,Investors!$A:$A,'Investor Exit List'!$A222,Investors!$E:$E,'Investor Exit List'!$C222,Investors!$L:$L,'Investor Exit List'!$B222)-(SUMIFS(Investors!$S:$S,Investors!$I:$I,"&lt;="&amp;'NSST Print'!$B$3,Investors!$J:$J,"&gt;"&amp;'NSST Print'!$B$3,Investors!$A:$A,'Investor Exit List'!$A222,Investors!$E:$E,'Investor Exit List'!$C222,Investors!$L:$L,'Investor Exit List'!$B222)+SUMIFS(Investors!$S:$S,Investors!$I:$I,"&lt;="&amp;'NSST Print'!$B$3,Investors!$J:$J,"",Investors!$A:$A,'Investor Exit List'!$A222,Investors!$E:$E,'Investor Exit List'!$C222,Investors!$L:$L,'Investor Exit List'!$B222))</f>
        <v>0</v>
      </c>
      <c r="R222" s="117">
        <f t="shared" si="41"/>
        <v>0</v>
      </c>
      <c r="S222" s="117">
        <f>SUMIFS(Investors!$M:$M,Investors!$O:$O,TRUE,Investors!$A:$A,'Investor Exit List'!$A222,Investors!$E:$E,'Investor Exit List'!$C222,Investors!$L:$L,'Investor Exit List'!$B222)+SUMIFS(Investors!$S:$S,Investors!$O:$O,TRUE,Investors!$A:$A,'Investor Exit List'!$A222,Investors!$E:$E,'Investor Exit List'!$C222,Investors!$L:$L,'Investor Exit List'!$B222)</f>
        <v>0</v>
      </c>
      <c r="T222" s="118" t="str">
        <f t="shared" si="42"/>
        <v/>
      </c>
      <c r="U222" s="116" t="b">
        <v>0</v>
      </c>
      <c r="V222" s="117">
        <f t="shared" si="43"/>
        <v>0</v>
      </c>
      <c r="W222" s="116">
        <v>0</v>
      </c>
      <c r="X222" s="116" t="b">
        <v>0</v>
      </c>
      <c r="Y222" s="119">
        <f>IF(H222=FALSE,VLOOKUP($C222,Sales!$C:$F,4,FALSE),1)</f>
        <v>1</v>
      </c>
      <c r="Z222" s="116" t="str">
        <f t="shared" si="44"/>
        <v/>
      </c>
      <c r="AA222" s="118">
        <f t="shared" si="45"/>
        <v>0</v>
      </c>
      <c r="AB222" s="118" t="str">
        <f t="shared" si="46"/>
        <v>HVD203-ZDIC01</v>
      </c>
      <c r="AC222" s="118">
        <f t="shared" si="47"/>
        <v>45451</v>
      </c>
    </row>
    <row r="223" spans="1:29" ht="16" x14ac:dyDescent="0.2">
      <c r="A223" s="116" t="s">
        <v>546</v>
      </c>
      <c r="B223" s="116">
        <v>4</v>
      </c>
      <c r="C223" s="116" t="s">
        <v>549</v>
      </c>
      <c r="D223" s="116" t="s">
        <v>497</v>
      </c>
      <c r="E223" s="116" t="s">
        <v>2161</v>
      </c>
      <c r="F223" s="117">
        <f>SUMIFS(Investors!$M:$M,Investors!$O:$O,FALSE,Investors!$P:$P,FALSE,Investors!$K:$K,"&gt;"&amp;'NSST Print'!$B$3,Investors!$I:$I,"&lt;="&amp;'NSST Print'!$B$3,Investors!$A:$A,'Investor Exit List'!$A223,Investors!$E:$E,'Investor Exit List'!$C223,Investors!$L:$L,'Investor Exit List'!$B223)-(SUMIFS(Investors!$M:$M,Investors!$I:$I,"&lt;="&amp;'NSST Print'!$B$3,Investors!$J:$J,"&gt;"&amp;'NSST Print'!$B$3,Investors!$A:$A,'Investor Exit List'!$A223,Investors!$E:$E,'Investor Exit List'!$C223,Investors!$L:$L,'Investor Exit List'!$B223)+SUMIFS(Investors!$M:$M,Investors!$I:$I,"&lt;="&amp;'NSST Print'!$B$3,Investors!$J:$J,"",Investors!$A:$A,'Investor Exit List'!$A223,Investors!$E:$E,'Investor Exit List'!$C223,Investors!$L:$L,'Investor Exit List'!$B223))</f>
        <v>0</v>
      </c>
      <c r="G223" s="118">
        <v>44719</v>
      </c>
      <c r="H223" s="116" t="b">
        <f>VLOOKUP($C223,Sales!$C:$E,2,FALSE)</f>
        <v>1</v>
      </c>
      <c r="I223" s="116" t="b">
        <f>VLOOKUP($C223,Sales!$C:$E,3,FALSE)</f>
        <v>1</v>
      </c>
      <c r="J223" s="118">
        <f>SUMIFS(Sales!$H:$H,Sales!$C:$C,'Investor Exit List'!$C223)</f>
        <v>45688</v>
      </c>
      <c r="K223" s="118">
        <f t="shared" si="36"/>
        <v>45688</v>
      </c>
      <c r="L223" s="118">
        <f t="shared" si="37"/>
        <v>45449</v>
      </c>
      <c r="M223" s="118">
        <v>45443</v>
      </c>
      <c r="N223" s="119">
        <f t="shared" si="38"/>
        <v>0</v>
      </c>
      <c r="O223" s="119">
        <f t="shared" si="39"/>
        <v>0</v>
      </c>
      <c r="P223" s="117">
        <f t="shared" si="40"/>
        <v>0</v>
      </c>
      <c r="Q223" s="117">
        <f>SUMIFS(Investors!$M:$M,Investors!$O:$O,FALSE,Investors!$P:$P,FALSE,Investors!$K:$K,"&gt;"&amp;'NSST Print'!$B$3,Investors!$I:$I,"&lt;="&amp;'NSST Print'!$B$3,Investors!$A:$A,'Investor Exit List'!$A223,Investors!$E:$E,'Investor Exit List'!$C223,Investors!$L:$L,'Investor Exit List'!$B223)-(SUMIFS(Investors!$M:$M,Investors!$I:$I,"&lt;="&amp;'NSST Print'!$B$3,Investors!$J:$J,"&gt;"&amp;'NSST Print'!$B$3,Investors!$A:$A,'Investor Exit List'!$A223,Investors!$E:$E,'Investor Exit List'!$C223,Investors!$L:$L,'Investor Exit List'!$B223)+SUMIFS(Investors!$M:$M,Investors!$I:$I,"&lt;="&amp;'NSST Print'!$B$3,Investors!$J:$J,"",Investors!$A:$A,'Investor Exit List'!$A223,Investors!$E:$E,'Investor Exit List'!$C223,Investors!$L:$L,'Investor Exit List'!$B223))+SUMIFS(Investors!$S:$S,Investors!$O:$O,FALSE,Investors!$P:$P,FALSE,Investors!$K:$K,"&gt;"&amp;'NSST Print'!$B$3,Investors!$I:$I,"&lt;="&amp;'NSST Print'!$B$3,Investors!$A:$A,'Investor Exit List'!$A223,Investors!$E:$E,'Investor Exit List'!$C223,Investors!$L:$L,'Investor Exit List'!$B223)-(SUMIFS(Investors!$S:$S,Investors!$I:$I,"&lt;="&amp;'NSST Print'!$B$3,Investors!$J:$J,"&gt;"&amp;'NSST Print'!$B$3,Investors!$A:$A,'Investor Exit List'!$A223,Investors!$E:$E,'Investor Exit List'!$C223,Investors!$L:$L,'Investor Exit List'!$B223)+SUMIFS(Investors!$S:$S,Investors!$I:$I,"&lt;="&amp;'NSST Print'!$B$3,Investors!$J:$J,"",Investors!$A:$A,'Investor Exit List'!$A223,Investors!$E:$E,'Investor Exit List'!$C223,Investors!$L:$L,'Investor Exit List'!$B223))</f>
        <v>0</v>
      </c>
      <c r="R223" s="117">
        <f t="shared" si="41"/>
        <v>0</v>
      </c>
      <c r="S223" s="117">
        <f>SUMIFS(Investors!$M:$M,Investors!$O:$O,TRUE,Investors!$A:$A,'Investor Exit List'!$A223,Investors!$E:$E,'Investor Exit List'!$C223,Investors!$L:$L,'Investor Exit List'!$B223)+SUMIFS(Investors!$S:$S,Investors!$O:$O,TRUE,Investors!$A:$A,'Investor Exit List'!$A223,Investors!$E:$E,'Investor Exit List'!$C223,Investors!$L:$L,'Investor Exit List'!$B223)</f>
        <v>0</v>
      </c>
      <c r="T223" s="118" t="str">
        <f t="shared" si="42"/>
        <v/>
      </c>
      <c r="U223" s="116" t="b">
        <v>0</v>
      </c>
      <c r="V223" s="117">
        <f t="shared" si="43"/>
        <v>0</v>
      </c>
      <c r="W223" s="116">
        <v>0</v>
      </c>
      <c r="X223" s="116" t="b">
        <v>0</v>
      </c>
      <c r="Y223" s="119">
        <f>IF(H223=FALSE,VLOOKUP($C223,Sales!$C:$F,4,FALSE),1)</f>
        <v>1</v>
      </c>
      <c r="Z223" s="116" t="str">
        <f t="shared" si="44"/>
        <v/>
      </c>
      <c r="AA223" s="118">
        <f t="shared" si="45"/>
        <v>0</v>
      </c>
      <c r="AB223" s="118" t="str">
        <f t="shared" si="46"/>
        <v>HVD204-ZBOT01</v>
      </c>
      <c r="AC223" s="118">
        <f t="shared" si="47"/>
        <v>45449</v>
      </c>
    </row>
    <row r="224" spans="1:29" ht="16" x14ac:dyDescent="0.2">
      <c r="A224" s="116" t="s">
        <v>550</v>
      </c>
      <c r="B224" s="116">
        <v>4</v>
      </c>
      <c r="C224" s="116" t="s">
        <v>549</v>
      </c>
      <c r="D224" s="116" t="s">
        <v>497</v>
      </c>
      <c r="E224" s="116" t="s">
        <v>2162</v>
      </c>
      <c r="F224" s="117">
        <f>SUMIFS(Investors!$M:$M,Investors!$O:$O,FALSE,Investors!$P:$P,FALSE,Investors!$K:$K,"&gt;"&amp;'NSST Print'!$B$3,Investors!$I:$I,"&lt;="&amp;'NSST Print'!$B$3,Investors!$A:$A,'Investor Exit List'!$A224,Investors!$E:$E,'Investor Exit List'!$C224,Investors!$L:$L,'Investor Exit List'!$B224)-(SUMIFS(Investors!$M:$M,Investors!$I:$I,"&lt;="&amp;'NSST Print'!$B$3,Investors!$J:$J,"&gt;"&amp;'NSST Print'!$B$3,Investors!$A:$A,'Investor Exit List'!$A224,Investors!$E:$E,'Investor Exit List'!$C224,Investors!$L:$L,'Investor Exit List'!$B224)+SUMIFS(Investors!$M:$M,Investors!$I:$I,"&lt;="&amp;'NSST Print'!$B$3,Investors!$J:$J,"",Investors!$A:$A,'Investor Exit List'!$A224,Investors!$E:$E,'Investor Exit List'!$C224,Investors!$L:$L,'Investor Exit List'!$B224))</f>
        <v>0</v>
      </c>
      <c r="G224" s="118">
        <v>44735</v>
      </c>
      <c r="H224" s="116" t="b">
        <f>VLOOKUP($C224,Sales!$C:$E,2,FALSE)</f>
        <v>1</v>
      </c>
      <c r="I224" s="116" t="b">
        <f>VLOOKUP($C224,Sales!$C:$E,3,FALSE)</f>
        <v>1</v>
      </c>
      <c r="J224" s="118">
        <f>SUMIFS(Sales!$H:$H,Sales!$C:$C,'Investor Exit List'!$C224)</f>
        <v>45688</v>
      </c>
      <c r="K224" s="118">
        <f t="shared" si="36"/>
        <v>45688</v>
      </c>
      <c r="L224" s="118">
        <f t="shared" si="37"/>
        <v>45465</v>
      </c>
      <c r="M224" s="118">
        <v>45443</v>
      </c>
      <c r="N224" s="119">
        <f t="shared" si="38"/>
        <v>0</v>
      </c>
      <c r="O224" s="119">
        <f t="shared" si="39"/>
        <v>0</v>
      </c>
      <c r="P224" s="117">
        <f t="shared" si="40"/>
        <v>0</v>
      </c>
      <c r="Q224" s="117">
        <f>SUMIFS(Investors!$M:$M,Investors!$O:$O,FALSE,Investors!$P:$P,FALSE,Investors!$K:$K,"&gt;"&amp;'NSST Print'!$B$3,Investors!$I:$I,"&lt;="&amp;'NSST Print'!$B$3,Investors!$A:$A,'Investor Exit List'!$A224,Investors!$E:$E,'Investor Exit List'!$C224,Investors!$L:$L,'Investor Exit List'!$B224)-(SUMIFS(Investors!$M:$M,Investors!$I:$I,"&lt;="&amp;'NSST Print'!$B$3,Investors!$J:$J,"&gt;"&amp;'NSST Print'!$B$3,Investors!$A:$A,'Investor Exit List'!$A224,Investors!$E:$E,'Investor Exit List'!$C224,Investors!$L:$L,'Investor Exit List'!$B224)+SUMIFS(Investors!$M:$M,Investors!$I:$I,"&lt;="&amp;'NSST Print'!$B$3,Investors!$J:$J,"",Investors!$A:$A,'Investor Exit List'!$A224,Investors!$E:$E,'Investor Exit List'!$C224,Investors!$L:$L,'Investor Exit List'!$B224))+SUMIFS(Investors!$S:$S,Investors!$O:$O,FALSE,Investors!$P:$P,FALSE,Investors!$K:$K,"&gt;"&amp;'NSST Print'!$B$3,Investors!$I:$I,"&lt;="&amp;'NSST Print'!$B$3,Investors!$A:$A,'Investor Exit List'!$A224,Investors!$E:$E,'Investor Exit List'!$C224,Investors!$L:$L,'Investor Exit List'!$B224)-(SUMIFS(Investors!$S:$S,Investors!$I:$I,"&lt;="&amp;'NSST Print'!$B$3,Investors!$J:$J,"&gt;"&amp;'NSST Print'!$B$3,Investors!$A:$A,'Investor Exit List'!$A224,Investors!$E:$E,'Investor Exit List'!$C224,Investors!$L:$L,'Investor Exit List'!$B224)+SUMIFS(Investors!$S:$S,Investors!$I:$I,"&lt;="&amp;'NSST Print'!$B$3,Investors!$J:$J,"",Investors!$A:$A,'Investor Exit List'!$A224,Investors!$E:$E,'Investor Exit List'!$C224,Investors!$L:$L,'Investor Exit List'!$B224))</f>
        <v>0</v>
      </c>
      <c r="R224" s="117">
        <f t="shared" si="41"/>
        <v>0</v>
      </c>
      <c r="S224" s="117">
        <f>SUMIFS(Investors!$M:$M,Investors!$O:$O,TRUE,Investors!$A:$A,'Investor Exit List'!$A224,Investors!$E:$E,'Investor Exit List'!$C224,Investors!$L:$L,'Investor Exit List'!$B224)+SUMIFS(Investors!$S:$S,Investors!$O:$O,TRUE,Investors!$A:$A,'Investor Exit List'!$A224,Investors!$E:$E,'Investor Exit List'!$C224,Investors!$L:$L,'Investor Exit List'!$B224)</f>
        <v>387526.69941835618</v>
      </c>
      <c r="T224" s="118">
        <f t="shared" si="42"/>
        <v>45688</v>
      </c>
      <c r="U224" s="116" t="b">
        <v>1</v>
      </c>
      <c r="V224" s="117">
        <f t="shared" si="43"/>
        <v>387526.69941835618</v>
      </c>
      <c r="W224" s="116">
        <v>0</v>
      </c>
      <c r="X224" s="116" t="b">
        <v>0</v>
      </c>
      <c r="Y224" s="119">
        <f>IF(H224=FALSE,VLOOKUP($C224,Sales!$C:$F,4,FALSE),1)</f>
        <v>1</v>
      </c>
      <c r="Z224" s="116" t="str">
        <f t="shared" si="44"/>
        <v/>
      </c>
      <c r="AA224" s="118">
        <f t="shared" si="45"/>
        <v>0</v>
      </c>
      <c r="AB224" s="118" t="str">
        <f t="shared" si="46"/>
        <v>HVD204-ZNAT01</v>
      </c>
      <c r="AC224" s="118">
        <f t="shared" si="47"/>
        <v>45465</v>
      </c>
    </row>
    <row r="225" spans="1:29" ht="16" x14ac:dyDescent="0.2">
      <c r="A225" s="116" t="s">
        <v>27</v>
      </c>
      <c r="B225" s="116">
        <v>13</v>
      </c>
      <c r="C225" s="116" t="s">
        <v>549</v>
      </c>
      <c r="D225" s="116" t="s">
        <v>497</v>
      </c>
      <c r="E225" s="116" t="s">
        <v>2010</v>
      </c>
      <c r="F225" s="117">
        <f>SUMIFS(Investors!$M:$M,Investors!$O:$O,FALSE,Investors!$P:$P,FALSE,Investors!$K:$K,"&gt;"&amp;'NSST Print'!$B$3,Investors!$I:$I,"&lt;="&amp;'NSST Print'!$B$3,Investors!$A:$A,'Investor Exit List'!$A225,Investors!$E:$E,'Investor Exit List'!$C225,Investors!$L:$L,'Investor Exit List'!$B225)-(SUMIFS(Investors!$M:$M,Investors!$I:$I,"&lt;="&amp;'NSST Print'!$B$3,Investors!$J:$J,"&gt;"&amp;'NSST Print'!$B$3,Investors!$A:$A,'Investor Exit List'!$A225,Investors!$E:$E,'Investor Exit List'!$C225,Investors!$L:$L,'Investor Exit List'!$B225)+SUMIFS(Investors!$M:$M,Investors!$I:$I,"&lt;="&amp;'NSST Print'!$B$3,Investors!$J:$J,"",Investors!$A:$A,'Investor Exit List'!$A225,Investors!$E:$E,'Investor Exit List'!$C225,Investors!$L:$L,'Investor Exit List'!$B225))</f>
        <v>0</v>
      </c>
      <c r="G225" s="118">
        <v>44719</v>
      </c>
      <c r="H225" s="116" t="b">
        <f>VLOOKUP($C225,Sales!$C:$E,2,FALSE)</f>
        <v>1</v>
      </c>
      <c r="I225" s="116" t="b">
        <f>VLOOKUP($C225,Sales!$C:$E,3,FALSE)</f>
        <v>1</v>
      </c>
      <c r="J225" s="118">
        <f>SUMIFS(Sales!$H:$H,Sales!$C:$C,'Investor Exit List'!$C225)</f>
        <v>45688</v>
      </c>
      <c r="K225" s="118">
        <f t="shared" si="36"/>
        <v>45688</v>
      </c>
      <c r="L225" s="118">
        <f t="shared" si="37"/>
        <v>45449</v>
      </c>
      <c r="M225" s="118">
        <v>45443</v>
      </c>
      <c r="N225" s="119">
        <f t="shared" si="38"/>
        <v>0</v>
      </c>
      <c r="O225" s="119">
        <f t="shared" si="39"/>
        <v>0</v>
      </c>
      <c r="P225" s="117">
        <f t="shared" si="40"/>
        <v>0</v>
      </c>
      <c r="Q225" s="117">
        <f>SUMIFS(Investors!$M:$M,Investors!$O:$O,FALSE,Investors!$P:$P,FALSE,Investors!$K:$K,"&gt;"&amp;'NSST Print'!$B$3,Investors!$I:$I,"&lt;="&amp;'NSST Print'!$B$3,Investors!$A:$A,'Investor Exit List'!$A225,Investors!$E:$E,'Investor Exit List'!$C225,Investors!$L:$L,'Investor Exit List'!$B225)-(SUMIFS(Investors!$M:$M,Investors!$I:$I,"&lt;="&amp;'NSST Print'!$B$3,Investors!$J:$J,"&gt;"&amp;'NSST Print'!$B$3,Investors!$A:$A,'Investor Exit List'!$A225,Investors!$E:$E,'Investor Exit List'!$C225,Investors!$L:$L,'Investor Exit List'!$B225)+SUMIFS(Investors!$M:$M,Investors!$I:$I,"&lt;="&amp;'NSST Print'!$B$3,Investors!$J:$J,"",Investors!$A:$A,'Investor Exit List'!$A225,Investors!$E:$E,'Investor Exit List'!$C225,Investors!$L:$L,'Investor Exit List'!$B225))+SUMIFS(Investors!$S:$S,Investors!$O:$O,FALSE,Investors!$P:$P,FALSE,Investors!$K:$K,"&gt;"&amp;'NSST Print'!$B$3,Investors!$I:$I,"&lt;="&amp;'NSST Print'!$B$3,Investors!$A:$A,'Investor Exit List'!$A225,Investors!$E:$E,'Investor Exit List'!$C225,Investors!$L:$L,'Investor Exit List'!$B225)-(SUMIFS(Investors!$S:$S,Investors!$I:$I,"&lt;="&amp;'NSST Print'!$B$3,Investors!$J:$J,"&gt;"&amp;'NSST Print'!$B$3,Investors!$A:$A,'Investor Exit List'!$A225,Investors!$E:$E,'Investor Exit List'!$C225,Investors!$L:$L,'Investor Exit List'!$B225)+SUMIFS(Investors!$S:$S,Investors!$I:$I,"&lt;="&amp;'NSST Print'!$B$3,Investors!$J:$J,"",Investors!$A:$A,'Investor Exit List'!$A225,Investors!$E:$E,'Investor Exit List'!$C225,Investors!$L:$L,'Investor Exit List'!$B225))</f>
        <v>0</v>
      </c>
      <c r="R225" s="117">
        <f t="shared" si="41"/>
        <v>0</v>
      </c>
      <c r="S225" s="117">
        <f>SUMIFS(Investors!$M:$M,Investors!$O:$O,TRUE,Investors!$A:$A,'Investor Exit List'!$A225,Investors!$E:$E,'Investor Exit List'!$C225,Investors!$L:$L,'Investor Exit List'!$B225)+SUMIFS(Investors!$S:$S,Investors!$O:$O,TRUE,Investors!$A:$A,'Investor Exit List'!$A225,Investors!$E:$E,'Investor Exit List'!$C225,Investors!$L:$L,'Investor Exit List'!$B225)</f>
        <v>0</v>
      </c>
      <c r="T225" s="118" t="str">
        <f t="shared" si="42"/>
        <v/>
      </c>
      <c r="U225" s="116" t="b">
        <v>0</v>
      </c>
      <c r="V225" s="117">
        <f t="shared" si="43"/>
        <v>0</v>
      </c>
      <c r="W225" s="116">
        <v>0</v>
      </c>
      <c r="X225" s="116" t="b">
        <v>0</v>
      </c>
      <c r="Y225" s="119">
        <f>IF(H225=FALSE,VLOOKUP($C225,Sales!$C:$F,4,FALSE),1)</f>
        <v>1</v>
      </c>
      <c r="Z225" s="116" t="str">
        <f t="shared" si="44"/>
        <v/>
      </c>
      <c r="AA225" s="118">
        <f t="shared" si="45"/>
        <v>0</v>
      </c>
      <c r="AB225" s="118" t="str">
        <f t="shared" si="46"/>
        <v>HVD204-ZSCH01</v>
      </c>
      <c r="AC225" s="118">
        <f t="shared" si="47"/>
        <v>45449</v>
      </c>
    </row>
    <row r="226" spans="1:29" ht="16" x14ac:dyDescent="0.2">
      <c r="A226" s="116" t="s">
        <v>539</v>
      </c>
      <c r="B226" s="116">
        <v>11</v>
      </c>
      <c r="C226" s="116" t="s">
        <v>553</v>
      </c>
      <c r="D226" s="116" t="s">
        <v>497</v>
      </c>
      <c r="E226" s="116" t="s">
        <v>2159</v>
      </c>
      <c r="F226" s="117">
        <f>SUMIFS(Investors!$M:$M,Investors!$O:$O,FALSE,Investors!$P:$P,FALSE,Investors!$K:$K,"&gt;"&amp;'NSST Print'!$B$3,Investors!$I:$I,"&lt;="&amp;'NSST Print'!$B$3,Investors!$A:$A,'Investor Exit List'!$A226,Investors!$E:$E,'Investor Exit List'!$C226,Investors!$L:$L,'Investor Exit List'!$B226)-(SUMIFS(Investors!$M:$M,Investors!$I:$I,"&lt;="&amp;'NSST Print'!$B$3,Investors!$J:$J,"&gt;"&amp;'NSST Print'!$B$3,Investors!$A:$A,'Investor Exit List'!$A226,Investors!$E:$E,'Investor Exit List'!$C226,Investors!$L:$L,'Investor Exit List'!$B226)+SUMIFS(Investors!$M:$M,Investors!$I:$I,"&lt;="&amp;'NSST Print'!$B$3,Investors!$J:$J,"",Investors!$A:$A,'Investor Exit List'!$A226,Investors!$E:$E,'Investor Exit List'!$C226,Investors!$L:$L,'Investor Exit List'!$B226))</f>
        <v>0</v>
      </c>
      <c r="G226" s="118">
        <v>44735</v>
      </c>
      <c r="H226" s="116" t="b">
        <f>VLOOKUP($C226,Sales!$C:$E,2,FALSE)</f>
        <v>1</v>
      </c>
      <c r="I226" s="116" t="b">
        <f>VLOOKUP($C226,Sales!$C:$E,3,FALSE)</f>
        <v>1</v>
      </c>
      <c r="J226" s="118">
        <f>SUMIFS(Sales!$H:$H,Sales!$C:$C,'Investor Exit List'!$C226)</f>
        <v>45341</v>
      </c>
      <c r="K226" s="118">
        <f t="shared" si="36"/>
        <v>45341</v>
      </c>
      <c r="L226" s="118">
        <f t="shared" si="37"/>
        <v>45465</v>
      </c>
      <c r="M226" s="118">
        <v>45443</v>
      </c>
      <c r="N226" s="119">
        <f t="shared" si="38"/>
        <v>0</v>
      </c>
      <c r="O226" s="119">
        <f t="shared" si="39"/>
        <v>0</v>
      </c>
      <c r="P226" s="117">
        <f t="shared" si="40"/>
        <v>0</v>
      </c>
      <c r="Q226" s="117">
        <f>SUMIFS(Investors!$M:$M,Investors!$O:$O,FALSE,Investors!$P:$P,FALSE,Investors!$K:$K,"&gt;"&amp;'NSST Print'!$B$3,Investors!$I:$I,"&lt;="&amp;'NSST Print'!$B$3,Investors!$A:$A,'Investor Exit List'!$A226,Investors!$E:$E,'Investor Exit List'!$C226,Investors!$L:$L,'Investor Exit List'!$B226)-(SUMIFS(Investors!$M:$M,Investors!$I:$I,"&lt;="&amp;'NSST Print'!$B$3,Investors!$J:$J,"&gt;"&amp;'NSST Print'!$B$3,Investors!$A:$A,'Investor Exit List'!$A226,Investors!$E:$E,'Investor Exit List'!$C226,Investors!$L:$L,'Investor Exit List'!$B226)+SUMIFS(Investors!$M:$M,Investors!$I:$I,"&lt;="&amp;'NSST Print'!$B$3,Investors!$J:$J,"",Investors!$A:$A,'Investor Exit List'!$A226,Investors!$E:$E,'Investor Exit List'!$C226,Investors!$L:$L,'Investor Exit List'!$B226))+SUMIFS(Investors!$S:$S,Investors!$O:$O,FALSE,Investors!$P:$P,FALSE,Investors!$K:$K,"&gt;"&amp;'NSST Print'!$B$3,Investors!$I:$I,"&lt;="&amp;'NSST Print'!$B$3,Investors!$A:$A,'Investor Exit List'!$A226,Investors!$E:$E,'Investor Exit List'!$C226,Investors!$L:$L,'Investor Exit List'!$B226)-(SUMIFS(Investors!$S:$S,Investors!$I:$I,"&lt;="&amp;'NSST Print'!$B$3,Investors!$J:$J,"&gt;"&amp;'NSST Print'!$B$3,Investors!$A:$A,'Investor Exit List'!$A226,Investors!$E:$E,'Investor Exit List'!$C226,Investors!$L:$L,'Investor Exit List'!$B226)+SUMIFS(Investors!$S:$S,Investors!$I:$I,"&lt;="&amp;'NSST Print'!$B$3,Investors!$J:$J,"",Investors!$A:$A,'Investor Exit List'!$A226,Investors!$E:$E,'Investor Exit List'!$C226,Investors!$L:$L,'Investor Exit List'!$B226))</f>
        <v>0</v>
      </c>
      <c r="R226" s="117">
        <f t="shared" si="41"/>
        <v>0</v>
      </c>
      <c r="S226" s="117">
        <f>SUMIFS(Investors!$M:$M,Investors!$O:$O,TRUE,Investors!$A:$A,'Investor Exit List'!$A226,Investors!$E:$E,'Investor Exit List'!$C226,Investors!$L:$L,'Investor Exit List'!$B226)+SUMIFS(Investors!$S:$S,Investors!$O:$O,TRUE,Investors!$A:$A,'Investor Exit List'!$A226,Investors!$E:$E,'Investor Exit List'!$C226,Investors!$L:$L,'Investor Exit List'!$B226)</f>
        <v>1283821.9178082193</v>
      </c>
      <c r="T226" s="118">
        <f t="shared" si="42"/>
        <v>45341</v>
      </c>
      <c r="U226" s="116" t="b">
        <v>1</v>
      </c>
      <c r="V226" s="117">
        <f t="shared" si="43"/>
        <v>0</v>
      </c>
      <c r="W226" s="116">
        <v>0</v>
      </c>
      <c r="X226" s="116" t="b">
        <v>0</v>
      </c>
      <c r="Y226" s="119">
        <f>IF(H226=FALSE,VLOOKUP($C226,Sales!$C:$F,4,FALSE),1)</f>
        <v>1</v>
      </c>
      <c r="Z226" s="116" t="str">
        <f t="shared" si="44"/>
        <v/>
      </c>
      <c r="AA226" s="118">
        <f t="shared" si="45"/>
        <v>0</v>
      </c>
      <c r="AB226" s="118" t="str">
        <f t="shared" si="46"/>
        <v>HVD301-ZSON01</v>
      </c>
      <c r="AC226" s="118">
        <f t="shared" si="47"/>
        <v>45465</v>
      </c>
    </row>
    <row r="227" spans="1:29" ht="16" x14ac:dyDescent="0.2">
      <c r="A227" s="116" t="s">
        <v>554</v>
      </c>
      <c r="B227" s="116">
        <v>1</v>
      </c>
      <c r="C227" s="116" t="s">
        <v>557</v>
      </c>
      <c r="D227" s="116" t="s">
        <v>497</v>
      </c>
      <c r="E227" s="116" t="s">
        <v>2163</v>
      </c>
      <c r="F227" s="117">
        <f>SUMIFS(Investors!$M:$M,Investors!$O:$O,FALSE,Investors!$P:$P,FALSE,Investors!$K:$K,"&gt;"&amp;'NSST Print'!$B$3,Investors!$I:$I,"&lt;="&amp;'NSST Print'!$B$3,Investors!$A:$A,'Investor Exit List'!$A227,Investors!$E:$E,'Investor Exit List'!$C227,Investors!$L:$L,'Investor Exit List'!$B227)-(SUMIFS(Investors!$M:$M,Investors!$I:$I,"&lt;="&amp;'NSST Print'!$B$3,Investors!$J:$J,"&gt;"&amp;'NSST Print'!$B$3,Investors!$A:$A,'Investor Exit List'!$A227,Investors!$E:$E,'Investor Exit List'!$C227,Investors!$L:$L,'Investor Exit List'!$B227)+SUMIFS(Investors!$M:$M,Investors!$I:$I,"&lt;="&amp;'NSST Print'!$B$3,Investors!$J:$J,"",Investors!$A:$A,'Investor Exit List'!$A227,Investors!$E:$E,'Investor Exit List'!$C227,Investors!$L:$L,'Investor Exit List'!$B227))</f>
        <v>1320414.3</v>
      </c>
      <c r="G227" s="118">
        <v>45443</v>
      </c>
      <c r="H227" s="116" t="b">
        <f>VLOOKUP($C227,Sales!$C:$E,2,FALSE)</f>
        <v>0</v>
      </c>
      <c r="I227" s="116" t="b">
        <f>VLOOKUP($C227,Sales!$C:$E,3,FALSE)</f>
        <v>0</v>
      </c>
      <c r="J227" s="118">
        <f>SUMIFS(Sales!$H:$H,Sales!$C:$C,'Investor Exit List'!$C227)</f>
        <v>45646</v>
      </c>
      <c r="K227" s="118" t="str">
        <f t="shared" si="36"/>
        <v/>
      </c>
      <c r="L227" s="118">
        <f t="shared" si="37"/>
        <v>46173</v>
      </c>
      <c r="M227" s="118">
        <v>45443</v>
      </c>
      <c r="N227" s="119">
        <f t="shared" si="38"/>
        <v>730</v>
      </c>
      <c r="O227" s="119">
        <f t="shared" si="39"/>
        <v>0</v>
      </c>
      <c r="P227" s="117">
        <f t="shared" si="40"/>
        <v>0</v>
      </c>
      <c r="Q227" s="117">
        <f>SUMIFS(Investors!$M:$M,Investors!$O:$O,FALSE,Investors!$P:$P,FALSE,Investors!$K:$K,"&gt;"&amp;'NSST Print'!$B$3,Investors!$I:$I,"&lt;="&amp;'NSST Print'!$B$3,Investors!$A:$A,'Investor Exit List'!$A227,Investors!$E:$E,'Investor Exit List'!$C227,Investors!$L:$L,'Investor Exit List'!$B227)-(SUMIFS(Investors!$M:$M,Investors!$I:$I,"&lt;="&amp;'NSST Print'!$B$3,Investors!$J:$J,"&gt;"&amp;'NSST Print'!$B$3,Investors!$A:$A,'Investor Exit List'!$A227,Investors!$E:$E,'Investor Exit List'!$C227,Investors!$L:$L,'Investor Exit List'!$B227)+SUMIFS(Investors!$M:$M,Investors!$I:$I,"&lt;="&amp;'NSST Print'!$B$3,Investors!$J:$J,"",Investors!$A:$A,'Investor Exit List'!$A227,Investors!$E:$E,'Investor Exit List'!$C227,Investors!$L:$L,'Investor Exit List'!$B227))+SUMIFS(Investors!$S:$S,Investors!$O:$O,FALSE,Investors!$P:$P,FALSE,Investors!$K:$K,"&gt;"&amp;'NSST Print'!$B$3,Investors!$I:$I,"&lt;="&amp;'NSST Print'!$B$3,Investors!$A:$A,'Investor Exit List'!$A227,Investors!$E:$E,'Investor Exit List'!$C227,Investors!$L:$L,'Investor Exit List'!$B227)-(SUMIFS(Investors!$S:$S,Investors!$I:$I,"&lt;="&amp;'NSST Print'!$B$3,Investors!$J:$J,"&gt;"&amp;'NSST Print'!$B$3,Investors!$A:$A,'Investor Exit List'!$A227,Investors!$E:$E,'Investor Exit List'!$C227,Investors!$L:$L,'Investor Exit List'!$B227)+SUMIFS(Investors!$S:$S,Investors!$I:$I,"&lt;="&amp;'NSST Print'!$B$3,Investors!$J:$J,"",Investors!$A:$A,'Investor Exit List'!$A227,Investors!$E:$E,'Investor Exit List'!$C227,Investors!$L:$L,'Investor Exit List'!$B227))</f>
        <v>1332171.413630137</v>
      </c>
      <c r="R227" s="117">
        <f t="shared" si="41"/>
        <v>0</v>
      </c>
      <c r="S227" s="117">
        <f>SUMIFS(Investors!$M:$M,Investors!$O:$O,TRUE,Investors!$A:$A,'Investor Exit List'!$A227,Investors!$E:$E,'Investor Exit List'!$C227,Investors!$L:$L,'Investor Exit List'!$B227)+SUMIFS(Investors!$S:$S,Investors!$O:$O,TRUE,Investors!$A:$A,'Investor Exit List'!$A227,Investors!$E:$E,'Investor Exit List'!$C227,Investors!$L:$L,'Investor Exit List'!$B227)</f>
        <v>0</v>
      </c>
      <c r="T227" s="118" t="str">
        <f t="shared" si="42"/>
        <v/>
      </c>
      <c r="U227" s="116" t="b">
        <v>0</v>
      </c>
      <c r="V227" s="117">
        <f t="shared" si="43"/>
        <v>0</v>
      </c>
      <c r="W227" s="116">
        <v>0</v>
      </c>
      <c r="X227" s="116" t="b">
        <v>0</v>
      </c>
      <c r="Y227" s="119">
        <f>IF(H227=FALSE,VLOOKUP($C227,Sales!$C:$F,4,FALSE),1)</f>
        <v>1</v>
      </c>
      <c r="Z227" s="116" t="str">
        <f t="shared" si="44"/>
        <v/>
      </c>
      <c r="AA227" s="118">
        <f t="shared" si="45"/>
        <v>46173</v>
      </c>
      <c r="AB227" s="118" t="str">
        <f t="shared" si="46"/>
        <v>HVD302-ZHAY01</v>
      </c>
      <c r="AC227" s="118">
        <f t="shared" si="47"/>
        <v>46173</v>
      </c>
    </row>
    <row r="228" spans="1:29" ht="16" x14ac:dyDescent="0.2">
      <c r="A228" s="116" t="s">
        <v>240</v>
      </c>
      <c r="B228" s="116">
        <v>5</v>
      </c>
      <c r="C228" s="116" t="s">
        <v>557</v>
      </c>
      <c r="D228" s="116" t="s">
        <v>497</v>
      </c>
      <c r="E228" s="116" t="s">
        <v>2075</v>
      </c>
      <c r="F228" s="117">
        <f>SUMIFS(Investors!$M:$M,Investors!$O:$O,FALSE,Investors!$P:$P,FALSE,Investors!$K:$K,"&gt;"&amp;'NSST Print'!$B$3,Investors!$I:$I,"&lt;="&amp;'NSST Print'!$B$3,Investors!$A:$A,'Investor Exit List'!$A228,Investors!$E:$E,'Investor Exit List'!$C228,Investors!$L:$L,'Investor Exit List'!$B228)-(SUMIFS(Investors!$M:$M,Investors!$I:$I,"&lt;="&amp;'NSST Print'!$B$3,Investors!$J:$J,"&gt;"&amp;'NSST Print'!$B$3,Investors!$A:$A,'Investor Exit List'!$A228,Investors!$E:$E,'Investor Exit List'!$C228,Investors!$L:$L,'Investor Exit List'!$B228)+SUMIFS(Investors!$M:$M,Investors!$I:$I,"&lt;="&amp;'NSST Print'!$B$3,Investors!$J:$J,"",Investors!$A:$A,'Investor Exit List'!$A228,Investors!$E:$E,'Investor Exit List'!$C228,Investors!$L:$L,'Investor Exit List'!$B228))</f>
        <v>0</v>
      </c>
      <c r="G228" s="118">
        <v>44713</v>
      </c>
      <c r="H228" s="116" t="b">
        <f>VLOOKUP($C228,Sales!$C:$E,2,FALSE)</f>
        <v>0</v>
      </c>
      <c r="I228" s="116" t="b">
        <f>VLOOKUP($C228,Sales!$C:$E,3,FALSE)</f>
        <v>0</v>
      </c>
      <c r="J228" s="118">
        <f>SUMIFS(Sales!$H:$H,Sales!$C:$C,'Investor Exit List'!$C228)</f>
        <v>45646</v>
      </c>
      <c r="K228" s="118" t="str">
        <f t="shared" si="36"/>
        <v/>
      </c>
      <c r="L228" s="118">
        <f t="shared" si="37"/>
        <v>45443</v>
      </c>
      <c r="M228" s="118">
        <v>45443</v>
      </c>
      <c r="N228" s="119">
        <f t="shared" si="38"/>
        <v>0</v>
      </c>
      <c r="O228" s="119">
        <f t="shared" si="39"/>
        <v>0</v>
      </c>
      <c r="P228" s="117">
        <f t="shared" si="40"/>
        <v>0</v>
      </c>
      <c r="Q228" s="117">
        <f>SUMIFS(Investors!$M:$M,Investors!$O:$O,FALSE,Investors!$P:$P,FALSE,Investors!$K:$K,"&gt;"&amp;'NSST Print'!$B$3,Investors!$I:$I,"&lt;="&amp;'NSST Print'!$B$3,Investors!$A:$A,'Investor Exit List'!$A228,Investors!$E:$E,'Investor Exit List'!$C228,Investors!$L:$L,'Investor Exit List'!$B228)-(SUMIFS(Investors!$M:$M,Investors!$I:$I,"&lt;="&amp;'NSST Print'!$B$3,Investors!$J:$J,"&gt;"&amp;'NSST Print'!$B$3,Investors!$A:$A,'Investor Exit List'!$A228,Investors!$E:$E,'Investor Exit List'!$C228,Investors!$L:$L,'Investor Exit List'!$B228)+SUMIFS(Investors!$M:$M,Investors!$I:$I,"&lt;="&amp;'NSST Print'!$B$3,Investors!$J:$J,"",Investors!$A:$A,'Investor Exit List'!$A228,Investors!$E:$E,'Investor Exit List'!$C228,Investors!$L:$L,'Investor Exit List'!$B228))+SUMIFS(Investors!$S:$S,Investors!$O:$O,FALSE,Investors!$P:$P,FALSE,Investors!$K:$K,"&gt;"&amp;'NSST Print'!$B$3,Investors!$I:$I,"&lt;="&amp;'NSST Print'!$B$3,Investors!$A:$A,'Investor Exit List'!$A228,Investors!$E:$E,'Investor Exit List'!$C228,Investors!$L:$L,'Investor Exit List'!$B228)-(SUMIFS(Investors!$S:$S,Investors!$I:$I,"&lt;="&amp;'NSST Print'!$B$3,Investors!$J:$J,"&gt;"&amp;'NSST Print'!$B$3,Investors!$A:$A,'Investor Exit List'!$A228,Investors!$E:$E,'Investor Exit List'!$C228,Investors!$L:$L,'Investor Exit List'!$B228)+SUMIFS(Investors!$S:$S,Investors!$I:$I,"&lt;="&amp;'NSST Print'!$B$3,Investors!$J:$J,"",Investors!$A:$A,'Investor Exit List'!$A228,Investors!$E:$E,'Investor Exit List'!$C228,Investors!$L:$L,'Investor Exit List'!$B228))</f>
        <v>0</v>
      </c>
      <c r="R228" s="117">
        <f t="shared" si="41"/>
        <v>0</v>
      </c>
      <c r="S228" s="117">
        <f>SUMIFS(Investors!$M:$M,Investors!$O:$O,TRUE,Investors!$A:$A,'Investor Exit List'!$A228,Investors!$E:$E,'Investor Exit List'!$C228,Investors!$L:$L,'Investor Exit List'!$B228)+SUMIFS(Investors!$S:$S,Investors!$O:$O,TRUE,Investors!$A:$A,'Investor Exit List'!$A228,Investors!$E:$E,'Investor Exit List'!$C228,Investors!$L:$L,'Investor Exit List'!$B228)</f>
        <v>856280.00676369853</v>
      </c>
      <c r="T228" s="118">
        <f t="shared" si="42"/>
        <v>45646</v>
      </c>
      <c r="U228" s="116" t="b">
        <v>1</v>
      </c>
      <c r="V228" s="117">
        <f t="shared" si="43"/>
        <v>0</v>
      </c>
      <c r="W228" s="116">
        <v>0</v>
      </c>
      <c r="X228" s="116" t="b">
        <v>0</v>
      </c>
      <c r="Y228" s="119">
        <f>IF(H228=FALSE,VLOOKUP($C228,Sales!$C:$F,4,FALSE),1)</f>
        <v>1</v>
      </c>
      <c r="Z228" s="116" t="str">
        <f t="shared" si="44"/>
        <v/>
      </c>
      <c r="AA228" s="118">
        <f t="shared" si="45"/>
        <v>46173</v>
      </c>
      <c r="AB228" s="118" t="str">
        <f t="shared" si="46"/>
        <v>HVD302-ZKRU01</v>
      </c>
      <c r="AC228" s="118">
        <f t="shared" si="47"/>
        <v>45443</v>
      </c>
    </row>
    <row r="229" spans="1:29" ht="16" x14ac:dyDescent="0.2">
      <c r="A229" s="116" t="s">
        <v>542</v>
      </c>
      <c r="B229" s="116">
        <v>4</v>
      </c>
      <c r="C229" s="116" t="s">
        <v>557</v>
      </c>
      <c r="D229" s="116" t="s">
        <v>497</v>
      </c>
      <c r="E229" s="116" t="s">
        <v>2160</v>
      </c>
      <c r="F229" s="117">
        <f>SUMIFS(Investors!$M:$M,Investors!$O:$O,FALSE,Investors!$P:$P,FALSE,Investors!$K:$K,"&gt;"&amp;'NSST Print'!$B$3,Investors!$I:$I,"&lt;="&amp;'NSST Print'!$B$3,Investors!$A:$A,'Investor Exit List'!$A229,Investors!$E:$E,'Investor Exit List'!$C229,Investors!$L:$L,'Investor Exit List'!$B229)-(SUMIFS(Investors!$M:$M,Investors!$I:$I,"&lt;="&amp;'NSST Print'!$B$3,Investors!$J:$J,"&gt;"&amp;'NSST Print'!$B$3,Investors!$A:$A,'Investor Exit List'!$A229,Investors!$E:$E,'Investor Exit List'!$C229,Investors!$L:$L,'Investor Exit List'!$B229)+SUMIFS(Investors!$M:$M,Investors!$I:$I,"&lt;="&amp;'NSST Print'!$B$3,Investors!$J:$J,"",Investors!$A:$A,'Investor Exit List'!$A229,Investors!$E:$E,'Investor Exit List'!$C229,Investors!$L:$L,'Investor Exit List'!$B229))</f>
        <v>0</v>
      </c>
      <c r="G229" s="118">
        <v>44735</v>
      </c>
      <c r="H229" s="116" t="b">
        <f>VLOOKUP($C229,Sales!$C:$E,2,FALSE)</f>
        <v>0</v>
      </c>
      <c r="I229" s="116" t="b">
        <f>VLOOKUP($C229,Sales!$C:$E,3,FALSE)</f>
        <v>0</v>
      </c>
      <c r="J229" s="118">
        <f>SUMIFS(Sales!$H:$H,Sales!$C:$C,'Investor Exit List'!$C229)</f>
        <v>45646</v>
      </c>
      <c r="K229" s="118" t="str">
        <f t="shared" si="36"/>
        <v/>
      </c>
      <c r="L229" s="118">
        <f t="shared" si="37"/>
        <v>45465</v>
      </c>
      <c r="M229" s="118">
        <v>45443</v>
      </c>
      <c r="N229" s="119">
        <f t="shared" si="38"/>
        <v>0</v>
      </c>
      <c r="O229" s="119">
        <f t="shared" si="39"/>
        <v>0</v>
      </c>
      <c r="P229" s="117">
        <f t="shared" si="40"/>
        <v>0</v>
      </c>
      <c r="Q229" s="117">
        <f>SUMIFS(Investors!$M:$M,Investors!$O:$O,FALSE,Investors!$P:$P,FALSE,Investors!$K:$K,"&gt;"&amp;'NSST Print'!$B$3,Investors!$I:$I,"&lt;="&amp;'NSST Print'!$B$3,Investors!$A:$A,'Investor Exit List'!$A229,Investors!$E:$E,'Investor Exit List'!$C229,Investors!$L:$L,'Investor Exit List'!$B229)-(SUMIFS(Investors!$M:$M,Investors!$I:$I,"&lt;="&amp;'NSST Print'!$B$3,Investors!$J:$J,"&gt;"&amp;'NSST Print'!$B$3,Investors!$A:$A,'Investor Exit List'!$A229,Investors!$E:$E,'Investor Exit List'!$C229,Investors!$L:$L,'Investor Exit List'!$B229)+SUMIFS(Investors!$M:$M,Investors!$I:$I,"&lt;="&amp;'NSST Print'!$B$3,Investors!$J:$J,"",Investors!$A:$A,'Investor Exit List'!$A229,Investors!$E:$E,'Investor Exit List'!$C229,Investors!$L:$L,'Investor Exit List'!$B229))+SUMIFS(Investors!$S:$S,Investors!$O:$O,FALSE,Investors!$P:$P,FALSE,Investors!$K:$K,"&gt;"&amp;'NSST Print'!$B$3,Investors!$I:$I,"&lt;="&amp;'NSST Print'!$B$3,Investors!$A:$A,'Investor Exit List'!$A229,Investors!$E:$E,'Investor Exit List'!$C229,Investors!$L:$L,'Investor Exit List'!$B229)-(SUMIFS(Investors!$S:$S,Investors!$I:$I,"&lt;="&amp;'NSST Print'!$B$3,Investors!$J:$J,"&gt;"&amp;'NSST Print'!$B$3,Investors!$A:$A,'Investor Exit List'!$A229,Investors!$E:$E,'Investor Exit List'!$C229,Investors!$L:$L,'Investor Exit List'!$B229)+SUMIFS(Investors!$S:$S,Investors!$I:$I,"&lt;="&amp;'NSST Print'!$B$3,Investors!$J:$J,"",Investors!$A:$A,'Investor Exit List'!$A229,Investors!$E:$E,'Investor Exit List'!$C229,Investors!$L:$L,'Investor Exit List'!$B229))</f>
        <v>0</v>
      </c>
      <c r="R229" s="117">
        <f t="shared" si="41"/>
        <v>0</v>
      </c>
      <c r="S229" s="117">
        <f>SUMIFS(Investors!$M:$M,Investors!$O:$O,TRUE,Investors!$A:$A,'Investor Exit List'!$A229,Investors!$E:$E,'Investor Exit List'!$C229,Investors!$L:$L,'Investor Exit List'!$B229)+SUMIFS(Investors!$S:$S,Investors!$O:$O,TRUE,Investors!$A:$A,'Investor Exit List'!$A229,Investors!$E:$E,'Investor Exit List'!$C229,Investors!$L:$L,'Investor Exit List'!$B229)</f>
        <v>464134.29141780821</v>
      </c>
      <c r="T229" s="118">
        <f t="shared" si="42"/>
        <v>45646</v>
      </c>
      <c r="U229" s="116" t="b">
        <v>1</v>
      </c>
      <c r="V229" s="117">
        <f t="shared" si="43"/>
        <v>0</v>
      </c>
      <c r="W229" s="116">
        <v>0</v>
      </c>
      <c r="X229" s="116" t="b">
        <v>0</v>
      </c>
      <c r="Y229" s="119">
        <f>IF(H229=FALSE,VLOOKUP($C229,Sales!$C:$F,4,FALSE),1)</f>
        <v>1</v>
      </c>
      <c r="Z229" s="116" t="str">
        <f t="shared" si="44"/>
        <v/>
      </c>
      <c r="AA229" s="118">
        <f t="shared" si="45"/>
        <v>46173</v>
      </c>
      <c r="AB229" s="118" t="str">
        <f t="shared" si="46"/>
        <v>HVD302-ZWEL01</v>
      </c>
      <c r="AC229" s="118">
        <f t="shared" si="47"/>
        <v>45465</v>
      </c>
    </row>
    <row r="230" spans="1:29" ht="16" x14ac:dyDescent="0.2">
      <c r="A230" s="116" t="s">
        <v>253</v>
      </c>
      <c r="B230" s="116">
        <v>9</v>
      </c>
      <c r="C230" s="116" t="s">
        <v>558</v>
      </c>
      <c r="D230" s="116" t="s">
        <v>497</v>
      </c>
      <c r="E230" s="116" t="s">
        <v>2079</v>
      </c>
      <c r="F230" s="117">
        <f>SUMIFS(Investors!$M:$M,Investors!$O:$O,FALSE,Investors!$P:$P,FALSE,Investors!$K:$K,"&gt;"&amp;'NSST Print'!$B$3,Investors!$I:$I,"&lt;="&amp;'NSST Print'!$B$3,Investors!$A:$A,'Investor Exit List'!$A230,Investors!$E:$E,'Investor Exit List'!$C230,Investors!$L:$L,'Investor Exit List'!$B230)-(SUMIFS(Investors!$M:$M,Investors!$I:$I,"&lt;="&amp;'NSST Print'!$B$3,Investors!$J:$J,"&gt;"&amp;'NSST Print'!$B$3,Investors!$A:$A,'Investor Exit List'!$A230,Investors!$E:$E,'Investor Exit List'!$C230,Investors!$L:$L,'Investor Exit List'!$B230)+SUMIFS(Investors!$M:$M,Investors!$I:$I,"&lt;="&amp;'NSST Print'!$B$3,Investors!$J:$J,"",Investors!$A:$A,'Investor Exit List'!$A230,Investors!$E:$E,'Investor Exit List'!$C230,Investors!$L:$L,'Investor Exit List'!$B230))</f>
        <v>418733.56</v>
      </c>
      <c r="G230" s="118">
        <v>44735</v>
      </c>
      <c r="H230" s="116" t="b">
        <f>VLOOKUP($C230,Sales!$C:$E,2,FALSE)</f>
        <v>0</v>
      </c>
      <c r="I230" s="116" t="b">
        <f>VLOOKUP($C230,Sales!$C:$E,3,FALSE)</f>
        <v>0</v>
      </c>
      <c r="J230" s="118">
        <f>SUMIFS(Sales!$H:$H,Sales!$C:$C,'Investor Exit List'!$C230)</f>
        <v>45646</v>
      </c>
      <c r="K230" s="118" t="str">
        <f t="shared" si="36"/>
        <v/>
      </c>
      <c r="L230" s="118">
        <f t="shared" si="37"/>
        <v>45465</v>
      </c>
      <c r="M230" s="118">
        <v>45443</v>
      </c>
      <c r="N230" s="119">
        <f t="shared" si="38"/>
        <v>22</v>
      </c>
      <c r="O230" s="119">
        <f t="shared" si="39"/>
        <v>22</v>
      </c>
      <c r="P230" s="117">
        <f t="shared" si="40"/>
        <v>572764.41324219177</v>
      </c>
      <c r="Q230" s="117">
        <f>SUMIFS(Investors!$M:$M,Investors!$O:$O,FALSE,Investors!$P:$P,FALSE,Investors!$K:$K,"&gt;"&amp;'NSST Print'!$B$3,Investors!$I:$I,"&lt;="&amp;'NSST Print'!$B$3,Investors!$A:$A,'Investor Exit List'!$A230,Investors!$E:$E,'Investor Exit List'!$C230,Investors!$L:$L,'Investor Exit List'!$B230)-(SUMIFS(Investors!$M:$M,Investors!$I:$I,"&lt;="&amp;'NSST Print'!$B$3,Investors!$J:$J,"&gt;"&amp;'NSST Print'!$B$3,Investors!$A:$A,'Investor Exit List'!$A230,Investors!$E:$E,'Investor Exit List'!$C230,Investors!$L:$L,'Investor Exit List'!$B230)+SUMIFS(Investors!$M:$M,Investors!$I:$I,"&lt;="&amp;'NSST Print'!$B$3,Investors!$J:$J,"",Investors!$A:$A,'Investor Exit List'!$A230,Investors!$E:$E,'Investor Exit List'!$C230,Investors!$L:$L,'Investor Exit List'!$B230))+SUMIFS(Investors!$S:$S,Investors!$O:$O,FALSE,Investors!$P:$P,FALSE,Investors!$K:$K,"&gt;"&amp;'NSST Print'!$B$3,Investors!$I:$I,"&lt;="&amp;'NSST Print'!$B$3,Investors!$A:$A,'Investor Exit List'!$A230,Investors!$E:$E,'Investor Exit List'!$C230,Investors!$L:$L,'Investor Exit List'!$B230)-(SUMIFS(Investors!$S:$S,Investors!$I:$I,"&lt;="&amp;'NSST Print'!$B$3,Investors!$J:$J,"&gt;"&amp;'NSST Print'!$B$3,Investors!$A:$A,'Investor Exit List'!$A230,Investors!$E:$E,'Investor Exit List'!$C230,Investors!$L:$L,'Investor Exit List'!$B230)+SUMIFS(Investors!$S:$S,Investors!$I:$I,"&lt;="&amp;'NSST Print'!$B$3,Investors!$J:$J,"",Investors!$A:$A,'Investor Exit List'!$A230,Investors!$E:$E,'Investor Exit List'!$C230,Investors!$L:$L,'Investor Exit List'!$B230))</f>
        <v>572764.41324219177</v>
      </c>
      <c r="R230" s="117">
        <f t="shared" si="41"/>
        <v>0</v>
      </c>
      <c r="S230" s="117">
        <f>SUMIFS(Investors!$M:$M,Investors!$O:$O,TRUE,Investors!$A:$A,'Investor Exit List'!$A230,Investors!$E:$E,'Investor Exit List'!$C230,Investors!$L:$L,'Investor Exit List'!$B230)+SUMIFS(Investors!$S:$S,Investors!$O:$O,TRUE,Investors!$A:$A,'Investor Exit List'!$A230,Investors!$E:$E,'Investor Exit List'!$C230,Investors!$L:$L,'Investor Exit List'!$B230)</f>
        <v>0</v>
      </c>
      <c r="T230" s="118" t="str">
        <f t="shared" si="42"/>
        <v/>
      </c>
      <c r="U230" s="116" t="b">
        <v>0</v>
      </c>
      <c r="V230" s="117">
        <f t="shared" si="43"/>
        <v>0</v>
      </c>
      <c r="W230" s="116">
        <v>0</v>
      </c>
      <c r="X230" s="116" t="b">
        <v>0</v>
      </c>
      <c r="Y230" s="119">
        <f>IF(H230=FALSE,VLOOKUP($C230,Sales!$C:$F,4,FALSE),1)</f>
        <v>1</v>
      </c>
      <c r="Z230" s="116" t="str">
        <f t="shared" si="44"/>
        <v>Release</v>
      </c>
      <c r="AA230" s="118">
        <f t="shared" si="45"/>
        <v>45465</v>
      </c>
      <c r="AB230" s="118" t="str">
        <f t="shared" si="46"/>
        <v>HVD303-ZDIC01</v>
      </c>
      <c r="AC230" s="118">
        <f t="shared" si="47"/>
        <v>45465</v>
      </c>
    </row>
    <row r="231" spans="1:29" ht="16" x14ac:dyDescent="0.2">
      <c r="A231" s="116" t="s">
        <v>554</v>
      </c>
      <c r="B231" s="116">
        <v>2</v>
      </c>
      <c r="C231" s="116" t="s">
        <v>558</v>
      </c>
      <c r="D231" s="116" t="s">
        <v>497</v>
      </c>
      <c r="E231" s="116" t="s">
        <v>2163</v>
      </c>
      <c r="F231" s="117">
        <f>SUMIFS(Investors!$M:$M,Investors!$O:$O,FALSE,Investors!$P:$P,FALSE,Investors!$K:$K,"&gt;"&amp;'NSST Print'!$B$3,Investors!$I:$I,"&lt;="&amp;'NSST Print'!$B$3,Investors!$A:$A,'Investor Exit List'!$A231,Investors!$E:$E,'Investor Exit List'!$C231,Investors!$L:$L,'Investor Exit List'!$B231)-(SUMIFS(Investors!$M:$M,Investors!$I:$I,"&lt;="&amp;'NSST Print'!$B$3,Investors!$J:$J,"&gt;"&amp;'NSST Print'!$B$3,Investors!$A:$A,'Investor Exit List'!$A231,Investors!$E:$E,'Investor Exit List'!$C231,Investors!$L:$L,'Investor Exit List'!$B231)+SUMIFS(Investors!$M:$M,Investors!$I:$I,"&lt;="&amp;'NSST Print'!$B$3,Investors!$J:$J,"",Investors!$A:$A,'Investor Exit List'!$A231,Investors!$E:$E,'Investor Exit List'!$C231,Investors!$L:$L,'Investor Exit List'!$B231))</f>
        <v>789706.85</v>
      </c>
      <c r="G231" s="118">
        <v>45443</v>
      </c>
      <c r="H231" s="116" t="b">
        <f>VLOOKUP($C231,Sales!$C:$E,2,FALSE)</f>
        <v>0</v>
      </c>
      <c r="I231" s="116" t="b">
        <f>VLOOKUP($C231,Sales!$C:$E,3,FALSE)</f>
        <v>0</v>
      </c>
      <c r="J231" s="118">
        <f>SUMIFS(Sales!$H:$H,Sales!$C:$C,'Investor Exit List'!$C231)</f>
        <v>45646</v>
      </c>
      <c r="K231" s="118" t="str">
        <f t="shared" si="36"/>
        <v/>
      </c>
      <c r="L231" s="118">
        <f t="shared" si="37"/>
        <v>46173</v>
      </c>
      <c r="M231" s="118">
        <v>45443</v>
      </c>
      <c r="N231" s="119">
        <f t="shared" si="38"/>
        <v>730</v>
      </c>
      <c r="O231" s="119">
        <f t="shared" si="39"/>
        <v>0</v>
      </c>
      <c r="P231" s="117">
        <f t="shared" si="40"/>
        <v>0</v>
      </c>
      <c r="Q231" s="117">
        <f>SUMIFS(Investors!$M:$M,Investors!$O:$O,FALSE,Investors!$P:$P,FALSE,Investors!$K:$K,"&gt;"&amp;'NSST Print'!$B$3,Investors!$I:$I,"&lt;="&amp;'NSST Print'!$B$3,Investors!$A:$A,'Investor Exit List'!$A231,Investors!$E:$E,'Investor Exit List'!$C231,Investors!$L:$L,'Investor Exit List'!$B231)-(SUMIFS(Investors!$M:$M,Investors!$I:$I,"&lt;="&amp;'NSST Print'!$B$3,Investors!$J:$J,"&gt;"&amp;'NSST Print'!$B$3,Investors!$A:$A,'Investor Exit List'!$A231,Investors!$E:$E,'Investor Exit List'!$C231,Investors!$L:$L,'Investor Exit List'!$B231)+SUMIFS(Investors!$M:$M,Investors!$I:$I,"&lt;="&amp;'NSST Print'!$B$3,Investors!$J:$J,"",Investors!$A:$A,'Investor Exit List'!$A231,Investors!$E:$E,'Investor Exit List'!$C231,Investors!$L:$L,'Investor Exit List'!$B231))+SUMIFS(Investors!$S:$S,Investors!$O:$O,FALSE,Investors!$P:$P,FALSE,Investors!$K:$K,"&gt;"&amp;'NSST Print'!$B$3,Investors!$I:$I,"&lt;="&amp;'NSST Print'!$B$3,Investors!$A:$A,'Investor Exit List'!$A231,Investors!$E:$E,'Investor Exit List'!$C231,Investors!$L:$L,'Investor Exit List'!$B231)-(SUMIFS(Investors!$S:$S,Investors!$I:$I,"&lt;="&amp;'NSST Print'!$B$3,Investors!$J:$J,"&gt;"&amp;'NSST Print'!$B$3,Investors!$A:$A,'Investor Exit List'!$A231,Investors!$E:$E,'Investor Exit List'!$C231,Investors!$L:$L,'Investor Exit List'!$B231)+SUMIFS(Investors!$S:$S,Investors!$I:$I,"&lt;="&amp;'NSST Print'!$B$3,Investors!$J:$J,"",Investors!$A:$A,'Investor Exit List'!$A231,Investors!$E:$E,'Investor Exit List'!$C231,Investors!$L:$L,'Investor Exit List'!$B231))</f>
        <v>797019.7517890411</v>
      </c>
      <c r="R231" s="117">
        <f t="shared" si="41"/>
        <v>0</v>
      </c>
      <c r="S231" s="117">
        <f>SUMIFS(Investors!$M:$M,Investors!$O:$O,TRUE,Investors!$A:$A,'Investor Exit List'!$A231,Investors!$E:$E,'Investor Exit List'!$C231,Investors!$L:$L,'Investor Exit List'!$B231)+SUMIFS(Investors!$S:$S,Investors!$O:$O,TRUE,Investors!$A:$A,'Investor Exit List'!$A231,Investors!$E:$E,'Investor Exit List'!$C231,Investors!$L:$L,'Investor Exit List'!$B231)</f>
        <v>0</v>
      </c>
      <c r="T231" s="118" t="str">
        <f t="shared" si="42"/>
        <v/>
      </c>
      <c r="U231" s="116" t="b">
        <v>0</v>
      </c>
      <c r="V231" s="117">
        <f t="shared" si="43"/>
        <v>0</v>
      </c>
      <c r="W231" s="116">
        <v>0</v>
      </c>
      <c r="X231" s="116" t="b">
        <v>0</v>
      </c>
      <c r="Y231" s="119">
        <f>IF(H231=FALSE,VLOOKUP($C231,Sales!$C:$F,4,FALSE),1)</f>
        <v>1</v>
      </c>
      <c r="Z231" s="116" t="str">
        <f t="shared" si="44"/>
        <v/>
      </c>
      <c r="AA231" s="118">
        <f t="shared" si="45"/>
        <v>45465</v>
      </c>
      <c r="AB231" s="118" t="str">
        <f t="shared" si="46"/>
        <v>HVD303-ZHAY01</v>
      </c>
      <c r="AC231" s="118">
        <f t="shared" si="47"/>
        <v>46173</v>
      </c>
    </row>
    <row r="232" spans="1:29" ht="16" x14ac:dyDescent="0.2">
      <c r="A232" s="116" t="s">
        <v>559</v>
      </c>
      <c r="B232" s="116">
        <v>2</v>
      </c>
      <c r="C232" s="116" t="s">
        <v>558</v>
      </c>
      <c r="D232" s="116" t="s">
        <v>497</v>
      </c>
      <c r="E232" s="116" t="s">
        <v>2164</v>
      </c>
      <c r="F232" s="117">
        <f>SUMIFS(Investors!$M:$M,Investors!$O:$O,FALSE,Investors!$P:$P,FALSE,Investors!$K:$K,"&gt;"&amp;'NSST Print'!$B$3,Investors!$I:$I,"&lt;="&amp;'NSST Print'!$B$3,Investors!$A:$A,'Investor Exit List'!$A232,Investors!$E:$E,'Investor Exit List'!$C232,Investors!$L:$L,'Investor Exit List'!$B232)-(SUMIFS(Investors!$M:$M,Investors!$I:$I,"&lt;="&amp;'NSST Print'!$B$3,Investors!$J:$J,"&gt;"&amp;'NSST Print'!$B$3,Investors!$A:$A,'Investor Exit List'!$A232,Investors!$E:$E,'Investor Exit List'!$C232,Investors!$L:$L,'Investor Exit List'!$B232)+SUMIFS(Investors!$M:$M,Investors!$I:$I,"&lt;="&amp;'NSST Print'!$B$3,Investors!$J:$J,"",Investors!$A:$A,'Investor Exit List'!$A232,Investors!$E:$E,'Investor Exit List'!$C232,Investors!$L:$L,'Investor Exit List'!$B232))</f>
        <v>0</v>
      </c>
      <c r="G232" s="118">
        <v>44721</v>
      </c>
      <c r="H232" s="116" t="b">
        <f>VLOOKUP($C232,Sales!$C:$E,2,FALSE)</f>
        <v>0</v>
      </c>
      <c r="I232" s="116" t="b">
        <f>VLOOKUP($C232,Sales!$C:$E,3,FALSE)</f>
        <v>0</v>
      </c>
      <c r="J232" s="118">
        <f>SUMIFS(Sales!$H:$H,Sales!$C:$C,'Investor Exit List'!$C232)</f>
        <v>45646</v>
      </c>
      <c r="K232" s="118" t="str">
        <f t="shared" si="36"/>
        <v/>
      </c>
      <c r="L232" s="118">
        <f t="shared" si="37"/>
        <v>45451</v>
      </c>
      <c r="M232" s="118">
        <v>45443</v>
      </c>
      <c r="N232" s="119">
        <f t="shared" si="38"/>
        <v>0</v>
      </c>
      <c r="O232" s="119">
        <f t="shared" si="39"/>
        <v>0</v>
      </c>
      <c r="P232" s="117">
        <f t="shared" si="40"/>
        <v>0</v>
      </c>
      <c r="Q232" s="117">
        <f>SUMIFS(Investors!$M:$M,Investors!$O:$O,FALSE,Investors!$P:$P,FALSE,Investors!$K:$K,"&gt;"&amp;'NSST Print'!$B$3,Investors!$I:$I,"&lt;="&amp;'NSST Print'!$B$3,Investors!$A:$A,'Investor Exit List'!$A232,Investors!$E:$E,'Investor Exit List'!$C232,Investors!$L:$L,'Investor Exit List'!$B232)-(SUMIFS(Investors!$M:$M,Investors!$I:$I,"&lt;="&amp;'NSST Print'!$B$3,Investors!$J:$J,"&gt;"&amp;'NSST Print'!$B$3,Investors!$A:$A,'Investor Exit List'!$A232,Investors!$E:$E,'Investor Exit List'!$C232,Investors!$L:$L,'Investor Exit List'!$B232)+SUMIFS(Investors!$M:$M,Investors!$I:$I,"&lt;="&amp;'NSST Print'!$B$3,Investors!$J:$J,"",Investors!$A:$A,'Investor Exit List'!$A232,Investors!$E:$E,'Investor Exit List'!$C232,Investors!$L:$L,'Investor Exit List'!$B232))+SUMIFS(Investors!$S:$S,Investors!$O:$O,FALSE,Investors!$P:$P,FALSE,Investors!$K:$K,"&gt;"&amp;'NSST Print'!$B$3,Investors!$I:$I,"&lt;="&amp;'NSST Print'!$B$3,Investors!$A:$A,'Investor Exit List'!$A232,Investors!$E:$E,'Investor Exit List'!$C232,Investors!$L:$L,'Investor Exit List'!$B232)-(SUMIFS(Investors!$S:$S,Investors!$I:$I,"&lt;="&amp;'NSST Print'!$B$3,Investors!$J:$J,"&gt;"&amp;'NSST Print'!$B$3,Investors!$A:$A,'Investor Exit List'!$A232,Investors!$E:$E,'Investor Exit List'!$C232,Investors!$L:$L,'Investor Exit List'!$B232)+SUMIFS(Investors!$S:$S,Investors!$I:$I,"&lt;="&amp;'NSST Print'!$B$3,Investors!$J:$J,"",Investors!$A:$A,'Investor Exit List'!$A232,Investors!$E:$E,'Investor Exit List'!$C232,Investors!$L:$L,'Investor Exit List'!$B232))</f>
        <v>0</v>
      </c>
      <c r="R232" s="117">
        <f t="shared" si="41"/>
        <v>0</v>
      </c>
      <c r="S232" s="117">
        <f>SUMIFS(Investors!$M:$M,Investors!$O:$O,TRUE,Investors!$A:$A,'Investor Exit List'!$A232,Investors!$E:$E,'Investor Exit List'!$C232,Investors!$L:$L,'Investor Exit List'!$B232)+SUMIFS(Investors!$S:$S,Investors!$O:$O,TRUE,Investors!$A:$A,'Investor Exit List'!$A232,Investors!$E:$E,'Investor Exit List'!$C232,Investors!$L:$L,'Investor Exit List'!$B232)</f>
        <v>789706.84931506845</v>
      </c>
      <c r="T232" s="118">
        <f t="shared" si="42"/>
        <v>45646</v>
      </c>
      <c r="U232" s="116" t="b">
        <v>1</v>
      </c>
      <c r="V232" s="117">
        <f t="shared" si="43"/>
        <v>0</v>
      </c>
      <c r="W232" s="116">
        <v>0</v>
      </c>
      <c r="X232" s="116" t="b">
        <v>0</v>
      </c>
      <c r="Y232" s="119">
        <f>IF(H232=FALSE,VLOOKUP($C232,Sales!$C:$F,4,FALSE),1)</f>
        <v>1</v>
      </c>
      <c r="Z232" s="116" t="str">
        <f t="shared" si="44"/>
        <v/>
      </c>
      <c r="AA232" s="118">
        <f t="shared" si="45"/>
        <v>45465</v>
      </c>
      <c r="AB232" s="118" t="str">
        <f t="shared" si="46"/>
        <v>HVD303-ZPLA01</v>
      </c>
      <c r="AC232" s="118">
        <f t="shared" si="47"/>
        <v>45451</v>
      </c>
    </row>
    <row r="233" spans="1:29" ht="16" x14ac:dyDescent="0.2">
      <c r="A233" s="116" t="s">
        <v>562</v>
      </c>
      <c r="B233" s="116">
        <v>1</v>
      </c>
      <c r="C233" s="116" t="s">
        <v>565</v>
      </c>
      <c r="D233" s="116" t="s">
        <v>497</v>
      </c>
      <c r="E233" s="116" t="s">
        <v>2165</v>
      </c>
      <c r="F233" s="117">
        <f>SUMIFS(Investors!$M:$M,Investors!$O:$O,FALSE,Investors!$P:$P,FALSE,Investors!$K:$K,"&gt;"&amp;'NSST Print'!$B$3,Investors!$I:$I,"&lt;="&amp;'NSST Print'!$B$3,Investors!$A:$A,'Investor Exit List'!$A233,Investors!$E:$E,'Investor Exit List'!$C233,Investors!$L:$L,'Investor Exit List'!$B233)-(SUMIFS(Investors!$M:$M,Investors!$I:$I,"&lt;="&amp;'NSST Print'!$B$3,Investors!$J:$J,"&gt;"&amp;'NSST Print'!$B$3,Investors!$A:$A,'Investor Exit List'!$A233,Investors!$E:$E,'Investor Exit List'!$C233,Investors!$L:$L,'Investor Exit List'!$B233)+SUMIFS(Investors!$M:$M,Investors!$I:$I,"&lt;="&amp;'NSST Print'!$B$3,Investors!$J:$J,"",Investors!$A:$A,'Investor Exit List'!$A233,Investors!$E:$E,'Investor Exit List'!$C233,Investors!$L:$L,'Investor Exit List'!$B233))</f>
        <v>150000</v>
      </c>
      <c r="G233" s="118">
        <v>44743</v>
      </c>
      <c r="H233" s="116" t="b">
        <f>VLOOKUP($C233,Sales!$C:$E,2,FALSE)</f>
        <v>0</v>
      </c>
      <c r="I233" s="116" t="b">
        <f>VLOOKUP($C233,Sales!$C:$E,3,FALSE)</f>
        <v>0</v>
      </c>
      <c r="J233" s="118">
        <f>SUMIFS(Sales!$H:$H,Sales!$C:$C,'Investor Exit List'!$C233)</f>
        <v>45646</v>
      </c>
      <c r="K233" s="118" t="str">
        <f t="shared" si="36"/>
        <v/>
      </c>
      <c r="L233" s="118">
        <f t="shared" si="37"/>
        <v>45473</v>
      </c>
      <c r="M233" s="118">
        <v>45443</v>
      </c>
      <c r="N233" s="119">
        <f t="shared" si="38"/>
        <v>30</v>
      </c>
      <c r="O233" s="119">
        <f t="shared" si="39"/>
        <v>30</v>
      </c>
      <c r="P233" s="117">
        <f t="shared" si="40"/>
        <v>193557.53424657535</v>
      </c>
      <c r="Q233" s="117">
        <f>SUMIFS(Investors!$M:$M,Investors!$O:$O,FALSE,Investors!$P:$P,FALSE,Investors!$K:$K,"&gt;"&amp;'NSST Print'!$B$3,Investors!$I:$I,"&lt;="&amp;'NSST Print'!$B$3,Investors!$A:$A,'Investor Exit List'!$A233,Investors!$E:$E,'Investor Exit List'!$C233,Investors!$L:$L,'Investor Exit List'!$B233)-(SUMIFS(Investors!$M:$M,Investors!$I:$I,"&lt;="&amp;'NSST Print'!$B$3,Investors!$J:$J,"&gt;"&amp;'NSST Print'!$B$3,Investors!$A:$A,'Investor Exit List'!$A233,Investors!$E:$E,'Investor Exit List'!$C233,Investors!$L:$L,'Investor Exit List'!$B233)+SUMIFS(Investors!$M:$M,Investors!$I:$I,"&lt;="&amp;'NSST Print'!$B$3,Investors!$J:$J,"",Investors!$A:$A,'Investor Exit List'!$A233,Investors!$E:$E,'Investor Exit List'!$C233,Investors!$L:$L,'Investor Exit List'!$B233))+SUMIFS(Investors!$S:$S,Investors!$O:$O,FALSE,Investors!$P:$P,FALSE,Investors!$K:$K,"&gt;"&amp;'NSST Print'!$B$3,Investors!$I:$I,"&lt;="&amp;'NSST Print'!$B$3,Investors!$A:$A,'Investor Exit List'!$A233,Investors!$E:$E,'Investor Exit List'!$C233,Investors!$L:$L,'Investor Exit List'!$B233)-(SUMIFS(Investors!$S:$S,Investors!$I:$I,"&lt;="&amp;'NSST Print'!$B$3,Investors!$J:$J,"&gt;"&amp;'NSST Print'!$B$3,Investors!$A:$A,'Investor Exit List'!$A233,Investors!$E:$E,'Investor Exit List'!$C233,Investors!$L:$L,'Investor Exit List'!$B233)+SUMIFS(Investors!$S:$S,Investors!$I:$I,"&lt;="&amp;'NSST Print'!$B$3,Investors!$J:$J,"",Investors!$A:$A,'Investor Exit List'!$A233,Investors!$E:$E,'Investor Exit List'!$C233,Investors!$L:$L,'Investor Exit List'!$B233))</f>
        <v>193557.53424657535</v>
      </c>
      <c r="R233" s="117">
        <f t="shared" si="41"/>
        <v>0</v>
      </c>
      <c r="S233" s="117">
        <f>SUMIFS(Investors!$M:$M,Investors!$O:$O,TRUE,Investors!$A:$A,'Investor Exit List'!$A233,Investors!$E:$E,'Investor Exit List'!$C233,Investors!$L:$L,'Investor Exit List'!$B233)+SUMIFS(Investors!$S:$S,Investors!$O:$O,TRUE,Investors!$A:$A,'Investor Exit List'!$A233,Investors!$E:$E,'Investor Exit List'!$C233,Investors!$L:$L,'Investor Exit List'!$B233)</f>
        <v>0</v>
      </c>
      <c r="T233" s="118" t="str">
        <f t="shared" si="42"/>
        <v/>
      </c>
      <c r="U233" s="116" t="b">
        <v>0</v>
      </c>
      <c r="V233" s="117">
        <f t="shared" si="43"/>
        <v>0</v>
      </c>
      <c r="W233" s="116">
        <v>0</v>
      </c>
      <c r="X233" s="116" t="b">
        <v>0</v>
      </c>
      <c r="Y233" s="119">
        <f>IF(H233=FALSE,VLOOKUP($C233,Sales!$C:$F,4,FALSE),1)</f>
        <v>1</v>
      </c>
      <c r="Z233" s="116" t="str">
        <f t="shared" si="44"/>
        <v>Release</v>
      </c>
      <c r="AA233" s="118">
        <f t="shared" si="45"/>
        <v>45465</v>
      </c>
      <c r="AB233" s="118" t="str">
        <f t="shared" si="46"/>
        <v>HVD304-ZOOS01</v>
      </c>
      <c r="AC233" s="118">
        <f t="shared" si="47"/>
        <v>45473</v>
      </c>
    </row>
    <row r="234" spans="1:29" ht="16" x14ac:dyDescent="0.2">
      <c r="A234" s="116" t="s">
        <v>59</v>
      </c>
      <c r="B234" s="116">
        <v>22</v>
      </c>
      <c r="C234" s="116" t="s">
        <v>565</v>
      </c>
      <c r="D234" s="116" t="s">
        <v>497</v>
      </c>
      <c r="E234" s="116" t="s">
        <v>2019</v>
      </c>
      <c r="F234" s="117">
        <f>SUMIFS(Investors!$M:$M,Investors!$O:$O,FALSE,Investors!$P:$P,FALSE,Investors!$K:$K,"&gt;"&amp;'NSST Print'!$B$3,Investors!$I:$I,"&lt;="&amp;'NSST Print'!$B$3,Investors!$A:$A,'Investor Exit List'!$A234,Investors!$E:$E,'Investor Exit List'!$C234,Investors!$L:$L,'Investor Exit List'!$B234)-(SUMIFS(Investors!$M:$M,Investors!$I:$I,"&lt;="&amp;'NSST Print'!$B$3,Investors!$J:$J,"&gt;"&amp;'NSST Print'!$B$3,Investors!$A:$A,'Investor Exit List'!$A234,Investors!$E:$E,'Investor Exit List'!$C234,Investors!$L:$L,'Investor Exit List'!$B234)+SUMIFS(Investors!$M:$M,Investors!$I:$I,"&lt;="&amp;'NSST Print'!$B$3,Investors!$J:$J,"",Investors!$A:$A,'Investor Exit List'!$A234,Investors!$E:$E,'Investor Exit List'!$C234,Investors!$L:$L,'Investor Exit List'!$B234))</f>
        <v>850000</v>
      </c>
      <c r="G234" s="118">
        <v>44735</v>
      </c>
      <c r="H234" s="116" t="b">
        <f>VLOOKUP($C234,Sales!$C:$E,2,FALSE)</f>
        <v>0</v>
      </c>
      <c r="I234" s="116" t="b">
        <f>VLOOKUP($C234,Sales!$C:$E,3,FALSE)</f>
        <v>0</v>
      </c>
      <c r="J234" s="118">
        <f>SUMIFS(Sales!$H:$H,Sales!$C:$C,'Investor Exit List'!$C234)</f>
        <v>45646</v>
      </c>
      <c r="K234" s="118" t="str">
        <f t="shared" si="36"/>
        <v/>
      </c>
      <c r="L234" s="118">
        <f t="shared" si="37"/>
        <v>45465</v>
      </c>
      <c r="M234" s="118">
        <v>45443</v>
      </c>
      <c r="N234" s="119">
        <f t="shared" si="38"/>
        <v>22</v>
      </c>
      <c r="O234" s="119">
        <f t="shared" si="39"/>
        <v>22</v>
      </c>
      <c r="P234" s="117">
        <f t="shared" si="40"/>
        <v>1168959.5890410959</v>
      </c>
      <c r="Q234" s="117">
        <f>SUMIFS(Investors!$M:$M,Investors!$O:$O,FALSE,Investors!$P:$P,FALSE,Investors!$K:$K,"&gt;"&amp;'NSST Print'!$B$3,Investors!$I:$I,"&lt;="&amp;'NSST Print'!$B$3,Investors!$A:$A,'Investor Exit List'!$A234,Investors!$E:$E,'Investor Exit List'!$C234,Investors!$L:$L,'Investor Exit List'!$B234)-(SUMIFS(Investors!$M:$M,Investors!$I:$I,"&lt;="&amp;'NSST Print'!$B$3,Investors!$J:$J,"&gt;"&amp;'NSST Print'!$B$3,Investors!$A:$A,'Investor Exit List'!$A234,Investors!$E:$E,'Investor Exit List'!$C234,Investors!$L:$L,'Investor Exit List'!$B234)+SUMIFS(Investors!$M:$M,Investors!$I:$I,"&lt;="&amp;'NSST Print'!$B$3,Investors!$J:$J,"",Investors!$A:$A,'Investor Exit List'!$A234,Investors!$E:$E,'Investor Exit List'!$C234,Investors!$L:$L,'Investor Exit List'!$B234))+SUMIFS(Investors!$S:$S,Investors!$O:$O,FALSE,Investors!$P:$P,FALSE,Investors!$K:$K,"&gt;"&amp;'NSST Print'!$B$3,Investors!$I:$I,"&lt;="&amp;'NSST Print'!$B$3,Investors!$A:$A,'Investor Exit List'!$A234,Investors!$E:$E,'Investor Exit List'!$C234,Investors!$L:$L,'Investor Exit List'!$B234)-(SUMIFS(Investors!$S:$S,Investors!$I:$I,"&lt;="&amp;'NSST Print'!$B$3,Investors!$J:$J,"&gt;"&amp;'NSST Print'!$B$3,Investors!$A:$A,'Investor Exit List'!$A234,Investors!$E:$E,'Investor Exit List'!$C234,Investors!$L:$L,'Investor Exit List'!$B234)+SUMIFS(Investors!$S:$S,Investors!$I:$I,"&lt;="&amp;'NSST Print'!$B$3,Investors!$J:$J,"",Investors!$A:$A,'Investor Exit List'!$A234,Investors!$E:$E,'Investor Exit List'!$C234,Investors!$L:$L,'Investor Exit List'!$B234))</f>
        <v>1168959.5890410959</v>
      </c>
      <c r="R234" s="117">
        <f t="shared" si="41"/>
        <v>0</v>
      </c>
      <c r="S234" s="117">
        <f>SUMIFS(Investors!$M:$M,Investors!$O:$O,TRUE,Investors!$A:$A,'Investor Exit List'!$A234,Investors!$E:$E,'Investor Exit List'!$C234,Investors!$L:$L,'Investor Exit List'!$B234)+SUMIFS(Investors!$S:$S,Investors!$O:$O,TRUE,Investors!$A:$A,'Investor Exit List'!$A234,Investors!$E:$E,'Investor Exit List'!$C234,Investors!$L:$L,'Investor Exit List'!$B234)</f>
        <v>0</v>
      </c>
      <c r="T234" s="118" t="str">
        <f t="shared" si="42"/>
        <v/>
      </c>
      <c r="U234" s="116" t="b">
        <v>0</v>
      </c>
      <c r="V234" s="117">
        <f t="shared" si="43"/>
        <v>0</v>
      </c>
      <c r="W234" s="116">
        <v>0</v>
      </c>
      <c r="X234" s="116" t="b">
        <v>0</v>
      </c>
      <c r="Y234" s="119">
        <f>IF(H234=FALSE,VLOOKUP($C234,Sales!$C:$F,4,FALSE),1)</f>
        <v>1</v>
      </c>
      <c r="Z234" s="116" t="str">
        <f t="shared" si="44"/>
        <v>Release</v>
      </c>
      <c r="AA234" s="118">
        <f t="shared" si="45"/>
        <v>45465</v>
      </c>
      <c r="AB234" s="118" t="str">
        <f t="shared" si="46"/>
        <v>HVD304-ZRAN01</v>
      </c>
      <c r="AC234" s="118">
        <f t="shared" si="47"/>
        <v>45465</v>
      </c>
    </row>
    <row r="235" spans="1:29" ht="16" x14ac:dyDescent="0.2">
      <c r="A235" s="116" t="s">
        <v>566</v>
      </c>
      <c r="B235" s="116">
        <v>1</v>
      </c>
      <c r="C235" s="116" t="s">
        <v>568</v>
      </c>
      <c r="D235" s="116" t="s">
        <v>569</v>
      </c>
      <c r="E235" s="116" t="s">
        <v>2166</v>
      </c>
      <c r="F235" s="117">
        <f>SUMIFS(Investors!$M:$M,Investors!$O:$O,FALSE,Investors!$P:$P,FALSE,Investors!$K:$K,"&gt;"&amp;'NSST Print'!$B$3,Investors!$I:$I,"&lt;="&amp;'NSST Print'!$B$3,Investors!$A:$A,'Investor Exit List'!$A235,Investors!$E:$E,'Investor Exit List'!$C235,Investors!$L:$L,'Investor Exit List'!$B235)-(SUMIFS(Investors!$M:$M,Investors!$I:$I,"&lt;="&amp;'NSST Print'!$B$3,Investors!$J:$J,"&gt;"&amp;'NSST Print'!$B$3,Investors!$A:$A,'Investor Exit List'!$A235,Investors!$E:$E,'Investor Exit List'!$C235,Investors!$L:$L,'Investor Exit List'!$B235)+SUMIFS(Investors!$M:$M,Investors!$I:$I,"&lt;="&amp;'NSST Print'!$B$3,Investors!$J:$J,"",Investors!$A:$A,'Investor Exit List'!$A235,Investors!$E:$E,'Investor Exit List'!$C235,Investors!$L:$L,'Investor Exit List'!$B235))</f>
        <v>0</v>
      </c>
      <c r="G235" s="118"/>
      <c r="H235" s="116" t="b">
        <f>VLOOKUP($C235,Sales!$C:$E,2,FALSE)</f>
        <v>0</v>
      </c>
      <c r="I235" s="116" t="b">
        <f>VLOOKUP($C235,Sales!$C:$E,3,FALSE)</f>
        <v>0</v>
      </c>
      <c r="J235" s="118">
        <f>SUMIFS(Sales!$H:$H,Sales!$C:$C,'Investor Exit List'!$C235)</f>
        <v>45685</v>
      </c>
      <c r="K235" s="118" t="str">
        <f t="shared" si="36"/>
        <v/>
      </c>
      <c r="L235" s="118">
        <f t="shared" si="37"/>
        <v>730</v>
      </c>
      <c r="M235" s="118">
        <v>45443</v>
      </c>
      <c r="N235" s="119">
        <f t="shared" si="38"/>
        <v>0</v>
      </c>
      <c r="O235" s="119">
        <f t="shared" si="39"/>
        <v>0</v>
      </c>
      <c r="P235" s="117">
        <f t="shared" si="40"/>
        <v>0</v>
      </c>
      <c r="Q235" s="117">
        <f>SUMIFS(Investors!$M:$M,Investors!$O:$O,FALSE,Investors!$P:$P,FALSE,Investors!$K:$K,"&gt;"&amp;'NSST Print'!$B$3,Investors!$I:$I,"&lt;="&amp;'NSST Print'!$B$3,Investors!$A:$A,'Investor Exit List'!$A235,Investors!$E:$E,'Investor Exit List'!$C235,Investors!$L:$L,'Investor Exit List'!$B235)-(SUMIFS(Investors!$M:$M,Investors!$I:$I,"&lt;="&amp;'NSST Print'!$B$3,Investors!$J:$J,"&gt;"&amp;'NSST Print'!$B$3,Investors!$A:$A,'Investor Exit List'!$A235,Investors!$E:$E,'Investor Exit List'!$C235,Investors!$L:$L,'Investor Exit List'!$B235)+SUMIFS(Investors!$M:$M,Investors!$I:$I,"&lt;="&amp;'NSST Print'!$B$3,Investors!$J:$J,"",Investors!$A:$A,'Investor Exit List'!$A235,Investors!$E:$E,'Investor Exit List'!$C235,Investors!$L:$L,'Investor Exit List'!$B235))+SUMIFS(Investors!$S:$S,Investors!$O:$O,FALSE,Investors!$P:$P,FALSE,Investors!$K:$K,"&gt;"&amp;'NSST Print'!$B$3,Investors!$I:$I,"&lt;="&amp;'NSST Print'!$B$3,Investors!$A:$A,'Investor Exit List'!$A235,Investors!$E:$E,'Investor Exit List'!$C235,Investors!$L:$L,'Investor Exit List'!$B235)-(SUMIFS(Investors!$S:$S,Investors!$I:$I,"&lt;="&amp;'NSST Print'!$B$3,Investors!$J:$J,"&gt;"&amp;'NSST Print'!$B$3,Investors!$A:$A,'Investor Exit List'!$A235,Investors!$E:$E,'Investor Exit List'!$C235,Investors!$L:$L,'Investor Exit List'!$B235)+SUMIFS(Investors!$S:$S,Investors!$I:$I,"&lt;="&amp;'NSST Print'!$B$3,Investors!$J:$J,"",Investors!$A:$A,'Investor Exit List'!$A235,Investors!$E:$E,'Investor Exit List'!$C235,Investors!$L:$L,'Investor Exit List'!$B235))</f>
        <v>0</v>
      </c>
      <c r="R235" s="117">
        <f t="shared" si="41"/>
        <v>0</v>
      </c>
      <c r="S235" s="117">
        <f>SUMIFS(Investors!$M:$M,Investors!$O:$O,TRUE,Investors!$A:$A,'Investor Exit List'!$A235,Investors!$E:$E,'Investor Exit List'!$C235,Investors!$L:$L,'Investor Exit List'!$B235)+SUMIFS(Investors!$S:$S,Investors!$O:$O,TRUE,Investors!$A:$A,'Investor Exit List'!$A235,Investors!$E:$E,'Investor Exit List'!$C235,Investors!$L:$L,'Investor Exit List'!$B235)</f>
        <v>0</v>
      </c>
      <c r="T235" s="118" t="str">
        <f t="shared" si="42"/>
        <v/>
      </c>
      <c r="U235" s="116" t="b">
        <v>0</v>
      </c>
      <c r="V235" s="117">
        <f t="shared" si="43"/>
        <v>0</v>
      </c>
      <c r="W235" s="116">
        <v>0</v>
      </c>
      <c r="X235" s="116" t="b">
        <v>0</v>
      </c>
      <c r="Y235" s="119">
        <f>IF(H235=FALSE,VLOOKUP($C235,Sales!$C:$F,4,FALSE),1)</f>
        <v>0</v>
      </c>
      <c r="Z235" s="116" t="str">
        <f t="shared" si="44"/>
        <v>Release</v>
      </c>
      <c r="AA235" s="118">
        <f t="shared" si="45"/>
        <v>46051</v>
      </c>
      <c r="AB235" s="118" t="str">
        <f t="shared" si="46"/>
        <v>HVE101-ZHAA02</v>
      </c>
      <c r="AC235" s="118">
        <f t="shared" si="47"/>
        <v>730</v>
      </c>
    </row>
    <row r="236" spans="1:29" ht="16" x14ac:dyDescent="0.2">
      <c r="A236" s="116" t="s">
        <v>479</v>
      </c>
      <c r="B236" s="116">
        <v>3</v>
      </c>
      <c r="C236" s="116" t="s">
        <v>568</v>
      </c>
      <c r="D236" s="116" t="s">
        <v>569</v>
      </c>
      <c r="E236" s="116" t="s">
        <v>2141</v>
      </c>
      <c r="F236" s="117">
        <f>SUMIFS(Investors!$M:$M,Investors!$O:$O,FALSE,Investors!$P:$P,FALSE,Investors!$K:$K,"&gt;"&amp;'NSST Print'!$B$3,Investors!$I:$I,"&lt;="&amp;'NSST Print'!$B$3,Investors!$A:$A,'Investor Exit List'!$A236,Investors!$E:$E,'Investor Exit List'!$C236,Investors!$L:$L,'Investor Exit List'!$B236)-(SUMIFS(Investors!$M:$M,Investors!$I:$I,"&lt;="&amp;'NSST Print'!$B$3,Investors!$J:$J,"&gt;"&amp;'NSST Print'!$B$3,Investors!$A:$A,'Investor Exit List'!$A236,Investors!$E:$E,'Investor Exit List'!$C236,Investors!$L:$L,'Investor Exit List'!$B236)+SUMIFS(Investors!$M:$M,Investors!$I:$I,"&lt;="&amp;'NSST Print'!$B$3,Investors!$J:$J,"",Investors!$A:$A,'Investor Exit List'!$A236,Investors!$E:$E,'Investor Exit List'!$C236,Investors!$L:$L,'Investor Exit List'!$B236))</f>
        <v>249607.55</v>
      </c>
      <c r="G236" s="118">
        <v>45321</v>
      </c>
      <c r="H236" s="116" t="b">
        <f>VLOOKUP($C236,Sales!$C:$E,2,FALSE)</f>
        <v>0</v>
      </c>
      <c r="I236" s="116" t="b">
        <f>VLOOKUP($C236,Sales!$C:$E,3,FALSE)</f>
        <v>0</v>
      </c>
      <c r="J236" s="118">
        <f>SUMIFS(Sales!$H:$H,Sales!$C:$C,'Investor Exit List'!$C236)</f>
        <v>45685</v>
      </c>
      <c r="K236" s="118" t="str">
        <f t="shared" si="36"/>
        <v/>
      </c>
      <c r="L236" s="118">
        <f t="shared" si="37"/>
        <v>46051</v>
      </c>
      <c r="M236" s="118">
        <v>45443</v>
      </c>
      <c r="N236" s="119">
        <f t="shared" si="38"/>
        <v>608</v>
      </c>
      <c r="O236" s="119">
        <f t="shared" si="39"/>
        <v>0</v>
      </c>
      <c r="P236" s="117">
        <f t="shared" si="40"/>
        <v>0</v>
      </c>
      <c r="Q236" s="117">
        <f>SUMIFS(Investors!$M:$M,Investors!$O:$O,FALSE,Investors!$P:$P,FALSE,Investors!$K:$K,"&gt;"&amp;'NSST Print'!$B$3,Investors!$I:$I,"&lt;="&amp;'NSST Print'!$B$3,Investors!$A:$A,'Investor Exit List'!$A236,Investors!$E:$E,'Investor Exit List'!$C236,Investors!$L:$L,'Investor Exit List'!$B236)-(SUMIFS(Investors!$M:$M,Investors!$I:$I,"&lt;="&amp;'NSST Print'!$B$3,Investors!$J:$J,"&gt;"&amp;'NSST Print'!$B$3,Investors!$A:$A,'Investor Exit List'!$A236,Investors!$E:$E,'Investor Exit List'!$C236,Investors!$L:$L,'Investor Exit List'!$B236)+SUMIFS(Investors!$M:$M,Investors!$I:$I,"&lt;="&amp;'NSST Print'!$B$3,Investors!$J:$J,"",Investors!$A:$A,'Investor Exit List'!$A236,Investors!$E:$E,'Investor Exit List'!$C236,Investors!$L:$L,'Investor Exit List'!$B236))+SUMIFS(Investors!$S:$S,Investors!$O:$O,FALSE,Investors!$P:$P,FALSE,Investors!$K:$K,"&gt;"&amp;'NSST Print'!$B$3,Investors!$I:$I,"&lt;="&amp;'NSST Print'!$B$3,Investors!$A:$A,'Investor Exit List'!$A236,Investors!$E:$E,'Investor Exit List'!$C236,Investors!$L:$L,'Investor Exit List'!$B236)-(SUMIFS(Investors!$S:$S,Investors!$I:$I,"&lt;="&amp;'NSST Print'!$B$3,Investors!$J:$J,"&gt;"&amp;'NSST Print'!$B$3,Investors!$A:$A,'Investor Exit List'!$A236,Investors!$E:$E,'Investor Exit List'!$C236,Investors!$L:$L,'Investor Exit List'!$B236)+SUMIFS(Investors!$S:$S,Investors!$I:$I,"&lt;="&amp;'NSST Print'!$B$3,Investors!$J:$J,"",Investors!$A:$A,'Investor Exit List'!$A236,Investors!$E:$E,'Investor Exit List'!$C236,Investors!$L:$L,'Investor Exit List'!$B236))</f>
        <v>294536.90899999999</v>
      </c>
      <c r="R236" s="117">
        <f t="shared" si="41"/>
        <v>0</v>
      </c>
      <c r="S236" s="117">
        <f>SUMIFS(Investors!$M:$M,Investors!$O:$O,TRUE,Investors!$A:$A,'Investor Exit List'!$A236,Investors!$E:$E,'Investor Exit List'!$C236,Investors!$L:$L,'Investor Exit List'!$B236)+SUMIFS(Investors!$S:$S,Investors!$O:$O,TRUE,Investors!$A:$A,'Investor Exit List'!$A236,Investors!$E:$E,'Investor Exit List'!$C236,Investors!$L:$L,'Investor Exit List'!$B236)</f>
        <v>0</v>
      </c>
      <c r="T236" s="118" t="str">
        <f t="shared" si="42"/>
        <v/>
      </c>
      <c r="U236" s="116" t="b">
        <v>0</v>
      </c>
      <c r="V236" s="117">
        <f t="shared" si="43"/>
        <v>0</v>
      </c>
      <c r="W236" s="116">
        <v>0</v>
      </c>
      <c r="X236" s="116" t="b">
        <v>0</v>
      </c>
      <c r="Y236" s="119">
        <f>IF(H236=FALSE,VLOOKUP($C236,Sales!$C:$F,4,FALSE),1)</f>
        <v>0</v>
      </c>
      <c r="Z236" s="116" t="str">
        <f t="shared" si="44"/>
        <v>Release</v>
      </c>
      <c r="AA236" s="118">
        <f t="shared" si="45"/>
        <v>46051</v>
      </c>
      <c r="AB236" s="118" t="str">
        <f t="shared" si="46"/>
        <v>HVE101-ZMEY02</v>
      </c>
      <c r="AC236" s="118">
        <f t="shared" si="47"/>
        <v>46051</v>
      </c>
    </row>
    <row r="237" spans="1:29" ht="16" x14ac:dyDescent="0.2">
      <c r="A237" s="116" t="s">
        <v>403</v>
      </c>
      <c r="B237" s="116">
        <v>11</v>
      </c>
      <c r="C237" s="116" t="s">
        <v>568</v>
      </c>
      <c r="D237" s="116" t="s">
        <v>569</v>
      </c>
      <c r="E237" s="116" t="s">
        <v>2050</v>
      </c>
      <c r="F237" s="117">
        <f>SUMIFS(Investors!$M:$M,Investors!$O:$O,FALSE,Investors!$P:$P,FALSE,Investors!$K:$K,"&gt;"&amp;'NSST Print'!$B$3,Investors!$I:$I,"&lt;="&amp;'NSST Print'!$B$3,Investors!$A:$A,'Investor Exit List'!$A237,Investors!$E:$E,'Investor Exit List'!$C237,Investors!$L:$L,'Investor Exit List'!$B237)-(SUMIFS(Investors!$M:$M,Investors!$I:$I,"&lt;="&amp;'NSST Print'!$B$3,Investors!$J:$J,"&gt;"&amp;'NSST Print'!$B$3,Investors!$A:$A,'Investor Exit List'!$A237,Investors!$E:$E,'Investor Exit List'!$C237,Investors!$L:$L,'Investor Exit List'!$B237)+SUMIFS(Investors!$M:$M,Investors!$I:$I,"&lt;="&amp;'NSST Print'!$B$3,Investors!$J:$J,"",Investors!$A:$A,'Investor Exit List'!$A237,Investors!$E:$E,'Investor Exit List'!$C237,Investors!$L:$L,'Investor Exit List'!$B237))</f>
        <v>238175.34</v>
      </c>
      <c r="G237" s="118">
        <v>45408</v>
      </c>
      <c r="H237" s="116" t="b">
        <f>VLOOKUP($C237,Sales!$C:$E,2,FALSE)</f>
        <v>0</v>
      </c>
      <c r="I237" s="116" t="b">
        <f>VLOOKUP($C237,Sales!$C:$E,3,FALSE)</f>
        <v>0</v>
      </c>
      <c r="J237" s="118">
        <f>SUMIFS(Sales!$H:$H,Sales!$C:$C,'Investor Exit List'!$C237)</f>
        <v>45685</v>
      </c>
      <c r="K237" s="118" t="str">
        <f t="shared" si="36"/>
        <v/>
      </c>
      <c r="L237" s="118">
        <f t="shared" si="37"/>
        <v>46138</v>
      </c>
      <c r="M237" s="118">
        <v>45443</v>
      </c>
      <c r="N237" s="119">
        <f t="shared" si="38"/>
        <v>695</v>
      </c>
      <c r="O237" s="119">
        <f t="shared" si="39"/>
        <v>0</v>
      </c>
      <c r="P237" s="117">
        <f t="shared" si="40"/>
        <v>0</v>
      </c>
      <c r="Q237" s="117">
        <f>SUMIFS(Investors!$M:$M,Investors!$O:$O,FALSE,Investors!$P:$P,FALSE,Investors!$K:$K,"&gt;"&amp;'NSST Print'!$B$3,Investors!$I:$I,"&lt;="&amp;'NSST Print'!$B$3,Investors!$A:$A,'Investor Exit List'!$A237,Investors!$E:$E,'Investor Exit List'!$C237,Investors!$L:$L,'Investor Exit List'!$B237)-(SUMIFS(Investors!$M:$M,Investors!$I:$I,"&lt;="&amp;'NSST Print'!$B$3,Investors!$J:$J,"&gt;"&amp;'NSST Print'!$B$3,Investors!$A:$A,'Investor Exit List'!$A237,Investors!$E:$E,'Investor Exit List'!$C237,Investors!$L:$L,'Investor Exit List'!$B237)+SUMIFS(Investors!$M:$M,Investors!$I:$I,"&lt;="&amp;'NSST Print'!$B$3,Investors!$J:$J,"",Investors!$A:$A,'Investor Exit List'!$A237,Investors!$E:$E,'Investor Exit List'!$C237,Investors!$L:$L,'Investor Exit List'!$B237))+SUMIFS(Investors!$S:$S,Investors!$O:$O,FALSE,Investors!$P:$P,FALSE,Investors!$K:$K,"&gt;"&amp;'NSST Print'!$B$3,Investors!$I:$I,"&lt;="&amp;'NSST Print'!$B$3,Investors!$A:$A,'Investor Exit List'!$A237,Investors!$E:$E,'Investor Exit List'!$C237,Investors!$L:$L,'Investor Exit List'!$B237)-(SUMIFS(Investors!$S:$S,Investors!$I:$I,"&lt;="&amp;'NSST Print'!$B$3,Investors!$J:$J,"&gt;"&amp;'NSST Print'!$B$3,Investors!$A:$A,'Investor Exit List'!$A237,Investors!$E:$E,'Investor Exit List'!$C237,Investors!$L:$L,'Investor Exit List'!$B237)+SUMIFS(Investors!$S:$S,Investors!$I:$I,"&lt;="&amp;'NSST Print'!$B$3,Investors!$J:$J,"",Investors!$A:$A,'Investor Exit List'!$A237,Investors!$E:$E,'Investor Exit List'!$C237,Investors!$L:$L,'Investor Exit List'!$B237))</f>
        <v>276309.49580712331</v>
      </c>
      <c r="R237" s="117">
        <f t="shared" si="41"/>
        <v>0</v>
      </c>
      <c r="S237" s="117">
        <f>SUMIFS(Investors!$M:$M,Investors!$O:$O,TRUE,Investors!$A:$A,'Investor Exit List'!$A237,Investors!$E:$E,'Investor Exit List'!$C237,Investors!$L:$L,'Investor Exit List'!$B237)+SUMIFS(Investors!$S:$S,Investors!$O:$O,TRUE,Investors!$A:$A,'Investor Exit List'!$A237,Investors!$E:$E,'Investor Exit List'!$C237,Investors!$L:$L,'Investor Exit List'!$B237)</f>
        <v>0</v>
      </c>
      <c r="T237" s="118" t="str">
        <f t="shared" si="42"/>
        <v/>
      </c>
      <c r="U237" s="116" t="b">
        <v>0</v>
      </c>
      <c r="V237" s="117">
        <f t="shared" si="43"/>
        <v>0</v>
      </c>
      <c r="W237" s="116">
        <v>0</v>
      </c>
      <c r="X237" s="116" t="b">
        <v>0</v>
      </c>
      <c r="Y237" s="119">
        <f>IF(H237=FALSE,VLOOKUP($C237,Sales!$C:$F,4,FALSE),1)</f>
        <v>0</v>
      </c>
      <c r="Z237" s="116" t="str">
        <f t="shared" si="44"/>
        <v>Release</v>
      </c>
      <c r="AA237" s="118">
        <f t="shared" si="45"/>
        <v>46051</v>
      </c>
      <c r="AB237" s="118" t="str">
        <f t="shared" si="46"/>
        <v>HVE101-ZTHA01</v>
      </c>
      <c r="AC237" s="118">
        <f t="shared" si="47"/>
        <v>46138</v>
      </c>
    </row>
    <row r="238" spans="1:29" ht="16" x14ac:dyDescent="0.2">
      <c r="A238" s="116" t="s">
        <v>185</v>
      </c>
      <c r="B238" s="116">
        <v>7</v>
      </c>
      <c r="C238" s="116" t="s">
        <v>568</v>
      </c>
      <c r="D238" s="116" t="s">
        <v>569</v>
      </c>
      <c r="E238" s="116" t="s">
        <v>2058</v>
      </c>
      <c r="F238" s="117">
        <f>SUMIFS(Investors!$M:$M,Investors!$O:$O,FALSE,Investors!$P:$P,FALSE,Investors!$K:$K,"&gt;"&amp;'NSST Print'!$B$3,Investors!$I:$I,"&lt;="&amp;'NSST Print'!$B$3,Investors!$A:$A,'Investor Exit List'!$A238,Investors!$E:$E,'Investor Exit List'!$C238,Investors!$L:$L,'Investor Exit List'!$B238)-(SUMIFS(Investors!$M:$M,Investors!$I:$I,"&lt;="&amp;'NSST Print'!$B$3,Investors!$J:$J,"&gt;"&amp;'NSST Print'!$B$3,Investors!$A:$A,'Investor Exit List'!$A238,Investors!$E:$E,'Investor Exit List'!$C238,Investors!$L:$L,'Investor Exit List'!$B238)+SUMIFS(Investors!$M:$M,Investors!$I:$I,"&lt;="&amp;'NSST Print'!$B$3,Investors!$J:$J,"",Investors!$A:$A,'Investor Exit List'!$A238,Investors!$E:$E,'Investor Exit List'!$C238,Investors!$L:$L,'Investor Exit List'!$B238))</f>
        <v>115294.52</v>
      </c>
      <c r="G238" s="118">
        <v>45321</v>
      </c>
      <c r="H238" s="116" t="b">
        <f>VLOOKUP($C238,Sales!$C:$E,2,FALSE)</f>
        <v>0</v>
      </c>
      <c r="I238" s="116" t="b">
        <f>VLOOKUP($C238,Sales!$C:$E,3,FALSE)</f>
        <v>0</v>
      </c>
      <c r="J238" s="118">
        <f>SUMIFS(Sales!$H:$H,Sales!$C:$C,'Investor Exit List'!$C238)</f>
        <v>45685</v>
      </c>
      <c r="K238" s="118" t="str">
        <f t="shared" si="36"/>
        <v/>
      </c>
      <c r="L238" s="118">
        <f t="shared" si="37"/>
        <v>46051</v>
      </c>
      <c r="M238" s="118">
        <v>45443</v>
      </c>
      <c r="N238" s="119">
        <f t="shared" si="38"/>
        <v>608</v>
      </c>
      <c r="O238" s="119">
        <f t="shared" si="39"/>
        <v>0</v>
      </c>
      <c r="P238" s="117">
        <f t="shared" si="40"/>
        <v>0</v>
      </c>
      <c r="Q238" s="117">
        <f>SUMIFS(Investors!$M:$M,Investors!$O:$O,FALSE,Investors!$P:$P,FALSE,Investors!$K:$K,"&gt;"&amp;'NSST Print'!$B$3,Investors!$I:$I,"&lt;="&amp;'NSST Print'!$B$3,Investors!$A:$A,'Investor Exit List'!$A238,Investors!$E:$E,'Investor Exit List'!$C238,Investors!$L:$L,'Investor Exit List'!$B238)-(SUMIFS(Investors!$M:$M,Investors!$I:$I,"&lt;="&amp;'NSST Print'!$B$3,Investors!$J:$J,"&gt;"&amp;'NSST Print'!$B$3,Investors!$A:$A,'Investor Exit List'!$A238,Investors!$E:$E,'Investor Exit List'!$C238,Investors!$L:$L,'Investor Exit List'!$B238)+SUMIFS(Investors!$M:$M,Investors!$I:$I,"&lt;="&amp;'NSST Print'!$B$3,Investors!$J:$J,"",Investors!$A:$A,'Investor Exit List'!$A238,Investors!$E:$E,'Investor Exit List'!$C238,Investors!$L:$L,'Investor Exit List'!$B238))+SUMIFS(Investors!$S:$S,Investors!$O:$O,FALSE,Investors!$P:$P,FALSE,Investors!$K:$K,"&gt;"&amp;'NSST Print'!$B$3,Investors!$I:$I,"&lt;="&amp;'NSST Print'!$B$3,Investors!$A:$A,'Investor Exit List'!$A238,Investors!$E:$E,'Investor Exit List'!$C238,Investors!$L:$L,'Investor Exit List'!$B238)-(SUMIFS(Investors!$S:$S,Investors!$I:$I,"&lt;="&amp;'NSST Print'!$B$3,Investors!$J:$J,"&gt;"&amp;'NSST Print'!$B$3,Investors!$A:$A,'Investor Exit List'!$A238,Investors!$E:$E,'Investor Exit List'!$C238,Investors!$L:$L,'Investor Exit List'!$B238)+SUMIFS(Investors!$S:$S,Investors!$I:$I,"&lt;="&amp;'NSST Print'!$B$3,Investors!$J:$J,"",Investors!$A:$A,'Investor Exit List'!$A238,Investors!$E:$E,'Investor Exit List'!$C238,Investors!$L:$L,'Investor Exit List'!$B238))</f>
        <v>136047.53360000002</v>
      </c>
      <c r="R238" s="117">
        <f t="shared" si="41"/>
        <v>0</v>
      </c>
      <c r="S238" s="117">
        <f>SUMIFS(Investors!$M:$M,Investors!$O:$O,TRUE,Investors!$A:$A,'Investor Exit List'!$A238,Investors!$E:$E,'Investor Exit List'!$C238,Investors!$L:$L,'Investor Exit List'!$B238)+SUMIFS(Investors!$S:$S,Investors!$O:$O,TRUE,Investors!$A:$A,'Investor Exit List'!$A238,Investors!$E:$E,'Investor Exit List'!$C238,Investors!$L:$L,'Investor Exit List'!$B238)</f>
        <v>0</v>
      </c>
      <c r="T238" s="118" t="str">
        <f t="shared" si="42"/>
        <v/>
      </c>
      <c r="U238" s="116" t="b">
        <v>0</v>
      </c>
      <c r="V238" s="117">
        <f t="shared" si="43"/>
        <v>0</v>
      </c>
      <c r="W238" s="116">
        <v>0</v>
      </c>
      <c r="X238" s="116" t="b">
        <v>0</v>
      </c>
      <c r="Y238" s="119">
        <f>IF(H238=FALSE,VLOOKUP($C238,Sales!$C:$F,4,FALSE),1)</f>
        <v>0</v>
      </c>
      <c r="Z238" s="116" t="str">
        <f t="shared" si="44"/>
        <v>Release</v>
      </c>
      <c r="AA238" s="118">
        <f t="shared" si="45"/>
        <v>46051</v>
      </c>
      <c r="AB238" s="118" t="str">
        <f t="shared" si="46"/>
        <v>HVE101-ZVER02</v>
      </c>
      <c r="AC238" s="118">
        <f t="shared" si="47"/>
        <v>46051</v>
      </c>
    </row>
    <row r="239" spans="1:29" ht="16" x14ac:dyDescent="0.2">
      <c r="A239" s="116" t="s">
        <v>570</v>
      </c>
      <c r="B239" s="116">
        <v>2</v>
      </c>
      <c r="C239" s="116" t="s">
        <v>573</v>
      </c>
      <c r="D239" s="116" t="s">
        <v>569</v>
      </c>
      <c r="E239" s="116" t="s">
        <v>2167</v>
      </c>
      <c r="F239" s="117">
        <f>SUMIFS(Investors!$M:$M,Investors!$O:$O,FALSE,Investors!$P:$P,FALSE,Investors!$K:$K,"&gt;"&amp;'NSST Print'!$B$3,Investors!$I:$I,"&lt;="&amp;'NSST Print'!$B$3,Investors!$A:$A,'Investor Exit List'!$A239,Investors!$E:$E,'Investor Exit List'!$C239,Investors!$L:$L,'Investor Exit List'!$B239)-(SUMIFS(Investors!$M:$M,Investors!$I:$I,"&lt;="&amp;'NSST Print'!$B$3,Investors!$J:$J,"&gt;"&amp;'NSST Print'!$B$3,Investors!$A:$A,'Investor Exit List'!$A239,Investors!$E:$E,'Investor Exit List'!$C239,Investors!$L:$L,'Investor Exit List'!$B239)+SUMIFS(Investors!$M:$M,Investors!$I:$I,"&lt;="&amp;'NSST Print'!$B$3,Investors!$J:$J,"",Investors!$A:$A,'Investor Exit List'!$A239,Investors!$E:$E,'Investor Exit List'!$C239,Investors!$L:$L,'Investor Exit List'!$B239))</f>
        <v>115099.32</v>
      </c>
      <c r="G239" s="118">
        <v>45321</v>
      </c>
      <c r="H239" s="116" t="b">
        <f>VLOOKUP($C239,Sales!$C:$E,2,FALSE)</f>
        <v>0</v>
      </c>
      <c r="I239" s="116" t="b">
        <f>VLOOKUP($C239,Sales!$C:$E,3,FALSE)</f>
        <v>0</v>
      </c>
      <c r="J239" s="118">
        <f>SUMIFS(Sales!$H:$H,Sales!$C:$C,'Investor Exit List'!$C239)</f>
        <v>45685</v>
      </c>
      <c r="K239" s="118" t="str">
        <f t="shared" si="36"/>
        <v/>
      </c>
      <c r="L239" s="118">
        <f t="shared" si="37"/>
        <v>46051</v>
      </c>
      <c r="M239" s="118">
        <v>45443</v>
      </c>
      <c r="N239" s="119">
        <f t="shared" si="38"/>
        <v>608</v>
      </c>
      <c r="O239" s="119">
        <f t="shared" si="39"/>
        <v>0</v>
      </c>
      <c r="P239" s="117">
        <f t="shared" si="40"/>
        <v>0</v>
      </c>
      <c r="Q239" s="117">
        <f>SUMIFS(Investors!$M:$M,Investors!$O:$O,FALSE,Investors!$P:$P,FALSE,Investors!$K:$K,"&gt;"&amp;'NSST Print'!$B$3,Investors!$I:$I,"&lt;="&amp;'NSST Print'!$B$3,Investors!$A:$A,'Investor Exit List'!$A239,Investors!$E:$E,'Investor Exit List'!$C239,Investors!$L:$L,'Investor Exit List'!$B239)-(SUMIFS(Investors!$M:$M,Investors!$I:$I,"&lt;="&amp;'NSST Print'!$B$3,Investors!$J:$J,"&gt;"&amp;'NSST Print'!$B$3,Investors!$A:$A,'Investor Exit List'!$A239,Investors!$E:$E,'Investor Exit List'!$C239,Investors!$L:$L,'Investor Exit List'!$B239)+SUMIFS(Investors!$M:$M,Investors!$I:$I,"&lt;="&amp;'NSST Print'!$B$3,Investors!$J:$J,"",Investors!$A:$A,'Investor Exit List'!$A239,Investors!$E:$E,'Investor Exit List'!$C239,Investors!$L:$L,'Investor Exit List'!$B239))+SUMIFS(Investors!$S:$S,Investors!$O:$O,FALSE,Investors!$P:$P,FALSE,Investors!$K:$K,"&gt;"&amp;'NSST Print'!$B$3,Investors!$I:$I,"&lt;="&amp;'NSST Print'!$B$3,Investors!$A:$A,'Investor Exit List'!$A239,Investors!$E:$E,'Investor Exit List'!$C239,Investors!$L:$L,'Investor Exit List'!$B239)-(SUMIFS(Investors!$S:$S,Investors!$I:$I,"&lt;="&amp;'NSST Print'!$B$3,Investors!$J:$J,"&gt;"&amp;'NSST Print'!$B$3,Investors!$A:$A,'Investor Exit List'!$A239,Investors!$E:$E,'Investor Exit List'!$C239,Investors!$L:$L,'Investor Exit List'!$B239)+SUMIFS(Investors!$S:$S,Investors!$I:$I,"&lt;="&amp;'NSST Print'!$B$3,Investors!$J:$J,"",Investors!$A:$A,'Investor Exit List'!$A239,Investors!$E:$E,'Investor Exit List'!$C239,Investors!$L:$L,'Investor Exit List'!$B239))</f>
        <v>135817.19760000001</v>
      </c>
      <c r="R239" s="117">
        <f t="shared" si="41"/>
        <v>0</v>
      </c>
      <c r="S239" s="117">
        <f>SUMIFS(Investors!$M:$M,Investors!$O:$O,TRUE,Investors!$A:$A,'Investor Exit List'!$A239,Investors!$E:$E,'Investor Exit List'!$C239,Investors!$L:$L,'Investor Exit List'!$B239)+SUMIFS(Investors!$S:$S,Investors!$O:$O,TRUE,Investors!$A:$A,'Investor Exit List'!$A239,Investors!$E:$E,'Investor Exit List'!$C239,Investors!$L:$L,'Investor Exit List'!$B239)</f>
        <v>0</v>
      </c>
      <c r="T239" s="118" t="str">
        <f t="shared" si="42"/>
        <v/>
      </c>
      <c r="U239" s="116" t="b">
        <v>0</v>
      </c>
      <c r="V239" s="117">
        <f t="shared" si="43"/>
        <v>0</v>
      </c>
      <c r="W239" s="116">
        <v>0</v>
      </c>
      <c r="X239" s="116" t="b">
        <v>0</v>
      </c>
      <c r="Y239" s="119">
        <f>IF(H239=FALSE,VLOOKUP($C239,Sales!$C:$F,4,FALSE),1)</f>
        <v>0</v>
      </c>
      <c r="Z239" s="116" t="str">
        <f t="shared" si="44"/>
        <v>Release</v>
      </c>
      <c r="AA239" s="118">
        <f t="shared" si="45"/>
        <v>46051</v>
      </c>
      <c r="AB239" s="118" t="str">
        <f t="shared" si="46"/>
        <v>HVE102-ZFER02</v>
      </c>
      <c r="AC239" s="118">
        <f t="shared" si="47"/>
        <v>46051</v>
      </c>
    </row>
    <row r="240" spans="1:29" ht="16" x14ac:dyDescent="0.2">
      <c r="A240" s="116" t="s">
        <v>419</v>
      </c>
      <c r="B240" s="116">
        <v>18</v>
      </c>
      <c r="C240" s="116" t="s">
        <v>573</v>
      </c>
      <c r="D240" s="116" t="s">
        <v>569</v>
      </c>
      <c r="E240" s="116" t="s">
        <v>2123</v>
      </c>
      <c r="F240" s="117">
        <f>SUMIFS(Investors!$M:$M,Investors!$O:$O,FALSE,Investors!$P:$P,FALSE,Investors!$K:$K,"&gt;"&amp;'NSST Print'!$B$3,Investors!$I:$I,"&lt;="&amp;'NSST Print'!$B$3,Investors!$A:$A,'Investor Exit List'!$A240,Investors!$E:$E,'Investor Exit List'!$C240,Investors!$L:$L,'Investor Exit List'!$B240)-(SUMIFS(Investors!$M:$M,Investors!$I:$I,"&lt;="&amp;'NSST Print'!$B$3,Investors!$J:$J,"&gt;"&amp;'NSST Print'!$B$3,Investors!$A:$A,'Investor Exit List'!$A240,Investors!$E:$E,'Investor Exit List'!$C240,Investors!$L:$L,'Investor Exit List'!$B240)+SUMIFS(Investors!$M:$M,Investors!$I:$I,"&lt;="&amp;'NSST Print'!$B$3,Investors!$J:$J,"",Investors!$A:$A,'Investor Exit List'!$A240,Investors!$E:$E,'Investor Exit List'!$C240,Investors!$L:$L,'Investor Exit List'!$B240))</f>
        <v>0</v>
      </c>
      <c r="G240" s="118"/>
      <c r="H240" s="116" t="b">
        <f>VLOOKUP($C240,Sales!$C:$E,2,FALSE)</f>
        <v>0</v>
      </c>
      <c r="I240" s="116" t="b">
        <f>VLOOKUP($C240,Sales!$C:$E,3,FALSE)</f>
        <v>0</v>
      </c>
      <c r="J240" s="118">
        <f>SUMIFS(Sales!$H:$H,Sales!$C:$C,'Investor Exit List'!$C240)</f>
        <v>45685</v>
      </c>
      <c r="K240" s="118" t="str">
        <f t="shared" si="36"/>
        <v/>
      </c>
      <c r="L240" s="118">
        <f t="shared" si="37"/>
        <v>730</v>
      </c>
      <c r="M240" s="118">
        <v>45443</v>
      </c>
      <c r="N240" s="119">
        <f t="shared" si="38"/>
        <v>0</v>
      </c>
      <c r="O240" s="119">
        <f t="shared" si="39"/>
        <v>0</v>
      </c>
      <c r="P240" s="117">
        <f t="shared" si="40"/>
        <v>0</v>
      </c>
      <c r="Q240" s="117">
        <f>SUMIFS(Investors!$M:$M,Investors!$O:$O,FALSE,Investors!$P:$P,FALSE,Investors!$K:$K,"&gt;"&amp;'NSST Print'!$B$3,Investors!$I:$I,"&lt;="&amp;'NSST Print'!$B$3,Investors!$A:$A,'Investor Exit List'!$A240,Investors!$E:$E,'Investor Exit List'!$C240,Investors!$L:$L,'Investor Exit List'!$B240)-(SUMIFS(Investors!$M:$M,Investors!$I:$I,"&lt;="&amp;'NSST Print'!$B$3,Investors!$J:$J,"&gt;"&amp;'NSST Print'!$B$3,Investors!$A:$A,'Investor Exit List'!$A240,Investors!$E:$E,'Investor Exit List'!$C240,Investors!$L:$L,'Investor Exit List'!$B240)+SUMIFS(Investors!$M:$M,Investors!$I:$I,"&lt;="&amp;'NSST Print'!$B$3,Investors!$J:$J,"",Investors!$A:$A,'Investor Exit List'!$A240,Investors!$E:$E,'Investor Exit List'!$C240,Investors!$L:$L,'Investor Exit List'!$B240))+SUMIFS(Investors!$S:$S,Investors!$O:$O,FALSE,Investors!$P:$P,FALSE,Investors!$K:$K,"&gt;"&amp;'NSST Print'!$B$3,Investors!$I:$I,"&lt;="&amp;'NSST Print'!$B$3,Investors!$A:$A,'Investor Exit List'!$A240,Investors!$E:$E,'Investor Exit List'!$C240,Investors!$L:$L,'Investor Exit List'!$B240)-(SUMIFS(Investors!$S:$S,Investors!$I:$I,"&lt;="&amp;'NSST Print'!$B$3,Investors!$J:$J,"&gt;"&amp;'NSST Print'!$B$3,Investors!$A:$A,'Investor Exit List'!$A240,Investors!$E:$E,'Investor Exit List'!$C240,Investors!$L:$L,'Investor Exit List'!$B240)+SUMIFS(Investors!$S:$S,Investors!$I:$I,"&lt;="&amp;'NSST Print'!$B$3,Investors!$J:$J,"",Investors!$A:$A,'Investor Exit List'!$A240,Investors!$E:$E,'Investor Exit List'!$C240,Investors!$L:$L,'Investor Exit List'!$B240))</f>
        <v>0</v>
      </c>
      <c r="R240" s="117">
        <f t="shared" si="41"/>
        <v>0</v>
      </c>
      <c r="S240" s="117">
        <f>SUMIFS(Investors!$M:$M,Investors!$O:$O,TRUE,Investors!$A:$A,'Investor Exit List'!$A240,Investors!$E:$E,'Investor Exit List'!$C240,Investors!$L:$L,'Investor Exit List'!$B240)+SUMIFS(Investors!$S:$S,Investors!$O:$O,TRUE,Investors!$A:$A,'Investor Exit List'!$A240,Investors!$E:$E,'Investor Exit List'!$C240,Investors!$L:$L,'Investor Exit List'!$B240)</f>
        <v>0</v>
      </c>
      <c r="T240" s="118" t="str">
        <f t="shared" si="42"/>
        <v/>
      </c>
      <c r="U240" s="116" t="b">
        <v>0</v>
      </c>
      <c r="V240" s="117">
        <f t="shared" si="43"/>
        <v>0</v>
      </c>
      <c r="W240" s="116">
        <v>0</v>
      </c>
      <c r="X240" s="116" t="b">
        <v>0</v>
      </c>
      <c r="Y240" s="119">
        <f>IF(H240=FALSE,VLOOKUP($C240,Sales!$C:$F,4,FALSE),1)</f>
        <v>0</v>
      </c>
      <c r="Z240" s="116" t="str">
        <f t="shared" si="44"/>
        <v>Release</v>
      </c>
      <c r="AA240" s="118">
        <f t="shared" si="45"/>
        <v>46051</v>
      </c>
      <c r="AB240" s="118" t="str">
        <f t="shared" si="46"/>
        <v>HVE102-ZRIT01</v>
      </c>
      <c r="AC240" s="118">
        <f t="shared" si="47"/>
        <v>730</v>
      </c>
    </row>
    <row r="241" spans="1:29" ht="16" x14ac:dyDescent="0.2">
      <c r="A241" s="116" t="s">
        <v>574</v>
      </c>
      <c r="B241" s="116">
        <v>6</v>
      </c>
      <c r="C241" s="116" t="s">
        <v>573</v>
      </c>
      <c r="D241" s="116" t="s">
        <v>569</v>
      </c>
      <c r="E241" s="116" t="s">
        <v>2099</v>
      </c>
      <c r="F241" s="117">
        <f>SUMIFS(Investors!$M:$M,Investors!$O:$O,FALSE,Investors!$P:$P,FALSE,Investors!$K:$K,"&gt;"&amp;'NSST Print'!$B$3,Investors!$I:$I,"&lt;="&amp;'NSST Print'!$B$3,Investors!$A:$A,'Investor Exit List'!$A241,Investors!$E:$E,'Investor Exit List'!$C241,Investors!$L:$L,'Investor Exit List'!$B241)-(SUMIFS(Investors!$M:$M,Investors!$I:$I,"&lt;="&amp;'NSST Print'!$B$3,Investors!$J:$J,"&gt;"&amp;'NSST Print'!$B$3,Investors!$A:$A,'Investor Exit List'!$A241,Investors!$E:$E,'Investor Exit List'!$C241,Investors!$L:$L,'Investor Exit List'!$B241)+SUMIFS(Investors!$M:$M,Investors!$I:$I,"&lt;="&amp;'NSST Print'!$B$3,Investors!$J:$J,"",Investors!$A:$A,'Investor Exit List'!$A241,Investors!$E:$E,'Investor Exit List'!$C241,Investors!$L:$L,'Investor Exit List'!$B241))</f>
        <v>129589.04</v>
      </c>
      <c r="G241" s="118">
        <v>45443</v>
      </c>
      <c r="H241" s="116" t="b">
        <f>VLOOKUP($C241,Sales!$C:$E,2,FALSE)</f>
        <v>0</v>
      </c>
      <c r="I241" s="116" t="b">
        <f>VLOOKUP($C241,Sales!$C:$E,3,FALSE)</f>
        <v>0</v>
      </c>
      <c r="J241" s="118">
        <f>SUMIFS(Sales!$H:$H,Sales!$C:$C,'Investor Exit List'!$C241)</f>
        <v>45685</v>
      </c>
      <c r="K241" s="118" t="str">
        <f t="shared" si="36"/>
        <v/>
      </c>
      <c r="L241" s="118">
        <f t="shared" si="37"/>
        <v>46173</v>
      </c>
      <c r="M241" s="118">
        <v>45443</v>
      </c>
      <c r="N241" s="119">
        <f t="shared" si="38"/>
        <v>730</v>
      </c>
      <c r="O241" s="119">
        <f t="shared" si="39"/>
        <v>0</v>
      </c>
      <c r="P241" s="117">
        <f t="shared" si="40"/>
        <v>0</v>
      </c>
      <c r="Q241" s="117">
        <f>SUMIFS(Investors!$M:$M,Investors!$O:$O,FALSE,Investors!$P:$P,FALSE,Investors!$K:$K,"&gt;"&amp;'NSST Print'!$B$3,Investors!$I:$I,"&lt;="&amp;'NSST Print'!$B$3,Investors!$A:$A,'Investor Exit List'!$A241,Investors!$E:$E,'Investor Exit List'!$C241,Investors!$L:$L,'Investor Exit List'!$B241)-(SUMIFS(Investors!$M:$M,Investors!$I:$I,"&lt;="&amp;'NSST Print'!$B$3,Investors!$J:$J,"&gt;"&amp;'NSST Print'!$B$3,Investors!$A:$A,'Investor Exit List'!$A241,Investors!$E:$E,'Investor Exit List'!$C241,Investors!$L:$L,'Investor Exit List'!$B241)+SUMIFS(Investors!$M:$M,Investors!$I:$I,"&lt;="&amp;'NSST Print'!$B$3,Investors!$J:$J,"",Investors!$A:$A,'Investor Exit List'!$A241,Investors!$E:$E,'Investor Exit List'!$C241,Investors!$L:$L,'Investor Exit List'!$B241))+SUMIFS(Investors!$S:$S,Investors!$O:$O,FALSE,Investors!$P:$P,FALSE,Investors!$K:$K,"&gt;"&amp;'NSST Print'!$B$3,Investors!$I:$I,"&lt;="&amp;'NSST Print'!$B$3,Investors!$A:$A,'Investor Exit List'!$A241,Investors!$E:$E,'Investor Exit List'!$C241,Investors!$L:$L,'Investor Exit List'!$B241)-(SUMIFS(Investors!$S:$S,Investors!$I:$I,"&lt;="&amp;'NSST Print'!$B$3,Investors!$J:$J,"&gt;"&amp;'NSST Print'!$B$3,Investors!$A:$A,'Investor Exit List'!$A241,Investors!$E:$E,'Investor Exit List'!$C241,Investors!$L:$L,'Investor Exit List'!$B241)+SUMIFS(Investors!$S:$S,Investors!$I:$I,"&lt;="&amp;'NSST Print'!$B$3,Investors!$J:$J,"",Investors!$A:$A,'Investor Exit List'!$A241,Investors!$E:$E,'Investor Exit List'!$C241,Investors!$L:$L,'Investor Exit List'!$B241))</f>
        <v>145718.43749917808</v>
      </c>
      <c r="R241" s="117">
        <f t="shared" si="41"/>
        <v>0</v>
      </c>
      <c r="S241" s="117">
        <f>SUMIFS(Investors!$M:$M,Investors!$O:$O,TRUE,Investors!$A:$A,'Investor Exit List'!$A241,Investors!$E:$E,'Investor Exit List'!$C241,Investors!$L:$L,'Investor Exit List'!$B241)+SUMIFS(Investors!$S:$S,Investors!$O:$O,TRUE,Investors!$A:$A,'Investor Exit List'!$A241,Investors!$E:$E,'Investor Exit List'!$C241,Investors!$L:$L,'Investor Exit List'!$B241)</f>
        <v>0</v>
      </c>
      <c r="T241" s="118" t="str">
        <f t="shared" si="42"/>
        <v/>
      </c>
      <c r="U241" s="116" t="b">
        <v>0</v>
      </c>
      <c r="V241" s="117">
        <f t="shared" si="43"/>
        <v>0</v>
      </c>
      <c r="W241" s="116">
        <v>0</v>
      </c>
      <c r="X241" s="116" t="b">
        <v>0</v>
      </c>
      <c r="Y241" s="119">
        <f>IF(H241=FALSE,VLOOKUP($C241,Sales!$C:$F,4,FALSE),1)</f>
        <v>0</v>
      </c>
      <c r="Z241" s="116" t="str">
        <f t="shared" si="44"/>
        <v>Release</v>
      </c>
      <c r="AA241" s="118">
        <f t="shared" si="45"/>
        <v>46051</v>
      </c>
      <c r="AB241" s="118" t="str">
        <f t="shared" si="46"/>
        <v>HVE102-ZZYL01</v>
      </c>
      <c r="AC241" s="118">
        <f t="shared" si="47"/>
        <v>46173</v>
      </c>
    </row>
    <row r="242" spans="1:29" ht="16" x14ac:dyDescent="0.2">
      <c r="A242" s="116" t="s">
        <v>574</v>
      </c>
      <c r="B242" s="116">
        <v>7</v>
      </c>
      <c r="C242" s="116" t="s">
        <v>575</v>
      </c>
      <c r="D242" s="116" t="s">
        <v>569</v>
      </c>
      <c r="E242" s="116" t="s">
        <v>2099</v>
      </c>
      <c r="F242" s="117">
        <f>SUMIFS(Investors!$M:$M,Investors!$O:$O,FALSE,Investors!$P:$P,FALSE,Investors!$K:$K,"&gt;"&amp;'NSST Print'!$B$3,Investors!$I:$I,"&lt;="&amp;'NSST Print'!$B$3,Investors!$A:$A,'Investor Exit List'!$A242,Investors!$E:$E,'Investor Exit List'!$C242,Investors!$L:$L,'Investor Exit List'!$B242)-(SUMIFS(Investors!$M:$M,Investors!$I:$I,"&lt;="&amp;'NSST Print'!$B$3,Investors!$J:$J,"&gt;"&amp;'NSST Print'!$B$3,Investors!$A:$A,'Investor Exit List'!$A242,Investors!$E:$E,'Investor Exit List'!$C242,Investors!$L:$L,'Investor Exit List'!$B242)+SUMIFS(Investors!$M:$M,Investors!$I:$I,"&lt;="&amp;'NSST Print'!$B$3,Investors!$J:$J,"",Investors!$A:$A,'Investor Exit List'!$A242,Investors!$E:$E,'Investor Exit List'!$C242,Investors!$L:$L,'Investor Exit List'!$B242))</f>
        <v>1200000</v>
      </c>
      <c r="G242" s="118">
        <v>45443</v>
      </c>
      <c r="H242" s="116" t="b">
        <f>VLOOKUP($C242,Sales!$C:$E,2,FALSE)</f>
        <v>0</v>
      </c>
      <c r="I242" s="116" t="b">
        <f>VLOOKUP($C242,Sales!$C:$E,3,FALSE)</f>
        <v>0</v>
      </c>
      <c r="J242" s="118">
        <f>SUMIFS(Sales!$H:$H,Sales!$C:$C,'Investor Exit List'!$C242)</f>
        <v>45685</v>
      </c>
      <c r="K242" s="118" t="str">
        <f t="shared" si="36"/>
        <v/>
      </c>
      <c r="L242" s="118">
        <f t="shared" si="37"/>
        <v>46173</v>
      </c>
      <c r="M242" s="118">
        <v>45443</v>
      </c>
      <c r="N242" s="119">
        <f t="shared" si="38"/>
        <v>730</v>
      </c>
      <c r="O242" s="119">
        <f t="shared" si="39"/>
        <v>0</v>
      </c>
      <c r="P242" s="117">
        <f t="shared" si="40"/>
        <v>0</v>
      </c>
      <c r="Q242" s="117">
        <f>SUMIFS(Investors!$M:$M,Investors!$O:$O,FALSE,Investors!$P:$P,FALSE,Investors!$K:$K,"&gt;"&amp;'NSST Print'!$B$3,Investors!$I:$I,"&lt;="&amp;'NSST Print'!$B$3,Investors!$A:$A,'Investor Exit List'!$A242,Investors!$E:$E,'Investor Exit List'!$C242,Investors!$L:$L,'Investor Exit List'!$B242)-(SUMIFS(Investors!$M:$M,Investors!$I:$I,"&lt;="&amp;'NSST Print'!$B$3,Investors!$J:$J,"&gt;"&amp;'NSST Print'!$B$3,Investors!$A:$A,'Investor Exit List'!$A242,Investors!$E:$E,'Investor Exit List'!$C242,Investors!$L:$L,'Investor Exit List'!$B242)+SUMIFS(Investors!$M:$M,Investors!$I:$I,"&lt;="&amp;'NSST Print'!$B$3,Investors!$J:$J,"",Investors!$A:$A,'Investor Exit List'!$A242,Investors!$E:$E,'Investor Exit List'!$C242,Investors!$L:$L,'Investor Exit List'!$B242))+SUMIFS(Investors!$S:$S,Investors!$O:$O,FALSE,Investors!$P:$P,FALSE,Investors!$K:$K,"&gt;"&amp;'NSST Print'!$B$3,Investors!$I:$I,"&lt;="&amp;'NSST Print'!$B$3,Investors!$A:$A,'Investor Exit List'!$A242,Investors!$E:$E,'Investor Exit List'!$C242,Investors!$L:$L,'Investor Exit List'!$B242)-(SUMIFS(Investors!$S:$S,Investors!$I:$I,"&lt;="&amp;'NSST Print'!$B$3,Investors!$J:$J,"&gt;"&amp;'NSST Print'!$B$3,Investors!$A:$A,'Investor Exit List'!$A242,Investors!$E:$E,'Investor Exit List'!$C242,Investors!$L:$L,'Investor Exit List'!$B242)+SUMIFS(Investors!$S:$S,Investors!$I:$I,"&lt;="&amp;'NSST Print'!$B$3,Investors!$J:$J,"",Investors!$A:$A,'Investor Exit List'!$A242,Investors!$E:$E,'Investor Exit List'!$C242,Investors!$L:$L,'Investor Exit List'!$B242))</f>
        <v>1349358.9041095891</v>
      </c>
      <c r="R242" s="117">
        <f t="shared" si="41"/>
        <v>0</v>
      </c>
      <c r="S242" s="117">
        <f>SUMIFS(Investors!$M:$M,Investors!$O:$O,TRUE,Investors!$A:$A,'Investor Exit List'!$A242,Investors!$E:$E,'Investor Exit List'!$C242,Investors!$L:$L,'Investor Exit List'!$B242)+SUMIFS(Investors!$S:$S,Investors!$O:$O,TRUE,Investors!$A:$A,'Investor Exit List'!$A242,Investors!$E:$E,'Investor Exit List'!$C242,Investors!$L:$L,'Investor Exit List'!$B242)</f>
        <v>0</v>
      </c>
      <c r="T242" s="118" t="str">
        <f t="shared" si="42"/>
        <v/>
      </c>
      <c r="U242" s="116" t="b">
        <v>0</v>
      </c>
      <c r="V242" s="117">
        <f t="shared" si="43"/>
        <v>0</v>
      </c>
      <c r="W242" s="116">
        <v>0</v>
      </c>
      <c r="X242" s="116" t="b">
        <v>0</v>
      </c>
      <c r="Y242" s="119">
        <f>IF(H242=FALSE,VLOOKUP($C242,Sales!$C:$F,4,FALSE),1)</f>
        <v>0</v>
      </c>
      <c r="Z242" s="116" t="str">
        <f t="shared" si="44"/>
        <v>Release</v>
      </c>
      <c r="AA242" s="118">
        <f t="shared" si="45"/>
        <v>46173</v>
      </c>
      <c r="AB242" s="118" t="str">
        <f t="shared" si="46"/>
        <v>HVE103-ZZYL01</v>
      </c>
      <c r="AC242" s="118">
        <f t="shared" si="47"/>
        <v>46173</v>
      </c>
    </row>
    <row r="243" spans="1:29" ht="16" x14ac:dyDescent="0.2">
      <c r="A243" s="116" t="s">
        <v>576</v>
      </c>
      <c r="B243" s="116">
        <v>6</v>
      </c>
      <c r="C243" s="116" t="s">
        <v>579</v>
      </c>
      <c r="D243" s="116" t="s">
        <v>569</v>
      </c>
      <c r="E243" s="116" t="s">
        <v>2168</v>
      </c>
      <c r="F243" s="117">
        <f>SUMIFS(Investors!$M:$M,Investors!$O:$O,FALSE,Investors!$P:$P,FALSE,Investors!$K:$K,"&gt;"&amp;'NSST Print'!$B$3,Investors!$I:$I,"&lt;="&amp;'NSST Print'!$B$3,Investors!$A:$A,'Investor Exit List'!$A243,Investors!$E:$E,'Investor Exit List'!$C243,Investors!$L:$L,'Investor Exit List'!$B243)-(SUMIFS(Investors!$M:$M,Investors!$I:$I,"&lt;="&amp;'NSST Print'!$B$3,Investors!$J:$J,"&gt;"&amp;'NSST Print'!$B$3,Investors!$A:$A,'Investor Exit List'!$A243,Investors!$E:$E,'Investor Exit List'!$C243,Investors!$L:$L,'Investor Exit List'!$B243)+SUMIFS(Investors!$M:$M,Investors!$I:$I,"&lt;="&amp;'NSST Print'!$B$3,Investors!$J:$J,"",Investors!$A:$A,'Investor Exit List'!$A243,Investors!$E:$E,'Investor Exit List'!$C243,Investors!$L:$L,'Investor Exit List'!$B243))</f>
        <v>1200000</v>
      </c>
      <c r="G243" s="118">
        <v>45371</v>
      </c>
      <c r="H243" s="116" t="b">
        <f>VLOOKUP($C243,Sales!$C:$E,2,FALSE)</f>
        <v>0</v>
      </c>
      <c r="I243" s="116" t="b">
        <f>VLOOKUP($C243,Sales!$C:$E,3,FALSE)</f>
        <v>0</v>
      </c>
      <c r="J243" s="118">
        <f>SUMIFS(Sales!$H:$H,Sales!$C:$C,'Investor Exit List'!$C243)</f>
        <v>45685</v>
      </c>
      <c r="K243" s="118" t="str">
        <f t="shared" si="36"/>
        <v/>
      </c>
      <c r="L243" s="118">
        <f t="shared" si="37"/>
        <v>46101</v>
      </c>
      <c r="M243" s="118">
        <v>45443</v>
      </c>
      <c r="N243" s="119">
        <f t="shared" si="38"/>
        <v>658</v>
      </c>
      <c r="O243" s="119">
        <f t="shared" si="39"/>
        <v>0</v>
      </c>
      <c r="P243" s="117">
        <f t="shared" si="40"/>
        <v>0</v>
      </c>
      <c r="Q243" s="117">
        <f>SUMIFS(Investors!$M:$M,Investors!$O:$O,FALSE,Investors!$P:$P,FALSE,Investors!$K:$K,"&gt;"&amp;'NSST Print'!$B$3,Investors!$I:$I,"&lt;="&amp;'NSST Print'!$B$3,Investors!$A:$A,'Investor Exit List'!$A243,Investors!$E:$E,'Investor Exit List'!$C243,Investors!$L:$L,'Investor Exit List'!$B243)-(SUMIFS(Investors!$M:$M,Investors!$I:$I,"&lt;="&amp;'NSST Print'!$B$3,Investors!$J:$J,"&gt;"&amp;'NSST Print'!$B$3,Investors!$A:$A,'Investor Exit List'!$A243,Investors!$E:$E,'Investor Exit List'!$C243,Investors!$L:$L,'Investor Exit List'!$B243)+SUMIFS(Investors!$M:$M,Investors!$I:$I,"&lt;="&amp;'NSST Print'!$B$3,Investors!$J:$J,"",Investors!$A:$A,'Investor Exit List'!$A243,Investors!$E:$E,'Investor Exit List'!$C243,Investors!$L:$L,'Investor Exit List'!$B243))+SUMIFS(Investors!$S:$S,Investors!$O:$O,FALSE,Investors!$P:$P,FALSE,Investors!$K:$K,"&gt;"&amp;'NSST Print'!$B$3,Investors!$I:$I,"&lt;="&amp;'NSST Print'!$B$3,Investors!$A:$A,'Investor Exit List'!$A243,Investors!$E:$E,'Investor Exit List'!$C243,Investors!$L:$L,'Investor Exit List'!$B243)-(SUMIFS(Investors!$S:$S,Investors!$I:$I,"&lt;="&amp;'NSST Print'!$B$3,Investors!$J:$J,"&gt;"&amp;'NSST Print'!$B$3,Investors!$A:$A,'Investor Exit List'!$A243,Investors!$E:$E,'Investor Exit List'!$C243,Investors!$L:$L,'Investor Exit List'!$B243)+SUMIFS(Investors!$S:$S,Investors!$I:$I,"&lt;="&amp;'NSST Print'!$B$3,Investors!$J:$J,"",Investors!$A:$A,'Investor Exit List'!$A243,Investors!$E:$E,'Investor Exit List'!$C243,Investors!$L:$L,'Investor Exit List'!$B243))</f>
        <v>1452000</v>
      </c>
      <c r="R243" s="117">
        <f t="shared" si="41"/>
        <v>0</v>
      </c>
      <c r="S243" s="117">
        <f>SUMIFS(Investors!$M:$M,Investors!$O:$O,TRUE,Investors!$A:$A,'Investor Exit List'!$A243,Investors!$E:$E,'Investor Exit List'!$C243,Investors!$L:$L,'Investor Exit List'!$B243)+SUMIFS(Investors!$S:$S,Investors!$O:$O,TRUE,Investors!$A:$A,'Investor Exit List'!$A243,Investors!$E:$E,'Investor Exit List'!$C243,Investors!$L:$L,'Investor Exit List'!$B243)</f>
        <v>0</v>
      </c>
      <c r="T243" s="118" t="str">
        <f t="shared" si="42"/>
        <v/>
      </c>
      <c r="U243" s="116" t="b">
        <v>0</v>
      </c>
      <c r="V243" s="117">
        <f t="shared" si="43"/>
        <v>0</v>
      </c>
      <c r="W243" s="116">
        <v>0</v>
      </c>
      <c r="X243" s="116" t="b">
        <v>0</v>
      </c>
      <c r="Y243" s="119">
        <f>IF(H243=FALSE,VLOOKUP($C243,Sales!$C:$F,4,FALSE),1)</f>
        <v>0</v>
      </c>
      <c r="Z243" s="116" t="str">
        <f t="shared" si="44"/>
        <v>Release</v>
      </c>
      <c r="AA243" s="118">
        <f t="shared" si="45"/>
        <v>46101</v>
      </c>
      <c r="AB243" s="118" t="str">
        <f t="shared" si="46"/>
        <v>HVE104-ZMYB01</v>
      </c>
      <c r="AC243" s="118">
        <f t="shared" si="47"/>
        <v>46101</v>
      </c>
    </row>
    <row r="244" spans="1:29" ht="16" x14ac:dyDescent="0.2">
      <c r="A244" s="116" t="s">
        <v>505</v>
      </c>
      <c r="B244" s="116">
        <v>13</v>
      </c>
      <c r="C244" s="116" t="s">
        <v>580</v>
      </c>
      <c r="D244" s="116" t="s">
        <v>569</v>
      </c>
      <c r="E244" s="116" t="s">
        <v>2148</v>
      </c>
      <c r="F244" s="117">
        <f>SUMIFS(Investors!$M:$M,Investors!$O:$O,FALSE,Investors!$P:$P,FALSE,Investors!$K:$K,"&gt;"&amp;'NSST Print'!$B$3,Investors!$I:$I,"&lt;="&amp;'NSST Print'!$B$3,Investors!$A:$A,'Investor Exit List'!$A244,Investors!$E:$E,'Investor Exit List'!$C244,Investors!$L:$L,'Investor Exit List'!$B244)-(SUMIFS(Investors!$M:$M,Investors!$I:$I,"&lt;="&amp;'NSST Print'!$B$3,Investors!$J:$J,"&gt;"&amp;'NSST Print'!$B$3,Investors!$A:$A,'Investor Exit List'!$A244,Investors!$E:$E,'Investor Exit List'!$C244,Investors!$L:$L,'Investor Exit List'!$B244)+SUMIFS(Investors!$M:$M,Investors!$I:$I,"&lt;="&amp;'NSST Print'!$B$3,Investors!$J:$J,"",Investors!$A:$A,'Investor Exit List'!$A244,Investors!$E:$E,'Investor Exit List'!$C244,Investors!$L:$L,'Investor Exit List'!$B244))</f>
        <v>725979.77</v>
      </c>
      <c r="G244" s="118">
        <v>45408</v>
      </c>
      <c r="H244" s="116" t="b">
        <f>VLOOKUP($C244,Sales!$C:$E,2,FALSE)</f>
        <v>0</v>
      </c>
      <c r="I244" s="116" t="b">
        <f>VLOOKUP($C244,Sales!$C:$E,3,FALSE)</f>
        <v>0</v>
      </c>
      <c r="J244" s="118">
        <f>SUMIFS(Sales!$H:$H,Sales!$C:$C,'Investor Exit List'!$C244)</f>
        <v>45685</v>
      </c>
      <c r="K244" s="118" t="str">
        <f t="shared" si="36"/>
        <v/>
      </c>
      <c r="L244" s="118">
        <f t="shared" si="37"/>
        <v>46138</v>
      </c>
      <c r="M244" s="118">
        <v>45443</v>
      </c>
      <c r="N244" s="119">
        <f t="shared" si="38"/>
        <v>695</v>
      </c>
      <c r="O244" s="119">
        <f t="shared" si="39"/>
        <v>0</v>
      </c>
      <c r="P244" s="117">
        <f t="shared" si="40"/>
        <v>0</v>
      </c>
      <c r="Q244" s="117">
        <f>SUMIFS(Investors!$M:$M,Investors!$O:$O,FALSE,Investors!$P:$P,FALSE,Investors!$K:$K,"&gt;"&amp;'NSST Print'!$B$3,Investors!$I:$I,"&lt;="&amp;'NSST Print'!$B$3,Investors!$A:$A,'Investor Exit List'!$A244,Investors!$E:$E,'Investor Exit List'!$C244,Investors!$L:$L,'Investor Exit List'!$B244)-(SUMIFS(Investors!$M:$M,Investors!$I:$I,"&lt;="&amp;'NSST Print'!$B$3,Investors!$J:$J,"&gt;"&amp;'NSST Print'!$B$3,Investors!$A:$A,'Investor Exit List'!$A244,Investors!$E:$E,'Investor Exit List'!$C244,Investors!$L:$L,'Investor Exit List'!$B244)+SUMIFS(Investors!$M:$M,Investors!$I:$I,"&lt;="&amp;'NSST Print'!$B$3,Investors!$J:$J,"",Investors!$A:$A,'Investor Exit List'!$A244,Investors!$E:$E,'Investor Exit List'!$C244,Investors!$L:$L,'Investor Exit List'!$B244))+SUMIFS(Investors!$S:$S,Investors!$O:$O,FALSE,Investors!$P:$P,FALSE,Investors!$K:$K,"&gt;"&amp;'NSST Print'!$B$3,Investors!$I:$I,"&lt;="&amp;'NSST Print'!$B$3,Investors!$A:$A,'Investor Exit List'!$A244,Investors!$E:$E,'Investor Exit List'!$C244,Investors!$L:$L,'Investor Exit List'!$B244)-(SUMIFS(Investors!$S:$S,Investors!$I:$I,"&lt;="&amp;'NSST Print'!$B$3,Investors!$J:$J,"&gt;"&amp;'NSST Print'!$B$3,Investors!$A:$A,'Investor Exit List'!$A244,Investors!$E:$E,'Investor Exit List'!$C244,Investors!$L:$L,'Investor Exit List'!$B244)+SUMIFS(Investors!$S:$S,Investors!$I:$I,"&lt;="&amp;'NSST Print'!$B$3,Investors!$J:$J,"",Investors!$A:$A,'Investor Exit List'!$A244,Investors!$E:$E,'Investor Exit List'!$C244,Investors!$L:$L,'Investor Exit List'!$B244))</f>
        <v>842653.66947452049</v>
      </c>
      <c r="R244" s="117">
        <f t="shared" si="41"/>
        <v>0</v>
      </c>
      <c r="S244" s="117">
        <f>SUMIFS(Investors!$M:$M,Investors!$O:$O,TRUE,Investors!$A:$A,'Investor Exit List'!$A244,Investors!$E:$E,'Investor Exit List'!$C244,Investors!$L:$L,'Investor Exit List'!$B244)+SUMIFS(Investors!$S:$S,Investors!$O:$O,TRUE,Investors!$A:$A,'Investor Exit List'!$A244,Investors!$E:$E,'Investor Exit List'!$C244,Investors!$L:$L,'Investor Exit List'!$B244)</f>
        <v>0</v>
      </c>
      <c r="T244" s="118" t="str">
        <f t="shared" si="42"/>
        <v/>
      </c>
      <c r="U244" s="116" t="b">
        <v>0</v>
      </c>
      <c r="V244" s="117">
        <f t="shared" si="43"/>
        <v>0</v>
      </c>
      <c r="W244" s="116">
        <v>0</v>
      </c>
      <c r="X244" s="116" t="b">
        <v>0</v>
      </c>
      <c r="Y244" s="119">
        <f>IF(H244=FALSE,VLOOKUP($C244,Sales!$C:$F,4,FALSE),1)</f>
        <v>0</v>
      </c>
      <c r="Z244" s="116" t="str">
        <f t="shared" si="44"/>
        <v>Release</v>
      </c>
      <c r="AA244" s="118">
        <f t="shared" si="45"/>
        <v>46080</v>
      </c>
      <c r="AB244" s="118" t="str">
        <f t="shared" si="46"/>
        <v>HVE201-ZLEB01</v>
      </c>
      <c r="AC244" s="118">
        <f t="shared" si="47"/>
        <v>46138</v>
      </c>
    </row>
    <row r="245" spans="1:29" ht="16" x14ac:dyDescent="0.2">
      <c r="A245" s="116" t="s">
        <v>581</v>
      </c>
      <c r="B245" s="116">
        <v>2</v>
      </c>
      <c r="C245" s="116" t="s">
        <v>580</v>
      </c>
      <c r="D245" s="116" t="s">
        <v>569</v>
      </c>
      <c r="E245" s="116" t="s">
        <v>2169</v>
      </c>
      <c r="F245" s="117">
        <f>SUMIFS(Investors!$M:$M,Investors!$O:$O,FALSE,Investors!$P:$P,FALSE,Investors!$K:$K,"&gt;"&amp;'NSST Print'!$B$3,Investors!$I:$I,"&lt;="&amp;'NSST Print'!$B$3,Investors!$A:$A,'Investor Exit List'!$A245,Investors!$E:$E,'Investor Exit List'!$C245,Investors!$L:$L,'Investor Exit List'!$B245)-(SUMIFS(Investors!$M:$M,Investors!$I:$I,"&lt;="&amp;'NSST Print'!$B$3,Investors!$J:$J,"&gt;"&amp;'NSST Print'!$B$3,Investors!$A:$A,'Investor Exit List'!$A245,Investors!$E:$E,'Investor Exit List'!$C245,Investors!$L:$L,'Investor Exit List'!$B245)+SUMIFS(Investors!$M:$M,Investors!$I:$I,"&lt;="&amp;'NSST Print'!$B$3,Investors!$J:$J,"",Investors!$A:$A,'Investor Exit List'!$A245,Investors!$E:$E,'Investor Exit List'!$C245,Investors!$L:$L,'Investor Exit List'!$B245))</f>
        <v>500000</v>
      </c>
      <c r="G245" s="118">
        <v>45350</v>
      </c>
      <c r="H245" s="116" t="b">
        <f>VLOOKUP($C245,Sales!$C:$E,2,FALSE)</f>
        <v>0</v>
      </c>
      <c r="I245" s="116" t="b">
        <f>VLOOKUP($C245,Sales!$C:$E,3,FALSE)</f>
        <v>0</v>
      </c>
      <c r="J245" s="118">
        <f>SUMIFS(Sales!$H:$H,Sales!$C:$C,'Investor Exit List'!$C245)</f>
        <v>45685</v>
      </c>
      <c r="K245" s="118" t="str">
        <f t="shared" si="36"/>
        <v/>
      </c>
      <c r="L245" s="118">
        <f t="shared" si="37"/>
        <v>46080</v>
      </c>
      <c r="M245" s="118">
        <v>45443</v>
      </c>
      <c r="N245" s="119">
        <f t="shared" si="38"/>
        <v>637</v>
      </c>
      <c r="O245" s="119">
        <f t="shared" si="39"/>
        <v>0</v>
      </c>
      <c r="P245" s="117">
        <f t="shared" si="40"/>
        <v>0</v>
      </c>
      <c r="Q245" s="117">
        <f>SUMIFS(Investors!$M:$M,Investors!$O:$O,FALSE,Investors!$P:$P,FALSE,Investors!$K:$K,"&gt;"&amp;'NSST Print'!$B$3,Investors!$I:$I,"&lt;="&amp;'NSST Print'!$B$3,Investors!$A:$A,'Investor Exit List'!$A245,Investors!$E:$E,'Investor Exit List'!$C245,Investors!$L:$L,'Investor Exit List'!$B245)-(SUMIFS(Investors!$M:$M,Investors!$I:$I,"&lt;="&amp;'NSST Print'!$B$3,Investors!$J:$J,"&gt;"&amp;'NSST Print'!$B$3,Investors!$A:$A,'Investor Exit List'!$A245,Investors!$E:$E,'Investor Exit List'!$C245,Investors!$L:$L,'Investor Exit List'!$B245)+SUMIFS(Investors!$M:$M,Investors!$I:$I,"&lt;="&amp;'NSST Print'!$B$3,Investors!$J:$J,"",Investors!$A:$A,'Investor Exit List'!$A245,Investors!$E:$E,'Investor Exit List'!$C245,Investors!$L:$L,'Investor Exit List'!$B245))+SUMIFS(Investors!$S:$S,Investors!$O:$O,FALSE,Investors!$P:$P,FALSE,Investors!$K:$K,"&gt;"&amp;'NSST Print'!$B$3,Investors!$I:$I,"&lt;="&amp;'NSST Print'!$B$3,Investors!$A:$A,'Investor Exit List'!$A245,Investors!$E:$E,'Investor Exit List'!$C245,Investors!$L:$L,'Investor Exit List'!$B245)-(SUMIFS(Investors!$S:$S,Investors!$I:$I,"&lt;="&amp;'NSST Print'!$B$3,Investors!$J:$J,"&gt;"&amp;'NSST Print'!$B$3,Investors!$A:$A,'Investor Exit List'!$A245,Investors!$E:$E,'Investor Exit List'!$C245,Investors!$L:$L,'Investor Exit List'!$B245)+SUMIFS(Investors!$S:$S,Investors!$I:$I,"&lt;="&amp;'NSST Print'!$B$3,Investors!$J:$J,"",Investors!$A:$A,'Investor Exit List'!$A245,Investors!$E:$E,'Investor Exit List'!$C245,Investors!$L:$L,'Investor Exit List'!$B245))</f>
        <v>596780.82191780827</v>
      </c>
      <c r="R245" s="117">
        <f t="shared" si="41"/>
        <v>0</v>
      </c>
      <c r="S245" s="117">
        <f>SUMIFS(Investors!$M:$M,Investors!$O:$O,TRUE,Investors!$A:$A,'Investor Exit List'!$A245,Investors!$E:$E,'Investor Exit List'!$C245,Investors!$L:$L,'Investor Exit List'!$B245)+SUMIFS(Investors!$S:$S,Investors!$O:$O,TRUE,Investors!$A:$A,'Investor Exit List'!$A245,Investors!$E:$E,'Investor Exit List'!$C245,Investors!$L:$L,'Investor Exit List'!$B245)</f>
        <v>0</v>
      </c>
      <c r="T245" s="118" t="str">
        <f t="shared" si="42"/>
        <v/>
      </c>
      <c r="U245" s="116" t="b">
        <v>0</v>
      </c>
      <c r="V245" s="117">
        <f t="shared" si="43"/>
        <v>0</v>
      </c>
      <c r="W245" s="116">
        <v>0</v>
      </c>
      <c r="X245" s="116" t="b">
        <v>0</v>
      </c>
      <c r="Y245" s="119">
        <f>IF(H245=FALSE,VLOOKUP($C245,Sales!$C:$F,4,FALSE),1)</f>
        <v>0</v>
      </c>
      <c r="Z245" s="116" t="str">
        <f t="shared" si="44"/>
        <v>Release</v>
      </c>
      <c r="AA245" s="118">
        <f t="shared" si="45"/>
        <v>46080</v>
      </c>
      <c r="AB245" s="118" t="str">
        <f t="shared" si="46"/>
        <v>HVE201-ZSCO01</v>
      </c>
      <c r="AC245" s="118">
        <f t="shared" si="47"/>
        <v>46080</v>
      </c>
    </row>
    <row r="246" spans="1:29" ht="16" x14ac:dyDescent="0.2">
      <c r="A246" s="116" t="s">
        <v>576</v>
      </c>
      <c r="B246" s="116">
        <v>7</v>
      </c>
      <c r="C246" s="116" t="s">
        <v>584</v>
      </c>
      <c r="D246" s="116" t="s">
        <v>569</v>
      </c>
      <c r="E246" s="116" t="s">
        <v>2168</v>
      </c>
      <c r="F246" s="117">
        <f>SUMIFS(Investors!$M:$M,Investors!$O:$O,FALSE,Investors!$P:$P,FALSE,Investors!$K:$K,"&gt;"&amp;'NSST Print'!$B$3,Investors!$I:$I,"&lt;="&amp;'NSST Print'!$B$3,Investors!$A:$A,'Investor Exit List'!$A246,Investors!$E:$E,'Investor Exit List'!$C246,Investors!$L:$L,'Investor Exit List'!$B246)-(SUMIFS(Investors!$M:$M,Investors!$I:$I,"&lt;="&amp;'NSST Print'!$B$3,Investors!$J:$J,"&gt;"&amp;'NSST Print'!$B$3,Investors!$A:$A,'Investor Exit List'!$A246,Investors!$E:$E,'Investor Exit List'!$C246,Investors!$L:$L,'Investor Exit List'!$B246)+SUMIFS(Investors!$M:$M,Investors!$I:$I,"&lt;="&amp;'NSST Print'!$B$3,Investors!$J:$J,"",Investors!$A:$A,'Investor Exit List'!$A246,Investors!$E:$E,'Investor Exit List'!$C246,Investors!$L:$L,'Investor Exit List'!$B246))</f>
        <v>1200000</v>
      </c>
      <c r="G246" s="118">
        <v>45371</v>
      </c>
      <c r="H246" s="116" t="b">
        <f>VLOOKUP($C246,Sales!$C:$E,2,FALSE)</f>
        <v>0</v>
      </c>
      <c r="I246" s="116" t="b">
        <f>VLOOKUP($C246,Sales!$C:$E,3,FALSE)</f>
        <v>0</v>
      </c>
      <c r="J246" s="118">
        <f>SUMIFS(Sales!$H:$H,Sales!$C:$C,'Investor Exit List'!$C246)</f>
        <v>45685</v>
      </c>
      <c r="K246" s="118" t="str">
        <f t="shared" si="36"/>
        <v/>
      </c>
      <c r="L246" s="118">
        <f t="shared" si="37"/>
        <v>46101</v>
      </c>
      <c r="M246" s="118">
        <v>45443</v>
      </c>
      <c r="N246" s="119">
        <f t="shared" si="38"/>
        <v>658</v>
      </c>
      <c r="O246" s="119">
        <f t="shared" si="39"/>
        <v>0</v>
      </c>
      <c r="P246" s="117">
        <f t="shared" si="40"/>
        <v>0</v>
      </c>
      <c r="Q246" s="117">
        <f>SUMIFS(Investors!$M:$M,Investors!$O:$O,FALSE,Investors!$P:$P,FALSE,Investors!$K:$K,"&gt;"&amp;'NSST Print'!$B$3,Investors!$I:$I,"&lt;="&amp;'NSST Print'!$B$3,Investors!$A:$A,'Investor Exit List'!$A246,Investors!$E:$E,'Investor Exit List'!$C246,Investors!$L:$L,'Investor Exit List'!$B246)-(SUMIFS(Investors!$M:$M,Investors!$I:$I,"&lt;="&amp;'NSST Print'!$B$3,Investors!$J:$J,"&gt;"&amp;'NSST Print'!$B$3,Investors!$A:$A,'Investor Exit List'!$A246,Investors!$E:$E,'Investor Exit List'!$C246,Investors!$L:$L,'Investor Exit List'!$B246)+SUMIFS(Investors!$M:$M,Investors!$I:$I,"&lt;="&amp;'NSST Print'!$B$3,Investors!$J:$J,"",Investors!$A:$A,'Investor Exit List'!$A246,Investors!$E:$E,'Investor Exit List'!$C246,Investors!$L:$L,'Investor Exit List'!$B246))+SUMIFS(Investors!$S:$S,Investors!$O:$O,FALSE,Investors!$P:$P,FALSE,Investors!$K:$K,"&gt;"&amp;'NSST Print'!$B$3,Investors!$I:$I,"&lt;="&amp;'NSST Print'!$B$3,Investors!$A:$A,'Investor Exit List'!$A246,Investors!$E:$E,'Investor Exit List'!$C246,Investors!$L:$L,'Investor Exit List'!$B246)-(SUMIFS(Investors!$S:$S,Investors!$I:$I,"&lt;="&amp;'NSST Print'!$B$3,Investors!$J:$J,"&gt;"&amp;'NSST Print'!$B$3,Investors!$A:$A,'Investor Exit List'!$A246,Investors!$E:$E,'Investor Exit List'!$C246,Investors!$L:$L,'Investor Exit List'!$B246)+SUMIFS(Investors!$S:$S,Investors!$I:$I,"&lt;="&amp;'NSST Print'!$B$3,Investors!$J:$J,"",Investors!$A:$A,'Investor Exit List'!$A246,Investors!$E:$E,'Investor Exit List'!$C246,Investors!$L:$L,'Investor Exit List'!$B246))</f>
        <v>1452000</v>
      </c>
      <c r="R246" s="117">
        <f t="shared" si="41"/>
        <v>0</v>
      </c>
      <c r="S246" s="117">
        <f>SUMIFS(Investors!$M:$M,Investors!$O:$O,TRUE,Investors!$A:$A,'Investor Exit List'!$A246,Investors!$E:$E,'Investor Exit List'!$C246,Investors!$L:$L,'Investor Exit List'!$B246)+SUMIFS(Investors!$S:$S,Investors!$O:$O,TRUE,Investors!$A:$A,'Investor Exit List'!$A246,Investors!$E:$E,'Investor Exit List'!$C246,Investors!$L:$L,'Investor Exit List'!$B246)</f>
        <v>0</v>
      </c>
      <c r="T246" s="118" t="str">
        <f t="shared" si="42"/>
        <v/>
      </c>
      <c r="U246" s="116" t="b">
        <v>0</v>
      </c>
      <c r="V246" s="117">
        <f t="shared" si="43"/>
        <v>0</v>
      </c>
      <c r="W246" s="116">
        <v>0</v>
      </c>
      <c r="X246" s="116" t="b">
        <v>0</v>
      </c>
      <c r="Y246" s="119">
        <f>IF(H246=FALSE,VLOOKUP($C246,Sales!$C:$F,4,FALSE),1)</f>
        <v>0</v>
      </c>
      <c r="Z246" s="116" t="str">
        <f t="shared" si="44"/>
        <v>Release</v>
      </c>
      <c r="AA246" s="118">
        <f t="shared" si="45"/>
        <v>46101</v>
      </c>
      <c r="AB246" s="118" t="str">
        <f t="shared" si="46"/>
        <v>HVE202-ZMYB01</v>
      </c>
      <c r="AC246" s="118">
        <f t="shared" si="47"/>
        <v>46101</v>
      </c>
    </row>
    <row r="247" spans="1:29" ht="16" x14ac:dyDescent="0.2">
      <c r="A247" s="116" t="s">
        <v>585</v>
      </c>
      <c r="B247" s="116">
        <v>1</v>
      </c>
      <c r="C247" s="116" t="s">
        <v>588</v>
      </c>
      <c r="D247" s="116" t="s">
        <v>569</v>
      </c>
      <c r="E247" s="116" t="s">
        <v>2170</v>
      </c>
      <c r="F247" s="117">
        <f>SUMIFS(Investors!$M:$M,Investors!$O:$O,FALSE,Investors!$P:$P,FALSE,Investors!$K:$K,"&gt;"&amp;'NSST Print'!$B$3,Investors!$I:$I,"&lt;="&amp;'NSST Print'!$B$3,Investors!$A:$A,'Investor Exit List'!$A247,Investors!$E:$E,'Investor Exit List'!$C247,Investors!$L:$L,'Investor Exit List'!$B247)-(SUMIFS(Investors!$M:$M,Investors!$I:$I,"&lt;="&amp;'NSST Print'!$B$3,Investors!$J:$J,"&gt;"&amp;'NSST Print'!$B$3,Investors!$A:$A,'Investor Exit List'!$A247,Investors!$E:$E,'Investor Exit List'!$C247,Investors!$L:$L,'Investor Exit List'!$B247)+SUMIFS(Investors!$M:$M,Investors!$I:$I,"&lt;="&amp;'NSST Print'!$B$3,Investors!$J:$J,"",Investors!$A:$A,'Investor Exit List'!$A247,Investors!$E:$E,'Investor Exit List'!$C247,Investors!$L:$L,'Investor Exit List'!$B247))</f>
        <v>1200000</v>
      </c>
      <c r="G247" s="118">
        <v>45321</v>
      </c>
      <c r="H247" s="116" t="b">
        <f>VLOOKUP($C247,Sales!$C:$E,2,FALSE)</f>
        <v>0</v>
      </c>
      <c r="I247" s="116" t="b">
        <f>VLOOKUP($C247,Sales!$C:$E,3,FALSE)</f>
        <v>0</v>
      </c>
      <c r="J247" s="118">
        <f>SUMIFS(Sales!$H:$H,Sales!$C:$C,'Investor Exit List'!$C247)</f>
        <v>45685</v>
      </c>
      <c r="K247" s="118" t="str">
        <f t="shared" si="36"/>
        <v/>
      </c>
      <c r="L247" s="118">
        <f t="shared" si="37"/>
        <v>46051</v>
      </c>
      <c r="M247" s="118">
        <v>45443</v>
      </c>
      <c r="N247" s="119">
        <f t="shared" si="38"/>
        <v>608</v>
      </c>
      <c r="O247" s="119">
        <f t="shared" si="39"/>
        <v>0</v>
      </c>
      <c r="P247" s="117">
        <f t="shared" si="40"/>
        <v>0</v>
      </c>
      <c r="Q247" s="117">
        <f>SUMIFS(Investors!$M:$M,Investors!$O:$O,FALSE,Investors!$P:$P,FALSE,Investors!$K:$K,"&gt;"&amp;'NSST Print'!$B$3,Investors!$I:$I,"&lt;="&amp;'NSST Print'!$B$3,Investors!$A:$A,'Investor Exit List'!$A247,Investors!$E:$E,'Investor Exit List'!$C247,Investors!$L:$L,'Investor Exit List'!$B247)-(SUMIFS(Investors!$M:$M,Investors!$I:$I,"&lt;="&amp;'NSST Print'!$B$3,Investors!$J:$J,"&gt;"&amp;'NSST Print'!$B$3,Investors!$A:$A,'Investor Exit List'!$A247,Investors!$E:$E,'Investor Exit List'!$C247,Investors!$L:$L,'Investor Exit List'!$B247)+SUMIFS(Investors!$M:$M,Investors!$I:$I,"&lt;="&amp;'NSST Print'!$B$3,Investors!$J:$J,"",Investors!$A:$A,'Investor Exit List'!$A247,Investors!$E:$E,'Investor Exit List'!$C247,Investors!$L:$L,'Investor Exit List'!$B247))+SUMIFS(Investors!$S:$S,Investors!$O:$O,FALSE,Investors!$P:$P,FALSE,Investors!$K:$K,"&gt;"&amp;'NSST Print'!$B$3,Investors!$I:$I,"&lt;="&amp;'NSST Print'!$B$3,Investors!$A:$A,'Investor Exit List'!$A247,Investors!$E:$E,'Investor Exit List'!$C247,Investors!$L:$L,'Investor Exit List'!$B247)-(SUMIFS(Investors!$S:$S,Investors!$I:$I,"&lt;="&amp;'NSST Print'!$B$3,Investors!$J:$J,"&gt;"&amp;'NSST Print'!$B$3,Investors!$A:$A,'Investor Exit List'!$A247,Investors!$E:$E,'Investor Exit List'!$C247,Investors!$L:$L,'Investor Exit List'!$B247)+SUMIFS(Investors!$S:$S,Investors!$I:$I,"&lt;="&amp;'NSST Print'!$B$3,Investors!$J:$J,"",Investors!$A:$A,'Investor Exit List'!$A247,Investors!$E:$E,'Investor Exit List'!$C247,Investors!$L:$L,'Investor Exit List'!$B247))</f>
        <v>1460975.3424657534</v>
      </c>
      <c r="R247" s="117">
        <f t="shared" si="41"/>
        <v>0</v>
      </c>
      <c r="S247" s="117">
        <f>SUMIFS(Investors!$M:$M,Investors!$O:$O,TRUE,Investors!$A:$A,'Investor Exit List'!$A247,Investors!$E:$E,'Investor Exit List'!$C247,Investors!$L:$L,'Investor Exit List'!$B247)+SUMIFS(Investors!$S:$S,Investors!$O:$O,TRUE,Investors!$A:$A,'Investor Exit List'!$A247,Investors!$E:$E,'Investor Exit List'!$C247,Investors!$L:$L,'Investor Exit List'!$B247)</f>
        <v>0</v>
      </c>
      <c r="T247" s="118" t="str">
        <f t="shared" si="42"/>
        <v/>
      </c>
      <c r="U247" s="116" t="b">
        <v>0</v>
      </c>
      <c r="V247" s="117">
        <f t="shared" si="43"/>
        <v>0</v>
      </c>
      <c r="W247" s="116">
        <v>0</v>
      </c>
      <c r="X247" s="116" t="b">
        <v>0</v>
      </c>
      <c r="Y247" s="119">
        <f>IF(H247=FALSE,VLOOKUP($C247,Sales!$C:$F,4,FALSE),1)</f>
        <v>0</v>
      </c>
      <c r="Z247" s="116" t="str">
        <f t="shared" si="44"/>
        <v>Release</v>
      </c>
      <c r="AA247" s="118">
        <f t="shared" si="45"/>
        <v>46051</v>
      </c>
      <c r="AB247" s="118" t="str">
        <f t="shared" si="46"/>
        <v>HVE203-ZHOW01</v>
      </c>
      <c r="AC247" s="118">
        <f t="shared" si="47"/>
        <v>46051</v>
      </c>
    </row>
    <row r="248" spans="1:29" ht="16" x14ac:dyDescent="0.2">
      <c r="A248" s="116" t="s">
        <v>576</v>
      </c>
      <c r="B248" s="116">
        <v>8</v>
      </c>
      <c r="C248" s="116" t="s">
        <v>589</v>
      </c>
      <c r="D248" s="116" t="s">
        <v>569</v>
      </c>
      <c r="E248" s="116" t="s">
        <v>2168</v>
      </c>
      <c r="F248" s="117">
        <f>SUMIFS(Investors!$M:$M,Investors!$O:$O,FALSE,Investors!$P:$P,FALSE,Investors!$K:$K,"&gt;"&amp;'NSST Print'!$B$3,Investors!$I:$I,"&lt;="&amp;'NSST Print'!$B$3,Investors!$A:$A,'Investor Exit List'!$A248,Investors!$E:$E,'Investor Exit List'!$C248,Investors!$L:$L,'Investor Exit List'!$B248)-(SUMIFS(Investors!$M:$M,Investors!$I:$I,"&lt;="&amp;'NSST Print'!$B$3,Investors!$J:$J,"&gt;"&amp;'NSST Print'!$B$3,Investors!$A:$A,'Investor Exit List'!$A248,Investors!$E:$E,'Investor Exit List'!$C248,Investors!$L:$L,'Investor Exit List'!$B248)+SUMIFS(Investors!$M:$M,Investors!$I:$I,"&lt;="&amp;'NSST Print'!$B$3,Investors!$J:$J,"",Investors!$A:$A,'Investor Exit List'!$A248,Investors!$E:$E,'Investor Exit List'!$C248,Investors!$L:$L,'Investor Exit List'!$B248))</f>
        <v>1200000</v>
      </c>
      <c r="G248" s="118">
        <v>45371</v>
      </c>
      <c r="H248" s="116" t="b">
        <f>VLOOKUP($C248,Sales!$C:$E,2,FALSE)</f>
        <v>0</v>
      </c>
      <c r="I248" s="116" t="b">
        <f>VLOOKUP($C248,Sales!$C:$E,3,FALSE)</f>
        <v>0</v>
      </c>
      <c r="J248" s="118">
        <f>SUMIFS(Sales!$H:$H,Sales!$C:$C,'Investor Exit List'!$C248)</f>
        <v>45685</v>
      </c>
      <c r="K248" s="118" t="str">
        <f t="shared" si="36"/>
        <v/>
      </c>
      <c r="L248" s="118">
        <f t="shared" si="37"/>
        <v>46101</v>
      </c>
      <c r="M248" s="118">
        <v>45443</v>
      </c>
      <c r="N248" s="119">
        <f t="shared" si="38"/>
        <v>658</v>
      </c>
      <c r="O248" s="119">
        <f t="shared" si="39"/>
        <v>0</v>
      </c>
      <c r="P248" s="117">
        <f t="shared" si="40"/>
        <v>0</v>
      </c>
      <c r="Q248" s="117">
        <f>SUMIFS(Investors!$M:$M,Investors!$O:$O,FALSE,Investors!$P:$P,FALSE,Investors!$K:$K,"&gt;"&amp;'NSST Print'!$B$3,Investors!$I:$I,"&lt;="&amp;'NSST Print'!$B$3,Investors!$A:$A,'Investor Exit List'!$A248,Investors!$E:$E,'Investor Exit List'!$C248,Investors!$L:$L,'Investor Exit List'!$B248)-(SUMIFS(Investors!$M:$M,Investors!$I:$I,"&lt;="&amp;'NSST Print'!$B$3,Investors!$J:$J,"&gt;"&amp;'NSST Print'!$B$3,Investors!$A:$A,'Investor Exit List'!$A248,Investors!$E:$E,'Investor Exit List'!$C248,Investors!$L:$L,'Investor Exit List'!$B248)+SUMIFS(Investors!$M:$M,Investors!$I:$I,"&lt;="&amp;'NSST Print'!$B$3,Investors!$J:$J,"",Investors!$A:$A,'Investor Exit List'!$A248,Investors!$E:$E,'Investor Exit List'!$C248,Investors!$L:$L,'Investor Exit List'!$B248))+SUMIFS(Investors!$S:$S,Investors!$O:$O,FALSE,Investors!$P:$P,FALSE,Investors!$K:$K,"&gt;"&amp;'NSST Print'!$B$3,Investors!$I:$I,"&lt;="&amp;'NSST Print'!$B$3,Investors!$A:$A,'Investor Exit List'!$A248,Investors!$E:$E,'Investor Exit List'!$C248,Investors!$L:$L,'Investor Exit List'!$B248)-(SUMIFS(Investors!$S:$S,Investors!$I:$I,"&lt;="&amp;'NSST Print'!$B$3,Investors!$J:$J,"&gt;"&amp;'NSST Print'!$B$3,Investors!$A:$A,'Investor Exit List'!$A248,Investors!$E:$E,'Investor Exit List'!$C248,Investors!$L:$L,'Investor Exit List'!$B248)+SUMIFS(Investors!$S:$S,Investors!$I:$I,"&lt;="&amp;'NSST Print'!$B$3,Investors!$J:$J,"",Investors!$A:$A,'Investor Exit List'!$A248,Investors!$E:$E,'Investor Exit List'!$C248,Investors!$L:$L,'Investor Exit List'!$B248))</f>
        <v>1452000</v>
      </c>
      <c r="R248" s="117">
        <f t="shared" si="41"/>
        <v>0</v>
      </c>
      <c r="S248" s="117">
        <f>SUMIFS(Investors!$M:$M,Investors!$O:$O,TRUE,Investors!$A:$A,'Investor Exit List'!$A248,Investors!$E:$E,'Investor Exit List'!$C248,Investors!$L:$L,'Investor Exit List'!$B248)+SUMIFS(Investors!$S:$S,Investors!$O:$O,TRUE,Investors!$A:$A,'Investor Exit List'!$A248,Investors!$E:$E,'Investor Exit List'!$C248,Investors!$L:$L,'Investor Exit List'!$B248)</f>
        <v>0</v>
      </c>
      <c r="T248" s="118" t="str">
        <f t="shared" si="42"/>
        <v/>
      </c>
      <c r="U248" s="116" t="b">
        <v>0</v>
      </c>
      <c r="V248" s="117">
        <f t="shared" si="43"/>
        <v>0</v>
      </c>
      <c r="W248" s="116">
        <v>0</v>
      </c>
      <c r="X248" s="116" t="b">
        <v>0</v>
      </c>
      <c r="Y248" s="119">
        <f>IF(H248=FALSE,VLOOKUP($C248,Sales!$C:$F,4,FALSE),1)</f>
        <v>0</v>
      </c>
      <c r="Z248" s="116" t="str">
        <f t="shared" si="44"/>
        <v>Release</v>
      </c>
      <c r="AA248" s="118">
        <f t="shared" si="45"/>
        <v>46101</v>
      </c>
      <c r="AB248" s="118" t="str">
        <f t="shared" si="46"/>
        <v>HVE204-ZMYB01</v>
      </c>
      <c r="AC248" s="118">
        <f t="shared" si="47"/>
        <v>46101</v>
      </c>
    </row>
    <row r="249" spans="1:29" ht="16" x14ac:dyDescent="0.2">
      <c r="A249" s="116" t="s">
        <v>576</v>
      </c>
      <c r="B249" s="116">
        <v>9</v>
      </c>
      <c r="C249" s="116" t="s">
        <v>590</v>
      </c>
      <c r="D249" s="116" t="s">
        <v>569</v>
      </c>
      <c r="E249" s="116" t="s">
        <v>2168</v>
      </c>
      <c r="F249" s="117">
        <f>SUMIFS(Investors!$M:$M,Investors!$O:$O,FALSE,Investors!$P:$P,FALSE,Investors!$K:$K,"&gt;"&amp;'NSST Print'!$B$3,Investors!$I:$I,"&lt;="&amp;'NSST Print'!$B$3,Investors!$A:$A,'Investor Exit List'!$A249,Investors!$E:$E,'Investor Exit List'!$C249,Investors!$L:$L,'Investor Exit List'!$B249)-(SUMIFS(Investors!$M:$M,Investors!$I:$I,"&lt;="&amp;'NSST Print'!$B$3,Investors!$J:$J,"&gt;"&amp;'NSST Print'!$B$3,Investors!$A:$A,'Investor Exit List'!$A249,Investors!$E:$E,'Investor Exit List'!$C249,Investors!$L:$L,'Investor Exit List'!$B249)+SUMIFS(Investors!$M:$M,Investors!$I:$I,"&lt;="&amp;'NSST Print'!$B$3,Investors!$J:$J,"",Investors!$A:$A,'Investor Exit List'!$A249,Investors!$E:$E,'Investor Exit List'!$C249,Investors!$L:$L,'Investor Exit List'!$B249))</f>
        <v>1200000</v>
      </c>
      <c r="G249" s="118">
        <v>45350</v>
      </c>
      <c r="H249" s="116" t="b">
        <f>VLOOKUP($C249,Sales!$C:$E,2,FALSE)</f>
        <v>0</v>
      </c>
      <c r="I249" s="116" t="b">
        <f>VLOOKUP($C249,Sales!$C:$E,3,FALSE)</f>
        <v>0</v>
      </c>
      <c r="J249" s="118">
        <f>SUMIFS(Sales!$H:$H,Sales!$C:$C,'Investor Exit List'!$C249)</f>
        <v>45685</v>
      </c>
      <c r="K249" s="118" t="str">
        <f t="shared" si="36"/>
        <v/>
      </c>
      <c r="L249" s="118">
        <f t="shared" si="37"/>
        <v>46080</v>
      </c>
      <c r="M249" s="118">
        <v>45443</v>
      </c>
      <c r="N249" s="119">
        <f t="shared" si="38"/>
        <v>637</v>
      </c>
      <c r="O249" s="119">
        <f t="shared" si="39"/>
        <v>0</v>
      </c>
      <c r="P249" s="117">
        <f t="shared" si="40"/>
        <v>0</v>
      </c>
      <c r="Q249" s="117">
        <f>SUMIFS(Investors!$M:$M,Investors!$O:$O,FALSE,Investors!$P:$P,FALSE,Investors!$K:$K,"&gt;"&amp;'NSST Print'!$B$3,Investors!$I:$I,"&lt;="&amp;'NSST Print'!$B$3,Investors!$A:$A,'Investor Exit List'!$A249,Investors!$E:$E,'Investor Exit List'!$C249,Investors!$L:$L,'Investor Exit List'!$B249)-(SUMIFS(Investors!$M:$M,Investors!$I:$I,"&lt;="&amp;'NSST Print'!$B$3,Investors!$J:$J,"&gt;"&amp;'NSST Print'!$B$3,Investors!$A:$A,'Investor Exit List'!$A249,Investors!$E:$E,'Investor Exit List'!$C249,Investors!$L:$L,'Investor Exit List'!$B249)+SUMIFS(Investors!$M:$M,Investors!$I:$I,"&lt;="&amp;'NSST Print'!$B$3,Investors!$J:$J,"",Investors!$A:$A,'Investor Exit List'!$A249,Investors!$E:$E,'Investor Exit List'!$C249,Investors!$L:$L,'Investor Exit List'!$B249))+SUMIFS(Investors!$S:$S,Investors!$O:$O,FALSE,Investors!$P:$P,FALSE,Investors!$K:$K,"&gt;"&amp;'NSST Print'!$B$3,Investors!$I:$I,"&lt;="&amp;'NSST Print'!$B$3,Investors!$A:$A,'Investor Exit List'!$A249,Investors!$E:$E,'Investor Exit List'!$C249,Investors!$L:$L,'Investor Exit List'!$B249)-(SUMIFS(Investors!$S:$S,Investors!$I:$I,"&lt;="&amp;'NSST Print'!$B$3,Investors!$J:$J,"&gt;"&amp;'NSST Print'!$B$3,Investors!$A:$A,'Investor Exit List'!$A249,Investors!$E:$E,'Investor Exit List'!$C249,Investors!$L:$L,'Investor Exit List'!$B249)+SUMIFS(Investors!$S:$S,Investors!$I:$I,"&lt;="&amp;'NSST Print'!$B$3,Investors!$J:$J,"",Investors!$A:$A,'Investor Exit List'!$A249,Investors!$E:$E,'Investor Exit List'!$C249,Investors!$L:$L,'Investor Exit List'!$B249))</f>
        <v>1456832.8767123288</v>
      </c>
      <c r="R249" s="117">
        <f t="shared" si="41"/>
        <v>0</v>
      </c>
      <c r="S249" s="117">
        <f>SUMIFS(Investors!$M:$M,Investors!$O:$O,TRUE,Investors!$A:$A,'Investor Exit List'!$A249,Investors!$E:$E,'Investor Exit List'!$C249,Investors!$L:$L,'Investor Exit List'!$B249)+SUMIFS(Investors!$S:$S,Investors!$O:$O,TRUE,Investors!$A:$A,'Investor Exit List'!$A249,Investors!$E:$E,'Investor Exit List'!$C249,Investors!$L:$L,'Investor Exit List'!$B249)</f>
        <v>0</v>
      </c>
      <c r="T249" s="118" t="str">
        <f t="shared" si="42"/>
        <v/>
      </c>
      <c r="U249" s="116" t="b">
        <v>0</v>
      </c>
      <c r="V249" s="117">
        <f t="shared" si="43"/>
        <v>0</v>
      </c>
      <c r="W249" s="116">
        <v>0</v>
      </c>
      <c r="X249" s="116" t="b">
        <v>0</v>
      </c>
      <c r="Y249" s="119">
        <f>IF(H249=FALSE,VLOOKUP($C249,Sales!$C:$F,4,FALSE),1)</f>
        <v>0</v>
      </c>
      <c r="Z249" s="116" t="str">
        <f t="shared" si="44"/>
        <v>Release</v>
      </c>
      <c r="AA249" s="118">
        <f t="shared" si="45"/>
        <v>46080</v>
      </c>
      <c r="AB249" s="118" t="str">
        <f t="shared" si="46"/>
        <v>HVE301-ZMYB01</v>
      </c>
      <c r="AC249" s="118">
        <f t="shared" si="47"/>
        <v>46080</v>
      </c>
    </row>
    <row r="250" spans="1:29" ht="16" x14ac:dyDescent="0.2">
      <c r="A250" s="116" t="s">
        <v>585</v>
      </c>
      <c r="B250" s="116">
        <v>2</v>
      </c>
      <c r="C250" s="116" t="s">
        <v>591</v>
      </c>
      <c r="D250" s="116" t="s">
        <v>569</v>
      </c>
      <c r="E250" s="116" t="s">
        <v>2170</v>
      </c>
      <c r="F250" s="117">
        <f>SUMIFS(Investors!$M:$M,Investors!$O:$O,FALSE,Investors!$P:$P,FALSE,Investors!$K:$K,"&gt;"&amp;'NSST Print'!$B$3,Investors!$I:$I,"&lt;="&amp;'NSST Print'!$B$3,Investors!$A:$A,'Investor Exit List'!$A250,Investors!$E:$E,'Investor Exit List'!$C250,Investors!$L:$L,'Investor Exit List'!$B250)-(SUMIFS(Investors!$M:$M,Investors!$I:$I,"&lt;="&amp;'NSST Print'!$B$3,Investors!$J:$J,"&gt;"&amp;'NSST Print'!$B$3,Investors!$A:$A,'Investor Exit List'!$A250,Investors!$E:$E,'Investor Exit List'!$C250,Investors!$L:$L,'Investor Exit List'!$B250)+SUMIFS(Investors!$M:$M,Investors!$I:$I,"&lt;="&amp;'NSST Print'!$B$3,Investors!$J:$J,"",Investors!$A:$A,'Investor Exit List'!$A250,Investors!$E:$E,'Investor Exit List'!$C250,Investors!$L:$L,'Investor Exit List'!$B250))</f>
        <v>1200000</v>
      </c>
      <c r="G250" s="118">
        <v>45321</v>
      </c>
      <c r="H250" s="116" t="b">
        <f>VLOOKUP($C250,Sales!$C:$E,2,FALSE)</f>
        <v>0</v>
      </c>
      <c r="I250" s="116" t="b">
        <f>VLOOKUP($C250,Sales!$C:$E,3,FALSE)</f>
        <v>0</v>
      </c>
      <c r="J250" s="118">
        <f>SUMIFS(Sales!$H:$H,Sales!$C:$C,'Investor Exit List'!$C250)</f>
        <v>45685</v>
      </c>
      <c r="K250" s="118" t="str">
        <f t="shared" si="36"/>
        <v/>
      </c>
      <c r="L250" s="118">
        <f t="shared" si="37"/>
        <v>46051</v>
      </c>
      <c r="M250" s="118">
        <v>45443</v>
      </c>
      <c r="N250" s="119">
        <f t="shared" si="38"/>
        <v>608</v>
      </c>
      <c r="O250" s="119">
        <f t="shared" si="39"/>
        <v>0</v>
      </c>
      <c r="P250" s="117">
        <f t="shared" si="40"/>
        <v>0</v>
      </c>
      <c r="Q250" s="117">
        <f>SUMIFS(Investors!$M:$M,Investors!$O:$O,FALSE,Investors!$P:$P,FALSE,Investors!$K:$K,"&gt;"&amp;'NSST Print'!$B$3,Investors!$I:$I,"&lt;="&amp;'NSST Print'!$B$3,Investors!$A:$A,'Investor Exit List'!$A250,Investors!$E:$E,'Investor Exit List'!$C250,Investors!$L:$L,'Investor Exit List'!$B250)-(SUMIFS(Investors!$M:$M,Investors!$I:$I,"&lt;="&amp;'NSST Print'!$B$3,Investors!$J:$J,"&gt;"&amp;'NSST Print'!$B$3,Investors!$A:$A,'Investor Exit List'!$A250,Investors!$E:$E,'Investor Exit List'!$C250,Investors!$L:$L,'Investor Exit List'!$B250)+SUMIFS(Investors!$M:$M,Investors!$I:$I,"&lt;="&amp;'NSST Print'!$B$3,Investors!$J:$J,"",Investors!$A:$A,'Investor Exit List'!$A250,Investors!$E:$E,'Investor Exit List'!$C250,Investors!$L:$L,'Investor Exit List'!$B250))+SUMIFS(Investors!$S:$S,Investors!$O:$O,FALSE,Investors!$P:$P,FALSE,Investors!$K:$K,"&gt;"&amp;'NSST Print'!$B$3,Investors!$I:$I,"&lt;="&amp;'NSST Print'!$B$3,Investors!$A:$A,'Investor Exit List'!$A250,Investors!$E:$E,'Investor Exit List'!$C250,Investors!$L:$L,'Investor Exit List'!$B250)-(SUMIFS(Investors!$S:$S,Investors!$I:$I,"&lt;="&amp;'NSST Print'!$B$3,Investors!$J:$J,"&gt;"&amp;'NSST Print'!$B$3,Investors!$A:$A,'Investor Exit List'!$A250,Investors!$E:$E,'Investor Exit List'!$C250,Investors!$L:$L,'Investor Exit List'!$B250)+SUMIFS(Investors!$S:$S,Investors!$I:$I,"&lt;="&amp;'NSST Print'!$B$3,Investors!$J:$J,"",Investors!$A:$A,'Investor Exit List'!$A250,Investors!$E:$E,'Investor Exit List'!$C250,Investors!$L:$L,'Investor Exit List'!$B250))</f>
        <v>1460975.3424657534</v>
      </c>
      <c r="R250" s="117">
        <f t="shared" si="41"/>
        <v>0</v>
      </c>
      <c r="S250" s="117">
        <f>SUMIFS(Investors!$M:$M,Investors!$O:$O,TRUE,Investors!$A:$A,'Investor Exit List'!$A250,Investors!$E:$E,'Investor Exit List'!$C250,Investors!$L:$L,'Investor Exit List'!$B250)+SUMIFS(Investors!$S:$S,Investors!$O:$O,TRUE,Investors!$A:$A,'Investor Exit List'!$A250,Investors!$E:$E,'Investor Exit List'!$C250,Investors!$L:$L,'Investor Exit List'!$B250)</f>
        <v>0</v>
      </c>
      <c r="T250" s="118" t="str">
        <f t="shared" si="42"/>
        <v/>
      </c>
      <c r="U250" s="116" t="b">
        <v>0</v>
      </c>
      <c r="V250" s="117">
        <f t="shared" si="43"/>
        <v>0</v>
      </c>
      <c r="W250" s="116">
        <v>0</v>
      </c>
      <c r="X250" s="116" t="b">
        <v>0</v>
      </c>
      <c r="Y250" s="119">
        <f>IF(H250=FALSE,VLOOKUP($C250,Sales!$C:$F,4,FALSE),1)</f>
        <v>0</v>
      </c>
      <c r="Z250" s="116" t="str">
        <f t="shared" si="44"/>
        <v>Release</v>
      </c>
      <c r="AA250" s="118">
        <f t="shared" si="45"/>
        <v>46051</v>
      </c>
      <c r="AB250" s="118" t="str">
        <f t="shared" si="46"/>
        <v>HVE302-ZHOW01</v>
      </c>
      <c r="AC250" s="118">
        <f t="shared" si="47"/>
        <v>46051</v>
      </c>
    </row>
    <row r="251" spans="1:29" ht="16" x14ac:dyDescent="0.2">
      <c r="A251" s="116" t="s">
        <v>52</v>
      </c>
      <c r="B251" s="116">
        <v>17</v>
      </c>
      <c r="C251" s="116" t="s">
        <v>592</v>
      </c>
      <c r="D251" s="116" t="s">
        <v>569</v>
      </c>
      <c r="E251" s="116" t="s">
        <v>2017</v>
      </c>
      <c r="F251" s="117">
        <f>SUMIFS(Investors!$M:$M,Investors!$O:$O,FALSE,Investors!$P:$P,FALSE,Investors!$K:$K,"&gt;"&amp;'NSST Print'!$B$3,Investors!$I:$I,"&lt;="&amp;'NSST Print'!$B$3,Investors!$A:$A,'Investor Exit List'!$A251,Investors!$E:$E,'Investor Exit List'!$C251,Investors!$L:$L,'Investor Exit List'!$B251)-(SUMIFS(Investors!$M:$M,Investors!$I:$I,"&lt;="&amp;'NSST Print'!$B$3,Investors!$J:$J,"&gt;"&amp;'NSST Print'!$B$3,Investors!$A:$A,'Investor Exit List'!$A251,Investors!$E:$E,'Investor Exit List'!$C251,Investors!$L:$L,'Investor Exit List'!$B251)+SUMIFS(Investors!$M:$M,Investors!$I:$I,"&lt;="&amp;'NSST Print'!$B$3,Investors!$J:$J,"",Investors!$A:$A,'Investor Exit List'!$A251,Investors!$E:$E,'Investor Exit List'!$C251,Investors!$L:$L,'Investor Exit List'!$B251))</f>
        <v>110000</v>
      </c>
      <c r="G251" s="118">
        <v>45224</v>
      </c>
      <c r="H251" s="116" t="b">
        <f>VLOOKUP($C251,Sales!$C:$E,2,FALSE)</f>
        <v>0</v>
      </c>
      <c r="I251" s="116" t="b">
        <f>VLOOKUP($C251,Sales!$C:$E,3,FALSE)</f>
        <v>0</v>
      </c>
      <c r="J251" s="118">
        <f>SUMIFS(Sales!$H:$H,Sales!$C:$C,'Investor Exit List'!$C251)</f>
        <v>45685</v>
      </c>
      <c r="K251" s="118" t="str">
        <f t="shared" si="36"/>
        <v/>
      </c>
      <c r="L251" s="118">
        <f t="shared" si="37"/>
        <v>45954</v>
      </c>
      <c r="M251" s="118">
        <v>45443</v>
      </c>
      <c r="N251" s="119">
        <f t="shared" si="38"/>
        <v>511</v>
      </c>
      <c r="O251" s="119">
        <f t="shared" si="39"/>
        <v>0</v>
      </c>
      <c r="P251" s="117">
        <f t="shared" si="40"/>
        <v>0</v>
      </c>
      <c r="Q251" s="117">
        <f>SUMIFS(Investors!$M:$M,Investors!$O:$O,FALSE,Investors!$P:$P,FALSE,Investors!$K:$K,"&gt;"&amp;'NSST Print'!$B$3,Investors!$I:$I,"&lt;="&amp;'NSST Print'!$B$3,Investors!$A:$A,'Investor Exit List'!$A251,Investors!$E:$E,'Investor Exit List'!$C251,Investors!$L:$L,'Investor Exit List'!$B251)-(SUMIFS(Investors!$M:$M,Investors!$I:$I,"&lt;="&amp;'NSST Print'!$B$3,Investors!$J:$J,"&gt;"&amp;'NSST Print'!$B$3,Investors!$A:$A,'Investor Exit List'!$A251,Investors!$E:$E,'Investor Exit List'!$C251,Investors!$L:$L,'Investor Exit List'!$B251)+SUMIFS(Investors!$M:$M,Investors!$I:$I,"&lt;="&amp;'NSST Print'!$B$3,Investors!$J:$J,"",Investors!$A:$A,'Investor Exit List'!$A251,Investors!$E:$E,'Investor Exit List'!$C251,Investors!$L:$L,'Investor Exit List'!$B251))+SUMIFS(Investors!$S:$S,Investors!$O:$O,FALSE,Investors!$P:$P,FALSE,Investors!$K:$K,"&gt;"&amp;'NSST Print'!$B$3,Investors!$I:$I,"&lt;="&amp;'NSST Print'!$B$3,Investors!$A:$A,'Investor Exit List'!$A251,Investors!$E:$E,'Investor Exit List'!$C251,Investors!$L:$L,'Investor Exit List'!$B251)-(SUMIFS(Investors!$S:$S,Investors!$I:$I,"&lt;="&amp;'NSST Print'!$B$3,Investors!$J:$J,"&gt;"&amp;'NSST Print'!$B$3,Investors!$A:$A,'Investor Exit List'!$A251,Investors!$E:$E,'Investor Exit List'!$C251,Investors!$L:$L,'Investor Exit List'!$B251)+SUMIFS(Investors!$S:$S,Investors!$I:$I,"&lt;="&amp;'NSST Print'!$B$3,Investors!$J:$J,"",Investors!$A:$A,'Investor Exit List'!$A251,Investors!$E:$E,'Investor Exit List'!$C251,Investors!$L:$L,'Investor Exit List'!$B251))</f>
        <v>135869.5890410959</v>
      </c>
      <c r="R251" s="117">
        <f t="shared" si="41"/>
        <v>0</v>
      </c>
      <c r="S251" s="117">
        <f>SUMIFS(Investors!$M:$M,Investors!$O:$O,TRUE,Investors!$A:$A,'Investor Exit List'!$A251,Investors!$E:$E,'Investor Exit List'!$C251,Investors!$L:$L,'Investor Exit List'!$B251)+SUMIFS(Investors!$S:$S,Investors!$O:$O,TRUE,Investors!$A:$A,'Investor Exit List'!$A251,Investors!$E:$E,'Investor Exit List'!$C251,Investors!$L:$L,'Investor Exit List'!$B251)</f>
        <v>0</v>
      </c>
      <c r="T251" s="118" t="str">
        <f t="shared" si="42"/>
        <v/>
      </c>
      <c r="U251" s="116" t="b">
        <v>0</v>
      </c>
      <c r="V251" s="117">
        <f t="shared" si="43"/>
        <v>0</v>
      </c>
      <c r="W251" s="116">
        <v>0</v>
      </c>
      <c r="X251" s="116" t="b">
        <v>0</v>
      </c>
      <c r="Y251" s="119">
        <f>IF(H251=FALSE,VLOOKUP($C251,Sales!$C:$F,4,FALSE),1)</f>
        <v>0</v>
      </c>
      <c r="Z251" s="116" t="str">
        <f t="shared" si="44"/>
        <v>Release</v>
      </c>
      <c r="AA251" s="118">
        <f t="shared" si="45"/>
        <v>45954</v>
      </c>
      <c r="AB251" s="118" t="str">
        <f t="shared" si="46"/>
        <v>HVE303-ZCRO01</v>
      </c>
      <c r="AC251" s="118">
        <f t="shared" si="47"/>
        <v>45954</v>
      </c>
    </row>
    <row r="252" spans="1:29" ht="16" x14ac:dyDescent="0.2">
      <c r="A252" s="116" t="s">
        <v>566</v>
      </c>
      <c r="B252" s="116">
        <v>2</v>
      </c>
      <c r="C252" s="116" t="s">
        <v>592</v>
      </c>
      <c r="D252" s="116" t="s">
        <v>569</v>
      </c>
      <c r="E252" s="116" t="s">
        <v>2166</v>
      </c>
      <c r="F252" s="117">
        <f>SUMIFS(Investors!$M:$M,Investors!$O:$O,FALSE,Investors!$P:$P,FALSE,Investors!$K:$K,"&gt;"&amp;'NSST Print'!$B$3,Investors!$I:$I,"&lt;="&amp;'NSST Print'!$B$3,Investors!$A:$A,'Investor Exit List'!$A252,Investors!$E:$E,'Investor Exit List'!$C252,Investors!$L:$L,'Investor Exit List'!$B252)-(SUMIFS(Investors!$M:$M,Investors!$I:$I,"&lt;="&amp;'NSST Print'!$B$3,Investors!$J:$J,"&gt;"&amp;'NSST Print'!$B$3,Investors!$A:$A,'Investor Exit List'!$A252,Investors!$E:$E,'Investor Exit List'!$C252,Investors!$L:$L,'Investor Exit List'!$B252)+SUMIFS(Investors!$M:$M,Investors!$I:$I,"&lt;="&amp;'NSST Print'!$B$3,Investors!$J:$J,"",Investors!$A:$A,'Investor Exit List'!$A252,Investors!$E:$E,'Investor Exit List'!$C252,Investors!$L:$L,'Investor Exit List'!$B252))</f>
        <v>0</v>
      </c>
      <c r="G252" s="118"/>
      <c r="H252" s="116" t="b">
        <f>VLOOKUP($C252,Sales!$C:$E,2,FALSE)</f>
        <v>0</v>
      </c>
      <c r="I252" s="116" t="b">
        <f>VLOOKUP($C252,Sales!$C:$E,3,FALSE)</f>
        <v>0</v>
      </c>
      <c r="J252" s="118">
        <f>SUMIFS(Sales!$H:$H,Sales!$C:$C,'Investor Exit List'!$C252)</f>
        <v>45685</v>
      </c>
      <c r="K252" s="118" t="str">
        <f t="shared" si="36"/>
        <v/>
      </c>
      <c r="L252" s="118">
        <f t="shared" si="37"/>
        <v>730</v>
      </c>
      <c r="M252" s="118">
        <v>45443</v>
      </c>
      <c r="N252" s="119">
        <f t="shared" si="38"/>
        <v>0</v>
      </c>
      <c r="O252" s="119">
        <f t="shared" si="39"/>
        <v>0</v>
      </c>
      <c r="P252" s="117">
        <f t="shared" si="40"/>
        <v>0</v>
      </c>
      <c r="Q252" s="117">
        <f>SUMIFS(Investors!$M:$M,Investors!$O:$O,FALSE,Investors!$P:$P,FALSE,Investors!$K:$K,"&gt;"&amp;'NSST Print'!$B$3,Investors!$I:$I,"&lt;="&amp;'NSST Print'!$B$3,Investors!$A:$A,'Investor Exit List'!$A252,Investors!$E:$E,'Investor Exit List'!$C252,Investors!$L:$L,'Investor Exit List'!$B252)-(SUMIFS(Investors!$M:$M,Investors!$I:$I,"&lt;="&amp;'NSST Print'!$B$3,Investors!$J:$J,"&gt;"&amp;'NSST Print'!$B$3,Investors!$A:$A,'Investor Exit List'!$A252,Investors!$E:$E,'Investor Exit List'!$C252,Investors!$L:$L,'Investor Exit List'!$B252)+SUMIFS(Investors!$M:$M,Investors!$I:$I,"&lt;="&amp;'NSST Print'!$B$3,Investors!$J:$J,"",Investors!$A:$A,'Investor Exit List'!$A252,Investors!$E:$E,'Investor Exit List'!$C252,Investors!$L:$L,'Investor Exit List'!$B252))+SUMIFS(Investors!$S:$S,Investors!$O:$O,FALSE,Investors!$P:$P,FALSE,Investors!$K:$K,"&gt;"&amp;'NSST Print'!$B$3,Investors!$I:$I,"&lt;="&amp;'NSST Print'!$B$3,Investors!$A:$A,'Investor Exit List'!$A252,Investors!$E:$E,'Investor Exit List'!$C252,Investors!$L:$L,'Investor Exit List'!$B252)-(SUMIFS(Investors!$S:$S,Investors!$I:$I,"&lt;="&amp;'NSST Print'!$B$3,Investors!$J:$J,"&gt;"&amp;'NSST Print'!$B$3,Investors!$A:$A,'Investor Exit List'!$A252,Investors!$E:$E,'Investor Exit List'!$C252,Investors!$L:$L,'Investor Exit List'!$B252)+SUMIFS(Investors!$S:$S,Investors!$I:$I,"&lt;="&amp;'NSST Print'!$B$3,Investors!$J:$J,"",Investors!$A:$A,'Investor Exit List'!$A252,Investors!$E:$E,'Investor Exit List'!$C252,Investors!$L:$L,'Investor Exit List'!$B252))</f>
        <v>0</v>
      </c>
      <c r="R252" s="117">
        <f t="shared" si="41"/>
        <v>0</v>
      </c>
      <c r="S252" s="117">
        <f>SUMIFS(Investors!$M:$M,Investors!$O:$O,TRUE,Investors!$A:$A,'Investor Exit List'!$A252,Investors!$E:$E,'Investor Exit List'!$C252,Investors!$L:$L,'Investor Exit List'!$B252)+SUMIFS(Investors!$S:$S,Investors!$O:$O,TRUE,Investors!$A:$A,'Investor Exit List'!$A252,Investors!$E:$E,'Investor Exit List'!$C252,Investors!$L:$L,'Investor Exit List'!$B252)</f>
        <v>0</v>
      </c>
      <c r="T252" s="118" t="str">
        <f t="shared" si="42"/>
        <v/>
      </c>
      <c r="U252" s="116" t="b">
        <v>0</v>
      </c>
      <c r="V252" s="117">
        <f t="shared" si="43"/>
        <v>0</v>
      </c>
      <c r="W252" s="116">
        <v>0</v>
      </c>
      <c r="X252" s="116" t="b">
        <v>0</v>
      </c>
      <c r="Y252" s="119">
        <f>IF(H252=FALSE,VLOOKUP($C252,Sales!$C:$F,4,FALSE),1)</f>
        <v>0</v>
      </c>
      <c r="Z252" s="116" t="str">
        <f t="shared" si="44"/>
        <v>Release</v>
      </c>
      <c r="AA252" s="118">
        <f t="shared" si="45"/>
        <v>45954</v>
      </c>
      <c r="AB252" s="118" t="str">
        <f t="shared" si="46"/>
        <v>HVE303-ZHAA02</v>
      </c>
      <c r="AC252" s="118">
        <f t="shared" si="47"/>
        <v>730</v>
      </c>
    </row>
    <row r="253" spans="1:29" ht="16" x14ac:dyDescent="0.2">
      <c r="A253" s="116" t="s">
        <v>585</v>
      </c>
      <c r="B253" s="116">
        <v>3</v>
      </c>
      <c r="C253" s="116" t="s">
        <v>592</v>
      </c>
      <c r="D253" s="116" t="s">
        <v>569</v>
      </c>
      <c r="E253" s="116" t="s">
        <v>2170</v>
      </c>
      <c r="F253" s="117">
        <f>SUMIFS(Investors!$M:$M,Investors!$O:$O,FALSE,Investors!$P:$P,FALSE,Investors!$K:$K,"&gt;"&amp;'NSST Print'!$B$3,Investors!$I:$I,"&lt;="&amp;'NSST Print'!$B$3,Investors!$A:$A,'Investor Exit List'!$A253,Investors!$E:$E,'Investor Exit List'!$C253,Investors!$L:$L,'Investor Exit List'!$B253)-(SUMIFS(Investors!$M:$M,Investors!$I:$I,"&lt;="&amp;'NSST Print'!$B$3,Investors!$J:$J,"&gt;"&amp;'NSST Print'!$B$3,Investors!$A:$A,'Investor Exit List'!$A253,Investors!$E:$E,'Investor Exit List'!$C253,Investors!$L:$L,'Investor Exit List'!$B253)+SUMIFS(Investors!$M:$M,Investors!$I:$I,"&lt;="&amp;'NSST Print'!$B$3,Investors!$J:$J,"",Investors!$A:$A,'Investor Exit List'!$A253,Investors!$E:$E,'Investor Exit List'!$C253,Investors!$L:$L,'Investor Exit List'!$B253))</f>
        <v>600000</v>
      </c>
      <c r="G253" s="118">
        <v>45321</v>
      </c>
      <c r="H253" s="116" t="b">
        <f>VLOOKUP($C253,Sales!$C:$E,2,FALSE)</f>
        <v>0</v>
      </c>
      <c r="I253" s="116" t="b">
        <f>VLOOKUP($C253,Sales!$C:$E,3,FALSE)</f>
        <v>0</v>
      </c>
      <c r="J253" s="118">
        <f>SUMIFS(Sales!$H:$H,Sales!$C:$C,'Investor Exit List'!$C253)</f>
        <v>45685</v>
      </c>
      <c r="K253" s="118" t="str">
        <f t="shared" si="36"/>
        <v/>
      </c>
      <c r="L253" s="118">
        <f t="shared" si="37"/>
        <v>46051</v>
      </c>
      <c r="M253" s="118">
        <v>45443</v>
      </c>
      <c r="N253" s="119">
        <f t="shared" si="38"/>
        <v>608</v>
      </c>
      <c r="O253" s="119">
        <f t="shared" si="39"/>
        <v>0</v>
      </c>
      <c r="P253" s="117">
        <f t="shared" si="40"/>
        <v>0</v>
      </c>
      <c r="Q253" s="117">
        <f>SUMIFS(Investors!$M:$M,Investors!$O:$O,FALSE,Investors!$P:$P,FALSE,Investors!$K:$K,"&gt;"&amp;'NSST Print'!$B$3,Investors!$I:$I,"&lt;="&amp;'NSST Print'!$B$3,Investors!$A:$A,'Investor Exit List'!$A253,Investors!$E:$E,'Investor Exit List'!$C253,Investors!$L:$L,'Investor Exit List'!$B253)-(SUMIFS(Investors!$M:$M,Investors!$I:$I,"&lt;="&amp;'NSST Print'!$B$3,Investors!$J:$J,"&gt;"&amp;'NSST Print'!$B$3,Investors!$A:$A,'Investor Exit List'!$A253,Investors!$E:$E,'Investor Exit List'!$C253,Investors!$L:$L,'Investor Exit List'!$B253)+SUMIFS(Investors!$M:$M,Investors!$I:$I,"&lt;="&amp;'NSST Print'!$B$3,Investors!$J:$J,"",Investors!$A:$A,'Investor Exit List'!$A253,Investors!$E:$E,'Investor Exit List'!$C253,Investors!$L:$L,'Investor Exit List'!$B253))+SUMIFS(Investors!$S:$S,Investors!$O:$O,FALSE,Investors!$P:$P,FALSE,Investors!$K:$K,"&gt;"&amp;'NSST Print'!$B$3,Investors!$I:$I,"&lt;="&amp;'NSST Print'!$B$3,Investors!$A:$A,'Investor Exit List'!$A253,Investors!$E:$E,'Investor Exit List'!$C253,Investors!$L:$L,'Investor Exit List'!$B253)-(SUMIFS(Investors!$S:$S,Investors!$I:$I,"&lt;="&amp;'NSST Print'!$B$3,Investors!$J:$J,"&gt;"&amp;'NSST Print'!$B$3,Investors!$A:$A,'Investor Exit List'!$A253,Investors!$E:$E,'Investor Exit List'!$C253,Investors!$L:$L,'Investor Exit List'!$B253)+SUMIFS(Investors!$S:$S,Investors!$I:$I,"&lt;="&amp;'NSST Print'!$B$3,Investors!$J:$J,"",Investors!$A:$A,'Investor Exit List'!$A253,Investors!$E:$E,'Investor Exit List'!$C253,Investors!$L:$L,'Investor Exit List'!$B253))</f>
        <v>730487.67123287672</v>
      </c>
      <c r="R253" s="117">
        <f t="shared" si="41"/>
        <v>0</v>
      </c>
      <c r="S253" s="117">
        <f>SUMIFS(Investors!$M:$M,Investors!$O:$O,TRUE,Investors!$A:$A,'Investor Exit List'!$A253,Investors!$E:$E,'Investor Exit List'!$C253,Investors!$L:$L,'Investor Exit List'!$B253)+SUMIFS(Investors!$S:$S,Investors!$O:$O,TRUE,Investors!$A:$A,'Investor Exit List'!$A253,Investors!$E:$E,'Investor Exit List'!$C253,Investors!$L:$L,'Investor Exit List'!$B253)</f>
        <v>0</v>
      </c>
      <c r="T253" s="118" t="str">
        <f t="shared" si="42"/>
        <v/>
      </c>
      <c r="U253" s="116" t="b">
        <v>0</v>
      </c>
      <c r="V253" s="117">
        <f t="shared" si="43"/>
        <v>0</v>
      </c>
      <c r="W253" s="116">
        <v>0</v>
      </c>
      <c r="X253" s="116" t="b">
        <v>0</v>
      </c>
      <c r="Y253" s="119">
        <f>IF(H253=FALSE,VLOOKUP($C253,Sales!$C:$F,4,FALSE),1)</f>
        <v>0</v>
      </c>
      <c r="Z253" s="116" t="str">
        <f t="shared" si="44"/>
        <v>Release</v>
      </c>
      <c r="AA253" s="118">
        <f t="shared" si="45"/>
        <v>45954</v>
      </c>
      <c r="AB253" s="118" t="str">
        <f t="shared" si="46"/>
        <v>HVE303-ZHOW01</v>
      </c>
      <c r="AC253" s="118">
        <f t="shared" si="47"/>
        <v>46051</v>
      </c>
    </row>
    <row r="254" spans="1:29" ht="16" x14ac:dyDescent="0.2">
      <c r="A254" s="116" t="s">
        <v>593</v>
      </c>
      <c r="B254" s="116">
        <v>1</v>
      </c>
      <c r="C254" s="116" t="s">
        <v>592</v>
      </c>
      <c r="D254" s="116" t="s">
        <v>569</v>
      </c>
      <c r="E254" s="116" t="s">
        <v>2171</v>
      </c>
      <c r="F254" s="117">
        <f>SUMIFS(Investors!$M:$M,Investors!$O:$O,FALSE,Investors!$P:$P,FALSE,Investors!$K:$K,"&gt;"&amp;'NSST Print'!$B$3,Investors!$I:$I,"&lt;="&amp;'NSST Print'!$B$3,Investors!$A:$A,'Investor Exit List'!$A254,Investors!$E:$E,'Investor Exit List'!$C254,Investors!$L:$L,'Investor Exit List'!$B254)-(SUMIFS(Investors!$M:$M,Investors!$I:$I,"&lt;="&amp;'NSST Print'!$B$3,Investors!$J:$J,"&gt;"&amp;'NSST Print'!$B$3,Investors!$A:$A,'Investor Exit List'!$A254,Investors!$E:$E,'Investor Exit List'!$C254,Investors!$L:$L,'Investor Exit List'!$B254)+SUMIFS(Investors!$M:$M,Investors!$I:$I,"&lt;="&amp;'NSST Print'!$B$3,Investors!$J:$J,"",Investors!$A:$A,'Investor Exit List'!$A254,Investors!$E:$E,'Investor Exit List'!$C254,Investors!$L:$L,'Investor Exit List'!$B254))</f>
        <v>100000</v>
      </c>
      <c r="G254" s="118">
        <v>45443</v>
      </c>
      <c r="H254" s="116" t="b">
        <f>VLOOKUP($C254,Sales!$C:$E,2,FALSE)</f>
        <v>0</v>
      </c>
      <c r="I254" s="116" t="b">
        <f>VLOOKUP($C254,Sales!$C:$E,3,FALSE)</f>
        <v>0</v>
      </c>
      <c r="J254" s="118">
        <f>SUMIFS(Sales!$H:$H,Sales!$C:$C,'Investor Exit List'!$C254)</f>
        <v>45685</v>
      </c>
      <c r="K254" s="118" t="str">
        <f t="shared" si="36"/>
        <v/>
      </c>
      <c r="L254" s="118">
        <f t="shared" si="37"/>
        <v>46173</v>
      </c>
      <c r="M254" s="118">
        <v>45443</v>
      </c>
      <c r="N254" s="119">
        <f t="shared" si="38"/>
        <v>730</v>
      </c>
      <c r="O254" s="119">
        <f t="shared" si="39"/>
        <v>0</v>
      </c>
      <c r="P254" s="117">
        <f t="shared" si="40"/>
        <v>0</v>
      </c>
      <c r="Q254" s="117">
        <f>SUMIFS(Investors!$M:$M,Investors!$O:$O,FALSE,Investors!$P:$P,FALSE,Investors!$K:$K,"&gt;"&amp;'NSST Print'!$B$3,Investors!$I:$I,"&lt;="&amp;'NSST Print'!$B$3,Investors!$A:$A,'Investor Exit List'!$A254,Investors!$E:$E,'Investor Exit List'!$C254,Investors!$L:$L,'Investor Exit List'!$B254)-(SUMIFS(Investors!$M:$M,Investors!$I:$I,"&lt;="&amp;'NSST Print'!$B$3,Investors!$J:$J,"&gt;"&amp;'NSST Print'!$B$3,Investors!$A:$A,'Investor Exit List'!$A254,Investors!$E:$E,'Investor Exit List'!$C254,Investors!$L:$L,'Investor Exit List'!$B254)+SUMIFS(Investors!$M:$M,Investors!$I:$I,"&lt;="&amp;'NSST Print'!$B$3,Investors!$J:$J,"",Investors!$A:$A,'Investor Exit List'!$A254,Investors!$E:$E,'Investor Exit List'!$C254,Investors!$L:$L,'Investor Exit List'!$B254))+SUMIFS(Investors!$S:$S,Investors!$O:$O,FALSE,Investors!$P:$P,FALSE,Investors!$K:$K,"&gt;"&amp;'NSST Print'!$B$3,Investors!$I:$I,"&lt;="&amp;'NSST Print'!$B$3,Investors!$A:$A,'Investor Exit List'!$A254,Investors!$E:$E,'Investor Exit List'!$C254,Investors!$L:$L,'Investor Exit List'!$B254)-(SUMIFS(Investors!$S:$S,Investors!$I:$I,"&lt;="&amp;'NSST Print'!$B$3,Investors!$J:$J,"&gt;"&amp;'NSST Print'!$B$3,Investors!$A:$A,'Investor Exit List'!$A254,Investors!$E:$E,'Investor Exit List'!$C254,Investors!$L:$L,'Investor Exit List'!$B254)+SUMIFS(Investors!$S:$S,Investors!$I:$I,"&lt;="&amp;'NSST Print'!$B$3,Investors!$J:$J,"",Investors!$A:$A,'Investor Exit List'!$A254,Investors!$E:$E,'Investor Exit List'!$C254,Investors!$L:$L,'Investor Exit List'!$B254))</f>
        <v>109583.56164383562</v>
      </c>
      <c r="R254" s="117">
        <f t="shared" si="41"/>
        <v>0</v>
      </c>
      <c r="S254" s="117">
        <f>SUMIFS(Investors!$M:$M,Investors!$O:$O,TRUE,Investors!$A:$A,'Investor Exit List'!$A254,Investors!$E:$E,'Investor Exit List'!$C254,Investors!$L:$L,'Investor Exit List'!$B254)+SUMIFS(Investors!$S:$S,Investors!$O:$O,TRUE,Investors!$A:$A,'Investor Exit List'!$A254,Investors!$E:$E,'Investor Exit List'!$C254,Investors!$L:$L,'Investor Exit List'!$B254)</f>
        <v>0</v>
      </c>
      <c r="T254" s="118" t="str">
        <f t="shared" si="42"/>
        <v/>
      </c>
      <c r="U254" s="116" t="b">
        <v>0</v>
      </c>
      <c r="V254" s="117">
        <f t="shared" si="43"/>
        <v>0</v>
      </c>
      <c r="W254" s="116">
        <v>0</v>
      </c>
      <c r="X254" s="116" t="b">
        <v>0</v>
      </c>
      <c r="Y254" s="119">
        <f>IF(H254=FALSE,VLOOKUP($C254,Sales!$C:$F,4,FALSE),1)</f>
        <v>0</v>
      </c>
      <c r="Z254" s="116" t="str">
        <f t="shared" si="44"/>
        <v>Release</v>
      </c>
      <c r="AA254" s="118">
        <f t="shared" si="45"/>
        <v>45954</v>
      </c>
      <c r="AB254" s="118" t="str">
        <f t="shared" si="46"/>
        <v>HVE303-ZLAL01</v>
      </c>
      <c r="AC254" s="118">
        <f t="shared" si="47"/>
        <v>46173</v>
      </c>
    </row>
    <row r="255" spans="1:29" ht="16" x14ac:dyDescent="0.2">
      <c r="A255" s="116" t="s">
        <v>576</v>
      </c>
      <c r="B255" s="116">
        <v>10</v>
      </c>
      <c r="C255" s="116" t="s">
        <v>596</v>
      </c>
      <c r="D255" s="116" t="s">
        <v>569</v>
      </c>
      <c r="E255" s="116" t="s">
        <v>2168</v>
      </c>
      <c r="F255" s="117">
        <f>SUMIFS(Investors!$M:$M,Investors!$O:$O,FALSE,Investors!$P:$P,FALSE,Investors!$K:$K,"&gt;"&amp;'NSST Print'!$B$3,Investors!$I:$I,"&lt;="&amp;'NSST Print'!$B$3,Investors!$A:$A,'Investor Exit List'!$A255,Investors!$E:$E,'Investor Exit List'!$C255,Investors!$L:$L,'Investor Exit List'!$B255)-(SUMIFS(Investors!$M:$M,Investors!$I:$I,"&lt;="&amp;'NSST Print'!$B$3,Investors!$J:$J,"&gt;"&amp;'NSST Print'!$B$3,Investors!$A:$A,'Investor Exit List'!$A255,Investors!$E:$E,'Investor Exit List'!$C255,Investors!$L:$L,'Investor Exit List'!$B255)+SUMIFS(Investors!$M:$M,Investors!$I:$I,"&lt;="&amp;'NSST Print'!$B$3,Investors!$J:$J,"",Investors!$A:$A,'Investor Exit List'!$A255,Investors!$E:$E,'Investor Exit List'!$C255,Investors!$L:$L,'Investor Exit List'!$B255))</f>
        <v>1200000</v>
      </c>
      <c r="G255" s="118">
        <v>45350</v>
      </c>
      <c r="H255" s="116" t="b">
        <f>VLOOKUP($C255,Sales!$C:$E,2,FALSE)</f>
        <v>0</v>
      </c>
      <c r="I255" s="116" t="b">
        <f>VLOOKUP($C255,Sales!$C:$E,3,FALSE)</f>
        <v>0</v>
      </c>
      <c r="J255" s="118">
        <f>SUMIFS(Sales!$H:$H,Sales!$C:$C,'Investor Exit List'!$C255)</f>
        <v>45685</v>
      </c>
      <c r="K255" s="118" t="str">
        <f t="shared" si="36"/>
        <v/>
      </c>
      <c r="L255" s="118">
        <f t="shared" si="37"/>
        <v>46080</v>
      </c>
      <c r="M255" s="118">
        <v>45443</v>
      </c>
      <c r="N255" s="119">
        <f t="shared" si="38"/>
        <v>637</v>
      </c>
      <c r="O255" s="119">
        <f t="shared" si="39"/>
        <v>0</v>
      </c>
      <c r="P255" s="117">
        <f t="shared" si="40"/>
        <v>0</v>
      </c>
      <c r="Q255" s="117">
        <f>SUMIFS(Investors!$M:$M,Investors!$O:$O,FALSE,Investors!$P:$P,FALSE,Investors!$K:$K,"&gt;"&amp;'NSST Print'!$B$3,Investors!$I:$I,"&lt;="&amp;'NSST Print'!$B$3,Investors!$A:$A,'Investor Exit List'!$A255,Investors!$E:$E,'Investor Exit List'!$C255,Investors!$L:$L,'Investor Exit List'!$B255)-(SUMIFS(Investors!$M:$M,Investors!$I:$I,"&lt;="&amp;'NSST Print'!$B$3,Investors!$J:$J,"&gt;"&amp;'NSST Print'!$B$3,Investors!$A:$A,'Investor Exit List'!$A255,Investors!$E:$E,'Investor Exit List'!$C255,Investors!$L:$L,'Investor Exit List'!$B255)+SUMIFS(Investors!$M:$M,Investors!$I:$I,"&lt;="&amp;'NSST Print'!$B$3,Investors!$J:$J,"",Investors!$A:$A,'Investor Exit List'!$A255,Investors!$E:$E,'Investor Exit List'!$C255,Investors!$L:$L,'Investor Exit List'!$B255))+SUMIFS(Investors!$S:$S,Investors!$O:$O,FALSE,Investors!$P:$P,FALSE,Investors!$K:$K,"&gt;"&amp;'NSST Print'!$B$3,Investors!$I:$I,"&lt;="&amp;'NSST Print'!$B$3,Investors!$A:$A,'Investor Exit List'!$A255,Investors!$E:$E,'Investor Exit List'!$C255,Investors!$L:$L,'Investor Exit List'!$B255)-(SUMIFS(Investors!$S:$S,Investors!$I:$I,"&lt;="&amp;'NSST Print'!$B$3,Investors!$J:$J,"&gt;"&amp;'NSST Print'!$B$3,Investors!$A:$A,'Investor Exit List'!$A255,Investors!$E:$E,'Investor Exit List'!$C255,Investors!$L:$L,'Investor Exit List'!$B255)+SUMIFS(Investors!$S:$S,Investors!$I:$I,"&lt;="&amp;'NSST Print'!$B$3,Investors!$J:$J,"",Investors!$A:$A,'Investor Exit List'!$A255,Investors!$E:$E,'Investor Exit List'!$C255,Investors!$L:$L,'Investor Exit List'!$B255))</f>
        <v>1456832.8767123288</v>
      </c>
      <c r="R255" s="117">
        <f t="shared" si="41"/>
        <v>0</v>
      </c>
      <c r="S255" s="117">
        <f>SUMIFS(Investors!$M:$M,Investors!$O:$O,TRUE,Investors!$A:$A,'Investor Exit List'!$A255,Investors!$E:$E,'Investor Exit List'!$C255,Investors!$L:$L,'Investor Exit List'!$B255)+SUMIFS(Investors!$S:$S,Investors!$O:$O,TRUE,Investors!$A:$A,'Investor Exit List'!$A255,Investors!$E:$E,'Investor Exit List'!$C255,Investors!$L:$L,'Investor Exit List'!$B255)</f>
        <v>0</v>
      </c>
      <c r="T255" s="118" t="str">
        <f t="shared" si="42"/>
        <v/>
      </c>
      <c r="U255" s="116" t="b">
        <v>0</v>
      </c>
      <c r="V255" s="117">
        <f t="shared" si="43"/>
        <v>0</v>
      </c>
      <c r="W255" s="116">
        <v>0</v>
      </c>
      <c r="X255" s="116" t="b">
        <v>0</v>
      </c>
      <c r="Y255" s="119">
        <f>IF(H255=FALSE,VLOOKUP($C255,Sales!$C:$F,4,FALSE),1)</f>
        <v>0</v>
      </c>
      <c r="Z255" s="116" t="str">
        <f t="shared" si="44"/>
        <v>Release</v>
      </c>
      <c r="AA255" s="118">
        <f t="shared" si="45"/>
        <v>46080</v>
      </c>
      <c r="AB255" s="118" t="str">
        <f t="shared" si="46"/>
        <v>HVE304-ZMYB01</v>
      </c>
      <c r="AC255" s="118">
        <f t="shared" si="47"/>
        <v>46080</v>
      </c>
    </row>
    <row r="256" spans="1:29" ht="16" x14ac:dyDescent="0.2">
      <c r="A256" s="116" t="s">
        <v>515</v>
      </c>
      <c r="B256" s="116">
        <v>2</v>
      </c>
      <c r="C256" s="116" t="s">
        <v>597</v>
      </c>
      <c r="D256" s="116" t="s">
        <v>598</v>
      </c>
      <c r="E256" s="116" t="s">
        <v>2151</v>
      </c>
      <c r="F256" s="117">
        <f>SUMIFS(Investors!$M:$M,Investors!$O:$O,FALSE,Investors!$P:$P,FALSE,Investors!$K:$K,"&gt;"&amp;'NSST Print'!$B$3,Investors!$I:$I,"&lt;="&amp;'NSST Print'!$B$3,Investors!$A:$A,'Investor Exit List'!$A256,Investors!$E:$E,'Investor Exit List'!$C256,Investors!$L:$L,'Investor Exit List'!$B256)-(SUMIFS(Investors!$M:$M,Investors!$I:$I,"&lt;="&amp;'NSST Print'!$B$3,Investors!$J:$J,"&gt;"&amp;'NSST Print'!$B$3,Investors!$A:$A,'Investor Exit List'!$A256,Investors!$E:$E,'Investor Exit List'!$C256,Investors!$L:$L,'Investor Exit List'!$B256)+SUMIFS(Investors!$M:$M,Investors!$I:$I,"&lt;="&amp;'NSST Print'!$B$3,Investors!$J:$J,"",Investors!$A:$A,'Investor Exit List'!$A256,Investors!$E:$E,'Investor Exit List'!$C256,Investors!$L:$L,'Investor Exit List'!$B256))</f>
        <v>167914.73</v>
      </c>
      <c r="G256" s="118">
        <v>45371</v>
      </c>
      <c r="H256" s="116" t="b">
        <f>VLOOKUP($C256,Sales!$C:$E,2,FALSE)</f>
        <v>0</v>
      </c>
      <c r="I256" s="116" t="b">
        <f>VLOOKUP($C256,Sales!$C:$E,3,FALSE)</f>
        <v>0</v>
      </c>
      <c r="J256" s="118">
        <f>SUMIFS(Sales!$H:$H,Sales!$C:$C,'Investor Exit List'!$C256)</f>
        <v>45722</v>
      </c>
      <c r="K256" s="118" t="str">
        <f t="shared" si="36"/>
        <v/>
      </c>
      <c r="L256" s="118">
        <f t="shared" si="37"/>
        <v>46101</v>
      </c>
      <c r="M256" s="118">
        <v>45443</v>
      </c>
      <c r="N256" s="119">
        <f t="shared" si="38"/>
        <v>658</v>
      </c>
      <c r="O256" s="119">
        <f t="shared" si="39"/>
        <v>0</v>
      </c>
      <c r="P256" s="117">
        <f t="shared" si="40"/>
        <v>0</v>
      </c>
      <c r="Q256" s="117">
        <f>SUMIFS(Investors!$M:$M,Investors!$O:$O,FALSE,Investors!$P:$P,FALSE,Investors!$K:$K,"&gt;"&amp;'NSST Print'!$B$3,Investors!$I:$I,"&lt;="&amp;'NSST Print'!$B$3,Investors!$A:$A,'Investor Exit List'!$A256,Investors!$E:$E,'Investor Exit List'!$C256,Investors!$L:$L,'Investor Exit List'!$B256)-(SUMIFS(Investors!$M:$M,Investors!$I:$I,"&lt;="&amp;'NSST Print'!$B$3,Investors!$J:$J,"&gt;"&amp;'NSST Print'!$B$3,Investors!$A:$A,'Investor Exit List'!$A256,Investors!$E:$E,'Investor Exit List'!$C256,Investors!$L:$L,'Investor Exit List'!$B256)+SUMIFS(Investors!$M:$M,Investors!$I:$I,"&lt;="&amp;'NSST Print'!$B$3,Investors!$J:$J,"",Investors!$A:$A,'Investor Exit List'!$A256,Investors!$E:$E,'Investor Exit List'!$C256,Investors!$L:$L,'Investor Exit List'!$B256))+SUMIFS(Investors!$S:$S,Investors!$O:$O,FALSE,Investors!$P:$P,FALSE,Investors!$K:$K,"&gt;"&amp;'NSST Print'!$B$3,Investors!$I:$I,"&lt;="&amp;'NSST Print'!$B$3,Investors!$A:$A,'Investor Exit List'!$A256,Investors!$E:$E,'Investor Exit List'!$C256,Investors!$L:$L,'Investor Exit List'!$B256)-(SUMIFS(Investors!$S:$S,Investors!$I:$I,"&lt;="&amp;'NSST Print'!$B$3,Investors!$J:$J,"&gt;"&amp;'NSST Print'!$B$3,Investors!$A:$A,'Investor Exit List'!$A256,Investors!$E:$E,'Investor Exit List'!$C256,Investors!$L:$L,'Investor Exit List'!$B256)+SUMIFS(Investors!$S:$S,Investors!$I:$I,"&lt;="&amp;'NSST Print'!$B$3,Investors!$J:$J,"",Investors!$A:$A,'Investor Exit List'!$A256,Investors!$E:$E,'Investor Exit List'!$C256,Investors!$L:$L,'Investor Exit List'!$B256))</f>
        <v>186546.36442465754</v>
      </c>
      <c r="R256" s="117">
        <f t="shared" si="41"/>
        <v>0</v>
      </c>
      <c r="S256" s="117">
        <f>SUMIFS(Investors!$M:$M,Investors!$O:$O,TRUE,Investors!$A:$A,'Investor Exit List'!$A256,Investors!$E:$E,'Investor Exit List'!$C256,Investors!$L:$L,'Investor Exit List'!$B256)+SUMIFS(Investors!$S:$S,Investors!$O:$O,TRUE,Investors!$A:$A,'Investor Exit List'!$A256,Investors!$E:$E,'Investor Exit List'!$C256,Investors!$L:$L,'Investor Exit List'!$B256)</f>
        <v>0</v>
      </c>
      <c r="T256" s="118" t="str">
        <f t="shared" si="42"/>
        <v/>
      </c>
      <c r="U256" s="116" t="b">
        <v>0</v>
      </c>
      <c r="V256" s="117">
        <f t="shared" si="43"/>
        <v>0</v>
      </c>
      <c r="W256" s="116">
        <v>0</v>
      </c>
      <c r="X256" s="116" t="b">
        <v>0</v>
      </c>
      <c r="Y256" s="119">
        <f>IF(H256=FALSE,VLOOKUP($C256,Sales!$C:$F,4,FALSE),1)</f>
        <v>0</v>
      </c>
      <c r="Z256" s="116" t="str">
        <f t="shared" si="44"/>
        <v>Release</v>
      </c>
      <c r="AA256" s="118">
        <f t="shared" si="45"/>
        <v>46101</v>
      </c>
      <c r="AB256" s="118" t="str">
        <f t="shared" si="46"/>
        <v>HVF101-ZLES01</v>
      </c>
      <c r="AC256" s="118">
        <f t="shared" si="47"/>
        <v>46101</v>
      </c>
    </row>
    <row r="257" spans="1:29" ht="16" x14ac:dyDescent="0.2">
      <c r="A257" s="116" t="s">
        <v>403</v>
      </c>
      <c r="B257" s="116">
        <v>12</v>
      </c>
      <c r="C257" s="116" t="s">
        <v>597</v>
      </c>
      <c r="D257" s="116" t="s">
        <v>598</v>
      </c>
      <c r="E257" s="116" t="s">
        <v>2050</v>
      </c>
      <c r="F257" s="117">
        <f>SUMIFS(Investors!$M:$M,Investors!$O:$O,FALSE,Investors!$P:$P,FALSE,Investors!$K:$K,"&gt;"&amp;'NSST Print'!$B$3,Investors!$I:$I,"&lt;="&amp;'NSST Print'!$B$3,Investors!$A:$A,'Investor Exit List'!$A257,Investors!$E:$E,'Investor Exit List'!$C257,Investors!$L:$L,'Investor Exit List'!$B257)-(SUMIFS(Investors!$M:$M,Investors!$I:$I,"&lt;="&amp;'NSST Print'!$B$3,Investors!$J:$J,"&gt;"&amp;'NSST Print'!$B$3,Investors!$A:$A,'Investor Exit List'!$A257,Investors!$E:$E,'Investor Exit List'!$C257,Investors!$L:$L,'Investor Exit List'!$B257)+SUMIFS(Investors!$M:$M,Investors!$I:$I,"&lt;="&amp;'NSST Print'!$B$3,Investors!$J:$J,"",Investors!$A:$A,'Investor Exit List'!$A257,Investors!$E:$E,'Investor Exit List'!$C257,Investors!$L:$L,'Investor Exit List'!$B257))</f>
        <v>100000</v>
      </c>
      <c r="G257" s="118">
        <v>45443</v>
      </c>
      <c r="H257" s="116" t="b">
        <f>VLOOKUP($C257,Sales!$C:$E,2,FALSE)</f>
        <v>0</v>
      </c>
      <c r="I257" s="116" t="b">
        <f>VLOOKUP($C257,Sales!$C:$E,3,FALSE)</f>
        <v>0</v>
      </c>
      <c r="J257" s="118">
        <f>SUMIFS(Sales!$H:$H,Sales!$C:$C,'Investor Exit List'!$C257)</f>
        <v>45722</v>
      </c>
      <c r="K257" s="118" t="str">
        <f t="shared" si="36"/>
        <v/>
      </c>
      <c r="L257" s="118">
        <f t="shared" si="37"/>
        <v>46173</v>
      </c>
      <c r="M257" s="118">
        <v>45443</v>
      </c>
      <c r="N257" s="119">
        <f t="shared" si="38"/>
        <v>730</v>
      </c>
      <c r="O257" s="119">
        <f t="shared" si="39"/>
        <v>0</v>
      </c>
      <c r="P257" s="117">
        <f t="shared" si="40"/>
        <v>0</v>
      </c>
      <c r="Q257" s="117">
        <f>SUMIFS(Investors!$M:$M,Investors!$O:$O,FALSE,Investors!$P:$P,FALSE,Investors!$K:$K,"&gt;"&amp;'NSST Print'!$B$3,Investors!$I:$I,"&lt;="&amp;'NSST Print'!$B$3,Investors!$A:$A,'Investor Exit List'!$A257,Investors!$E:$E,'Investor Exit List'!$C257,Investors!$L:$L,'Investor Exit List'!$B257)-(SUMIFS(Investors!$M:$M,Investors!$I:$I,"&lt;="&amp;'NSST Print'!$B$3,Investors!$J:$J,"&gt;"&amp;'NSST Print'!$B$3,Investors!$A:$A,'Investor Exit List'!$A257,Investors!$E:$E,'Investor Exit List'!$C257,Investors!$L:$L,'Investor Exit List'!$B257)+SUMIFS(Investors!$M:$M,Investors!$I:$I,"&lt;="&amp;'NSST Print'!$B$3,Investors!$J:$J,"",Investors!$A:$A,'Investor Exit List'!$A257,Investors!$E:$E,'Investor Exit List'!$C257,Investors!$L:$L,'Investor Exit List'!$B257))+SUMIFS(Investors!$S:$S,Investors!$O:$O,FALSE,Investors!$P:$P,FALSE,Investors!$K:$K,"&gt;"&amp;'NSST Print'!$B$3,Investors!$I:$I,"&lt;="&amp;'NSST Print'!$B$3,Investors!$A:$A,'Investor Exit List'!$A257,Investors!$E:$E,'Investor Exit List'!$C257,Investors!$L:$L,'Investor Exit List'!$B257)-(SUMIFS(Investors!$S:$S,Investors!$I:$I,"&lt;="&amp;'NSST Print'!$B$3,Investors!$J:$J,"&gt;"&amp;'NSST Print'!$B$3,Investors!$A:$A,'Investor Exit List'!$A257,Investors!$E:$E,'Investor Exit List'!$C257,Investors!$L:$L,'Investor Exit List'!$B257)+SUMIFS(Investors!$S:$S,Investors!$I:$I,"&lt;="&amp;'NSST Print'!$B$3,Investors!$J:$J,"",Investors!$A:$A,'Investor Exit List'!$A257,Investors!$E:$E,'Investor Exit List'!$C257,Investors!$L:$L,'Investor Exit List'!$B257))</f>
        <v>109320.54794520549</v>
      </c>
      <c r="R257" s="117">
        <f t="shared" si="41"/>
        <v>0</v>
      </c>
      <c r="S257" s="117">
        <f>SUMIFS(Investors!$M:$M,Investors!$O:$O,TRUE,Investors!$A:$A,'Investor Exit List'!$A257,Investors!$E:$E,'Investor Exit List'!$C257,Investors!$L:$L,'Investor Exit List'!$B257)+SUMIFS(Investors!$S:$S,Investors!$O:$O,TRUE,Investors!$A:$A,'Investor Exit List'!$A257,Investors!$E:$E,'Investor Exit List'!$C257,Investors!$L:$L,'Investor Exit List'!$B257)</f>
        <v>0</v>
      </c>
      <c r="T257" s="118" t="str">
        <f t="shared" si="42"/>
        <v/>
      </c>
      <c r="U257" s="116" t="b">
        <v>0</v>
      </c>
      <c r="V257" s="117">
        <f t="shared" si="43"/>
        <v>0</v>
      </c>
      <c r="W257" s="116">
        <v>0</v>
      </c>
      <c r="X257" s="116" t="b">
        <v>0</v>
      </c>
      <c r="Y257" s="119">
        <f>IF(H257=FALSE,VLOOKUP($C257,Sales!$C:$F,4,FALSE),1)</f>
        <v>0</v>
      </c>
      <c r="Z257" s="116" t="str">
        <f t="shared" si="44"/>
        <v>Release</v>
      </c>
      <c r="AA257" s="118">
        <f t="shared" si="45"/>
        <v>46101</v>
      </c>
      <c r="AB257" s="118" t="str">
        <f t="shared" si="46"/>
        <v>HVF101-ZTHA01</v>
      </c>
      <c r="AC257" s="118">
        <f t="shared" si="47"/>
        <v>46173</v>
      </c>
    </row>
    <row r="258" spans="1:29" ht="16" x14ac:dyDescent="0.2">
      <c r="A258" s="116" t="s">
        <v>498</v>
      </c>
      <c r="B258" s="116">
        <v>14</v>
      </c>
      <c r="C258" s="116" t="s">
        <v>597</v>
      </c>
      <c r="D258" s="116" t="s">
        <v>598</v>
      </c>
      <c r="E258" s="116" t="s">
        <v>2146</v>
      </c>
      <c r="F258" s="117">
        <f>SUMIFS(Investors!$M:$M,Investors!$O:$O,FALSE,Investors!$P:$P,FALSE,Investors!$K:$K,"&gt;"&amp;'NSST Print'!$B$3,Investors!$I:$I,"&lt;="&amp;'NSST Print'!$B$3,Investors!$A:$A,'Investor Exit List'!$A258,Investors!$E:$E,'Investor Exit List'!$C258,Investors!$L:$L,'Investor Exit List'!$B258)-(SUMIFS(Investors!$M:$M,Investors!$I:$I,"&lt;="&amp;'NSST Print'!$B$3,Investors!$J:$J,"&gt;"&amp;'NSST Print'!$B$3,Investors!$A:$A,'Investor Exit List'!$A258,Investors!$E:$E,'Investor Exit List'!$C258,Investors!$L:$L,'Investor Exit List'!$B258)+SUMIFS(Investors!$M:$M,Investors!$I:$I,"&lt;="&amp;'NSST Print'!$B$3,Investors!$J:$J,"",Investors!$A:$A,'Investor Exit List'!$A258,Investors!$E:$E,'Investor Exit List'!$C258,Investors!$L:$L,'Investor Exit List'!$B258))</f>
        <v>920898.91</v>
      </c>
      <c r="G258" s="118">
        <v>45371</v>
      </c>
      <c r="H258" s="116" t="b">
        <f>VLOOKUP($C258,Sales!$C:$E,2,FALSE)</f>
        <v>0</v>
      </c>
      <c r="I258" s="116" t="b">
        <f>VLOOKUP($C258,Sales!$C:$E,3,FALSE)</f>
        <v>0</v>
      </c>
      <c r="J258" s="118">
        <f>SUMIFS(Sales!$H:$H,Sales!$C:$C,'Investor Exit List'!$C258)</f>
        <v>45722</v>
      </c>
      <c r="K258" s="118" t="str">
        <f t="shared" si="36"/>
        <v/>
      </c>
      <c r="L258" s="118">
        <f t="shared" si="37"/>
        <v>46101</v>
      </c>
      <c r="M258" s="118">
        <v>45443</v>
      </c>
      <c r="N258" s="119">
        <f t="shared" si="38"/>
        <v>658</v>
      </c>
      <c r="O258" s="119">
        <f t="shared" si="39"/>
        <v>0</v>
      </c>
      <c r="P258" s="117">
        <f t="shared" si="40"/>
        <v>0</v>
      </c>
      <c r="Q258" s="117">
        <f>SUMIFS(Investors!$M:$M,Investors!$O:$O,FALSE,Investors!$P:$P,FALSE,Investors!$K:$K,"&gt;"&amp;'NSST Print'!$B$3,Investors!$I:$I,"&lt;="&amp;'NSST Print'!$B$3,Investors!$A:$A,'Investor Exit List'!$A258,Investors!$E:$E,'Investor Exit List'!$C258,Investors!$L:$L,'Investor Exit List'!$B258)-(SUMIFS(Investors!$M:$M,Investors!$I:$I,"&lt;="&amp;'NSST Print'!$B$3,Investors!$J:$J,"&gt;"&amp;'NSST Print'!$B$3,Investors!$A:$A,'Investor Exit List'!$A258,Investors!$E:$E,'Investor Exit List'!$C258,Investors!$L:$L,'Investor Exit List'!$B258)+SUMIFS(Investors!$M:$M,Investors!$I:$I,"&lt;="&amp;'NSST Print'!$B$3,Investors!$J:$J,"",Investors!$A:$A,'Investor Exit List'!$A258,Investors!$E:$E,'Investor Exit List'!$C258,Investors!$L:$L,'Investor Exit List'!$B258))+SUMIFS(Investors!$S:$S,Investors!$O:$O,FALSE,Investors!$P:$P,FALSE,Investors!$K:$K,"&gt;"&amp;'NSST Print'!$B$3,Investors!$I:$I,"&lt;="&amp;'NSST Print'!$B$3,Investors!$A:$A,'Investor Exit List'!$A258,Investors!$E:$E,'Investor Exit List'!$C258,Investors!$L:$L,'Investor Exit List'!$B258)-(SUMIFS(Investors!$S:$S,Investors!$I:$I,"&lt;="&amp;'NSST Print'!$B$3,Investors!$J:$J,"&gt;"&amp;'NSST Print'!$B$3,Investors!$A:$A,'Investor Exit List'!$A258,Investors!$E:$E,'Investor Exit List'!$C258,Investors!$L:$L,'Investor Exit List'!$B258)+SUMIFS(Investors!$S:$S,Investors!$I:$I,"&lt;="&amp;'NSST Print'!$B$3,Investors!$J:$J,"",Investors!$A:$A,'Investor Exit List'!$A258,Investors!$E:$E,'Investor Exit List'!$C258,Investors!$L:$L,'Investor Exit List'!$B258))</f>
        <v>1044980.5768323287</v>
      </c>
      <c r="R258" s="117">
        <f t="shared" si="41"/>
        <v>0</v>
      </c>
      <c r="S258" s="117">
        <f>SUMIFS(Investors!$M:$M,Investors!$O:$O,TRUE,Investors!$A:$A,'Investor Exit List'!$A258,Investors!$E:$E,'Investor Exit List'!$C258,Investors!$L:$L,'Investor Exit List'!$B258)+SUMIFS(Investors!$S:$S,Investors!$O:$O,TRUE,Investors!$A:$A,'Investor Exit List'!$A258,Investors!$E:$E,'Investor Exit List'!$C258,Investors!$L:$L,'Investor Exit List'!$B258)</f>
        <v>0</v>
      </c>
      <c r="T258" s="118" t="str">
        <f t="shared" si="42"/>
        <v/>
      </c>
      <c r="U258" s="116" t="b">
        <v>0</v>
      </c>
      <c r="V258" s="117">
        <f t="shared" si="43"/>
        <v>0</v>
      </c>
      <c r="W258" s="116">
        <v>0</v>
      </c>
      <c r="X258" s="116" t="b">
        <v>0</v>
      </c>
      <c r="Y258" s="119">
        <f>IF(H258=FALSE,VLOOKUP($C258,Sales!$C:$F,4,FALSE),1)</f>
        <v>0</v>
      </c>
      <c r="Z258" s="116" t="str">
        <f t="shared" si="44"/>
        <v>Release</v>
      </c>
      <c r="AA258" s="118">
        <f t="shared" si="45"/>
        <v>46101</v>
      </c>
      <c r="AB258" s="118" t="str">
        <f t="shared" si="46"/>
        <v>HVF101-ZWAT01</v>
      </c>
      <c r="AC258" s="118">
        <f t="shared" si="47"/>
        <v>46101</v>
      </c>
    </row>
    <row r="259" spans="1:29" ht="16" x14ac:dyDescent="0.2">
      <c r="A259" s="116" t="s">
        <v>520</v>
      </c>
      <c r="B259" s="116">
        <v>5</v>
      </c>
      <c r="C259" s="116" t="s">
        <v>599</v>
      </c>
      <c r="D259" s="116" t="s">
        <v>598</v>
      </c>
      <c r="E259" s="116" t="s">
        <v>2153</v>
      </c>
      <c r="F259" s="117">
        <f>SUMIFS(Investors!$M:$M,Investors!$O:$O,FALSE,Investors!$P:$P,FALSE,Investors!$K:$K,"&gt;"&amp;'NSST Print'!$B$3,Investors!$I:$I,"&lt;="&amp;'NSST Print'!$B$3,Investors!$A:$A,'Investor Exit List'!$A259,Investors!$E:$E,'Investor Exit List'!$C259,Investors!$L:$L,'Investor Exit List'!$B259)-(SUMIFS(Investors!$M:$M,Investors!$I:$I,"&lt;="&amp;'NSST Print'!$B$3,Investors!$J:$J,"&gt;"&amp;'NSST Print'!$B$3,Investors!$A:$A,'Investor Exit List'!$A259,Investors!$E:$E,'Investor Exit List'!$C259,Investors!$L:$L,'Investor Exit List'!$B259)+SUMIFS(Investors!$M:$M,Investors!$I:$I,"&lt;="&amp;'NSST Print'!$B$3,Investors!$J:$J,"",Investors!$A:$A,'Investor Exit List'!$A259,Investors!$E:$E,'Investor Exit List'!$C259,Investors!$L:$L,'Investor Exit List'!$B259))</f>
        <v>780885.27</v>
      </c>
      <c r="G259" s="118">
        <v>45371</v>
      </c>
      <c r="H259" s="116" t="b">
        <f>VLOOKUP($C259,Sales!$C:$E,2,FALSE)</f>
        <v>0</v>
      </c>
      <c r="I259" s="116" t="b">
        <f>VLOOKUP($C259,Sales!$C:$E,3,FALSE)</f>
        <v>0</v>
      </c>
      <c r="J259" s="118">
        <f>SUMIFS(Sales!$H:$H,Sales!$C:$C,'Investor Exit List'!$C259)</f>
        <v>45722</v>
      </c>
      <c r="K259" s="118" t="str">
        <f t="shared" si="36"/>
        <v/>
      </c>
      <c r="L259" s="118">
        <f t="shared" si="37"/>
        <v>46101</v>
      </c>
      <c r="M259" s="118">
        <v>45443</v>
      </c>
      <c r="N259" s="119">
        <f t="shared" si="38"/>
        <v>658</v>
      </c>
      <c r="O259" s="119">
        <f t="shared" si="39"/>
        <v>0</v>
      </c>
      <c r="P259" s="117">
        <f t="shared" si="40"/>
        <v>0</v>
      </c>
      <c r="Q259" s="117">
        <f>SUMIFS(Investors!$M:$M,Investors!$O:$O,FALSE,Investors!$P:$P,FALSE,Investors!$K:$K,"&gt;"&amp;'NSST Print'!$B$3,Investors!$I:$I,"&lt;="&amp;'NSST Print'!$B$3,Investors!$A:$A,'Investor Exit List'!$A259,Investors!$E:$E,'Investor Exit List'!$C259,Investors!$L:$L,'Investor Exit List'!$B259)-(SUMIFS(Investors!$M:$M,Investors!$I:$I,"&lt;="&amp;'NSST Print'!$B$3,Investors!$J:$J,"&gt;"&amp;'NSST Print'!$B$3,Investors!$A:$A,'Investor Exit List'!$A259,Investors!$E:$E,'Investor Exit List'!$C259,Investors!$L:$L,'Investor Exit List'!$B259)+SUMIFS(Investors!$M:$M,Investors!$I:$I,"&lt;="&amp;'NSST Print'!$B$3,Investors!$J:$J,"",Investors!$A:$A,'Investor Exit List'!$A259,Investors!$E:$E,'Investor Exit List'!$C259,Investors!$L:$L,'Investor Exit List'!$B259))+SUMIFS(Investors!$S:$S,Investors!$O:$O,FALSE,Investors!$P:$P,FALSE,Investors!$K:$K,"&gt;"&amp;'NSST Print'!$B$3,Investors!$I:$I,"&lt;="&amp;'NSST Print'!$B$3,Investors!$A:$A,'Investor Exit List'!$A259,Investors!$E:$E,'Investor Exit List'!$C259,Investors!$L:$L,'Investor Exit List'!$B259)-(SUMIFS(Investors!$S:$S,Investors!$I:$I,"&lt;="&amp;'NSST Print'!$B$3,Investors!$J:$J,"&gt;"&amp;'NSST Print'!$B$3,Investors!$A:$A,'Investor Exit List'!$A259,Investors!$E:$E,'Investor Exit List'!$C259,Investors!$L:$L,'Investor Exit List'!$B259)+SUMIFS(Investors!$S:$S,Investors!$I:$I,"&lt;="&amp;'NSST Print'!$B$3,Investors!$J:$J,"",Investors!$A:$A,'Investor Exit List'!$A259,Investors!$E:$E,'Investor Exit List'!$C259,Investors!$L:$L,'Investor Exit List'!$B259))</f>
        <v>876816.49056657543</v>
      </c>
      <c r="R259" s="117">
        <f t="shared" si="41"/>
        <v>0</v>
      </c>
      <c r="S259" s="117">
        <f>SUMIFS(Investors!$M:$M,Investors!$O:$O,TRUE,Investors!$A:$A,'Investor Exit List'!$A259,Investors!$E:$E,'Investor Exit List'!$C259,Investors!$L:$L,'Investor Exit List'!$B259)+SUMIFS(Investors!$S:$S,Investors!$O:$O,TRUE,Investors!$A:$A,'Investor Exit List'!$A259,Investors!$E:$E,'Investor Exit List'!$C259,Investors!$L:$L,'Investor Exit List'!$B259)</f>
        <v>0</v>
      </c>
      <c r="T259" s="118" t="str">
        <f t="shared" si="42"/>
        <v/>
      </c>
      <c r="U259" s="116" t="b">
        <v>0</v>
      </c>
      <c r="V259" s="117">
        <f t="shared" si="43"/>
        <v>0</v>
      </c>
      <c r="W259" s="116">
        <v>0</v>
      </c>
      <c r="X259" s="116" t="b">
        <v>0</v>
      </c>
      <c r="Y259" s="119">
        <f>IF(H259=FALSE,VLOOKUP($C259,Sales!$C:$F,4,FALSE),1)</f>
        <v>0</v>
      </c>
      <c r="Z259" s="116" t="str">
        <f t="shared" si="44"/>
        <v>Release</v>
      </c>
      <c r="AA259" s="118">
        <f t="shared" si="45"/>
        <v>46101</v>
      </c>
      <c r="AB259" s="118" t="str">
        <f t="shared" si="46"/>
        <v>HVF102-ZFON01</v>
      </c>
      <c r="AC259" s="118">
        <f t="shared" si="47"/>
        <v>46101</v>
      </c>
    </row>
    <row r="260" spans="1:29" ht="16" x14ac:dyDescent="0.2">
      <c r="A260" s="116" t="s">
        <v>600</v>
      </c>
      <c r="B260" s="116">
        <v>1</v>
      </c>
      <c r="C260" s="116" t="s">
        <v>599</v>
      </c>
      <c r="D260" s="116" t="s">
        <v>598</v>
      </c>
      <c r="E260" s="116" t="s">
        <v>2172</v>
      </c>
      <c r="F260" s="117">
        <f>SUMIFS(Investors!$M:$M,Investors!$O:$O,FALSE,Investors!$P:$P,FALSE,Investors!$K:$K,"&gt;"&amp;'NSST Print'!$B$3,Investors!$I:$I,"&lt;="&amp;'NSST Print'!$B$3,Investors!$A:$A,'Investor Exit List'!$A260,Investors!$E:$E,'Investor Exit List'!$C260,Investors!$L:$L,'Investor Exit List'!$B260)-(SUMIFS(Investors!$M:$M,Investors!$I:$I,"&lt;="&amp;'NSST Print'!$B$3,Investors!$J:$J,"&gt;"&amp;'NSST Print'!$B$3,Investors!$A:$A,'Investor Exit List'!$A260,Investors!$E:$E,'Investor Exit List'!$C260,Investors!$L:$L,'Investor Exit List'!$B260)+SUMIFS(Investors!$M:$M,Investors!$I:$I,"&lt;="&amp;'NSST Print'!$B$3,Investors!$J:$J,"",Investors!$A:$A,'Investor Exit List'!$A260,Investors!$E:$E,'Investor Exit List'!$C260,Investors!$L:$L,'Investor Exit List'!$B260))</f>
        <v>200000</v>
      </c>
      <c r="G260" s="118">
        <v>45443</v>
      </c>
      <c r="H260" s="116" t="b">
        <f>VLOOKUP($C260,Sales!$C:$E,2,FALSE)</f>
        <v>0</v>
      </c>
      <c r="I260" s="116" t="b">
        <f>VLOOKUP($C260,Sales!$C:$E,3,FALSE)</f>
        <v>0</v>
      </c>
      <c r="J260" s="118">
        <f>SUMIFS(Sales!$H:$H,Sales!$C:$C,'Investor Exit List'!$C260)</f>
        <v>45722</v>
      </c>
      <c r="K260" s="118" t="str">
        <f t="shared" ref="K260:K323" si="48">IF(I260=TRUE,J260,"")</f>
        <v/>
      </c>
      <c r="L260" s="118">
        <f t="shared" ref="L260:L323" si="49">G260+730</f>
        <v>46173</v>
      </c>
      <c r="M260" s="118">
        <v>45443</v>
      </c>
      <c r="N260" s="119">
        <f t="shared" ref="N260:N323" si="50">IFERROR(IF(G260&lt;&gt;"",IF(I260=TRUE,0,IF(U260=TRUE,0,L260-M260)),0),0)</f>
        <v>730</v>
      </c>
      <c r="O260" s="119">
        <f t="shared" ref="O260:O323" si="51">IF(N260&gt;0,IF(N260&lt;=180,N260,0),0)</f>
        <v>0</v>
      </c>
      <c r="P260" s="117">
        <f t="shared" ref="P260:P323" si="52">IF(AND(N260&lt;90,N260&gt;0),Q260,0)</f>
        <v>0</v>
      </c>
      <c r="Q260" s="117">
        <f>SUMIFS(Investors!$M:$M,Investors!$O:$O,FALSE,Investors!$P:$P,FALSE,Investors!$K:$K,"&gt;"&amp;'NSST Print'!$B$3,Investors!$I:$I,"&lt;="&amp;'NSST Print'!$B$3,Investors!$A:$A,'Investor Exit List'!$A260,Investors!$E:$E,'Investor Exit List'!$C260,Investors!$L:$L,'Investor Exit List'!$B260)-(SUMIFS(Investors!$M:$M,Investors!$I:$I,"&lt;="&amp;'NSST Print'!$B$3,Investors!$J:$J,"&gt;"&amp;'NSST Print'!$B$3,Investors!$A:$A,'Investor Exit List'!$A260,Investors!$E:$E,'Investor Exit List'!$C260,Investors!$L:$L,'Investor Exit List'!$B260)+SUMIFS(Investors!$M:$M,Investors!$I:$I,"&lt;="&amp;'NSST Print'!$B$3,Investors!$J:$J,"",Investors!$A:$A,'Investor Exit List'!$A260,Investors!$E:$E,'Investor Exit List'!$C260,Investors!$L:$L,'Investor Exit List'!$B260))+SUMIFS(Investors!$S:$S,Investors!$O:$O,FALSE,Investors!$P:$P,FALSE,Investors!$K:$K,"&gt;"&amp;'NSST Print'!$B$3,Investors!$I:$I,"&lt;="&amp;'NSST Print'!$B$3,Investors!$A:$A,'Investor Exit List'!$A260,Investors!$E:$E,'Investor Exit List'!$C260,Investors!$L:$L,'Investor Exit List'!$B260)-(SUMIFS(Investors!$S:$S,Investors!$I:$I,"&lt;="&amp;'NSST Print'!$B$3,Investors!$J:$J,"&gt;"&amp;'NSST Print'!$B$3,Investors!$A:$A,'Investor Exit List'!$A260,Investors!$E:$E,'Investor Exit List'!$C260,Investors!$L:$L,'Investor Exit List'!$B260)+SUMIFS(Investors!$S:$S,Investors!$I:$I,"&lt;="&amp;'NSST Print'!$B$3,Investors!$J:$J,"",Investors!$A:$A,'Investor Exit List'!$A260,Investors!$E:$E,'Investor Exit List'!$C260,Investors!$L:$L,'Investor Exit List'!$B260))</f>
        <v>212449.31506849316</v>
      </c>
      <c r="R260" s="117">
        <f t="shared" ref="R260:R323" si="53">IF(AND(H260=TRUE,I260=FALSE),Q260,0)</f>
        <v>0</v>
      </c>
      <c r="S260" s="117">
        <f>SUMIFS(Investors!$M:$M,Investors!$O:$O,TRUE,Investors!$A:$A,'Investor Exit List'!$A260,Investors!$E:$E,'Investor Exit List'!$C260,Investors!$L:$L,'Investor Exit List'!$B260)+SUMIFS(Investors!$S:$S,Investors!$O:$O,TRUE,Investors!$A:$A,'Investor Exit List'!$A260,Investors!$E:$E,'Investor Exit List'!$C260,Investors!$L:$L,'Investor Exit List'!$B260)</f>
        <v>0</v>
      </c>
      <c r="T260" s="118" t="str">
        <f t="shared" ref="T260:T323" si="54">IF(U260=TRUE,$J260,"")</f>
        <v/>
      </c>
      <c r="U260" s="116" t="b">
        <v>0</v>
      </c>
      <c r="V260" s="117">
        <f t="shared" ref="V260:V323" si="55">IF(AND(H260=TRUE,OR(K260="",K260&gt;M260)),S260,0)</f>
        <v>0</v>
      </c>
      <c r="W260" s="116">
        <v>0</v>
      </c>
      <c r="X260" s="116" t="b">
        <v>0</v>
      </c>
      <c r="Y260" s="119">
        <f>IF(H260=FALSE,VLOOKUP($C260,Sales!$C:$F,4,FALSE),1)</f>
        <v>0</v>
      </c>
      <c r="Z260" s="116" t="str">
        <f t="shared" ref="Z260:Z323" si="56">IF(Y260=0,"Release",IF(AND(L260&lt;J260,Y260=1,H260=FALSE,U260=FALSE,MONTH(L260)&amp;"/"&amp;YEAR(L260)&lt;&gt;MONTH(J260)&amp;"/"&amp;YEAR(J260)),"Release",""))</f>
        <v>Release</v>
      </c>
      <c r="AA260" s="118">
        <f t="shared" ref="AA260:AA323" si="57">_xlfn.MINIFS($L:$L,$C:$C,$C260,$F:$F,"&lt;&gt;0")</f>
        <v>46101</v>
      </c>
      <c r="AB260" s="118" t="str">
        <f t="shared" ref="AB260:AB323" si="58">C260&amp;"-"&amp;A260</f>
        <v>HVF102-ZKAL01</v>
      </c>
      <c r="AC260" s="118">
        <f t="shared" ref="AC260:AC323" si="59">L260</f>
        <v>46173</v>
      </c>
    </row>
    <row r="261" spans="1:29" ht="16" x14ac:dyDescent="0.2">
      <c r="A261" s="116" t="s">
        <v>403</v>
      </c>
      <c r="B261" s="116">
        <v>10</v>
      </c>
      <c r="C261" s="116" t="s">
        <v>599</v>
      </c>
      <c r="D261" s="116" t="s">
        <v>598</v>
      </c>
      <c r="E261" s="116" t="s">
        <v>2050</v>
      </c>
      <c r="F261" s="117">
        <f>SUMIFS(Investors!$M:$M,Investors!$O:$O,FALSE,Investors!$P:$P,FALSE,Investors!$K:$K,"&gt;"&amp;'NSST Print'!$B$3,Investors!$I:$I,"&lt;="&amp;'NSST Print'!$B$3,Investors!$A:$A,'Investor Exit List'!$A261,Investors!$E:$E,'Investor Exit List'!$C261,Investors!$L:$L,'Investor Exit List'!$B261)-(SUMIFS(Investors!$M:$M,Investors!$I:$I,"&lt;="&amp;'NSST Print'!$B$3,Investors!$J:$J,"&gt;"&amp;'NSST Print'!$B$3,Investors!$A:$A,'Investor Exit List'!$A261,Investors!$E:$E,'Investor Exit List'!$C261,Investors!$L:$L,'Investor Exit List'!$B261)+SUMIFS(Investors!$M:$M,Investors!$I:$I,"&lt;="&amp;'NSST Print'!$B$3,Investors!$J:$J,"",Investors!$A:$A,'Investor Exit List'!$A261,Investors!$E:$E,'Investor Exit List'!$C261,Investors!$L:$L,'Investor Exit List'!$B261))</f>
        <v>243123.29</v>
      </c>
      <c r="G261" s="118">
        <v>45371</v>
      </c>
      <c r="H261" s="116" t="b">
        <f>VLOOKUP($C261,Sales!$C:$E,2,FALSE)</f>
        <v>0</v>
      </c>
      <c r="I261" s="116" t="b">
        <f>VLOOKUP($C261,Sales!$C:$E,3,FALSE)</f>
        <v>0</v>
      </c>
      <c r="J261" s="118">
        <f>SUMIFS(Sales!$H:$H,Sales!$C:$C,'Investor Exit List'!$C261)</f>
        <v>45722</v>
      </c>
      <c r="K261" s="118" t="str">
        <f t="shared" si="48"/>
        <v/>
      </c>
      <c r="L261" s="118">
        <f t="shared" si="49"/>
        <v>46101</v>
      </c>
      <c r="M261" s="118">
        <v>45443</v>
      </c>
      <c r="N261" s="119">
        <f t="shared" si="50"/>
        <v>658</v>
      </c>
      <c r="O261" s="119">
        <f t="shared" si="51"/>
        <v>0</v>
      </c>
      <c r="P261" s="117">
        <f t="shared" si="52"/>
        <v>0</v>
      </c>
      <c r="Q261" s="117">
        <f>SUMIFS(Investors!$M:$M,Investors!$O:$O,FALSE,Investors!$P:$P,FALSE,Investors!$K:$K,"&gt;"&amp;'NSST Print'!$B$3,Investors!$I:$I,"&lt;="&amp;'NSST Print'!$B$3,Investors!$A:$A,'Investor Exit List'!$A261,Investors!$E:$E,'Investor Exit List'!$C261,Investors!$L:$L,'Investor Exit List'!$B261)-(SUMIFS(Investors!$M:$M,Investors!$I:$I,"&lt;="&amp;'NSST Print'!$B$3,Investors!$J:$J,"&gt;"&amp;'NSST Print'!$B$3,Investors!$A:$A,'Investor Exit List'!$A261,Investors!$E:$E,'Investor Exit List'!$C261,Investors!$L:$L,'Investor Exit List'!$B261)+SUMIFS(Investors!$M:$M,Investors!$I:$I,"&lt;="&amp;'NSST Print'!$B$3,Investors!$J:$J,"",Investors!$A:$A,'Investor Exit List'!$A261,Investors!$E:$E,'Investor Exit List'!$C261,Investors!$L:$L,'Investor Exit List'!$B261))+SUMIFS(Investors!$S:$S,Investors!$O:$O,FALSE,Investors!$P:$P,FALSE,Investors!$K:$K,"&gt;"&amp;'NSST Print'!$B$3,Investors!$I:$I,"&lt;="&amp;'NSST Print'!$B$3,Investors!$A:$A,'Investor Exit List'!$A261,Investors!$E:$E,'Investor Exit List'!$C261,Investors!$L:$L,'Investor Exit List'!$B261)-(SUMIFS(Investors!$S:$S,Investors!$I:$I,"&lt;="&amp;'NSST Print'!$B$3,Investors!$J:$J,"&gt;"&amp;'NSST Print'!$B$3,Investors!$A:$A,'Investor Exit List'!$A261,Investors!$E:$E,'Investor Exit List'!$C261,Investors!$L:$L,'Investor Exit List'!$B261)+SUMIFS(Investors!$S:$S,Investors!$I:$I,"&lt;="&amp;'NSST Print'!$B$3,Investors!$J:$J,"",Investors!$A:$A,'Investor Exit List'!$A261,Investors!$E:$E,'Investor Exit List'!$C261,Investors!$L:$L,'Investor Exit List'!$B261))</f>
        <v>273317.20434438356</v>
      </c>
      <c r="R261" s="117">
        <f t="shared" si="53"/>
        <v>0</v>
      </c>
      <c r="S261" s="117">
        <f>SUMIFS(Investors!$M:$M,Investors!$O:$O,TRUE,Investors!$A:$A,'Investor Exit List'!$A261,Investors!$E:$E,'Investor Exit List'!$C261,Investors!$L:$L,'Investor Exit List'!$B261)+SUMIFS(Investors!$S:$S,Investors!$O:$O,TRUE,Investors!$A:$A,'Investor Exit List'!$A261,Investors!$E:$E,'Investor Exit List'!$C261,Investors!$L:$L,'Investor Exit List'!$B261)</f>
        <v>0</v>
      </c>
      <c r="T261" s="118" t="str">
        <f t="shared" si="54"/>
        <v/>
      </c>
      <c r="U261" s="116" t="b">
        <v>0</v>
      </c>
      <c r="V261" s="117">
        <f t="shared" si="55"/>
        <v>0</v>
      </c>
      <c r="W261" s="116">
        <v>0</v>
      </c>
      <c r="X261" s="116" t="b">
        <v>0</v>
      </c>
      <c r="Y261" s="119">
        <f>IF(H261=FALSE,VLOOKUP($C261,Sales!$C:$F,4,FALSE),1)</f>
        <v>0</v>
      </c>
      <c r="Z261" s="116" t="str">
        <f t="shared" si="56"/>
        <v>Release</v>
      </c>
      <c r="AA261" s="118">
        <f t="shared" si="57"/>
        <v>46101</v>
      </c>
      <c r="AB261" s="118" t="str">
        <f t="shared" si="58"/>
        <v>HVF102-ZTHA01</v>
      </c>
      <c r="AC261" s="118">
        <f t="shared" si="59"/>
        <v>46101</v>
      </c>
    </row>
    <row r="262" spans="1:29" ht="16" x14ac:dyDescent="0.2">
      <c r="A262" s="116" t="s">
        <v>559</v>
      </c>
      <c r="B262" s="116">
        <v>3</v>
      </c>
      <c r="C262" s="116" t="s">
        <v>603</v>
      </c>
      <c r="D262" s="116" t="s">
        <v>598</v>
      </c>
      <c r="E262" s="116" t="s">
        <v>2164</v>
      </c>
      <c r="F262" s="117">
        <f>SUMIFS(Investors!$M:$M,Investors!$O:$O,FALSE,Investors!$P:$P,FALSE,Investors!$K:$K,"&gt;"&amp;'NSST Print'!$B$3,Investors!$I:$I,"&lt;="&amp;'NSST Print'!$B$3,Investors!$A:$A,'Investor Exit List'!$A262,Investors!$E:$E,'Investor Exit List'!$C262,Investors!$L:$L,'Investor Exit List'!$B262)-(SUMIFS(Investors!$M:$M,Investors!$I:$I,"&lt;="&amp;'NSST Print'!$B$3,Investors!$J:$J,"&gt;"&amp;'NSST Print'!$B$3,Investors!$A:$A,'Investor Exit List'!$A262,Investors!$E:$E,'Investor Exit List'!$C262,Investors!$L:$L,'Investor Exit List'!$B262)+SUMIFS(Investors!$M:$M,Investors!$I:$I,"&lt;="&amp;'NSST Print'!$B$3,Investors!$J:$J,"",Investors!$A:$A,'Investor Exit List'!$A262,Investors!$E:$E,'Investor Exit List'!$C262,Investors!$L:$L,'Investor Exit List'!$B262))</f>
        <v>296340</v>
      </c>
      <c r="G262" s="118">
        <v>45443</v>
      </c>
      <c r="H262" s="116" t="b">
        <f>VLOOKUP($C262,Sales!$C:$E,2,FALSE)</f>
        <v>0</v>
      </c>
      <c r="I262" s="116" t="b">
        <f>VLOOKUP($C262,Sales!$C:$E,3,FALSE)</f>
        <v>0</v>
      </c>
      <c r="J262" s="118">
        <f>SUMIFS(Sales!$H:$H,Sales!$C:$C,'Investor Exit List'!$C262)</f>
        <v>45722</v>
      </c>
      <c r="K262" s="118" t="str">
        <f t="shared" si="48"/>
        <v/>
      </c>
      <c r="L262" s="118">
        <f t="shared" si="49"/>
        <v>46173</v>
      </c>
      <c r="M262" s="118">
        <v>45443</v>
      </c>
      <c r="N262" s="119">
        <f t="shared" si="50"/>
        <v>730</v>
      </c>
      <c r="O262" s="119">
        <f t="shared" si="51"/>
        <v>0</v>
      </c>
      <c r="P262" s="117">
        <f t="shared" si="52"/>
        <v>0</v>
      </c>
      <c r="Q262" s="117">
        <f>SUMIFS(Investors!$M:$M,Investors!$O:$O,FALSE,Investors!$P:$P,FALSE,Investors!$K:$K,"&gt;"&amp;'NSST Print'!$B$3,Investors!$I:$I,"&lt;="&amp;'NSST Print'!$B$3,Investors!$A:$A,'Investor Exit List'!$A262,Investors!$E:$E,'Investor Exit List'!$C262,Investors!$L:$L,'Investor Exit List'!$B262)-(SUMIFS(Investors!$M:$M,Investors!$I:$I,"&lt;="&amp;'NSST Print'!$B$3,Investors!$J:$J,"&gt;"&amp;'NSST Print'!$B$3,Investors!$A:$A,'Investor Exit List'!$A262,Investors!$E:$E,'Investor Exit List'!$C262,Investors!$L:$L,'Investor Exit List'!$B262)+SUMIFS(Investors!$M:$M,Investors!$I:$I,"&lt;="&amp;'NSST Print'!$B$3,Investors!$J:$J,"",Investors!$A:$A,'Investor Exit List'!$A262,Investors!$E:$E,'Investor Exit List'!$C262,Investors!$L:$L,'Investor Exit List'!$B262))+SUMIFS(Investors!$S:$S,Investors!$O:$O,FALSE,Investors!$P:$P,FALSE,Investors!$K:$K,"&gt;"&amp;'NSST Print'!$B$3,Investors!$I:$I,"&lt;="&amp;'NSST Print'!$B$3,Investors!$A:$A,'Investor Exit List'!$A262,Investors!$E:$E,'Investor Exit List'!$C262,Investors!$L:$L,'Investor Exit List'!$B262)-(SUMIFS(Investors!$S:$S,Investors!$I:$I,"&lt;="&amp;'NSST Print'!$B$3,Investors!$J:$J,"&gt;"&amp;'NSST Print'!$B$3,Investors!$A:$A,'Investor Exit List'!$A262,Investors!$E:$E,'Investor Exit List'!$C262,Investors!$L:$L,'Investor Exit List'!$B262)+SUMIFS(Investors!$S:$S,Investors!$I:$I,"&lt;="&amp;'NSST Print'!$B$3,Investors!$J:$J,"",Investors!$A:$A,'Investor Exit List'!$A262,Investors!$E:$E,'Investor Exit List'!$C262,Investors!$L:$L,'Investor Exit List'!$B262))</f>
        <v>320177.10246575344</v>
      </c>
      <c r="R262" s="117">
        <f t="shared" si="53"/>
        <v>0</v>
      </c>
      <c r="S262" s="117">
        <f>SUMIFS(Investors!$M:$M,Investors!$O:$O,TRUE,Investors!$A:$A,'Investor Exit List'!$A262,Investors!$E:$E,'Investor Exit List'!$C262,Investors!$L:$L,'Investor Exit List'!$B262)+SUMIFS(Investors!$S:$S,Investors!$O:$O,TRUE,Investors!$A:$A,'Investor Exit List'!$A262,Investors!$E:$E,'Investor Exit List'!$C262,Investors!$L:$L,'Investor Exit List'!$B262)</f>
        <v>0</v>
      </c>
      <c r="T262" s="118" t="str">
        <f t="shared" si="54"/>
        <v/>
      </c>
      <c r="U262" s="116" t="b">
        <v>0</v>
      </c>
      <c r="V262" s="117">
        <f t="shared" si="55"/>
        <v>0</v>
      </c>
      <c r="W262" s="116">
        <v>0</v>
      </c>
      <c r="X262" s="116" t="b">
        <v>0</v>
      </c>
      <c r="Y262" s="119">
        <f>IF(H262=FALSE,VLOOKUP($C262,Sales!$C:$F,4,FALSE),1)</f>
        <v>0</v>
      </c>
      <c r="Z262" s="116" t="str">
        <f t="shared" si="56"/>
        <v>Release</v>
      </c>
      <c r="AA262" s="118">
        <f t="shared" si="57"/>
        <v>46138</v>
      </c>
      <c r="AB262" s="118" t="str">
        <f t="shared" si="58"/>
        <v>HVF103-ZPLA01</v>
      </c>
      <c r="AC262" s="118">
        <f t="shared" si="59"/>
        <v>46173</v>
      </c>
    </row>
    <row r="263" spans="1:29" ht="16" x14ac:dyDescent="0.2">
      <c r="A263" s="116" t="s">
        <v>498</v>
      </c>
      <c r="B263" s="116">
        <v>15</v>
      </c>
      <c r="C263" s="116" t="s">
        <v>603</v>
      </c>
      <c r="D263" s="116" t="s">
        <v>598</v>
      </c>
      <c r="E263" s="116" t="s">
        <v>2146</v>
      </c>
      <c r="F263" s="117">
        <f>SUMIFS(Investors!$M:$M,Investors!$O:$O,FALSE,Investors!$P:$P,FALSE,Investors!$K:$K,"&gt;"&amp;'NSST Print'!$B$3,Investors!$I:$I,"&lt;="&amp;'NSST Print'!$B$3,Investors!$A:$A,'Investor Exit List'!$A263,Investors!$E:$E,'Investor Exit List'!$C263,Investors!$L:$L,'Investor Exit List'!$B263)-(SUMIFS(Investors!$M:$M,Investors!$I:$I,"&lt;="&amp;'NSST Print'!$B$3,Investors!$J:$J,"&gt;"&amp;'NSST Print'!$B$3,Investors!$A:$A,'Investor Exit List'!$A263,Investors!$E:$E,'Investor Exit List'!$C263,Investors!$L:$L,'Investor Exit List'!$B263)+SUMIFS(Investors!$M:$M,Investors!$I:$I,"&lt;="&amp;'NSST Print'!$B$3,Investors!$J:$J,"",Investors!$A:$A,'Investor Exit List'!$A263,Investors!$E:$E,'Investor Exit List'!$C263,Investors!$L:$L,'Investor Exit List'!$B263))</f>
        <v>889121.53</v>
      </c>
      <c r="G263" s="118">
        <v>45408</v>
      </c>
      <c r="H263" s="116" t="b">
        <f>VLOOKUP($C263,Sales!$C:$E,2,FALSE)</f>
        <v>0</v>
      </c>
      <c r="I263" s="116" t="b">
        <f>VLOOKUP($C263,Sales!$C:$E,3,FALSE)</f>
        <v>0</v>
      </c>
      <c r="J263" s="118">
        <f>SUMIFS(Sales!$H:$H,Sales!$C:$C,'Investor Exit List'!$C263)</f>
        <v>45722</v>
      </c>
      <c r="K263" s="118" t="str">
        <f t="shared" si="48"/>
        <v/>
      </c>
      <c r="L263" s="118">
        <f t="shared" si="49"/>
        <v>46138</v>
      </c>
      <c r="M263" s="118">
        <v>45443</v>
      </c>
      <c r="N263" s="119">
        <f t="shared" si="50"/>
        <v>695</v>
      </c>
      <c r="O263" s="119">
        <f t="shared" si="51"/>
        <v>0</v>
      </c>
      <c r="P263" s="117">
        <f t="shared" si="52"/>
        <v>0</v>
      </c>
      <c r="Q263" s="117">
        <f>SUMIFS(Investors!$M:$M,Investors!$O:$O,FALSE,Investors!$P:$P,FALSE,Investors!$K:$K,"&gt;"&amp;'NSST Print'!$B$3,Investors!$I:$I,"&lt;="&amp;'NSST Print'!$B$3,Investors!$A:$A,'Investor Exit List'!$A263,Investors!$E:$E,'Investor Exit List'!$C263,Investors!$L:$L,'Investor Exit List'!$B263)-(SUMIFS(Investors!$M:$M,Investors!$I:$I,"&lt;="&amp;'NSST Print'!$B$3,Investors!$J:$J,"&gt;"&amp;'NSST Print'!$B$3,Investors!$A:$A,'Investor Exit List'!$A263,Investors!$E:$E,'Investor Exit List'!$C263,Investors!$L:$L,'Investor Exit List'!$B263)+SUMIFS(Investors!$M:$M,Investors!$I:$I,"&lt;="&amp;'NSST Print'!$B$3,Investors!$J:$J,"",Investors!$A:$A,'Investor Exit List'!$A263,Investors!$E:$E,'Investor Exit List'!$C263,Investors!$L:$L,'Investor Exit List'!$B263))+SUMIFS(Investors!$S:$S,Investors!$O:$O,FALSE,Investors!$P:$P,FALSE,Investors!$K:$K,"&gt;"&amp;'NSST Print'!$B$3,Investors!$I:$I,"&lt;="&amp;'NSST Print'!$B$3,Investors!$A:$A,'Investor Exit List'!$A263,Investors!$E:$E,'Investor Exit List'!$C263,Investors!$L:$L,'Investor Exit List'!$B263)-(SUMIFS(Investors!$S:$S,Investors!$I:$I,"&lt;="&amp;'NSST Print'!$B$3,Investors!$J:$J,"&gt;"&amp;'NSST Print'!$B$3,Investors!$A:$A,'Investor Exit List'!$A263,Investors!$E:$E,'Investor Exit List'!$C263,Investors!$L:$L,'Investor Exit List'!$B263)+SUMIFS(Investors!$S:$S,Investors!$I:$I,"&lt;="&amp;'NSST Print'!$B$3,Investors!$J:$J,"",Investors!$A:$A,'Investor Exit List'!$A263,Investors!$E:$E,'Investor Exit List'!$C263,Investors!$L:$L,'Investor Exit List'!$B263))</f>
        <v>1002612.4124183562</v>
      </c>
      <c r="R263" s="117">
        <f t="shared" si="53"/>
        <v>0</v>
      </c>
      <c r="S263" s="117">
        <f>SUMIFS(Investors!$M:$M,Investors!$O:$O,TRUE,Investors!$A:$A,'Investor Exit List'!$A263,Investors!$E:$E,'Investor Exit List'!$C263,Investors!$L:$L,'Investor Exit List'!$B263)+SUMIFS(Investors!$S:$S,Investors!$O:$O,TRUE,Investors!$A:$A,'Investor Exit List'!$A263,Investors!$E:$E,'Investor Exit List'!$C263,Investors!$L:$L,'Investor Exit List'!$B263)</f>
        <v>0</v>
      </c>
      <c r="T263" s="118" t="str">
        <f t="shared" si="54"/>
        <v/>
      </c>
      <c r="U263" s="116" t="b">
        <v>0</v>
      </c>
      <c r="V263" s="117">
        <f t="shared" si="55"/>
        <v>0</v>
      </c>
      <c r="W263" s="116">
        <v>0</v>
      </c>
      <c r="X263" s="116" t="b">
        <v>0</v>
      </c>
      <c r="Y263" s="119">
        <f>IF(H263=FALSE,VLOOKUP($C263,Sales!$C:$F,4,FALSE),1)</f>
        <v>0</v>
      </c>
      <c r="Z263" s="116" t="str">
        <f t="shared" si="56"/>
        <v>Release</v>
      </c>
      <c r="AA263" s="118">
        <f t="shared" si="57"/>
        <v>46138</v>
      </c>
      <c r="AB263" s="118" t="str">
        <f t="shared" si="58"/>
        <v>HVF103-ZWAT01</v>
      </c>
      <c r="AC263" s="118">
        <f t="shared" si="59"/>
        <v>46138</v>
      </c>
    </row>
    <row r="264" spans="1:29" ht="16" x14ac:dyDescent="0.2">
      <c r="A264" s="116" t="s">
        <v>416</v>
      </c>
      <c r="B264" s="116">
        <v>4</v>
      </c>
      <c r="C264" s="116" t="s">
        <v>604</v>
      </c>
      <c r="D264" s="116" t="s">
        <v>598</v>
      </c>
      <c r="E264" s="116" t="s">
        <v>2122</v>
      </c>
      <c r="F264" s="117">
        <f>SUMIFS(Investors!$M:$M,Investors!$O:$O,FALSE,Investors!$P:$P,FALSE,Investors!$K:$K,"&gt;"&amp;'NSST Print'!$B$3,Investors!$I:$I,"&lt;="&amp;'NSST Print'!$B$3,Investors!$A:$A,'Investor Exit List'!$A264,Investors!$E:$E,'Investor Exit List'!$C264,Investors!$L:$L,'Investor Exit List'!$B264)-(SUMIFS(Investors!$M:$M,Investors!$I:$I,"&lt;="&amp;'NSST Print'!$B$3,Investors!$J:$J,"&gt;"&amp;'NSST Print'!$B$3,Investors!$A:$A,'Investor Exit List'!$A264,Investors!$E:$E,'Investor Exit List'!$C264,Investors!$L:$L,'Investor Exit List'!$B264)+SUMIFS(Investors!$M:$M,Investors!$I:$I,"&lt;="&amp;'NSST Print'!$B$3,Investors!$J:$J,"",Investors!$A:$A,'Investor Exit List'!$A264,Investors!$E:$E,'Investor Exit List'!$C264,Investors!$L:$L,'Investor Exit List'!$B264))</f>
        <v>560000</v>
      </c>
      <c r="G264" s="118">
        <v>45280</v>
      </c>
      <c r="H264" s="116" t="b">
        <f>VLOOKUP($C264,Sales!$C:$E,2,FALSE)</f>
        <v>0</v>
      </c>
      <c r="I264" s="116" t="b">
        <f>VLOOKUP($C264,Sales!$C:$E,3,FALSE)</f>
        <v>0</v>
      </c>
      <c r="J264" s="118">
        <f>SUMIFS(Sales!$H:$H,Sales!$C:$C,'Investor Exit List'!$C264)</f>
        <v>45722</v>
      </c>
      <c r="K264" s="118" t="str">
        <f t="shared" si="48"/>
        <v/>
      </c>
      <c r="L264" s="118">
        <f t="shared" si="49"/>
        <v>46010</v>
      </c>
      <c r="M264" s="118">
        <v>45443</v>
      </c>
      <c r="N264" s="119">
        <f t="shared" si="50"/>
        <v>567</v>
      </c>
      <c r="O264" s="119">
        <f t="shared" si="51"/>
        <v>0</v>
      </c>
      <c r="P264" s="117">
        <f t="shared" si="52"/>
        <v>0</v>
      </c>
      <c r="Q264" s="117">
        <f>SUMIFS(Investors!$M:$M,Investors!$O:$O,FALSE,Investors!$P:$P,FALSE,Investors!$K:$K,"&gt;"&amp;'NSST Print'!$B$3,Investors!$I:$I,"&lt;="&amp;'NSST Print'!$B$3,Investors!$A:$A,'Investor Exit List'!$A264,Investors!$E:$E,'Investor Exit List'!$C264,Investors!$L:$L,'Investor Exit List'!$B264)-(SUMIFS(Investors!$M:$M,Investors!$I:$I,"&lt;="&amp;'NSST Print'!$B$3,Investors!$J:$J,"&gt;"&amp;'NSST Print'!$B$3,Investors!$A:$A,'Investor Exit List'!$A264,Investors!$E:$E,'Investor Exit List'!$C264,Investors!$L:$L,'Investor Exit List'!$B264)+SUMIFS(Investors!$M:$M,Investors!$I:$I,"&lt;="&amp;'NSST Print'!$B$3,Investors!$J:$J,"",Investors!$A:$A,'Investor Exit List'!$A264,Investors!$E:$E,'Investor Exit List'!$C264,Investors!$L:$L,'Investor Exit List'!$B264))+SUMIFS(Investors!$S:$S,Investors!$O:$O,FALSE,Investors!$P:$P,FALSE,Investors!$K:$K,"&gt;"&amp;'NSST Print'!$B$3,Investors!$I:$I,"&lt;="&amp;'NSST Print'!$B$3,Investors!$A:$A,'Investor Exit List'!$A264,Investors!$E:$E,'Investor Exit List'!$C264,Investors!$L:$L,'Investor Exit List'!$B264)-(SUMIFS(Investors!$S:$S,Investors!$I:$I,"&lt;="&amp;'NSST Print'!$B$3,Investors!$J:$J,"&gt;"&amp;'NSST Print'!$B$3,Investors!$A:$A,'Investor Exit List'!$A264,Investors!$E:$E,'Investor Exit List'!$C264,Investors!$L:$L,'Investor Exit List'!$B264)+SUMIFS(Investors!$S:$S,Investors!$I:$I,"&lt;="&amp;'NSST Print'!$B$3,Investors!$J:$J,"",Investors!$A:$A,'Investor Exit List'!$A264,Investors!$E:$E,'Investor Exit List'!$C264,Investors!$L:$L,'Investor Exit List'!$B264))</f>
        <v>662441.64383561641</v>
      </c>
      <c r="R264" s="117">
        <f t="shared" si="53"/>
        <v>0</v>
      </c>
      <c r="S264" s="117">
        <f>SUMIFS(Investors!$M:$M,Investors!$O:$O,TRUE,Investors!$A:$A,'Investor Exit List'!$A264,Investors!$E:$E,'Investor Exit List'!$C264,Investors!$L:$L,'Investor Exit List'!$B264)+SUMIFS(Investors!$S:$S,Investors!$O:$O,TRUE,Investors!$A:$A,'Investor Exit List'!$A264,Investors!$E:$E,'Investor Exit List'!$C264,Investors!$L:$L,'Investor Exit List'!$B264)</f>
        <v>0</v>
      </c>
      <c r="T264" s="118" t="str">
        <f t="shared" si="54"/>
        <v/>
      </c>
      <c r="U264" s="116" t="b">
        <v>0</v>
      </c>
      <c r="V264" s="117">
        <f t="shared" si="55"/>
        <v>0</v>
      </c>
      <c r="W264" s="116">
        <v>0</v>
      </c>
      <c r="X264" s="116" t="b">
        <v>0</v>
      </c>
      <c r="Y264" s="119">
        <f>IF(H264=FALSE,VLOOKUP($C264,Sales!$C:$F,4,FALSE),1)</f>
        <v>0</v>
      </c>
      <c r="Z264" s="116" t="str">
        <f t="shared" si="56"/>
        <v>Release</v>
      </c>
      <c r="AA264" s="118">
        <f t="shared" si="57"/>
        <v>45954</v>
      </c>
      <c r="AB264" s="118" t="str">
        <f t="shared" si="58"/>
        <v>HVF104-ZOLI01</v>
      </c>
      <c r="AC264" s="118">
        <f t="shared" si="59"/>
        <v>46010</v>
      </c>
    </row>
    <row r="265" spans="1:29" ht="16" x14ac:dyDescent="0.2">
      <c r="A265" s="116" t="s">
        <v>419</v>
      </c>
      <c r="B265" s="116">
        <v>16</v>
      </c>
      <c r="C265" s="116" t="s">
        <v>604</v>
      </c>
      <c r="D265" s="116" t="s">
        <v>598</v>
      </c>
      <c r="E265" s="116" t="s">
        <v>2123</v>
      </c>
      <c r="F265" s="117">
        <f>SUMIFS(Investors!$M:$M,Investors!$O:$O,FALSE,Investors!$P:$P,FALSE,Investors!$K:$K,"&gt;"&amp;'NSST Print'!$B$3,Investors!$I:$I,"&lt;="&amp;'NSST Print'!$B$3,Investors!$A:$A,'Investor Exit List'!$A265,Investors!$E:$E,'Investor Exit List'!$C265,Investors!$L:$L,'Investor Exit List'!$B265)-(SUMIFS(Investors!$M:$M,Investors!$I:$I,"&lt;="&amp;'NSST Print'!$B$3,Investors!$J:$J,"&gt;"&amp;'NSST Print'!$B$3,Investors!$A:$A,'Investor Exit List'!$A265,Investors!$E:$E,'Investor Exit List'!$C265,Investors!$L:$L,'Investor Exit List'!$B265)+SUMIFS(Investors!$M:$M,Investors!$I:$I,"&lt;="&amp;'NSST Print'!$B$3,Investors!$J:$J,"",Investors!$A:$A,'Investor Exit List'!$A265,Investors!$E:$E,'Investor Exit List'!$C265,Investors!$L:$L,'Investor Exit List'!$B265))</f>
        <v>343865.75</v>
      </c>
      <c r="G265" s="118">
        <v>45224</v>
      </c>
      <c r="H265" s="116" t="b">
        <f>VLOOKUP($C265,Sales!$C:$E,2,FALSE)</f>
        <v>0</v>
      </c>
      <c r="I265" s="116" t="b">
        <f>VLOOKUP($C265,Sales!$C:$E,3,FALSE)</f>
        <v>0</v>
      </c>
      <c r="J265" s="118">
        <f>SUMIFS(Sales!$H:$H,Sales!$C:$C,'Investor Exit List'!$C265)</f>
        <v>45722</v>
      </c>
      <c r="K265" s="118" t="str">
        <f t="shared" si="48"/>
        <v/>
      </c>
      <c r="L265" s="118">
        <f t="shared" si="49"/>
        <v>45954</v>
      </c>
      <c r="M265" s="118">
        <v>45443</v>
      </c>
      <c r="N265" s="119">
        <f t="shared" si="50"/>
        <v>511</v>
      </c>
      <c r="O265" s="119">
        <f t="shared" si="51"/>
        <v>0</v>
      </c>
      <c r="P265" s="117">
        <f t="shared" si="52"/>
        <v>0</v>
      </c>
      <c r="Q265" s="117">
        <f>SUMIFS(Investors!$M:$M,Investors!$O:$O,FALSE,Investors!$P:$P,FALSE,Investors!$K:$K,"&gt;"&amp;'NSST Print'!$B$3,Investors!$I:$I,"&lt;="&amp;'NSST Print'!$B$3,Investors!$A:$A,'Investor Exit List'!$A265,Investors!$E:$E,'Investor Exit List'!$C265,Investors!$L:$L,'Investor Exit List'!$B265)-(SUMIFS(Investors!$M:$M,Investors!$I:$I,"&lt;="&amp;'NSST Print'!$B$3,Investors!$J:$J,"&gt;"&amp;'NSST Print'!$B$3,Investors!$A:$A,'Investor Exit List'!$A265,Investors!$E:$E,'Investor Exit List'!$C265,Investors!$L:$L,'Investor Exit List'!$B265)+SUMIFS(Investors!$M:$M,Investors!$I:$I,"&lt;="&amp;'NSST Print'!$B$3,Investors!$J:$J,"",Investors!$A:$A,'Investor Exit List'!$A265,Investors!$E:$E,'Investor Exit List'!$C265,Investors!$L:$L,'Investor Exit List'!$B265))+SUMIFS(Investors!$S:$S,Investors!$O:$O,FALSE,Investors!$P:$P,FALSE,Investors!$K:$K,"&gt;"&amp;'NSST Print'!$B$3,Investors!$I:$I,"&lt;="&amp;'NSST Print'!$B$3,Investors!$A:$A,'Investor Exit List'!$A265,Investors!$E:$E,'Investor Exit List'!$C265,Investors!$L:$L,'Investor Exit List'!$B265)-(SUMIFS(Investors!$S:$S,Investors!$I:$I,"&lt;="&amp;'NSST Print'!$B$3,Investors!$J:$J,"&gt;"&amp;'NSST Print'!$B$3,Investors!$A:$A,'Investor Exit List'!$A265,Investors!$E:$E,'Investor Exit List'!$C265,Investors!$L:$L,'Investor Exit List'!$B265)+SUMIFS(Investors!$S:$S,Investors!$I:$I,"&lt;="&amp;'NSST Print'!$B$3,Investors!$J:$J,"",Investors!$A:$A,'Investor Exit List'!$A265,Investors!$E:$E,'Investor Exit List'!$C265,Investors!$L:$L,'Investor Exit List'!$B265))</f>
        <v>410669.91529452056</v>
      </c>
      <c r="R265" s="117">
        <f t="shared" si="53"/>
        <v>0</v>
      </c>
      <c r="S265" s="117">
        <f>SUMIFS(Investors!$M:$M,Investors!$O:$O,TRUE,Investors!$A:$A,'Investor Exit List'!$A265,Investors!$E:$E,'Investor Exit List'!$C265,Investors!$L:$L,'Investor Exit List'!$B265)+SUMIFS(Investors!$S:$S,Investors!$O:$O,TRUE,Investors!$A:$A,'Investor Exit List'!$A265,Investors!$E:$E,'Investor Exit List'!$C265,Investors!$L:$L,'Investor Exit List'!$B265)</f>
        <v>0</v>
      </c>
      <c r="T265" s="118" t="str">
        <f t="shared" si="54"/>
        <v/>
      </c>
      <c r="U265" s="116" t="b">
        <v>0</v>
      </c>
      <c r="V265" s="117">
        <f t="shared" si="55"/>
        <v>0</v>
      </c>
      <c r="W265" s="116">
        <v>0</v>
      </c>
      <c r="X265" s="116" t="b">
        <v>0</v>
      </c>
      <c r="Y265" s="119">
        <f>IF(H265=FALSE,VLOOKUP($C265,Sales!$C:$F,4,FALSE),1)</f>
        <v>0</v>
      </c>
      <c r="Z265" s="116" t="str">
        <f t="shared" si="56"/>
        <v>Release</v>
      </c>
      <c r="AA265" s="118">
        <f t="shared" si="57"/>
        <v>45954</v>
      </c>
      <c r="AB265" s="118" t="str">
        <f t="shared" si="58"/>
        <v>HVF104-ZRIT01</v>
      </c>
      <c r="AC265" s="118">
        <f t="shared" si="59"/>
        <v>45954</v>
      </c>
    </row>
    <row r="266" spans="1:29" ht="16" x14ac:dyDescent="0.2">
      <c r="A266" s="116" t="s">
        <v>605</v>
      </c>
      <c r="B266" s="116">
        <v>1</v>
      </c>
      <c r="C266" s="116" t="s">
        <v>604</v>
      </c>
      <c r="D266" s="116" t="s">
        <v>598</v>
      </c>
      <c r="E266" s="116" t="s">
        <v>2173</v>
      </c>
      <c r="F266" s="117">
        <f>SUMIFS(Investors!$M:$M,Investors!$O:$O,FALSE,Investors!$P:$P,FALSE,Investors!$K:$K,"&gt;"&amp;'NSST Print'!$B$3,Investors!$I:$I,"&lt;="&amp;'NSST Print'!$B$3,Investors!$A:$A,'Investor Exit List'!$A266,Investors!$E:$E,'Investor Exit List'!$C266,Investors!$L:$L,'Investor Exit List'!$B266)-(SUMIFS(Investors!$M:$M,Investors!$I:$I,"&lt;="&amp;'NSST Print'!$B$3,Investors!$J:$J,"&gt;"&amp;'NSST Print'!$B$3,Investors!$A:$A,'Investor Exit List'!$A266,Investors!$E:$E,'Investor Exit List'!$C266,Investors!$L:$L,'Investor Exit List'!$B266)+SUMIFS(Investors!$M:$M,Investors!$I:$I,"&lt;="&amp;'NSST Print'!$B$3,Investors!$J:$J,"",Investors!$A:$A,'Investor Exit List'!$A266,Investors!$E:$E,'Investor Exit List'!$C266,Investors!$L:$L,'Investor Exit List'!$B266))</f>
        <v>200000</v>
      </c>
      <c r="G266" s="118">
        <v>45443</v>
      </c>
      <c r="H266" s="116" t="b">
        <f>VLOOKUP($C266,Sales!$C:$E,2,FALSE)</f>
        <v>0</v>
      </c>
      <c r="I266" s="116" t="b">
        <f>VLOOKUP($C266,Sales!$C:$E,3,FALSE)</f>
        <v>0</v>
      </c>
      <c r="J266" s="118">
        <f>SUMIFS(Sales!$H:$H,Sales!$C:$C,'Investor Exit List'!$C266)</f>
        <v>45722</v>
      </c>
      <c r="K266" s="118" t="str">
        <f t="shared" si="48"/>
        <v/>
      </c>
      <c r="L266" s="118">
        <f t="shared" si="49"/>
        <v>46173</v>
      </c>
      <c r="M266" s="118">
        <v>45443</v>
      </c>
      <c r="N266" s="119">
        <f t="shared" si="50"/>
        <v>730</v>
      </c>
      <c r="O266" s="119">
        <f t="shared" si="51"/>
        <v>0</v>
      </c>
      <c r="P266" s="117">
        <f t="shared" si="52"/>
        <v>0</v>
      </c>
      <c r="Q266" s="117">
        <f>SUMIFS(Investors!$M:$M,Investors!$O:$O,FALSE,Investors!$P:$P,FALSE,Investors!$K:$K,"&gt;"&amp;'NSST Print'!$B$3,Investors!$I:$I,"&lt;="&amp;'NSST Print'!$B$3,Investors!$A:$A,'Investor Exit List'!$A266,Investors!$E:$E,'Investor Exit List'!$C266,Investors!$L:$L,'Investor Exit List'!$B266)-(SUMIFS(Investors!$M:$M,Investors!$I:$I,"&lt;="&amp;'NSST Print'!$B$3,Investors!$J:$J,"&gt;"&amp;'NSST Print'!$B$3,Investors!$A:$A,'Investor Exit List'!$A266,Investors!$E:$E,'Investor Exit List'!$C266,Investors!$L:$L,'Investor Exit List'!$B266)+SUMIFS(Investors!$M:$M,Investors!$I:$I,"&lt;="&amp;'NSST Print'!$B$3,Investors!$J:$J,"",Investors!$A:$A,'Investor Exit List'!$A266,Investors!$E:$E,'Investor Exit List'!$C266,Investors!$L:$L,'Investor Exit List'!$B266))+SUMIFS(Investors!$S:$S,Investors!$O:$O,FALSE,Investors!$P:$P,FALSE,Investors!$K:$K,"&gt;"&amp;'NSST Print'!$B$3,Investors!$I:$I,"&lt;="&amp;'NSST Print'!$B$3,Investors!$A:$A,'Investor Exit List'!$A266,Investors!$E:$E,'Investor Exit List'!$C266,Investors!$L:$L,'Investor Exit List'!$B266)-(SUMIFS(Investors!$S:$S,Investors!$I:$I,"&lt;="&amp;'NSST Print'!$B$3,Investors!$J:$J,"&gt;"&amp;'NSST Print'!$B$3,Investors!$A:$A,'Investor Exit List'!$A266,Investors!$E:$E,'Investor Exit List'!$C266,Investors!$L:$L,'Investor Exit List'!$B266)+SUMIFS(Investors!$S:$S,Investors!$I:$I,"&lt;="&amp;'NSST Print'!$B$3,Investors!$J:$J,"",Investors!$A:$A,'Investor Exit List'!$A266,Investors!$E:$E,'Investor Exit List'!$C266,Investors!$L:$L,'Investor Exit List'!$B266))</f>
        <v>211786.30136986301</v>
      </c>
      <c r="R266" s="117">
        <f t="shared" si="53"/>
        <v>0</v>
      </c>
      <c r="S266" s="117">
        <f>SUMIFS(Investors!$M:$M,Investors!$O:$O,TRUE,Investors!$A:$A,'Investor Exit List'!$A266,Investors!$E:$E,'Investor Exit List'!$C266,Investors!$L:$L,'Investor Exit List'!$B266)+SUMIFS(Investors!$S:$S,Investors!$O:$O,TRUE,Investors!$A:$A,'Investor Exit List'!$A266,Investors!$E:$E,'Investor Exit List'!$C266,Investors!$L:$L,'Investor Exit List'!$B266)</f>
        <v>0</v>
      </c>
      <c r="T266" s="118" t="str">
        <f t="shared" si="54"/>
        <v/>
      </c>
      <c r="U266" s="116" t="b">
        <v>0</v>
      </c>
      <c r="V266" s="117">
        <f t="shared" si="55"/>
        <v>0</v>
      </c>
      <c r="W266" s="116">
        <v>0</v>
      </c>
      <c r="X266" s="116" t="b">
        <v>0</v>
      </c>
      <c r="Y266" s="119">
        <f>IF(H266=FALSE,VLOOKUP($C266,Sales!$C:$F,4,FALSE),1)</f>
        <v>0</v>
      </c>
      <c r="Z266" s="116" t="str">
        <f t="shared" si="56"/>
        <v>Release</v>
      </c>
      <c r="AA266" s="118">
        <f t="shared" si="57"/>
        <v>45954</v>
      </c>
      <c r="AB266" s="118" t="str">
        <f t="shared" si="58"/>
        <v>HVF104-ZSCH05</v>
      </c>
      <c r="AC266" s="118">
        <f t="shared" si="59"/>
        <v>46173</v>
      </c>
    </row>
    <row r="267" spans="1:29" ht="16" x14ac:dyDescent="0.2">
      <c r="A267" s="116" t="s">
        <v>608</v>
      </c>
      <c r="B267" s="116">
        <v>1</v>
      </c>
      <c r="C267" s="116" t="s">
        <v>604</v>
      </c>
      <c r="D267" s="116" t="s">
        <v>598</v>
      </c>
      <c r="E267" s="116" t="s">
        <v>2174</v>
      </c>
      <c r="F267" s="117">
        <f>SUMIFS(Investors!$M:$M,Investors!$O:$O,FALSE,Investors!$P:$P,FALSE,Investors!$K:$K,"&gt;"&amp;'NSST Print'!$B$3,Investors!$I:$I,"&lt;="&amp;'NSST Print'!$B$3,Investors!$A:$A,'Investor Exit List'!$A267,Investors!$E:$E,'Investor Exit List'!$C267,Investors!$L:$L,'Investor Exit List'!$B267)-(SUMIFS(Investors!$M:$M,Investors!$I:$I,"&lt;="&amp;'NSST Print'!$B$3,Investors!$J:$J,"&gt;"&amp;'NSST Print'!$B$3,Investors!$A:$A,'Investor Exit List'!$A267,Investors!$E:$E,'Investor Exit List'!$C267,Investors!$L:$L,'Investor Exit List'!$B267)+SUMIFS(Investors!$M:$M,Investors!$I:$I,"&lt;="&amp;'NSST Print'!$B$3,Investors!$J:$J,"",Investors!$A:$A,'Investor Exit List'!$A267,Investors!$E:$E,'Investor Exit List'!$C267,Investors!$L:$L,'Investor Exit List'!$B267))</f>
        <v>100000</v>
      </c>
      <c r="G267" s="118">
        <v>45443</v>
      </c>
      <c r="H267" s="116" t="b">
        <f>VLOOKUP($C267,Sales!$C:$E,2,FALSE)</f>
        <v>0</v>
      </c>
      <c r="I267" s="116" t="b">
        <f>VLOOKUP($C267,Sales!$C:$E,3,FALSE)</f>
        <v>0</v>
      </c>
      <c r="J267" s="118">
        <f>SUMIFS(Sales!$H:$H,Sales!$C:$C,'Investor Exit List'!$C267)</f>
        <v>45722</v>
      </c>
      <c r="K267" s="118" t="str">
        <f t="shared" si="48"/>
        <v/>
      </c>
      <c r="L267" s="118">
        <f t="shared" si="49"/>
        <v>46173</v>
      </c>
      <c r="M267" s="118">
        <v>45443</v>
      </c>
      <c r="N267" s="119">
        <f t="shared" si="50"/>
        <v>730</v>
      </c>
      <c r="O267" s="119">
        <f t="shared" si="51"/>
        <v>0</v>
      </c>
      <c r="P267" s="117">
        <f t="shared" si="52"/>
        <v>0</v>
      </c>
      <c r="Q267" s="117">
        <f>SUMIFS(Investors!$M:$M,Investors!$O:$O,FALSE,Investors!$P:$P,FALSE,Investors!$K:$K,"&gt;"&amp;'NSST Print'!$B$3,Investors!$I:$I,"&lt;="&amp;'NSST Print'!$B$3,Investors!$A:$A,'Investor Exit List'!$A267,Investors!$E:$E,'Investor Exit List'!$C267,Investors!$L:$L,'Investor Exit List'!$B267)-(SUMIFS(Investors!$M:$M,Investors!$I:$I,"&lt;="&amp;'NSST Print'!$B$3,Investors!$J:$J,"&gt;"&amp;'NSST Print'!$B$3,Investors!$A:$A,'Investor Exit List'!$A267,Investors!$E:$E,'Investor Exit List'!$C267,Investors!$L:$L,'Investor Exit List'!$B267)+SUMIFS(Investors!$M:$M,Investors!$I:$I,"&lt;="&amp;'NSST Print'!$B$3,Investors!$J:$J,"",Investors!$A:$A,'Investor Exit List'!$A267,Investors!$E:$E,'Investor Exit List'!$C267,Investors!$L:$L,'Investor Exit List'!$B267))+SUMIFS(Investors!$S:$S,Investors!$O:$O,FALSE,Investors!$P:$P,FALSE,Investors!$K:$K,"&gt;"&amp;'NSST Print'!$B$3,Investors!$I:$I,"&lt;="&amp;'NSST Print'!$B$3,Investors!$A:$A,'Investor Exit List'!$A267,Investors!$E:$E,'Investor Exit List'!$C267,Investors!$L:$L,'Investor Exit List'!$B267)-(SUMIFS(Investors!$S:$S,Investors!$I:$I,"&lt;="&amp;'NSST Print'!$B$3,Investors!$J:$J,"&gt;"&amp;'NSST Print'!$B$3,Investors!$A:$A,'Investor Exit List'!$A267,Investors!$E:$E,'Investor Exit List'!$C267,Investors!$L:$L,'Investor Exit List'!$B267)+SUMIFS(Investors!$S:$S,Investors!$I:$I,"&lt;="&amp;'NSST Print'!$B$3,Investors!$J:$J,"",Investors!$A:$A,'Investor Exit List'!$A267,Investors!$E:$E,'Investor Exit List'!$C267,Investors!$L:$L,'Investor Exit List'!$B267))</f>
        <v>106315.06849315068</v>
      </c>
      <c r="R267" s="117">
        <f t="shared" si="53"/>
        <v>0</v>
      </c>
      <c r="S267" s="117">
        <f>SUMIFS(Investors!$M:$M,Investors!$O:$O,TRUE,Investors!$A:$A,'Investor Exit List'!$A267,Investors!$E:$E,'Investor Exit List'!$C267,Investors!$L:$L,'Investor Exit List'!$B267)+SUMIFS(Investors!$S:$S,Investors!$O:$O,TRUE,Investors!$A:$A,'Investor Exit List'!$A267,Investors!$E:$E,'Investor Exit List'!$C267,Investors!$L:$L,'Investor Exit List'!$B267)</f>
        <v>0</v>
      </c>
      <c r="T267" s="118" t="str">
        <f t="shared" si="54"/>
        <v/>
      </c>
      <c r="U267" s="116" t="b">
        <v>0</v>
      </c>
      <c r="V267" s="117">
        <f t="shared" si="55"/>
        <v>0</v>
      </c>
      <c r="W267" s="116">
        <v>0</v>
      </c>
      <c r="X267" s="116" t="b">
        <v>0</v>
      </c>
      <c r="Y267" s="119">
        <f>IF(H267=FALSE,VLOOKUP($C267,Sales!$C:$F,4,FALSE),1)</f>
        <v>0</v>
      </c>
      <c r="Z267" s="116" t="str">
        <f t="shared" si="56"/>
        <v>Release</v>
      </c>
      <c r="AA267" s="118">
        <f t="shared" si="57"/>
        <v>45954</v>
      </c>
      <c r="AB267" s="118" t="str">
        <f t="shared" si="58"/>
        <v>HVF104-ZVIS04</v>
      </c>
      <c r="AC267" s="118">
        <f t="shared" si="59"/>
        <v>46173</v>
      </c>
    </row>
    <row r="268" spans="1:29" ht="16" x14ac:dyDescent="0.2">
      <c r="A268" s="116" t="s">
        <v>611</v>
      </c>
      <c r="B268" s="116">
        <v>2</v>
      </c>
      <c r="C268" s="116" t="s">
        <v>614</v>
      </c>
      <c r="D268" s="116" t="s">
        <v>598</v>
      </c>
      <c r="E268" s="116" t="s">
        <v>2175</v>
      </c>
      <c r="F268" s="117">
        <f>SUMIFS(Investors!$M:$M,Investors!$O:$O,FALSE,Investors!$P:$P,FALSE,Investors!$K:$K,"&gt;"&amp;'NSST Print'!$B$3,Investors!$I:$I,"&lt;="&amp;'NSST Print'!$B$3,Investors!$A:$A,'Investor Exit List'!$A268,Investors!$E:$E,'Investor Exit List'!$C268,Investors!$L:$L,'Investor Exit List'!$B268)-(SUMIFS(Investors!$M:$M,Investors!$I:$I,"&lt;="&amp;'NSST Print'!$B$3,Investors!$J:$J,"&gt;"&amp;'NSST Print'!$B$3,Investors!$A:$A,'Investor Exit List'!$A268,Investors!$E:$E,'Investor Exit List'!$C268,Investors!$L:$L,'Investor Exit List'!$B268)+SUMIFS(Investors!$M:$M,Investors!$I:$I,"&lt;="&amp;'NSST Print'!$B$3,Investors!$J:$J,"",Investors!$A:$A,'Investor Exit List'!$A268,Investors!$E:$E,'Investor Exit List'!$C268,Investors!$L:$L,'Investor Exit List'!$B268))</f>
        <v>1000000</v>
      </c>
      <c r="G268" s="118">
        <v>45408</v>
      </c>
      <c r="H268" s="116" t="b">
        <f>VLOOKUP($C268,Sales!$C:$E,2,FALSE)</f>
        <v>0</v>
      </c>
      <c r="I268" s="116" t="b">
        <f>VLOOKUP($C268,Sales!$C:$E,3,FALSE)</f>
        <v>0</v>
      </c>
      <c r="J268" s="118">
        <f>SUMIFS(Sales!$H:$H,Sales!$C:$C,'Investor Exit List'!$C268)</f>
        <v>45722</v>
      </c>
      <c r="K268" s="118" t="str">
        <f t="shared" si="48"/>
        <v/>
      </c>
      <c r="L268" s="118">
        <f t="shared" si="49"/>
        <v>46138</v>
      </c>
      <c r="M268" s="118">
        <v>45443</v>
      </c>
      <c r="N268" s="119">
        <f t="shared" si="50"/>
        <v>695</v>
      </c>
      <c r="O268" s="119">
        <f t="shared" si="51"/>
        <v>0</v>
      </c>
      <c r="P268" s="117">
        <f t="shared" si="52"/>
        <v>0</v>
      </c>
      <c r="Q268" s="117">
        <f>SUMIFS(Investors!$M:$M,Investors!$O:$O,FALSE,Investors!$P:$P,FALSE,Investors!$K:$K,"&gt;"&amp;'NSST Print'!$B$3,Investors!$I:$I,"&lt;="&amp;'NSST Print'!$B$3,Investors!$A:$A,'Investor Exit List'!$A268,Investors!$E:$E,'Investor Exit List'!$C268,Investors!$L:$L,'Investor Exit List'!$B268)-(SUMIFS(Investors!$M:$M,Investors!$I:$I,"&lt;="&amp;'NSST Print'!$B$3,Investors!$J:$J,"&gt;"&amp;'NSST Print'!$B$3,Investors!$A:$A,'Investor Exit List'!$A268,Investors!$E:$E,'Investor Exit List'!$C268,Investors!$L:$L,'Investor Exit List'!$B268)+SUMIFS(Investors!$M:$M,Investors!$I:$I,"&lt;="&amp;'NSST Print'!$B$3,Investors!$J:$J,"",Investors!$A:$A,'Investor Exit List'!$A268,Investors!$E:$E,'Investor Exit List'!$C268,Investors!$L:$L,'Investor Exit List'!$B268))+SUMIFS(Investors!$S:$S,Investors!$O:$O,FALSE,Investors!$P:$P,FALSE,Investors!$K:$K,"&gt;"&amp;'NSST Print'!$B$3,Investors!$I:$I,"&lt;="&amp;'NSST Print'!$B$3,Investors!$A:$A,'Investor Exit List'!$A268,Investors!$E:$E,'Investor Exit List'!$C268,Investors!$L:$L,'Investor Exit List'!$B268)-(SUMIFS(Investors!$S:$S,Investors!$I:$I,"&lt;="&amp;'NSST Print'!$B$3,Investors!$J:$J,"&gt;"&amp;'NSST Print'!$B$3,Investors!$A:$A,'Investor Exit List'!$A268,Investors!$E:$E,'Investor Exit List'!$C268,Investors!$L:$L,'Investor Exit List'!$B268)+SUMIFS(Investors!$S:$S,Investors!$I:$I,"&lt;="&amp;'NSST Print'!$B$3,Investors!$J:$J,"",Investors!$A:$A,'Investor Exit List'!$A268,Investors!$E:$E,'Investor Exit List'!$C268,Investors!$L:$L,'Investor Exit List'!$B268))</f>
        <v>1112273.9726027397</v>
      </c>
      <c r="R268" s="117">
        <f t="shared" si="53"/>
        <v>0</v>
      </c>
      <c r="S268" s="117">
        <f>SUMIFS(Investors!$M:$M,Investors!$O:$O,TRUE,Investors!$A:$A,'Investor Exit List'!$A268,Investors!$E:$E,'Investor Exit List'!$C268,Investors!$L:$L,'Investor Exit List'!$B268)+SUMIFS(Investors!$S:$S,Investors!$O:$O,TRUE,Investors!$A:$A,'Investor Exit List'!$A268,Investors!$E:$E,'Investor Exit List'!$C268,Investors!$L:$L,'Investor Exit List'!$B268)</f>
        <v>0</v>
      </c>
      <c r="T268" s="118" t="str">
        <f t="shared" si="54"/>
        <v/>
      </c>
      <c r="U268" s="116" t="b">
        <v>0</v>
      </c>
      <c r="V268" s="117">
        <f t="shared" si="55"/>
        <v>0</v>
      </c>
      <c r="W268" s="116">
        <v>0</v>
      </c>
      <c r="X268" s="116" t="b">
        <v>0</v>
      </c>
      <c r="Y268" s="119">
        <f>IF(H268=FALSE,VLOOKUP($C268,Sales!$C:$F,4,FALSE),1)</f>
        <v>0</v>
      </c>
      <c r="Z268" s="116" t="str">
        <f t="shared" si="56"/>
        <v>Release</v>
      </c>
      <c r="AA268" s="118">
        <f t="shared" si="57"/>
        <v>46138</v>
      </c>
      <c r="AB268" s="118" t="str">
        <f t="shared" si="58"/>
        <v>HVF201-ZMAN01</v>
      </c>
      <c r="AC268" s="118">
        <f t="shared" si="59"/>
        <v>46138</v>
      </c>
    </row>
    <row r="269" spans="1:29" ht="16" x14ac:dyDescent="0.2">
      <c r="A269" s="116" t="s">
        <v>485</v>
      </c>
      <c r="B269" s="116">
        <v>11</v>
      </c>
      <c r="C269" s="116" t="s">
        <v>614</v>
      </c>
      <c r="D269" s="116" t="s">
        <v>598</v>
      </c>
      <c r="E269" s="116" t="s">
        <v>2143</v>
      </c>
      <c r="F269" s="117">
        <f>SUMIFS(Investors!$M:$M,Investors!$O:$O,FALSE,Investors!$P:$P,FALSE,Investors!$K:$K,"&gt;"&amp;'NSST Print'!$B$3,Investors!$I:$I,"&lt;="&amp;'NSST Print'!$B$3,Investors!$A:$A,'Investor Exit List'!$A269,Investors!$E:$E,'Investor Exit List'!$C269,Investors!$L:$L,'Investor Exit List'!$B269)-(SUMIFS(Investors!$M:$M,Investors!$I:$I,"&lt;="&amp;'NSST Print'!$B$3,Investors!$J:$J,"&gt;"&amp;'NSST Print'!$B$3,Investors!$A:$A,'Investor Exit List'!$A269,Investors!$E:$E,'Investor Exit List'!$C269,Investors!$L:$L,'Investor Exit List'!$B269)+SUMIFS(Investors!$M:$M,Investors!$I:$I,"&lt;="&amp;'NSST Print'!$B$3,Investors!$J:$J,"",Investors!$A:$A,'Investor Exit List'!$A269,Investors!$E:$E,'Investor Exit List'!$C269,Investors!$L:$L,'Investor Exit List'!$B269))</f>
        <v>176567.12</v>
      </c>
      <c r="G269" s="118">
        <v>45443</v>
      </c>
      <c r="H269" s="116" t="b">
        <f>VLOOKUP($C269,Sales!$C:$E,2,FALSE)</f>
        <v>0</v>
      </c>
      <c r="I269" s="116" t="b">
        <f>VLOOKUP($C269,Sales!$C:$E,3,FALSE)</f>
        <v>0</v>
      </c>
      <c r="J269" s="118">
        <f>SUMIFS(Sales!$H:$H,Sales!$C:$C,'Investor Exit List'!$C269)</f>
        <v>45722</v>
      </c>
      <c r="K269" s="118" t="str">
        <f t="shared" si="48"/>
        <v/>
      </c>
      <c r="L269" s="118">
        <f t="shared" si="49"/>
        <v>46173</v>
      </c>
      <c r="M269" s="118">
        <v>45443</v>
      </c>
      <c r="N269" s="119">
        <f t="shared" si="50"/>
        <v>730</v>
      </c>
      <c r="O269" s="119">
        <f t="shared" si="51"/>
        <v>0</v>
      </c>
      <c r="P269" s="117">
        <f t="shared" si="52"/>
        <v>0</v>
      </c>
      <c r="Q269" s="117">
        <f>SUMIFS(Investors!$M:$M,Investors!$O:$O,FALSE,Investors!$P:$P,FALSE,Investors!$K:$K,"&gt;"&amp;'NSST Print'!$B$3,Investors!$I:$I,"&lt;="&amp;'NSST Print'!$B$3,Investors!$A:$A,'Investor Exit List'!$A269,Investors!$E:$E,'Investor Exit List'!$C269,Investors!$L:$L,'Investor Exit List'!$B269)-(SUMIFS(Investors!$M:$M,Investors!$I:$I,"&lt;="&amp;'NSST Print'!$B$3,Investors!$J:$J,"&gt;"&amp;'NSST Print'!$B$3,Investors!$A:$A,'Investor Exit List'!$A269,Investors!$E:$E,'Investor Exit List'!$C269,Investors!$L:$L,'Investor Exit List'!$B269)+SUMIFS(Investors!$M:$M,Investors!$I:$I,"&lt;="&amp;'NSST Print'!$B$3,Investors!$J:$J,"",Investors!$A:$A,'Investor Exit List'!$A269,Investors!$E:$E,'Investor Exit List'!$C269,Investors!$L:$L,'Investor Exit List'!$B269))+SUMIFS(Investors!$S:$S,Investors!$O:$O,FALSE,Investors!$P:$P,FALSE,Investors!$K:$K,"&gt;"&amp;'NSST Print'!$B$3,Investors!$I:$I,"&lt;="&amp;'NSST Print'!$B$3,Investors!$A:$A,'Investor Exit List'!$A269,Investors!$E:$E,'Investor Exit List'!$C269,Investors!$L:$L,'Investor Exit List'!$B269)-(SUMIFS(Investors!$S:$S,Investors!$I:$I,"&lt;="&amp;'NSST Print'!$B$3,Investors!$J:$J,"&gt;"&amp;'NSST Print'!$B$3,Investors!$A:$A,'Investor Exit List'!$A269,Investors!$E:$E,'Investor Exit List'!$C269,Investors!$L:$L,'Investor Exit List'!$B269)+SUMIFS(Investors!$S:$S,Investors!$I:$I,"&lt;="&amp;'NSST Print'!$B$3,Investors!$J:$J,"",Investors!$A:$A,'Investor Exit List'!$A269,Investors!$E:$E,'Investor Exit List'!$C269,Investors!$L:$L,'Investor Exit List'!$B269))</f>
        <v>191534.20682958903</v>
      </c>
      <c r="R269" s="117">
        <f t="shared" si="53"/>
        <v>0</v>
      </c>
      <c r="S269" s="117">
        <f>SUMIFS(Investors!$M:$M,Investors!$O:$O,TRUE,Investors!$A:$A,'Investor Exit List'!$A269,Investors!$E:$E,'Investor Exit List'!$C269,Investors!$L:$L,'Investor Exit List'!$B269)+SUMIFS(Investors!$S:$S,Investors!$O:$O,TRUE,Investors!$A:$A,'Investor Exit List'!$A269,Investors!$E:$E,'Investor Exit List'!$C269,Investors!$L:$L,'Investor Exit List'!$B269)</f>
        <v>0</v>
      </c>
      <c r="T269" s="118" t="str">
        <f t="shared" si="54"/>
        <v/>
      </c>
      <c r="U269" s="116" t="b">
        <v>0</v>
      </c>
      <c r="V269" s="117">
        <f t="shared" si="55"/>
        <v>0</v>
      </c>
      <c r="W269" s="116">
        <v>0</v>
      </c>
      <c r="X269" s="116" t="b">
        <v>0</v>
      </c>
      <c r="Y269" s="119">
        <f>IF(H269=FALSE,VLOOKUP($C269,Sales!$C:$F,4,FALSE),1)</f>
        <v>0</v>
      </c>
      <c r="Z269" s="116" t="str">
        <f t="shared" si="56"/>
        <v>Release</v>
      </c>
      <c r="AA269" s="118">
        <f t="shared" si="57"/>
        <v>46138</v>
      </c>
      <c r="AB269" s="118" t="str">
        <f t="shared" si="58"/>
        <v>HVF201-ZVAN05</v>
      </c>
      <c r="AC269" s="118">
        <f t="shared" si="59"/>
        <v>46173</v>
      </c>
    </row>
    <row r="270" spans="1:29" ht="16" x14ac:dyDescent="0.2">
      <c r="A270" s="116" t="s">
        <v>615</v>
      </c>
      <c r="B270" s="116">
        <v>1</v>
      </c>
      <c r="C270" s="116" t="s">
        <v>618</v>
      </c>
      <c r="D270" s="116" t="s">
        <v>598</v>
      </c>
      <c r="E270" s="116" t="s">
        <v>2176</v>
      </c>
      <c r="F270" s="117">
        <f>SUMIFS(Investors!$M:$M,Investors!$O:$O,FALSE,Investors!$P:$P,FALSE,Investors!$K:$K,"&gt;"&amp;'NSST Print'!$B$3,Investors!$I:$I,"&lt;="&amp;'NSST Print'!$B$3,Investors!$A:$A,'Investor Exit List'!$A270,Investors!$E:$E,'Investor Exit List'!$C270,Investors!$L:$L,'Investor Exit List'!$B270)-(SUMIFS(Investors!$M:$M,Investors!$I:$I,"&lt;="&amp;'NSST Print'!$B$3,Investors!$J:$J,"&gt;"&amp;'NSST Print'!$B$3,Investors!$A:$A,'Investor Exit List'!$A270,Investors!$E:$E,'Investor Exit List'!$C270,Investors!$L:$L,'Investor Exit List'!$B270)+SUMIFS(Investors!$M:$M,Investors!$I:$I,"&lt;="&amp;'NSST Print'!$B$3,Investors!$J:$J,"",Investors!$A:$A,'Investor Exit List'!$A270,Investors!$E:$E,'Investor Exit List'!$C270,Investors!$L:$L,'Investor Exit List'!$B270))</f>
        <v>100000</v>
      </c>
      <c r="G270" s="118">
        <v>45443</v>
      </c>
      <c r="H270" s="116" t="b">
        <f>VLOOKUP($C270,Sales!$C:$E,2,FALSE)</f>
        <v>0</v>
      </c>
      <c r="I270" s="116" t="b">
        <f>VLOOKUP($C270,Sales!$C:$E,3,FALSE)</f>
        <v>0</v>
      </c>
      <c r="J270" s="118">
        <f>SUMIFS(Sales!$H:$H,Sales!$C:$C,'Investor Exit List'!$C270)</f>
        <v>45722</v>
      </c>
      <c r="K270" s="118" t="str">
        <f t="shared" si="48"/>
        <v/>
      </c>
      <c r="L270" s="118">
        <f t="shared" si="49"/>
        <v>46173</v>
      </c>
      <c r="M270" s="118">
        <v>45443</v>
      </c>
      <c r="N270" s="119">
        <f t="shared" si="50"/>
        <v>730</v>
      </c>
      <c r="O270" s="119">
        <f t="shared" si="51"/>
        <v>0</v>
      </c>
      <c r="P270" s="117">
        <f t="shared" si="52"/>
        <v>0</v>
      </c>
      <c r="Q270" s="117">
        <f>SUMIFS(Investors!$M:$M,Investors!$O:$O,FALSE,Investors!$P:$P,FALSE,Investors!$K:$K,"&gt;"&amp;'NSST Print'!$B$3,Investors!$I:$I,"&lt;="&amp;'NSST Print'!$B$3,Investors!$A:$A,'Investor Exit List'!$A270,Investors!$E:$E,'Investor Exit List'!$C270,Investors!$L:$L,'Investor Exit List'!$B270)-(SUMIFS(Investors!$M:$M,Investors!$I:$I,"&lt;="&amp;'NSST Print'!$B$3,Investors!$J:$J,"&gt;"&amp;'NSST Print'!$B$3,Investors!$A:$A,'Investor Exit List'!$A270,Investors!$E:$E,'Investor Exit List'!$C270,Investors!$L:$L,'Investor Exit List'!$B270)+SUMIFS(Investors!$M:$M,Investors!$I:$I,"&lt;="&amp;'NSST Print'!$B$3,Investors!$J:$J,"",Investors!$A:$A,'Investor Exit List'!$A270,Investors!$E:$E,'Investor Exit List'!$C270,Investors!$L:$L,'Investor Exit List'!$B270))+SUMIFS(Investors!$S:$S,Investors!$O:$O,FALSE,Investors!$P:$P,FALSE,Investors!$K:$K,"&gt;"&amp;'NSST Print'!$B$3,Investors!$I:$I,"&lt;="&amp;'NSST Print'!$B$3,Investors!$A:$A,'Investor Exit List'!$A270,Investors!$E:$E,'Investor Exit List'!$C270,Investors!$L:$L,'Investor Exit List'!$B270)-(SUMIFS(Investors!$S:$S,Investors!$I:$I,"&lt;="&amp;'NSST Print'!$B$3,Investors!$J:$J,"&gt;"&amp;'NSST Print'!$B$3,Investors!$A:$A,'Investor Exit List'!$A270,Investors!$E:$E,'Investor Exit List'!$C270,Investors!$L:$L,'Investor Exit List'!$B270)+SUMIFS(Investors!$S:$S,Investors!$I:$I,"&lt;="&amp;'NSST Print'!$B$3,Investors!$J:$J,"",Investors!$A:$A,'Investor Exit List'!$A270,Investors!$E:$E,'Investor Exit List'!$C270,Investors!$L:$L,'Investor Exit List'!$B270))</f>
        <v>106827.39726027398</v>
      </c>
      <c r="R270" s="117">
        <f t="shared" si="53"/>
        <v>0</v>
      </c>
      <c r="S270" s="117">
        <f>SUMIFS(Investors!$M:$M,Investors!$O:$O,TRUE,Investors!$A:$A,'Investor Exit List'!$A270,Investors!$E:$E,'Investor Exit List'!$C270,Investors!$L:$L,'Investor Exit List'!$B270)+SUMIFS(Investors!$S:$S,Investors!$O:$O,TRUE,Investors!$A:$A,'Investor Exit List'!$A270,Investors!$E:$E,'Investor Exit List'!$C270,Investors!$L:$L,'Investor Exit List'!$B270)</f>
        <v>0</v>
      </c>
      <c r="T270" s="118" t="str">
        <f t="shared" si="54"/>
        <v/>
      </c>
      <c r="U270" s="116" t="b">
        <v>0</v>
      </c>
      <c r="V270" s="117">
        <f t="shared" si="55"/>
        <v>0</v>
      </c>
      <c r="W270" s="116">
        <v>0</v>
      </c>
      <c r="X270" s="116" t="b">
        <v>0</v>
      </c>
      <c r="Y270" s="119">
        <f>IF(H270=FALSE,VLOOKUP($C270,Sales!$C:$F,4,FALSE),1)</f>
        <v>0</v>
      </c>
      <c r="Z270" s="116" t="str">
        <f t="shared" si="56"/>
        <v>Release</v>
      </c>
      <c r="AA270" s="118">
        <f t="shared" si="57"/>
        <v>45954</v>
      </c>
      <c r="AB270" s="118" t="str">
        <f t="shared" si="58"/>
        <v>HVF202-ZDIK01</v>
      </c>
      <c r="AC270" s="118">
        <f t="shared" si="59"/>
        <v>46173</v>
      </c>
    </row>
    <row r="271" spans="1:29" ht="16" x14ac:dyDescent="0.2">
      <c r="A271" s="116" t="s">
        <v>619</v>
      </c>
      <c r="B271" s="116">
        <v>1</v>
      </c>
      <c r="C271" s="116" t="s">
        <v>618</v>
      </c>
      <c r="D271" s="116" t="s">
        <v>598</v>
      </c>
      <c r="E271" s="116" t="s">
        <v>2177</v>
      </c>
      <c r="F271" s="117">
        <f>SUMIFS(Investors!$M:$M,Investors!$O:$O,FALSE,Investors!$P:$P,FALSE,Investors!$K:$K,"&gt;"&amp;'NSST Print'!$B$3,Investors!$I:$I,"&lt;="&amp;'NSST Print'!$B$3,Investors!$A:$A,'Investor Exit List'!$A271,Investors!$E:$E,'Investor Exit List'!$C271,Investors!$L:$L,'Investor Exit List'!$B271)-(SUMIFS(Investors!$M:$M,Investors!$I:$I,"&lt;="&amp;'NSST Print'!$B$3,Investors!$J:$J,"&gt;"&amp;'NSST Print'!$B$3,Investors!$A:$A,'Investor Exit List'!$A271,Investors!$E:$E,'Investor Exit List'!$C271,Investors!$L:$L,'Investor Exit List'!$B271)+SUMIFS(Investors!$M:$M,Investors!$I:$I,"&lt;="&amp;'NSST Print'!$B$3,Investors!$J:$J,"",Investors!$A:$A,'Investor Exit List'!$A271,Investors!$E:$E,'Investor Exit List'!$C271,Investors!$L:$L,'Investor Exit List'!$B271))</f>
        <v>681304.79</v>
      </c>
      <c r="G271" s="118">
        <v>45321</v>
      </c>
      <c r="H271" s="116" t="b">
        <f>VLOOKUP($C271,Sales!$C:$E,2,FALSE)</f>
        <v>0</v>
      </c>
      <c r="I271" s="116" t="b">
        <f>VLOOKUP($C271,Sales!$C:$E,3,FALSE)</f>
        <v>0</v>
      </c>
      <c r="J271" s="118">
        <f>SUMIFS(Sales!$H:$H,Sales!$C:$C,'Investor Exit List'!$C271)</f>
        <v>45722</v>
      </c>
      <c r="K271" s="118" t="str">
        <f t="shared" si="48"/>
        <v/>
      </c>
      <c r="L271" s="118">
        <f t="shared" si="49"/>
        <v>46051</v>
      </c>
      <c r="M271" s="118">
        <v>45443</v>
      </c>
      <c r="N271" s="119">
        <f t="shared" si="50"/>
        <v>608</v>
      </c>
      <c r="O271" s="119">
        <f t="shared" si="51"/>
        <v>0</v>
      </c>
      <c r="P271" s="117">
        <f t="shared" si="52"/>
        <v>0</v>
      </c>
      <c r="Q271" s="117">
        <f>SUMIFS(Investors!$M:$M,Investors!$O:$O,FALSE,Investors!$P:$P,FALSE,Investors!$K:$K,"&gt;"&amp;'NSST Print'!$B$3,Investors!$I:$I,"&lt;="&amp;'NSST Print'!$B$3,Investors!$A:$A,'Investor Exit List'!$A271,Investors!$E:$E,'Investor Exit List'!$C271,Investors!$L:$L,'Investor Exit List'!$B271)-(SUMIFS(Investors!$M:$M,Investors!$I:$I,"&lt;="&amp;'NSST Print'!$B$3,Investors!$J:$J,"&gt;"&amp;'NSST Print'!$B$3,Investors!$A:$A,'Investor Exit List'!$A271,Investors!$E:$E,'Investor Exit List'!$C271,Investors!$L:$L,'Investor Exit List'!$B271)+SUMIFS(Investors!$M:$M,Investors!$I:$I,"&lt;="&amp;'NSST Print'!$B$3,Investors!$J:$J,"",Investors!$A:$A,'Investor Exit List'!$A271,Investors!$E:$E,'Investor Exit List'!$C271,Investors!$L:$L,'Investor Exit List'!$B271))+SUMIFS(Investors!$S:$S,Investors!$O:$O,FALSE,Investors!$P:$P,FALSE,Investors!$K:$K,"&gt;"&amp;'NSST Print'!$B$3,Investors!$I:$I,"&lt;="&amp;'NSST Print'!$B$3,Investors!$A:$A,'Investor Exit List'!$A271,Investors!$E:$E,'Investor Exit List'!$C271,Investors!$L:$L,'Investor Exit List'!$B271)-(SUMIFS(Investors!$S:$S,Investors!$I:$I,"&lt;="&amp;'NSST Print'!$B$3,Investors!$J:$J,"&gt;"&amp;'NSST Print'!$B$3,Investors!$A:$A,'Investor Exit List'!$A271,Investors!$E:$E,'Investor Exit List'!$C271,Investors!$L:$L,'Investor Exit List'!$B271)+SUMIFS(Investors!$S:$S,Investors!$I:$I,"&lt;="&amp;'NSST Print'!$B$3,Investors!$J:$J,"",Investors!$A:$A,'Investor Exit List'!$A271,Investors!$E:$E,'Investor Exit List'!$C271,Investors!$L:$L,'Investor Exit List'!$B271))</f>
        <v>787942.98904849333</v>
      </c>
      <c r="R271" s="117">
        <f t="shared" si="53"/>
        <v>0</v>
      </c>
      <c r="S271" s="117">
        <f>SUMIFS(Investors!$M:$M,Investors!$O:$O,TRUE,Investors!$A:$A,'Investor Exit List'!$A271,Investors!$E:$E,'Investor Exit List'!$C271,Investors!$L:$L,'Investor Exit List'!$B271)+SUMIFS(Investors!$S:$S,Investors!$O:$O,TRUE,Investors!$A:$A,'Investor Exit List'!$A271,Investors!$E:$E,'Investor Exit List'!$C271,Investors!$L:$L,'Investor Exit List'!$B271)</f>
        <v>0</v>
      </c>
      <c r="T271" s="118" t="str">
        <f t="shared" si="54"/>
        <v/>
      </c>
      <c r="U271" s="116" t="b">
        <v>0</v>
      </c>
      <c r="V271" s="117">
        <f t="shared" si="55"/>
        <v>0</v>
      </c>
      <c r="W271" s="116">
        <v>0</v>
      </c>
      <c r="X271" s="116" t="b">
        <v>0</v>
      </c>
      <c r="Y271" s="119">
        <f>IF(H271=FALSE,VLOOKUP($C271,Sales!$C:$F,4,FALSE),1)</f>
        <v>0</v>
      </c>
      <c r="Z271" s="116" t="str">
        <f t="shared" si="56"/>
        <v>Release</v>
      </c>
      <c r="AA271" s="118">
        <f t="shared" si="57"/>
        <v>45954</v>
      </c>
      <c r="AB271" s="118" t="str">
        <f t="shared" si="58"/>
        <v>HVF202-ZELO02</v>
      </c>
      <c r="AC271" s="118">
        <f t="shared" si="59"/>
        <v>46051</v>
      </c>
    </row>
    <row r="272" spans="1:29" ht="16" x14ac:dyDescent="0.2">
      <c r="A272" s="116" t="s">
        <v>475</v>
      </c>
      <c r="B272" s="116">
        <v>3</v>
      </c>
      <c r="C272" s="116" t="s">
        <v>618</v>
      </c>
      <c r="D272" s="116" t="s">
        <v>598</v>
      </c>
      <c r="E272" s="116" t="s">
        <v>2140</v>
      </c>
      <c r="F272" s="117">
        <f>SUMIFS(Investors!$M:$M,Investors!$O:$O,FALSE,Investors!$P:$P,FALSE,Investors!$K:$K,"&gt;"&amp;'NSST Print'!$B$3,Investors!$I:$I,"&lt;="&amp;'NSST Print'!$B$3,Investors!$A:$A,'Investor Exit List'!$A272,Investors!$E:$E,'Investor Exit List'!$C272,Investors!$L:$L,'Investor Exit List'!$B272)-(SUMIFS(Investors!$M:$M,Investors!$I:$I,"&lt;="&amp;'NSST Print'!$B$3,Investors!$J:$J,"&gt;"&amp;'NSST Print'!$B$3,Investors!$A:$A,'Investor Exit List'!$A272,Investors!$E:$E,'Investor Exit List'!$C272,Investors!$L:$L,'Investor Exit List'!$B272)+SUMIFS(Investors!$M:$M,Investors!$I:$I,"&lt;="&amp;'NSST Print'!$B$3,Investors!$J:$J,"",Investors!$A:$A,'Investor Exit List'!$A272,Investors!$E:$E,'Investor Exit List'!$C272,Investors!$L:$L,'Investor Exit List'!$B272))</f>
        <v>132283.95000000001</v>
      </c>
      <c r="G272" s="118">
        <v>45321</v>
      </c>
      <c r="H272" s="116" t="b">
        <f>VLOOKUP($C272,Sales!$C:$E,2,FALSE)</f>
        <v>0</v>
      </c>
      <c r="I272" s="116" t="b">
        <f>VLOOKUP($C272,Sales!$C:$E,3,FALSE)</f>
        <v>0</v>
      </c>
      <c r="J272" s="118">
        <f>SUMIFS(Sales!$H:$H,Sales!$C:$C,'Investor Exit List'!$C272)</f>
        <v>45722</v>
      </c>
      <c r="K272" s="118" t="str">
        <f t="shared" si="48"/>
        <v/>
      </c>
      <c r="L272" s="118">
        <f t="shared" si="49"/>
        <v>46051</v>
      </c>
      <c r="M272" s="118">
        <v>45443</v>
      </c>
      <c r="N272" s="119">
        <f t="shared" si="50"/>
        <v>608</v>
      </c>
      <c r="O272" s="119">
        <f t="shared" si="51"/>
        <v>0</v>
      </c>
      <c r="P272" s="117">
        <f t="shared" si="52"/>
        <v>0</v>
      </c>
      <c r="Q272" s="117">
        <f>SUMIFS(Investors!$M:$M,Investors!$O:$O,FALSE,Investors!$P:$P,FALSE,Investors!$K:$K,"&gt;"&amp;'NSST Print'!$B$3,Investors!$I:$I,"&lt;="&amp;'NSST Print'!$B$3,Investors!$A:$A,'Investor Exit List'!$A272,Investors!$E:$E,'Investor Exit List'!$C272,Investors!$L:$L,'Investor Exit List'!$B272)-(SUMIFS(Investors!$M:$M,Investors!$I:$I,"&lt;="&amp;'NSST Print'!$B$3,Investors!$J:$J,"&gt;"&amp;'NSST Print'!$B$3,Investors!$A:$A,'Investor Exit List'!$A272,Investors!$E:$E,'Investor Exit List'!$C272,Investors!$L:$L,'Investor Exit List'!$B272)+SUMIFS(Investors!$M:$M,Investors!$I:$I,"&lt;="&amp;'NSST Print'!$B$3,Investors!$J:$J,"",Investors!$A:$A,'Investor Exit List'!$A272,Investors!$E:$E,'Investor Exit List'!$C272,Investors!$L:$L,'Investor Exit List'!$B272))+SUMIFS(Investors!$S:$S,Investors!$O:$O,FALSE,Investors!$P:$P,FALSE,Investors!$K:$K,"&gt;"&amp;'NSST Print'!$B$3,Investors!$I:$I,"&lt;="&amp;'NSST Print'!$B$3,Investors!$A:$A,'Investor Exit List'!$A272,Investors!$E:$E,'Investor Exit List'!$C272,Investors!$L:$L,'Investor Exit List'!$B272)-(SUMIFS(Investors!$S:$S,Investors!$I:$I,"&lt;="&amp;'NSST Print'!$B$3,Investors!$J:$J,"&gt;"&amp;'NSST Print'!$B$3,Investors!$A:$A,'Investor Exit List'!$A272,Investors!$E:$E,'Investor Exit List'!$C272,Investors!$L:$L,'Investor Exit List'!$B272)+SUMIFS(Investors!$S:$S,Investors!$I:$I,"&lt;="&amp;'NSST Print'!$B$3,Investors!$J:$J,"",Investors!$A:$A,'Investor Exit List'!$A272,Investors!$E:$E,'Investor Exit List'!$C272,Investors!$L:$L,'Investor Exit List'!$B272))</f>
        <v>151173.37321643837</v>
      </c>
      <c r="R272" s="117">
        <f t="shared" si="53"/>
        <v>0</v>
      </c>
      <c r="S272" s="117">
        <f>SUMIFS(Investors!$M:$M,Investors!$O:$O,TRUE,Investors!$A:$A,'Investor Exit List'!$A272,Investors!$E:$E,'Investor Exit List'!$C272,Investors!$L:$L,'Investor Exit List'!$B272)+SUMIFS(Investors!$S:$S,Investors!$O:$O,TRUE,Investors!$A:$A,'Investor Exit List'!$A272,Investors!$E:$E,'Investor Exit List'!$C272,Investors!$L:$L,'Investor Exit List'!$B272)</f>
        <v>0</v>
      </c>
      <c r="T272" s="118" t="str">
        <f t="shared" si="54"/>
        <v/>
      </c>
      <c r="U272" s="116" t="b">
        <v>0</v>
      </c>
      <c r="V272" s="117">
        <f t="shared" si="55"/>
        <v>0</v>
      </c>
      <c r="W272" s="116">
        <v>0</v>
      </c>
      <c r="X272" s="116" t="b">
        <v>0</v>
      </c>
      <c r="Y272" s="119">
        <f>IF(H272=FALSE,VLOOKUP($C272,Sales!$C:$F,4,FALSE),1)</f>
        <v>0</v>
      </c>
      <c r="Z272" s="116" t="str">
        <f t="shared" si="56"/>
        <v>Release</v>
      </c>
      <c r="AA272" s="118">
        <f t="shared" si="57"/>
        <v>45954</v>
      </c>
      <c r="AB272" s="118" t="str">
        <f t="shared" si="58"/>
        <v>HVF202-ZJEN01</v>
      </c>
      <c r="AC272" s="118">
        <f t="shared" si="59"/>
        <v>46051</v>
      </c>
    </row>
    <row r="273" spans="1:29" ht="16" x14ac:dyDescent="0.2">
      <c r="A273" s="116" t="s">
        <v>419</v>
      </c>
      <c r="B273" s="116">
        <v>17</v>
      </c>
      <c r="C273" s="116" t="s">
        <v>618</v>
      </c>
      <c r="D273" s="116" t="s">
        <v>598</v>
      </c>
      <c r="E273" s="116" t="s">
        <v>2123</v>
      </c>
      <c r="F273" s="117">
        <f>SUMIFS(Investors!$M:$M,Investors!$O:$O,FALSE,Investors!$P:$P,FALSE,Investors!$K:$K,"&gt;"&amp;'NSST Print'!$B$3,Investors!$I:$I,"&lt;="&amp;'NSST Print'!$B$3,Investors!$A:$A,'Investor Exit List'!$A273,Investors!$E:$E,'Investor Exit List'!$C273,Investors!$L:$L,'Investor Exit List'!$B273)-(SUMIFS(Investors!$M:$M,Investors!$I:$I,"&lt;="&amp;'NSST Print'!$B$3,Investors!$J:$J,"&gt;"&amp;'NSST Print'!$B$3,Investors!$A:$A,'Investor Exit List'!$A273,Investors!$E:$E,'Investor Exit List'!$C273,Investors!$L:$L,'Investor Exit List'!$B273)+SUMIFS(Investors!$M:$M,Investors!$I:$I,"&lt;="&amp;'NSST Print'!$B$3,Investors!$J:$J,"",Investors!$A:$A,'Investor Exit List'!$A273,Investors!$E:$E,'Investor Exit List'!$C273,Investors!$L:$L,'Investor Exit List'!$B273))</f>
        <v>266623.38</v>
      </c>
      <c r="G273" s="118">
        <v>45224</v>
      </c>
      <c r="H273" s="116" t="b">
        <f>VLOOKUP($C273,Sales!$C:$E,2,FALSE)</f>
        <v>0</v>
      </c>
      <c r="I273" s="116" t="b">
        <f>VLOOKUP($C273,Sales!$C:$E,3,FALSE)</f>
        <v>0</v>
      </c>
      <c r="J273" s="118">
        <f>SUMIFS(Sales!$H:$H,Sales!$C:$C,'Investor Exit List'!$C273)</f>
        <v>45722</v>
      </c>
      <c r="K273" s="118" t="str">
        <f t="shared" si="48"/>
        <v/>
      </c>
      <c r="L273" s="118">
        <f t="shared" si="49"/>
        <v>45954</v>
      </c>
      <c r="M273" s="118">
        <v>45443</v>
      </c>
      <c r="N273" s="119">
        <f t="shared" si="50"/>
        <v>511</v>
      </c>
      <c r="O273" s="119">
        <f t="shared" si="51"/>
        <v>0</v>
      </c>
      <c r="P273" s="117">
        <f t="shared" si="52"/>
        <v>0</v>
      </c>
      <c r="Q273" s="117">
        <f>SUMIFS(Investors!$M:$M,Investors!$O:$O,FALSE,Investors!$P:$P,FALSE,Investors!$K:$K,"&gt;"&amp;'NSST Print'!$B$3,Investors!$I:$I,"&lt;="&amp;'NSST Print'!$B$3,Investors!$A:$A,'Investor Exit List'!$A273,Investors!$E:$E,'Investor Exit List'!$C273,Investors!$L:$L,'Investor Exit List'!$B273)-(SUMIFS(Investors!$M:$M,Investors!$I:$I,"&lt;="&amp;'NSST Print'!$B$3,Investors!$J:$J,"&gt;"&amp;'NSST Print'!$B$3,Investors!$A:$A,'Investor Exit List'!$A273,Investors!$E:$E,'Investor Exit List'!$C273,Investors!$L:$L,'Investor Exit List'!$B273)+SUMIFS(Investors!$M:$M,Investors!$I:$I,"&lt;="&amp;'NSST Print'!$B$3,Investors!$J:$J,"",Investors!$A:$A,'Investor Exit List'!$A273,Investors!$E:$E,'Investor Exit List'!$C273,Investors!$L:$L,'Investor Exit List'!$B273))+SUMIFS(Investors!$S:$S,Investors!$O:$O,FALSE,Investors!$P:$P,FALSE,Investors!$K:$K,"&gt;"&amp;'NSST Print'!$B$3,Investors!$I:$I,"&lt;="&amp;'NSST Print'!$B$3,Investors!$A:$A,'Investor Exit List'!$A273,Investors!$E:$E,'Investor Exit List'!$C273,Investors!$L:$L,'Investor Exit List'!$B273)-(SUMIFS(Investors!$S:$S,Investors!$I:$I,"&lt;="&amp;'NSST Print'!$B$3,Investors!$J:$J,"&gt;"&amp;'NSST Print'!$B$3,Investors!$A:$A,'Investor Exit List'!$A273,Investors!$E:$E,'Investor Exit List'!$C273,Investors!$L:$L,'Investor Exit List'!$B273)+SUMIFS(Investors!$S:$S,Investors!$I:$I,"&lt;="&amp;'NSST Print'!$B$3,Investors!$J:$J,"",Investors!$A:$A,'Investor Exit List'!$A273,Investors!$E:$E,'Investor Exit List'!$C273,Investors!$L:$L,'Investor Exit List'!$B273))</f>
        <v>317457.13620328769</v>
      </c>
      <c r="R273" s="117">
        <f t="shared" si="53"/>
        <v>0</v>
      </c>
      <c r="S273" s="117">
        <f>SUMIFS(Investors!$M:$M,Investors!$O:$O,TRUE,Investors!$A:$A,'Investor Exit List'!$A273,Investors!$E:$E,'Investor Exit List'!$C273,Investors!$L:$L,'Investor Exit List'!$B273)+SUMIFS(Investors!$S:$S,Investors!$O:$O,TRUE,Investors!$A:$A,'Investor Exit List'!$A273,Investors!$E:$E,'Investor Exit List'!$C273,Investors!$L:$L,'Investor Exit List'!$B273)</f>
        <v>0</v>
      </c>
      <c r="T273" s="118" t="str">
        <f t="shared" si="54"/>
        <v/>
      </c>
      <c r="U273" s="116" t="b">
        <v>0</v>
      </c>
      <c r="V273" s="117">
        <f t="shared" si="55"/>
        <v>0</v>
      </c>
      <c r="W273" s="116">
        <v>0</v>
      </c>
      <c r="X273" s="116" t="b">
        <v>0</v>
      </c>
      <c r="Y273" s="119">
        <f>IF(H273=FALSE,VLOOKUP($C273,Sales!$C:$F,4,FALSE),1)</f>
        <v>0</v>
      </c>
      <c r="Z273" s="116" t="str">
        <f t="shared" si="56"/>
        <v>Release</v>
      </c>
      <c r="AA273" s="118">
        <f t="shared" si="57"/>
        <v>45954</v>
      </c>
      <c r="AB273" s="118" t="str">
        <f t="shared" si="58"/>
        <v>HVF202-ZRIT01</v>
      </c>
      <c r="AC273" s="118">
        <f t="shared" si="59"/>
        <v>45954</v>
      </c>
    </row>
    <row r="274" spans="1:29" ht="16" x14ac:dyDescent="0.2">
      <c r="A274" s="116" t="s">
        <v>123</v>
      </c>
      <c r="B274" s="116">
        <v>15</v>
      </c>
      <c r="C274" s="116" t="s">
        <v>622</v>
      </c>
      <c r="D274" s="116" t="s">
        <v>598</v>
      </c>
      <c r="E274" s="116" t="s">
        <v>2039</v>
      </c>
      <c r="F274" s="117">
        <f>SUMIFS(Investors!$M:$M,Investors!$O:$O,FALSE,Investors!$P:$P,FALSE,Investors!$K:$K,"&gt;"&amp;'NSST Print'!$B$3,Investors!$I:$I,"&lt;="&amp;'NSST Print'!$B$3,Investors!$A:$A,'Investor Exit List'!$A274,Investors!$E:$E,'Investor Exit List'!$C274,Investors!$L:$L,'Investor Exit List'!$B274)-(SUMIFS(Investors!$M:$M,Investors!$I:$I,"&lt;="&amp;'NSST Print'!$B$3,Investors!$J:$J,"&gt;"&amp;'NSST Print'!$B$3,Investors!$A:$A,'Investor Exit List'!$A274,Investors!$E:$E,'Investor Exit List'!$C274,Investors!$L:$L,'Investor Exit List'!$B274)+SUMIFS(Investors!$M:$M,Investors!$I:$I,"&lt;="&amp;'NSST Print'!$B$3,Investors!$J:$J,"",Investors!$A:$A,'Investor Exit List'!$A274,Investors!$E:$E,'Investor Exit List'!$C274,Investors!$L:$L,'Investor Exit List'!$B274))</f>
        <v>352090.41</v>
      </c>
      <c r="G274" s="118">
        <v>45408</v>
      </c>
      <c r="H274" s="116" t="b">
        <f>VLOOKUP($C274,Sales!$C:$E,2,FALSE)</f>
        <v>0</v>
      </c>
      <c r="I274" s="116" t="b">
        <f>VLOOKUP($C274,Sales!$C:$E,3,FALSE)</f>
        <v>0</v>
      </c>
      <c r="J274" s="118">
        <f>SUMIFS(Sales!$H:$H,Sales!$C:$C,'Investor Exit List'!$C274)</f>
        <v>45722</v>
      </c>
      <c r="K274" s="118" t="str">
        <f t="shared" si="48"/>
        <v/>
      </c>
      <c r="L274" s="118">
        <f t="shared" si="49"/>
        <v>46138</v>
      </c>
      <c r="M274" s="118">
        <v>45443</v>
      </c>
      <c r="N274" s="119">
        <f t="shared" si="50"/>
        <v>695</v>
      </c>
      <c r="O274" s="119">
        <f t="shared" si="51"/>
        <v>0</v>
      </c>
      <c r="P274" s="117">
        <f t="shared" si="52"/>
        <v>0</v>
      </c>
      <c r="Q274" s="117">
        <f>SUMIFS(Investors!$M:$M,Investors!$O:$O,FALSE,Investors!$P:$P,FALSE,Investors!$K:$K,"&gt;"&amp;'NSST Print'!$B$3,Investors!$I:$I,"&lt;="&amp;'NSST Print'!$B$3,Investors!$A:$A,'Investor Exit List'!$A274,Investors!$E:$E,'Investor Exit List'!$C274,Investors!$L:$L,'Investor Exit List'!$B274)-(SUMIFS(Investors!$M:$M,Investors!$I:$I,"&lt;="&amp;'NSST Print'!$B$3,Investors!$J:$J,"&gt;"&amp;'NSST Print'!$B$3,Investors!$A:$A,'Investor Exit List'!$A274,Investors!$E:$E,'Investor Exit List'!$C274,Investors!$L:$L,'Investor Exit List'!$B274)+SUMIFS(Investors!$M:$M,Investors!$I:$I,"&lt;="&amp;'NSST Print'!$B$3,Investors!$J:$J,"",Investors!$A:$A,'Investor Exit List'!$A274,Investors!$E:$E,'Investor Exit List'!$C274,Investors!$L:$L,'Investor Exit List'!$B274))+SUMIFS(Investors!$S:$S,Investors!$O:$O,FALSE,Investors!$P:$P,FALSE,Investors!$K:$K,"&gt;"&amp;'NSST Print'!$B$3,Investors!$I:$I,"&lt;="&amp;'NSST Print'!$B$3,Investors!$A:$A,'Investor Exit List'!$A274,Investors!$E:$E,'Investor Exit List'!$C274,Investors!$L:$L,'Investor Exit List'!$B274)-(SUMIFS(Investors!$S:$S,Investors!$I:$I,"&lt;="&amp;'NSST Print'!$B$3,Investors!$J:$J,"&gt;"&amp;'NSST Print'!$B$3,Investors!$A:$A,'Investor Exit List'!$A274,Investors!$E:$E,'Investor Exit List'!$C274,Investors!$L:$L,'Investor Exit List'!$B274)+SUMIFS(Investors!$S:$S,Investors!$I:$I,"&lt;="&amp;'NSST Print'!$B$3,Investors!$J:$J,"",Investors!$A:$A,'Investor Exit List'!$A274,Investors!$E:$E,'Investor Exit List'!$C274,Investors!$L:$L,'Investor Exit List'!$B274))</f>
        <v>390347.68578246573</v>
      </c>
      <c r="R274" s="117">
        <f t="shared" si="53"/>
        <v>0</v>
      </c>
      <c r="S274" s="117">
        <f>SUMIFS(Investors!$M:$M,Investors!$O:$O,TRUE,Investors!$A:$A,'Investor Exit List'!$A274,Investors!$E:$E,'Investor Exit List'!$C274,Investors!$L:$L,'Investor Exit List'!$B274)+SUMIFS(Investors!$S:$S,Investors!$O:$O,TRUE,Investors!$A:$A,'Investor Exit List'!$A274,Investors!$E:$E,'Investor Exit List'!$C274,Investors!$L:$L,'Investor Exit List'!$B274)</f>
        <v>0</v>
      </c>
      <c r="T274" s="118" t="str">
        <f t="shared" si="54"/>
        <v/>
      </c>
      <c r="U274" s="116" t="b">
        <v>0</v>
      </c>
      <c r="V274" s="117">
        <f t="shared" si="55"/>
        <v>0</v>
      </c>
      <c r="W274" s="116">
        <v>0</v>
      </c>
      <c r="X274" s="116" t="b">
        <v>0</v>
      </c>
      <c r="Y274" s="119">
        <f>IF(H274=FALSE,VLOOKUP($C274,Sales!$C:$F,4,FALSE),1)</f>
        <v>0</v>
      </c>
      <c r="Z274" s="116" t="str">
        <f t="shared" si="56"/>
        <v>Release</v>
      </c>
      <c r="AA274" s="118">
        <f t="shared" si="57"/>
        <v>46003</v>
      </c>
      <c r="AB274" s="118" t="str">
        <f t="shared" si="58"/>
        <v>HVF203-ZHEI01</v>
      </c>
      <c r="AC274" s="118">
        <f t="shared" si="59"/>
        <v>46138</v>
      </c>
    </row>
    <row r="275" spans="1:29" ht="16" x14ac:dyDescent="0.2">
      <c r="A275" s="116" t="s">
        <v>623</v>
      </c>
      <c r="B275" s="116">
        <v>2</v>
      </c>
      <c r="C275" s="116" t="s">
        <v>622</v>
      </c>
      <c r="D275" s="116" t="s">
        <v>598</v>
      </c>
      <c r="E275" s="116" t="s">
        <v>2178</v>
      </c>
      <c r="F275" s="117">
        <f>SUMIFS(Investors!$M:$M,Investors!$O:$O,FALSE,Investors!$P:$P,FALSE,Investors!$K:$K,"&gt;"&amp;'NSST Print'!$B$3,Investors!$I:$I,"&lt;="&amp;'NSST Print'!$B$3,Investors!$A:$A,'Investor Exit List'!$A275,Investors!$E:$E,'Investor Exit List'!$C275,Investors!$L:$L,'Investor Exit List'!$B275)-(SUMIFS(Investors!$M:$M,Investors!$I:$I,"&lt;="&amp;'NSST Print'!$B$3,Investors!$J:$J,"&gt;"&amp;'NSST Print'!$B$3,Investors!$A:$A,'Investor Exit List'!$A275,Investors!$E:$E,'Investor Exit List'!$C275,Investors!$L:$L,'Investor Exit List'!$B275)+SUMIFS(Investors!$M:$M,Investors!$I:$I,"&lt;="&amp;'NSST Print'!$B$3,Investors!$J:$J,"",Investors!$A:$A,'Investor Exit List'!$A275,Investors!$E:$E,'Investor Exit List'!$C275,Investors!$L:$L,'Investor Exit List'!$B275))</f>
        <v>100000</v>
      </c>
      <c r="G275" s="118">
        <v>45273</v>
      </c>
      <c r="H275" s="116" t="b">
        <f>VLOOKUP($C275,Sales!$C:$E,2,FALSE)</f>
        <v>0</v>
      </c>
      <c r="I275" s="116" t="b">
        <f>VLOOKUP($C275,Sales!$C:$E,3,FALSE)</f>
        <v>0</v>
      </c>
      <c r="J275" s="118">
        <f>SUMIFS(Sales!$H:$H,Sales!$C:$C,'Investor Exit List'!$C275)</f>
        <v>45722</v>
      </c>
      <c r="K275" s="118" t="str">
        <f t="shared" si="48"/>
        <v/>
      </c>
      <c r="L275" s="118">
        <f t="shared" si="49"/>
        <v>46003</v>
      </c>
      <c r="M275" s="118">
        <v>45443</v>
      </c>
      <c r="N275" s="119">
        <f t="shared" si="50"/>
        <v>560</v>
      </c>
      <c r="O275" s="119">
        <f t="shared" si="51"/>
        <v>0</v>
      </c>
      <c r="P275" s="117">
        <f t="shared" si="52"/>
        <v>0</v>
      </c>
      <c r="Q275" s="117">
        <f>SUMIFS(Investors!$M:$M,Investors!$O:$O,FALSE,Investors!$P:$P,FALSE,Investors!$K:$K,"&gt;"&amp;'NSST Print'!$B$3,Investors!$I:$I,"&lt;="&amp;'NSST Print'!$B$3,Investors!$A:$A,'Investor Exit List'!$A275,Investors!$E:$E,'Investor Exit List'!$C275,Investors!$L:$L,'Investor Exit List'!$B275)-(SUMIFS(Investors!$M:$M,Investors!$I:$I,"&lt;="&amp;'NSST Print'!$B$3,Investors!$J:$J,"&gt;"&amp;'NSST Print'!$B$3,Investors!$A:$A,'Investor Exit List'!$A275,Investors!$E:$E,'Investor Exit List'!$C275,Investors!$L:$L,'Investor Exit List'!$B275)+SUMIFS(Investors!$M:$M,Investors!$I:$I,"&lt;="&amp;'NSST Print'!$B$3,Investors!$J:$J,"",Investors!$A:$A,'Investor Exit List'!$A275,Investors!$E:$E,'Investor Exit List'!$C275,Investors!$L:$L,'Investor Exit List'!$B275))+SUMIFS(Investors!$S:$S,Investors!$O:$O,FALSE,Investors!$P:$P,FALSE,Investors!$K:$K,"&gt;"&amp;'NSST Print'!$B$3,Investors!$I:$I,"&lt;="&amp;'NSST Print'!$B$3,Investors!$A:$A,'Investor Exit List'!$A275,Investors!$E:$E,'Investor Exit List'!$C275,Investors!$L:$L,'Investor Exit List'!$B275)-(SUMIFS(Investors!$S:$S,Investors!$I:$I,"&lt;="&amp;'NSST Print'!$B$3,Investors!$J:$J,"&gt;"&amp;'NSST Print'!$B$3,Investors!$A:$A,'Investor Exit List'!$A275,Investors!$E:$E,'Investor Exit List'!$C275,Investors!$L:$L,'Investor Exit List'!$B275)+SUMIFS(Investors!$S:$S,Investors!$I:$I,"&lt;="&amp;'NSST Print'!$B$3,Investors!$J:$J,"",Investors!$A:$A,'Investor Exit List'!$A275,Investors!$E:$E,'Investor Exit List'!$C275,Investors!$L:$L,'Investor Exit List'!$B275))</f>
        <v>114673.97260273973</v>
      </c>
      <c r="R275" s="117">
        <f t="shared" si="53"/>
        <v>0</v>
      </c>
      <c r="S275" s="117">
        <f>SUMIFS(Investors!$M:$M,Investors!$O:$O,TRUE,Investors!$A:$A,'Investor Exit List'!$A275,Investors!$E:$E,'Investor Exit List'!$C275,Investors!$L:$L,'Investor Exit List'!$B275)+SUMIFS(Investors!$S:$S,Investors!$O:$O,TRUE,Investors!$A:$A,'Investor Exit List'!$A275,Investors!$E:$E,'Investor Exit List'!$C275,Investors!$L:$L,'Investor Exit List'!$B275)</f>
        <v>0</v>
      </c>
      <c r="T275" s="118" t="str">
        <f t="shared" si="54"/>
        <v/>
      </c>
      <c r="U275" s="116" t="b">
        <v>0</v>
      </c>
      <c r="V275" s="117">
        <f t="shared" si="55"/>
        <v>0</v>
      </c>
      <c r="W275" s="116">
        <v>0</v>
      </c>
      <c r="X275" s="116" t="b">
        <v>0</v>
      </c>
      <c r="Y275" s="119">
        <f>IF(H275=FALSE,VLOOKUP($C275,Sales!$C:$F,4,FALSE),1)</f>
        <v>0</v>
      </c>
      <c r="Z275" s="116" t="str">
        <f t="shared" si="56"/>
        <v>Release</v>
      </c>
      <c r="AA275" s="118">
        <f t="shared" si="57"/>
        <v>46003</v>
      </c>
      <c r="AB275" s="118" t="str">
        <f t="shared" si="58"/>
        <v>HVF203-ZHUM01</v>
      </c>
      <c r="AC275" s="118">
        <f t="shared" si="59"/>
        <v>46003</v>
      </c>
    </row>
    <row r="276" spans="1:29" ht="16" x14ac:dyDescent="0.2">
      <c r="A276" s="116" t="s">
        <v>27</v>
      </c>
      <c r="B276" s="116">
        <v>17</v>
      </c>
      <c r="C276" s="116" t="s">
        <v>622</v>
      </c>
      <c r="D276" s="116" t="s">
        <v>598</v>
      </c>
      <c r="E276" s="116" t="s">
        <v>2010</v>
      </c>
      <c r="F276" s="117">
        <f>SUMIFS(Investors!$M:$M,Investors!$O:$O,FALSE,Investors!$P:$P,FALSE,Investors!$K:$K,"&gt;"&amp;'NSST Print'!$B$3,Investors!$I:$I,"&lt;="&amp;'NSST Print'!$B$3,Investors!$A:$A,'Investor Exit List'!$A276,Investors!$E:$E,'Investor Exit List'!$C276,Investors!$L:$L,'Investor Exit List'!$B276)-(SUMIFS(Investors!$M:$M,Investors!$I:$I,"&lt;="&amp;'NSST Print'!$B$3,Investors!$J:$J,"&gt;"&amp;'NSST Print'!$B$3,Investors!$A:$A,'Investor Exit List'!$A276,Investors!$E:$E,'Investor Exit List'!$C276,Investors!$L:$L,'Investor Exit List'!$B276)+SUMIFS(Investors!$M:$M,Investors!$I:$I,"&lt;="&amp;'NSST Print'!$B$3,Investors!$J:$J,"",Investors!$A:$A,'Investor Exit List'!$A276,Investors!$E:$E,'Investor Exit List'!$C276,Investors!$L:$L,'Investor Exit List'!$B276))</f>
        <v>717029.36</v>
      </c>
      <c r="G276" s="118">
        <v>45408</v>
      </c>
      <c r="H276" s="116" t="b">
        <f>VLOOKUP($C276,Sales!$C:$E,2,FALSE)</f>
        <v>0</v>
      </c>
      <c r="I276" s="116" t="b">
        <f>VLOOKUP($C276,Sales!$C:$E,3,FALSE)</f>
        <v>0</v>
      </c>
      <c r="J276" s="118">
        <f>SUMIFS(Sales!$H:$H,Sales!$C:$C,'Investor Exit List'!$C276)</f>
        <v>45722</v>
      </c>
      <c r="K276" s="118" t="str">
        <f t="shared" si="48"/>
        <v/>
      </c>
      <c r="L276" s="118">
        <f t="shared" si="49"/>
        <v>46138</v>
      </c>
      <c r="M276" s="118">
        <v>45443</v>
      </c>
      <c r="N276" s="119">
        <f t="shared" si="50"/>
        <v>695</v>
      </c>
      <c r="O276" s="119">
        <f t="shared" si="51"/>
        <v>0</v>
      </c>
      <c r="P276" s="117">
        <f t="shared" si="52"/>
        <v>0</v>
      </c>
      <c r="Q276" s="117">
        <f>SUMIFS(Investors!$M:$M,Investors!$O:$O,FALSE,Investors!$P:$P,FALSE,Investors!$K:$K,"&gt;"&amp;'NSST Print'!$B$3,Investors!$I:$I,"&lt;="&amp;'NSST Print'!$B$3,Investors!$A:$A,'Investor Exit List'!$A276,Investors!$E:$E,'Investor Exit List'!$C276,Investors!$L:$L,'Investor Exit List'!$B276)-(SUMIFS(Investors!$M:$M,Investors!$I:$I,"&lt;="&amp;'NSST Print'!$B$3,Investors!$J:$J,"&gt;"&amp;'NSST Print'!$B$3,Investors!$A:$A,'Investor Exit List'!$A276,Investors!$E:$E,'Investor Exit List'!$C276,Investors!$L:$L,'Investor Exit List'!$B276)+SUMIFS(Investors!$M:$M,Investors!$I:$I,"&lt;="&amp;'NSST Print'!$B$3,Investors!$J:$J,"",Investors!$A:$A,'Investor Exit List'!$A276,Investors!$E:$E,'Investor Exit List'!$C276,Investors!$L:$L,'Investor Exit List'!$B276))+SUMIFS(Investors!$S:$S,Investors!$O:$O,FALSE,Investors!$P:$P,FALSE,Investors!$K:$K,"&gt;"&amp;'NSST Print'!$B$3,Investors!$I:$I,"&lt;="&amp;'NSST Print'!$B$3,Investors!$A:$A,'Investor Exit List'!$A276,Investors!$E:$E,'Investor Exit List'!$C276,Investors!$L:$L,'Investor Exit List'!$B276)-(SUMIFS(Investors!$S:$S,Investors!$I:$I,"&lt;="&amp;'NSST Print'!$B$3,Investors!$J:$J,"&gt;"&amp;'NSST Print'!$B$3,Investors!$A:$A,'Investor Exit List'!$A276,Investors!$E:$E,'Investor Exit List'!$C276,Investors!$L:$L,'Investor Exit List'!$B276)+SUMIFS(Investors!$S:$S,Investors!$I:$I,"&lt;="&amp;'NSST Print'!$B$3,Investors!$J:$J,"",Investors!$A:$A,'Investor Exit List'!$A276,Investors!$E:$E,'Investor Exit List'!$C276,Investors!$L:$L,'Investor Exit List'!$B276))</f>
        <v>796452.63951999997</v>
      </c>
      <c r="R276" s="117">
        <f t="shared" si="53"/>
        <v>0</v>
      </c>
      <c r="S276" s="117">
        <f>SUMIFS(Investors!$M:$M,Investors!$O:$O,TRUE,Investors!$A:$A,'Investor Exit List'!$A276,Investors!$E:$E,'Investor Exit List'!$C276,Investors!$L:$L,'Investor Exit List'!$B276)+SUMIFS(Investors!$S:$S,Investors!$O:$O,TRUE,Investors!$A:$A,'Investor Exit List'!$A276,Investors!$E:$E,'Investor Exit List'!$C276,Investors!$L:$L,'Investor Exit List'!$B276)</f>
        <v>0</v>
      </c>
      <c r="T276" s="118" t="str">
        <f t="shared" si="54"/>
        <v/>
      </c>
      <c r="U276" s="116" t="b">
        <v>0</v>
      </c>
      <c r="V276" s="117">
        <f t="shared" si="55"/>
        <v>0</v>
      </c>
      <c r="W276" s="116">
        <v>0</v>
      </c>
      <c r="X276" s="116" t="b">
        <v>0</v>
      </c>
      <c r="Y276" s="119">
        <f>IF(H276=FALSE,VLOOKUP($C276,Sales!$C:$F,4,FALSE),1)</f>
        <v>0</v>
      </c>
      <c r="Z276" s="116" t="str">
        <f t="shared" si="56"/>
        <v>Release</v>
      </c>
      <c r="AA276" s="118">
        <f t="shared" si="57"/>
        <v>46003</v>
      </c>
      <c r="AB276" s="118" t="str">
        <f t="shared" si="58"/>
        <v>HVF203-ZSCH01</v>
      </c>
      <c r="AC276" s="118">
        <f t="shared" si="59"/>
        <v>46138</v>
      </c>
    </row>
    <row r="277" spans="1:29" ht="16" x14ac:dyDescent="0.2">
      <c r="A277" s="116" t="s">
        <v>485</v>
      </c>
      <c r="B277" s="116">
        <v>12</v>
      </c>
      <c r="C277" s="116" t="s">
        <v>626</v>
      </c>
      <c r="D277" s="116" t="s">
        <v>598</v>
      </c>
      <c r="E277" s="116" t="s">
        <v>2143</v>
      </c>
      <c r="F277" s="117">
        <f>SUMIFS(Investors!$M:$M,Investors!$O:$O,FALSE,Investors!$P:$P,FALSE,Investors!$K:$K,"&gt;"&amp;'NSST Print'!$B$3,Investors!$I:$I,"&lt;="&amp;'NSST Print'!$B$3,Investors!$A:$A,'Investor Exit List'!$A277,Investors!$E:$E,'Investor Exit List'!$C277,Investors!$L:$L,'Investor Exit List'!$B277)-(SUMIFS(Investors!$M:$M,Investors!$I:$I,"&lt;="&amp;'NSST Print'!$B$3,Investors!$J:$J,"&gt;"&amp;'NSST Print'!$B$3,Investors!$A:$A,'Investor Exit List'!$A277,Investors!$E:$E,'Investor Exit List'!$C277,Investors!$L:$L,'Investor Exit List'!$B277)+SUMIFS(Investors!$M:$M,Investors!$I:$I,"&lt;="&amp;'NSST Print'!$B$3,Investors!$J:$J,"",Investors!$A:$A,'Investor Exit List'!$A277,Investors!$E:$E,'Investor Exit List'!$C277,Investors!$L:$L,'Investor Exit List'!$B277))</f>
        <v>1200000</v>
      </c>
      <c r="G277" s="118">
        <v>45408</v>
      </c>
      <c r="H277" s="116" t="b">
        <f>VLOOKUP($C277,Sales!$C:$E,2,FALSE)</f>
        <v>0</v>
      </c>
      <c r="I277" s="116" t="b">
        <f>VLOOKUP($C277,Sales!$C:$E,3,FALSE)</f>
        <v>0</v>
      </c>
      <c r="J277" s="118">
        <f>SUMIFS(Sales!$H:$H,Sales!$C:$C,'Investor Exit List'!$C277)</f>
        <v>45722</v>
      </c>
      <c r="K277" s="118" t="str">
        <f t="shared" si="48"/>
        <v/>
      </c>
      <c r="L277" s="118">
        <f t="shared" si="49"/>
        <v>46138</v>
      </c>
      <c r="M277" s="118">
        <v>45443</v>
      </c>
      <c r="N277" s="119">
        <f t="shared" si="50"/>
        <v>695</v>
      </c>
      <c r="O277" s="119">
        <f t="shared" si="51"/>
        <v>0</v>
      </c>
      <c r="P277" s="117">
        <f t="shared" si="52"/>
        <v>0</v>
      </c>
      <c r="Q277" s="117">
        <f>SUMIFS(Investors!$M:$M,Investors!$O:$O,FALSE,Investors!$P:$P,FALSE,Investors!$K:$K,"&gt;"&amp;'NSST Print'!$B$3,Investors!$I:$I,"&lt;="&amp;'NSST Print'!$B$3,Investors!$A:$A,'Investor Exit List'!$A277,Investors!$E:$E,'Investor Exit List'!$C277,Investors!$L:$L,'Investor Exit List'!$B277)-(SUMIFS(Investors!$M:$M,Investors!$I:$I,"&lt;="&amp;'NSST Print'!$B$3,Investors!$J:$J,"&gt;"&amp;'NSST Print'!$B$3,Investors!$A:$A,'Investor Exit List'!$A277,Investors!$E:$E,'Investor Exit List'!$C277,Investors!$L:$L,'Investor Exit List'!$B277)+SUMIFS(Investors!$M:$M,Investors!$I:$I,"&lt;="&amp;'NSST Print'!$B$3,Investors!$J:$J,"",Investors!$A:$A,'Investor Exit List'!$A277,Investors!$E:$E,'Investor Exit List'!$C277,Investors!$L:$L,'Investor Exit List'!$B277))+SUMIFS(Investors!$S:$S,Investors!$O:$O,FALSE,Investors!$P:$P,FALSE,Investors!$K:$K,"&gt;"&amp;'NSST Print'!$B$3,Investors!$I:$I,"&lt;="&amp;'NSST Print'!$B$3,Investors!$A:$A,'Investor Exit List'!$A277,Investors!$E:$E,'Investor Exit List'!$C277,Investors!$L:$L,'Investor Exit List'!$B277)-(SUMIFS(Investors!$S:$S,Investors!$I:$I,"&lt;="&amp;'NSST Print'!$B$3,Investors!$J:$J,"&gt;"&amp;'NSST Print'!$B$3,Investors!$A:$A,'Investor Exit List'!$A277,Investors!$E:$E,'Investor Exit List'!$C277,Investors!$L:$L,'Investor Exit List'!$B277)+SUMIFS(Investors!$S:$S,Investors!$I:$I,"&lt;="&amp;'NSST Print'!$B$3,Investors!$J:$J,"",Investors!$A:$A,'Investor Exit List'!$A277,Investors!$E:$E,'Investor Exit List'!$C277,Investors!$L:$L,'Investor Exit List'!$B277))</f>
        <v>1309775.3424657534</v>
      </c>
      <c r="R277" s="117">
        <f t="shared" si="53"/>
        <v>0</v>
      </c>
      <c r="S277" s="117">
        <f>SUMIFS(Investors!$M:$M,Investors!$O:$O,TRUE,Investors!$A:$A,'Investor Exit List'!$A277,Investors!$E:$E,'Investor Exit List'!$C277,Investors!$L:$L,'Investor Exit List'!$B277)+SUMIFS(Investors!$S:$S,Investors!$O:$O,TRUE,Investors!$A:$A,'Investor Exit List'!$A277,Investors!$E:$E,'Investor Exit List'!$C277,Investors!$L:$L,'Investor Exit List'!$B277)</f>
        <v>0</v>
      </c>
      <c r="T277" s="118" t="str">
        <f t="shared" si="54"/>
        <v/>
      </c>
      <c r="U277" s="116" t="b">
        <v>0</v>
      </c>
      <c r="V277" s="117">
        <f t="shared" si="55"/>
        <v>0</v>
      </c>
      <c r="W277" s="116">
        <v>0</v>
      </c>
      <c r="X277" s="116" t="b">
        <v>0</v>
      </c>
      <c r="Y277" s="119">
        <f>IF(H277=FALSE,VLOOKUP($C277,Sales!$C:$F,4,FALSE),1)</f>
        <v>0</v>
      </c>
      <c r="Z277" s="116" t="str">
        <f t="shared" si="56"/>
        <v>Release</v>
      </c>
      <c r="AA277" s="118">
        <f t="shared" si="57"/>
        <v>46138</v>
      </c>
      <c r="AB277" s="118" t="str">
        <f t="shared" si="58"/>
        <v>HVF204-ZVAN05</v>
      </c>
      <c r="AC277" s="118">
        <f t="shared" si="59"/>
        <v>46138</v>
      </c>
    </row>
    <row r="278" spans="1:29" ht="16" x14ac:dyDescent="0.2">
      <c r="A278" s="116" t="s">
        <v>52</v>
      </c>
      <c r="B278" s="116">
        <v>16</v>
      </c>
      <c r="C278" s="116" t="s">
        <v>627</v>
      </c>
      <c r="D278" s="116" t="s">
        <v>628</v>
      </c>
      <c r="E278" s="116" t="s">
        <v>2017</v>
      </c>
      <c r="F278" s="117">
        <f>SUMIFS(Investors!$M:$M,Investors!$O:$O,FALSE,Investors!$P:$P,FALSE,Investors!$K:$K,"&gt;"&amp;'NSST Print'!$B$3,Investors!$I:$I,"&lt;="&amp;'NSST Print'!$B$3,Investors!$A:$A,'Investor Exit List'!$A278,Investors!$E:$E,'Investor Exit List'!$C278,Investors!$L:$L,'Investor Exit List'!$B278)-(SUMIFS(Investors!$M:$M,Investors!$I:$I,"&lt;="&amp;'NSST Print'!$B$3,Investors!$J:$J,"&gt;"&amp;'NSST Print'!$B$3,Investors!$A:$A,'Investor Exit List'!$A278,Investors!$E:$E,'Investor Exit List'!$C278,Investors!$L:$L,'Investor Exit List'!$B278)+SUMIFS(Investors!$M:$M,Investors!$I:$I,"&lt;="&amp;'NSST Print'!$B$3,Investors!$J:$J,"",Investors!$A:$A,'Investor Exit List'!$A278,Investors!$E:$E,'Investor Exit List'!$C278,Investors!$L:$L,'Investor Exit List'!$B278))</f>
        <v>110000</v>
      </c>
      <c r="G278" s="118">
        <v>45129</v>
      </c>
      <c r="H278" s="116" t="b">
        <f>VLOOKUP($C278,Sales!$C:$E,2,FALSE)</f>
        <v>0</v>
      </c>
      <c r="I278" s="116" t="b">
        <f>VLOOKUP($C278,Sales!$C:$E,3,FALSE)</f>
        <v>0</v>
      </c>
      <c r="J278" s="118">
        <f>SUMIFS(Sales!$H:$H,Sales!$C:$C,'Investor Exit List'!$C278)</f>
        <v>45532</v>
      </c>
      <c r="K278" s="118" t="str">
        <f t="shared" si="48"/>
        <v/>
      </c>
      <c r="L278" s="118">
        <f t="shared" si="49"/>
        <v>45859</v>
      </c>
      <c r="M278" s="118">
        <v>45443</v>
      </c>
      <c r="N278" s="119">
        <f t="shared" si="50"/>
        <v>416</v>
      </c>
      <c r="O278" s="119">
        <f t="shared" si="51"/>
        <v>0</v>
      </c>
      <c r="P278" s="117">
        <f t="shared" si="52"/>
        <v>0</v>
      </c>
      <c r="Q278" s="117">
        <f>SUMIFS(Investors!$M:$M,Investors!$O:$O,FALSE,Investors!$P:$P,FALSE,Investors!$K:$K,"&gt;"&amp;'NSST Print'!$B$3,Investors!$I:$I,"&lt;="&amp;'NSST Print'!$B$3,Investors!$A:$A,'Investor Exit List'!$A278,Investors!$E:$E,'Investor Exit List'!$C278,Investors!$L:$L,'Investor Exit List'!$B278)-(SUMIFS(Investors!$M:$M,Investors!$I:$I,"&lt;="&amp;'NSST Print'!$B$3,Investors!$J:$J,"&gt;"&amp;'NSST Print'!$B$3,Investors!$A:$A,'Investor Exit List'!$A278,Investors!$E:$E,'Investor Exit List'!$C278,Investors!$L:$L,'Investor Exit List'!$B278)+SUMIFS(Investors!$M:$M,Investors!$I:$I,"&lt;="&amp;'NSST Print'!$B$3,Investors!$J:$J,"",Investors!$A:$A,'Investor Exit List'!$A278,Investors!$E:$E,'Investor Exit List'!$C278,Investors!$L:$L,'Investor Exit List'!$B278))+SUMIFS(Investors!$S:$S,Investors!$O:$O,FALSE,Investors!$P:$P,FALSE,Investors!$K:$K,"&gt;"&amp;'NSST Print'!$B$3,Investors!$I:$I,"&lt;="&amp;'NSST Print'!$B$3,Investors!$A:$A,'Investor Exit List'!$A278,Investors!$E:$E,'Investor Exit List'!$C278,Investors!$L:$L,'Investor Exit List'!$B278)-(SUMIFS(Investors!$S:$S,Investors!$I:$I,"&lt;="&amp;'NSST Print'!$B$3,Investors!$J:$J,"&gt;"&amp;'NSST Print'!$B$3,Investors!$A:$A,'Investor Exit List'!$A278,Investors!$E:$E,'Investor Exit List'!$C278,Investors!$L:$L,'Investor Exit List'!$B278)+SUMIFS(Investors!$S:$S,Investors!$I:$I,"&lt;="&amp;'NSST Print'!$B$3,Investors!$J:$J,"",Investors!$A:$A,'Investor Exit List'!$A278,Investors!$E:$E,'Investor Exit List'!$C278,Investors!$L:$L,'Investor Exit List'!$B278))</f>
        <v>134977.53424657535</v>
      </c>
      <c r="R278" s="117">
        <f t="shared" si="53"/>
        <v>0</v>
      </c>
      <c r="S278" s="117">
        <f>SUMIFS(Investors!$M:$M,Investors!$O:$O,TRUE,Investors!$A:$A,'Investor Exit List'!$A278,Investors!$E:$E,'Investor Exit List'!$C278,Investors!$L:$L,'Investor Exit List'!$B278)+SUMIFS(Investors!$S:$S,Investors!$O:$O,TRUE,Investors!$A:$A,'Investor Exit List'!$A278,Investors!$E:$E,'Investor Exit List'!$C278,Investors!$L:$L,'Investor Exit List'!$B278)</f>
        <v>0</v>
      </c>
      <c r="T278" s="118" t="str">
        <f t="shared" si="54"/>
        <v/>
      </c>
      <c r="U278" s="116" t="b">
        <v>0</v>
      </c>
      <c r="V278" s="117">
        <f t="shared" si="55"/>
        <v>0</v>
      </c>
      <c r="W278" s="116">
        <v>0</v>
      </c>
      <c r="X278" s="116" t="b">
        <v>0</v>
      </c>
      <c r="Y278" s="119">
        <f>IF(H278=FALSE,VLOOKUP($C278,Sales!$C:$F,4,FALSE),1)</f>
        <v>0</v>
      </c>
      <c r="Z278" s="116" t="str">
        <f t="shared" si="56"/>
        <v>Release</v>
      </c>
      <c r="AA278" s="118">
        <f t="shared" si="57"/>
        <v>45859</v>
      </c>
      <c r="AB278" s="118" t="str">
        <f t="shared" si="58"/>
        <v>HVG101-ZCRO01</v>
      </c>
      <c r="AC278" s="118">
        <f t="shared" si="59"/>
        <v>45859</v>
      </c>
    </row>
    <row r="279" spans="1:29" ht="16" x14ac:dyDescent="0.2">
      <c r="A279" s="116" t="s">
        <v>629</v>
      </c>
      <c r="B279" s="116">
        <v>3</v>
      </c>
      <c r="C279" s="116" t="s">
        <v>627</v>
      </c>
      <c r="D279" s="116" t="s">
        <v>628</v>
      </c>
      <c r="E279" s="116" t="s">
        <v>2179</v>
      </c>
      <c r="F279" s="117">
        <f>SUMIFS(Investors!$M:$M,Investors!$O:$O,FALSE,Investors!$P:$P,FALSE,Investors!$K:$K,"&gt;"&amp;'NSST Print'!$B$3,Investors!$I:$I,"&lt;="&amp;'NSST Print'!$B$3,Investors!$A:$A,'Investor Exit List'!$A279,Investors!$E:$E,'Investor Exit List'!$C279,Investors!$L:$L,'Investor Exit List'!$B279)-(SUMIFS(Investors!$M:$M,Investors!$I:$I,"&lt;="&amp;'NSST Print'!$B$3,Investors!$J:$J,"&gt;"&amp;'NSST Print'!$B$3,Investors!$A:$A,'Investor Exit List'!$A279,Investors!$E:$E,'Investor Exit List'!$C279,Investors!$L:$L,'Investor Exit List'!$B279)+SUMIFS(Investors!$M:$M,Investors!$I:$I,"&lt;="&amp;'NSST Print'!$B$3,Investors!$J:$J,"",Investors!$A:$A,'Investor Exit List'!$A279,Investors!$E:$E,'Investor Exit List'!$C279,Investors!$L:$L,'Investor Exit List'!$B279))</f>
        <v>1000000</v>
      </c>
      <c r="G279" s="118">
        <v>45168</v>
      </c>
      <c r="H279" s="116" t="b">
        <f>VLOOKUP($C279,Sales!$C:$E,2,FALSE)</f>
        <v>0</v>
      </c>
      <c r="I279" s="116" t="b">
        <f>VLOOKUP($C279,Sales!$C:$E,3,FALSE)</f>
        <v>0</v>
      </c>
      <c r="J279" s="118">
        <f>SUMIFS(Sales!$H:$H,Sales!$C:$C,'Investor Exit List'!$C279)</f>
        <v>45532</v>
      </c>
      <c r="K279" s="118" t="str">
        <f t="shared" si="48"/>
        <v/>
      </c>
      <c r="L279" s="118">
        <f t="shared" si="49"/>
        <v>45898</v>
      </c>
      <c r="M279" s="118">
        <v>45443</v>
      </c>
      <c r="N279" s="119">
        <f t="shared" si="50"/>
        <v>455</v>
      </c>
      <c r="O279" s="119">
        <f t="shared" si="51"/>
        <v>0</v>
      </c>
      <c r="P279" s="117">
        <f t="shared" si="52"/>
        <v>0</v>
      </c>
      <c r="Q279" s="117">
        <f>SUMIFS(Investors!$M:$M,Investors!$O:$O,FALSE,Investors!$P:$P,FALSE,Investors!$K:$K,"&gt;"&amp;'NSST Print'!$B$3,Investors!$I:$I,"&lt;="&amp;'NSST Print'!$B$3,Investors!$A:$A,'Investor Exit List'!$A279,Investors!$E:$E,'Investor Exit List'!$C279,Investors!$L:$L,'Investor Exit List'!$B279)-(SUMIFS(Investors!$M:$M,Investors!$I:$I,"&lt;="&amp;'NSST Print'!$B$3,Investors!$J:$J,"&gt;"&amp;'NSST Print'!$B$3,Investors!$A:$A,'Investor Exit List'!$A279,Investors!$E:$E,'Investor Exit List'!$C279,Investors!$L:$L,'Investor Exit List'!$B279)+SUMIFS(Investors!$M:$M,Investors!$I:$I,"&lt;="&amp;'NSST Print'!$B$3,Investors!$J:$J,"",Investors!$A:$A,'Investor Exit List'!$A279,Investors!$E:$E,'Investor Exit List'!$C279,Investors!$L:$L,'Investor Exit List'!$B279))+SUMIFS(Investors!$S:$S,Investors!$O:$O,FALSE,Investors!$P:$P,FALSE,Investors!$K:$K,"&gt;"&amp;'NSST Print'!$B$3,Investors!$I:$I,"&lt;="&amp;'NSST Print'!$B$3,Investors!$A:$A,'Investor Exit List'!$A279,Investors!$E:$E,'Investor Exit List'!$C279,Investors!$L:$L,'Investor Exit List'!$B279)-(SUMIFS(Investors!$S:$S,Investors!$I:$I,"&lt;="&amp;'NSST Print'!$B$3,Investors!$J:$J,"&gt;"&amp;'NSST Print'!$B$3,Investors!$A:$A,'Investor Exit List'!$A279,Investors!$E:$E,'Investor Exit List'!$C279,Investors!$L:$L,'Investor Exit List'!$B279)+SUMIFS(Investors!$S:$S,Investors!$I:$I,"&lt;="&amp;'NSST Print'!$B$3,Investors!$J:$J,"",Investors!$A:$A,'Investor Exit List'!$A279,Investors!$E:$E,'Investor Exit List'!$C279,Investors!$L:$L,'Investor Exit List'!$B279))</f>
        <v>1219589.0410958903</v>
      </c>
      <c r="R279" s="117">
        <f t="shared" si="53"/>
        <v>0</v>
      </c>
      <c r="S279" s="117">
        <f>SUMIFS(Investors!$M:$M,Investors!$O:$O,TRUE,Investors!$A:$A,'Investor Exit List'!$A279,Investors!$E:$E,'Investor Exit List'!$C279,Investors!$L:$L,'Investor Exit List'!$B279)+SUMIFS(Investors!$S:$S,Investors!$O:$O,TRUE,Investors!$A:$A,'Investor Exit List'!$A279,Investors!$E:$E,'Investor Exit List'!$C279,Investors!$L:$L,'Investor Exit List'!$B279)</f>
        <v>0</v>
      </c>
      <c r="T279" s="118" t="str">
        <f t="shared" si="54"/>
        <v/>
      </c>
      <c r="U279" s="116" t="b">
        <v>0</v>
      </c>
      <c r="V279" s="117">
        <f t="shared" si="55"/>
        <v>0</v>
      </c>
      <c r="W279" s="116">
        <v>0</v>
      </c>
      <c r="X279" s="116" t="b">
        <v>0</v>
      </c>
      <c r="Y279" s="119">
        <f>IF(H279=FALSE,VLOOKUP($C279,Sales!$C:$F,4,FALSE),1)</f>
        <v>0</v>
      </c>
      <c r="Z279" s="116" t="str">
        <f t="shared" si="56"/>
        <v>Release</v>
      </c>
      <c r="AA279" s="118">
        <f t="shared" si="57"/>
        <v>45859</v>
      </c>
      <c r="AB279" s="118" t="str">
        <f t="shared" si="58"/>
        <v>HVG101-ZWIL02</v>
      </c>
      <c r="AC279" s="118">
        <f t="shared" si="59"/>
        <v>45898</v>
      </c>
    </row>
    <row r="280" spans="1:29" ht="16" x14ac:dyDescent="0.2">
      <c r="A280" s="116" t="s">
        <v>632</v>
      </c>
      <c r="B280" s="116">
        <v>2</v>
      </c>
      <c r="C280" s="116" t="s">
        <v>635</v>
      </c>
      <c r="D280" s="116" t="s">
        <v>628</v>
      </c>
      <c r="E280" s="116" t="s">
        <v>2180</v>
      </c>
      <c r="F280" s="117">
        <f>SUMIFS(Investors!$M:$M,Investors!$O:$O,FALSE,Investors!$P:$P,FALSE,Investors!$K:$K,"&gt;"&amp;'NSST Print'!$B$3,Investors!$I:$I,"&lt;="&amp;'NSST Print'!$B$3,Investors!$A:$A,'Investor Exit List'!$A280,Investors!$E:$E,'Investor Exit List'!$C280,Investors!$L:$L,'Investor Exit List'!$B280)-(SUMIFS(Investors!$M:$M,Investors!$I:$I,"&lt;="&amp;'NSST Print'!$B$3,Investors!$J:$J,"&gt;"&amp;'NSST Print'!$B$3,Investors!$A:$A,'Investor Exit List'!$A280,Investors!$E:$E,'Investor Exit List'!$C280,Investors!$L:$L,'Investor Exit List'!$B280)+SUMIFS(Investors!$M:$M,Investors!$I:$I,"&lt;="&amp;'NSST Print'!$B$3,Investors!$J:$J,"",Investors!$A:$A,'Investor Exit List'!$A280,Investors!$E:$E,'Investor Exit List'!$C280,Investors!$L:$L,'Investor Exit List'!$B280))</f>
        <v>1000000</v>
      </c>
      <c r="G280" s="118">
        <v>45189</v>
      </c>
      <c r="H280" s="116" t="b">
        <f>VLOOKUP($C280,Sales!$C:$E,2,FALSE)</f>
        <v>0</v>
      </c>
      <c r="I280" s="116" t="b">
        <f>VLOOKUP($C280,Sales!$C:$E,3,FALSE)</f>
        <v>0</v>
      </c>
      <c r="J280" s="118">
        <f>SUMIFS(Sales!$H:$H,Sales!$C:$C,'Investor Exit List'!$C280)</f>
        <v>45532</v>
      </c>
      <c r="K280" s="118" t="str">
        <f t="shared" si="48"/>
        <v/>
      </c>
      <c r="L280" s="118">
        <f t="shared" si="49"/>
        <v>45919</v>
      </c>
      <c r="M280" s="118">
        <v>45443</v>
      </c>
      <c r="N280" s="119">
        <f t="shared" si="50"/>
        <v>476</v>
      </c>
      <c r="O280" s="119">
        <f t="shared" si="51"/>
        <v>0</v>
      </c>
      <c r="P280" s="117">
        <f t="shared" si="52"/>
        <v>0</v>
      </c>
      <c r="Q280" s="117">
        <f>SUMIFS(Investors!$M:$M,Investors!$O:$O,FALSE,Investors!$P:$P,FALSE,Investors!$K:$K,"&gt;"&amp;'NSST Print'!$B$3,Investors!$I:$I,"&lt;="&amp;'NSST Print'!$B$3,Investors!$A:$A,'Investor Exit List'!$A280,Investors!$E:$E,'Investor Exit List'!$C280,Investors!$L:$L,'Investor Exit List'!$B280)-(SUMIFS(Investors!$M:$M,Investors!$I:$I,"&lt;="&amp;'NSST Print'!$B$3,Investors!$J:$J,"&gt;"&amp;'NSST Print'!$B$3,Investors!$A:$A,'Investor Exit List'!$A280,Investors!$E:$E,'Investor Exit List'!$C280,Investors!$L:$L,'Investor Exit List'!$B280)+SUMIFS(Investors!$M:$M,Investors!$I:$I,"&lt;="&amp;'NSST Print'!$B$3,Investors!$J:$J,"",Investors!$A:$A,'Investor Exit List'!$A280,Investors!$E:$E,'Investor Exit List'!$C280,Investors!$L:$L,'Investor Exit List'!$B280))+SUMIFS(Investors!$S:$S,Investors!$O:$O,FALSE,Investors!$P:$P,FALSE,Investors!$K:$K,"&gt;"&amp;'NSST Print'!$B$3,Investors!$I:$I,"&lt;="&amp;'NSST Print'!$B$3,Investors!$A:$A,'Investor Exit List'!$A280,Investors!$E:$E,'Investor Exit List'!$C280,Investors!$L:$L,'Investor Exit List'!$B280)-(SUMIFS(Investors!$S:$S,Investors!$I:$I,"&lt;="&amp;'NSST Print'!$B$3,Investors!$J:$J,"&gt;"&amp;'NSST Print'!$B$3,Investors!$A:$A,'Investor Exit List'!$A280,Investors!$E:$E,'Investor Exit List'!$C280,Investors!$L:$L,'Investor Exit List'!$B280)+SUMIFS(Investors!$S:$S,Investors!$I:$I,"&lt;="&amp;'NSST Print'!$B$3,Investors!$J:$J,"",Investors!$A:$A,'Investor Exit List'!$A280,Investors!$E:$E,'Investor Exit List'!$C280,Investors!$L:$L,'Investor Exit List'!$B280))</f>
        <v>1215561.6438356163</v>
      </c>
      <c r="R280" s="117">
        <f t="shared" si="53"/>
        <v>0</v>
      </c>
      <c r="S280" s="117">
        <f>SUMIFS(Investors!$M:$M,Investors!$O:$O,TRUE,Investors!$A:$A,'Investor Exit List'!$A280,Investors!$E:$E,'Investor Exit List'!$C280,Investors!$L:$L,'Investor Exit List'!$B280)+SUMIFS(Investors!$S:$S,Investors!$O:$O,TRUE,Investors!$A:$A,'Investor Exit List'!$A280,Investors!$E:$E,'Investor Exit List'!$C280,Investors!$L:$L,'Investor Exit List'!$B280)</f>
        <v>0</v>
      </c>
      <c r="T280" s="118" t="str">
        <f t="shared" si="54"/>
        <v/>
      </c>
      <c r="U280" s="116" t="b">
        <v>0</v>
      </c>
      <c r="V280" s="117">
        <f t="shared" si="55"/>
        <v>0</v>
      </c>
      <c r="W280" s="116">
        <v>0</v>
      </c>
      <c r="X280" s="116" t="b">
        <v>0</v>
      </c>
      <c r="Y280" s="119">
        <f>IF(H280=FALSE,VLOOKUP($C280,Sales!$C:$F,4,FALSE),1)</f>
        <v>0</v>
      </c>
      <c r="Z280" s="116" t="str">
        <f t="shared" si="56"/>
        <v>Release</v>
      </c>
      <c r="AA280" s="118">
        <f t="shared" si="57"/>
        <v>45891</v>
      </c>
      <c r="AB280" s="118" t="str">
        <f t="shared" si="58"/>
        <v>HVG102-ZKRIE0</v>
      </c>
      <c r="AC280" s="118">
        <f t="shared" si="59"/>
        <v>45919</v>
      </c>
    </row>
    <row r="281" spans="1:29" ht="16" x14ac:dyDescent="0.2">
      <c r="A281" s="116" t="s">
        <v>636</v>
      </c>
      <c r="B281" s="116">
        <v>2</v>
      </c>
      <c r="C281" s="116" t="s">
        <v>635</v>
      </c>
      <c r="D281" s="116" t="s">
        <v>628</v>
      </c>
      <c r="E281" s="116" t="s">
        <v>2181</v>
      </c>
      <c r="F281" s="117">
        <f>SUMIFS(Investors!$M:$M,Investors!$O:$O,FALSE,Investors!$P:$P,FALSE,Investors!$K:$K,"&gt;"&amp;'NSST Print'!$B$3,Investors!$I:$I,"&lt;="&amp;'NSST Print'!$B$3,Investors!$A:$A,'Investor Exit List'!$A281,Investors!$E:$E,'Investor Exit List'!$C281,Investors!$L:$L,'Investor Exit List'!$B281)-(SUMIFS(Investors!$M:$M,Investors!$I:$I,"&lt;="&amp;'NSST Print'!$B$3,Investors!$J:$J,"&gt;"&amp;'NSST Print'!$B$3,Investors!$A:$A,'Investor Exit List'!$A281,Investors!$E:$E,'Investor Exit List'!$C281,Investors!$L:$L,'Investor Exit List'!$B281)+SUMIFS(Investors!$M:$M,Investors!$I:$I,"&lt;="&amp;'NSST Print'!$B$3,Investors!$J:$J,"",Investors!$A:$A,'Investor Exit List'!$A281,Investors!$E:$E,'Investor Exit List'!$C281,Investors!$L:$L,'Investor Exit List'!$B281))</f>
        <v>121786.3</v>
      </c>
      <c r="G281" s="118">
        <v>45161</v>
      </c>
      <c r="H281" s="116" t="b">
        <f>VLOOKUP($C281,Sales!$C:$E,2,FALSE)</f>
        <v>0</v>
      </c>
      <c r="I281" s="116" t="b">
        <f>VLOOKUP($C281,Sales!$C:$E,3,FALSE)</f>
        <v>0</v>
      </c>
      <c r="J281" s="118">
        <f>SUMIFS(Sales!$H:$H,Sales!$C:$C,'Investor Exit List'!$C281)</f>
        <v>45532</v>
      </c>
      <c r="K281" s="118" t="str">
        <f t="shared" si="48"/>
        <v/>
      </c>
      <c r="L281" s="118">
        <f t="shared" si="49"/>
        <v>45891</v>
      </c>
      <c r="M281" s="118">
        <v>45443</v>
      </c>
      <c r="N281" s="119">
        <f t="shared" si="50"/>
        <v>448</v>
      </c>
      <c r="O281" s="119">
        <f t="shared" si="51"/>
        <v>0</v>
      </c>
      <c r="P281" s="117">
        <f t="shared" si="52"/>
        <v>0</v>
      </c>
      <c r="Q281" s="117">
        <f>SUMIFS(Investors!$M:$M,Investors!$O:$O,FALSE,Investors!$P:$P,FALSE,Investors!$K:$K,"&gt;"&amp;'NSST Print'!$B$3,Investors!$I:$I,"&lt;="&amp;'NSST Print'!$B$3,Investors!$A:$A,'Investor Exit List'!$A281,Investors!$E:$E,'Investor Exit List'!$C281,Investors!$L:$L,'Investor Exit List'!$B281)-(SUMIFS(Investors!$M:$M,Investors!$I:$I,"&lt;="&amp;'NSST Print'!$B$3,Investors!$J:$J,"&gt;"&amp;'NSST Print'!$B$3,Investors!$A:$A,'Investor Exit List'!$A281,Investors!$E:$E,'Investor Exit List'!$C281,Investors!$L:$L,'Investor Exit List'!$B281)+SUMIFS(Investors!$M:$M,Investors!$I:$I,"&lt;="&amp;'NSST Print'!$B$3,Investors!$J:$J,"",Investors!$A:$A,'Investor Exit List'!$A281,Investors!$E:$E,'Investor Exit List'!$C281,Investors!$L:$L,'Investor Exit List'!$B281))+SUMIFS(Investors!$S:$S,Investors!$O:$O,FALSE,Investors!$P:$P,FALSE,Investors!$K:$K,"&gt;"&amp;'NSST Print'!$B$3,Investors!$I:$I,"&lt;="&amp;'NSST Print'!$B$3,Investors!$A:$A,'Investor Exit List'!$A281,Investors!$E:$E,'Investor Exit List'!$C281,Investors!$L:$L,'Investor Exit List'!$B281)-(SUMIFS(Investors!$S:$S,Investors!$I:$I,"&lt;="&amp;'NSST Print'!$B$3,Investors!$J:$J,"&gt;"&amp;'NSST Print'!$B$3,Investors!$A:$A,'Investor Exit List'!$A281,Investors!$E:$E,'Investor Exit List'!$C281,Investors!$L:$L,'Investor Exit List'!$B281)+SUMIFS(Investors!$S:$S,Investors!$I:$I,"&lt;="&amp;'NSST Print'!$B$3,Investors!$J:$J,"",Investors!$A:$A,'Investor Exit List'!$A281,Investors!$E:$E,'Investor Exit List'!$C281,Investors!$L:$L,'Investor Exit List'!$B281))</f>
        <v>143706.16569452058</v>
      </c>
      <c r="R281" s="117">
        <f t="shared" si="53"/>
        <v>0</v>
      </c>
      <c r="S281" s="117">
        <f>SUMIFS(Investors!$M:$M,Investors!$O:$O,TRUE,Investors!$A:$A,'Investor Exit List'!$A281,Investors!$E:$E,'Investor Exit List'!$C281,Investors!$L:$L,'Investor Exit List'!$B281)+SUMIFS(Investors!$S:$S,Investors!$O:$O,TRUE,Investors!$A:$A,'Investor Exit List'!$A281,Investors!$E:$E,'Investor Exit List'!$C281,Investors!$L:$L,'Investor Exit List'!$B281)</f>
        <v>0</v>
      </c>
      <c r="T281" s="118" t="str">
        <f t="shared" si="54"/>
        <v/>
      </c>
      <c r="U281" s="116" t="b">
        <v>0</v>
      </c>
      <c r="V281" s="117">
        <f t="shared" si="55"/>
        <v>0</v>
      </c>
      <c r="W281" s="116">
        <v>0</v>
      </c>
      <c r="X281" s="116" t="b">
        <v>0</v>
      </c>
      <c r="Y281" s="119">
        <f>IF(H281=FALSE,VLOOKUP($C281,Sales!$C:$F,4,FALSE),1)</f>
        <v>0</v>
      </c>
      <c r="Z281" s="116" t="str">
        <f t="shared" si="56"/>
        <v>Release</v>
      </c>
      <c r="AA281" s="118">
        <f t="shared" si="57"/>
        <v>45891</v>
      </c>
      <c r="AB281" s="118" t="str">
        <f t="shared" si="58"/>
        <v>HVG102-ZSIV01</v>
      </c>
      <c r="AC281" s="118">
        <f t="shared" si="59"/>
        <v>45891</v>
      </c>
    </row>
    <row r="282" spans="1:29" ht="16" x14ac:dyDescent="0.2">
      <c r="A282" s="116" t="s">
        <v>639</v>
      </c>
      <c r="B282" s="116">
        <v>1</v>
      </c>
      <c r="C282" s="116" t="s">
        <v>642</v>
      </c>
      <c r="D282" s="116" t="s">
        <v>628</v>
      </c>
      <c r="E282" s="116" t="s">
        <v>2182</v>
      </c>
      <c r="F282" s="117">
        <f>SUMIFS(Investors!$M:$M,Investors!$O:$O,FALSE,Investors!$P:$P,FALSE,Investors!$K:$K,"&gt;"&amp;'NSST Print'!$B$3,Investors!$I:$I,"&lt;="&amp;'NSST Print'!$B$3,Investors!$A:$A,'Investor Exit List'!$A282,Investors!$E:$E,'Investor Exit List'!$C282,Investors!$L:$L,'Investor Exit List'!$B282)-(SUMIFS(Investors!$M:$M,Investors!$I:$I,"&lt;="&amp;'NSST Print'!$B$3,Investors!$J:$J,"&gt;"&amp;'NSST Print'!$B$3,Investors!$A:$A,'Investor Exit List'!$A282,Investors!$E:$E,'Investor Exit List'!$C282,Investors!$L:$L,'Investor Exit List'!$B282)+SUMIFS(Investors!$M:$M,Investors!$I:$I,"&lt;="&amp;'NSST Print'!$B$3,Investors!$J:$J,"",Investors!$A:$A,'Investor Exit List'!$A282,Investors!$E:$E,'Investor Exit List'!$C282,Investors!$L:$L,'Investor Exit List'!$B282))</f>
        <v>550000</v>
      </c>
      <c r="G282" s="118">
        <v>45198</v>
      </c>
      <c r="H282" s="116" t="b">
        <f>VLOOKUP($C282,Sales!$C:$E,2,FALSE)</f>
        <v>0</v>
      </c>
      <c r="I282" s="116" t="b">
        <f>VLOOKUP($C282,Sales!$C:$E,3,FALSE)</f>
        <v>0</v>
      </c>
      <c r="J282" s="118">
        <f>SUMIFS(Sales!$H:$H,Sales!$C:$C,'Investor Exit List'!$C282)</f>
        <v>45532</v>
      </c>
      <c r="K282" s="118" t="str">
        <f t="shared" si="48"/>
        <v/>
      </c>
      <c r="L282" s="118">
        <f t="shared" si="49"/>
        <v>45928</v>
      </c>
      <c r="M282" s="118">
        <v>45443</v>
      </c>
      <c r="N282" s="119">
        <f t="shared" si="50"/>
        <v>485</v>
      </c>
      <c r="O282" s="119">
        <f t="shared" si="51"/>
        <v>0</v>
      </c>
      <c r="P282" s="117">
        <f t="shared" si="52"/>
        <v>0</v>
      </c>
      <c r="Q282" s="117">
        <f>SUMIFS(Investors!$M:$M,Investors!$O:$O,FALSE,Investors!$P:$P,FALSE,Investors!$K:$K,"&gt;"&amp;'NSST Print'!$B$3,Investors!$I:$I,"&lt;="&amp;'NSST Print'!$B$3,Investors!$A:$A,'Investor Exit List'!$A282,Investors!$E:$E,'Investor Exit List'!$C282,Investors!$L:$L,'Investor Exit List'!$B282)-(SUMIFS(Investors!$M:$M,Investors!$I:$I,"&lt;="&amp;'NSST Print'!$B$3,Investors!$J:$J,"&gt;"&amp;'NSST Print'!$B$3,Investors!$A:$A,'Investor Exit List'!$A282,Investors!$E:$E,'Investor Exit List'!$C282,Investors!$L:$L,'Investor Exit List'!$B282)+SUMIFS(Investors!$M:$M,Investors!$I:$I,"&lt;="&amp;'NSST Print'!$B$3,Investors!$J:$J,"",Investors!$A:$A,'Investor Exit List'!$A282,Investors!$E:$E,'Investor Exit List'!$C282,Investors!$L:$L,'Investor Exit List'!$B282))+SUMIFS(Investors!$S:$S,Investors!$O:$O,FALSE,Investors!$P:$P,FALSE,Investors!$K:$K,"&gt;"&amp;'NSST Print'!$B$3,Investors!$I:$I,"&lt;="&amp;'NSST Print'!$B$3,Investors!$A:$A,'Investor Exit List'!$A282,Investors!$E:$E,'Investor Exit List'!$C282,Investors!$L:$L,'Investor Exit List'!$B282)-(SUMIFS(Investors!$S:$S,Investors!$I:$I,"&lt;="&amp;'NSST Print'!$B$3,Investors!$J:$J,"&gt;"&amp;'NSST Print'!$B$3,Investors!$A:$A,'Investor Exit List'!$A282,Investors!$E:$E,'Investor Exit List'!$C282,Investors!$L:$L,'Investor Exit List'!$B282)+SUMIFS(Investors!$S:$S,Investors!$I:$I,"&lt;="&amp;'NSST Print'!$B$3,Investors!$J:$J,"",Investors!$A:$A,'Investor Exit List'!$A282,Investors!$E:$E,'Investor Exit List'!$C282,Investors!$L:$L,'Investor Exit List'!$B282))</f>
        <v>657385.61643835623</v>
      </c>
      <c r="R282" s="117">
        <f t="shared" si="53"/>
        <v>0</v>
      </c>
      <c r="S282" s="117">
        <f>SUMIFS(Investors!$M:$M,Investors!$O:$O,TRUE,Investors!$A:$A,'Investor Exit List'!$A282,Investors!$E:$E,'Investor Exit List'!$C282,Investors!$L:$L,'Investor Exit List'!$B282)+SUMIFS(Investors!$S:$S,Investors!$O:$O,TRUE,Investors!$A:$A,'Investor Exit List'!$A282,Investors!$E:$E,'Investor Exit List'!$C282,Investors!$L:$L,'Investor Exit List'!$B282)</f>
        <v>0</v>
      </c>
      <c r="T282" s="118" t="str">
        <f t="shared" si="54"/>
        <v/>
      </c>
      <c r="U282" s="116" t="b">
        <v>0</v>
      </c>
      <c r="V282" s="117">
        <f t="shared" si="55"/>
        <v>0</v>
      </c>
      <c r="W282" s="116">
        <v>0</v>
      </c>
      <c r="X282" s="116" t="b">
        <v>0</v>
      </c>
      <c r="Y282" s="119">
        <f>IF(H282=FALSE,VLOOKUP($C282,Sales!$C:$F,4,FALSE),1)</f>
        <v>0</v>
      </c>
      <c r="Z282" s="116" t="str">
        <f t="shared" si="56"/>
        <v>Release</v>
      </c>
      <c r="AA282" s="118">
        <f t="shared" si="57"/>
        <v>45928</v>
      </c>
      <c r="AB282" s="118" t="str">
        <f t="shared" si="58"/>
        <v>HVG103-ZDEJ01</v>
      </c>
      <c r="AC282" s="118">
        <f t="shared" si="59"/>
        <v>45928</v>
      </c>
    </row>
    <row r="283" spans="1:29" ht="16" x14ac:dyDescent="0.2">
      <c r="A283" s="116" t="s">
        <v>276</v>
      </c>
      <c r="B283" s="116">
        <v>3</v>
      </c>
      <c r="C283" s="116" t="s">
        <v>642</v>
      </c>
      <c r="D283" s="116" t="s">
        <v>628</v>
      </c>
      <c r="E283" s="116" t="s">
        <v>2085</v>
      </c>
      <c r="F283" s="117">
        <f>SUMIFS(Investors!$M:$M,Investors!$O:$O,FALSE,Investors!$P:$P,FALSE,Investors!$K:$K,"&gt;"&amp;'NSST Print'!$B$3,Investors!$I:$I,"&lt;="&amp;'NSST Print'!$B$3,Investors!$A:$A,'Investor Exit List'!$A283,Investors!$E:$E,'Investor Exit List'!$C283,Investors!$L:$L,'Investor Exit List'!$B283)-(SUMIFS(Investors!$M:$M,Investors!$I:$I,"&lt;="&amp;'NSST Print'!$B$3,Investors!$J:$J,"&gt;"&amp;'NSST Print'!$B$3,Investors!$A:$A,'Investor Exit List'!$A283,Investors!$E:$E,'Investor Exit List'!$C283,Investors!$L:$L,'Investor Exit List'!$B283)+SUMIFS(Investors!$M:$M,Investors!$I:$I,"&lt;="&amp;'NSST Print'!$B$3,Investors!$J:$J,"",Investors!$A:$A,'Investor Exit List'!$A283,Investors!$E:$E,'Investor Exit List'!$C283,Investors!$L:$L,'Investor Exit List'!$B283))</f>
        <v>550000</v>
      </c>
      <c r="G283" s="118">
        <v>45198</v>
      </c>
      <c r="H283" s="116" t="b">
        <f>VLOOKUP($C283,Sales!$C:$E,2,FALSE)</f>
        <v>0</v>
      </c>
      <c r="I283" s="116" t="b">
        <f>VLOOKUP($C283,Sales!$C:$E,3,FALSE)</f>
        <v>0</v>
      </c>
      <c r="J283" s="118">
        <f>SUMIFS(Sales!$H:$H,Sales!$C:$C,'Investor Exit List'!$C283)</f>
        <v>45532</v>
      </c>
      <c r="K283" s="118" t="str">
        <f t="shared" si="48"/>
        <v/>
      </c>
      <c r="L283" s="118">
        <f t="shared" si="49"/>
        <v>45928</v>
      </c>
      <c r="M283" s="118">
        <v>45443</v>
      </c>
      <c r="N283" s="119">
        <f t="shared" si="50"/>
        <v>485</v>
      </c>
      <c r="O283" s="119">
        <f t="shared" si="51"/>
        <v>0</v>
      </c>
      <c r="P283" s="117">
        <f t="shared" si="52"/>
        <v>0</v>
      </c>
      <c r="Q283" s="117">
        <f>SUMIFS(Investors!$M:$M,Investors!$O:$O,FALSE,Investors!$P:$P,FALSE,Investors!$K:$K,"&gt;"&amp;'NSST Print'!$B$3,Investors!$I:$I,"&lt;="&amp;'NSST Print'!$B$3,Investors!$A:$A,'Investor Exit List'!$A283,Investors!$E:$E,'Investor Exit List'!$C283,Investors!$L:$L,'Investor Exit List'!$B283)-(SUMIFS(Investors!$M:$M,Investors!$I:$I,"&lt;="&amp;'NSST Print'!$B$3,Investors!$J:$J,"&gt;"&amp;'NSST Print'!$B$3,Investors!$A:$A,'Investor Exit List'!$A283,Investors!$E:$E,'Investor Exit List'!$C283,Investors!$L:$L,'Investor Exit List'!$B283)+SUMIFS(Investors!$M:$M,Investors!$I:$I,"&lt;="&amp;'NSST Print'!$B$3,Investors!$J:$J,"",Investors!$A:$A,'Investor Exit List'!$A283,Investors!$E:$E,'Investor Exit List'!$C283,Investors!$L:$L,'Investor Exit List'!$B283))+SUMIFS(Investors!$S:$S,Investors!$O:$O,FALSE,Investors!$P:$P,FALSE,Investors!$K:$K,"&gt;"&amp;'NSST Print'!$B$3,Investors!$I:$I,"&lt;="&amp;'NSST Print'!$B$3,Investors!$A:$A,'Investor Exit List'!$A283,Investors!$E:$E,'Investor Exit List'!$C283,Investors!$L:$L,'Investor Exit List'!$B283)-(SUMIFS(Investors!$S:$S,Investors!$I:$I,"&lt;="&amp;'NSST Print'!$B$3,Investors!$J:$J,"&gt;"&amp;'NSST Print'!$B$3,Investors!$A:$A,'Investor Exit List'!$A283,Investors!$E:$E,'Investor Exit List'!$C283,Investors!$L:$L,'Investor Exit List'!$B283)+SUMIFS(Investors!$S:$S,Investors!$I:$I,"&lt;="&amp;'NSST Print'!$B$3,Investors!$J:$J,"",Investors!$A:$A,'Investor Exit List'!$A283,Investors!$E:$E,'Investor Exit List'!$C283,Investors!$L:$L,'Investor Exit List'!$B283))</f>
        <v>666185.61643835623</v>
      </c>
      <c r="R283" s="117">
        <f t="shared" si="53"/>
        <v>0</v>
      </c>
      <c r="S283" s="117">
        <f>SUMIFS(Investors!$M:$M,Investors!$O:$O,TRUE,Investors!$A:$A,'Investor Exit List'!$A283,Investors!$E:$E,'Investor Exit List'!$C283,Investors!$L:$L,'Investor Exit List'!$B283)+SUMIFS(Investors!$S:$S,Investors!$O:$O,TRUE,Investors!$A:$A,'Investor Exit List'!$A283,Investors!$E:$E,'Investor Exit List'!$C283,Investors!$L:$L,'Investor Exit List'!$B283)</f>
        <v>0</v>
      </c>
      <c r="T283" s="118" t="str">
        <f t="shared" si="54"/>
        <v/>
      </c>
      <c r="U283" s="116" t="b">
        <v>0</v>
      </c>
      <c r="V283" s="117">
        <f t="shared" si="55"/>
        <v>0</v>
      </c>
      <c r="W283" s="116">
        <v>0</v>
      </c>
      <c r="X283" s="116" t="b">
        <v>0</v>
      </c>
      <c r="Y283" s="119">
        <f>IF(H283=FALSE,VLOOKUP($C283,Sales!$C:$F,4,FALSE),1)</f>
        <v>0</v>
      </c>
      <c r="Z283" s="116" t="str">
        <f t="shared" si="56"/>
        <v>Release</v>
      </c>
      <c r="AA283" s="118">
        <f t="shared" si="57"/>
        <v>45928</v>
      </c>
      <c r="AB283" s="118" t="str">
        <f t="shared" si="58"/>
        <v>HVG103-ZSCA02</v>
      </c>
      <c r="AC283" s="118">
        <f t="shared" si="59"/>
        <v>45928</v>
      </c>
    </row>
    <row r="284" spans="1:29" ht="16" x14ac:dyDescent="0.2">
      <c r="A284" s="116" t="s">
        <v>351</v>
      </c>
      <c r="B284" s="116">
        <v>2</v>
      </c>
      <c r="C284" s="116" t="s">
        <v>643</v>
      </c>
      <c r="D284" s="116" t="s">
        <v>628</v>
      </c>
      <c r="E284" s="116" t="s">
        <v>2106</v>
      </c>
      <c r="F284" s="117">
        <f>SUMIFS(Investors!$M:$M,Investors!$O:$O,FALSE,Investors!$P:$P,FALSE,Investors!$K:$K,"&gt;"&amp;'NSST Print'!$B$3,Investors!$I:$I,"&lt;="&amp;'NSST Print'!$B$3,Investors!$A:$A,'Investor Exit List'!$A284,Investors!$E:$E,'Investor Exit List'!$C284,Investors!$L:$L,'Investor Exit List'!$B284)-(SUMIFS(Investors!$M:$M,Investors!$I:$I,"&lt;="&amp;'NSST Print'!$B$3,Investors!$J:$J,"&gt;"&amp;'NSST Print'!$B$3,Investors!$A:$A,'Investor Exit List'!$A284,Investors!$E:$E,'Investor Exit List'!$C284,Investors!$L:$L,'Investor Exit List'!$B284)+SUMIFS(Investors!$M:$M,Investors!$I:$I,"&lt;="&amp;'NSST Print'!$B$3,Investors!$J:$J,"",Investors!$A:$A,'Investor Exit List'!$A284,Investors!$E:$E,'Investor Exit List'!$C284,Investors!$L:$L,'Investor Exit List'!$B284))</f>
        <v>1000000</v>
      </c>
      <c r="G284" s="118">
        <v>45198</v>
      </c>
      <c r="H284" s="116" t="b">
        <f>VLOOKUP($C284,Sales!$C:$E,2,FALSE)</f>
        <v>0</v>
      </c>
      <c r="I284" s="116" t="b">
        <f>VLOOKUP($C284,Sales!$C:$E,3,FALSE)</f>
        <v>0</v>
      </c>
      <c r="J284" s="118">
        <f>SUMIFS(Sales!$H:$H,Sales!$C:$C,'Investor Exit List'!$C284)</f>
        <v>45532</v>
      </c>
      <c r="K284" s="118" t="str">
        <f t="shared" si="48"/>
        <v/>
      </c>
      <c r="L284" s="118">
        <f t="shared" si="49"/>
        <v>45928</v>
      </c>
      <c r="M284" s="118">
        <v>45443</v>
      </c>
      <c r="N284" s="119">
        <f t="shared" si="50"/>
        <v>485</v>
      </c>
      <c r="O284" s="119">
        <f t="shared" si="51"/>
        <v>0</v>
      </c>
      <c r="P284" s="117">
        <f t="shared" si="52"/>
        <v>0</v>
      </c>
      <c r="Q284" s="117">
        <f>SUMIFS(Investors!$M:$M,Investors!$O:$O,FALSE,Investors!$P:$P,FALSE,Investors!$K:$K,"&gt;"&amp;'NSST Print'!$B$3,Investors!$I:$I,"&lt;="&amp;'NSST Print'!$B$3,Investors!$A:$A,'Investor Exit List'!$A284,Investors!$E:$E,'Investor Exit List'!$C284,Investors!$L:$L,'Investor Exit List'!$B284)-(SUMIFS(Investors!$M:$M,Investors!$I:$I,"&lt;="&amp;'NSST Print'!$B$3,Investors!$J:$J,"&gt;"&amp;'NSST Print'!$B$3,Investors!$A:$A,'Investor Exit List'!$A284,Investors!$E:$E,'Investor Exit List'!$C284,Investors!$L:$L,'Investor Exit List'!$B284)+SUMIFS(Investors!$M:$M,Investors!$I:$I,"&lt;="&amp;'NSST Print'!$B$3,Investors!$J:$J,"",Investors!$A:$A,'Investor Exit List'!$A284,Investors!$E:$E,'Investor Exit List'!$C284,Investors!$L:$L,'Investor Exit List'!$B284))+SUMIFS(Investors!$S:$S,Investors!$O:$O,FALSE,Investors!$P:$P,FALSE,Investors!$K:$K,"&gt;"&amp;'NSST Print'!$B$3,Investors!$I:$I,"&lt;="&amp;'NSST Print'!$B$3,Investors!$A:$A,'Investor Exit List'!$A284,Investors!$E:$E,'Investor Exit List'!$C284,Investors!$L:$L,'Investor Exit List'!$B284)-(SUMIFS(Investors!$S:$S,Investors!$I:$I,"&lt;="&amp;'NSST Print'!$B$3,Investors!$J:$J,"&gt;"&amp;'NSST Print'!$B$3,Investors!$A:$A,'Investor Exit List'!$A284,Investors!$E:$E,'Investor Exit List'!$C284,Investors!$L:$L,'Investor Exit List'!$B284)+SUMIFS(Investors!$S:$S,Investors!$I:$I,"&lt;="&amp;'NSST Print'!$B$3,Investors!$J:$J,"",Investors!$A:$A,'Investor Exit List'!$A284,Investors!$E:$E,'Investor Exit List'!$C284,Investors!$L:$L,'Investor Exit List'!$B284))</f>
        <v>1212972.602739726</v>
      </c>
      <c r="R284" s="117">
        <f t="shared" si="53"/>
        <v>0</v>
      </c>
      <c r="S284" s="117">
        <f>SUMIFS(Investors!$M:$M,Investors!$O:$O,TRUE,Investors!$A:$A,'Investor Exit List'!$A284,Investors!$E:$E,'Investor Exit List'!$C284,Investors!$L:$L,'Investor Exit List'!$B284)+SUMIFS(Investors!$S:$S,Investors!$O:$O,TRUE,Investors!$A:$A,'Investor Exit List'!$A284,Investors!$E:$E,'Investor Exit List'!$C284,Investors!$L:$L,'Investor Exit List'!$B284)</f>
        <v>0</v>
      </c>
      <c r="T284" s="118" t="str">
        <f t="shared" si="54"/>
        <v/>
      </c>
      <c r="U284" s="116" t="b">
        <v>0</v>
      </c>
      <c r="V284" s="117">
        <f t="shared" si="55"/>
        <v>0</v>
      </c>
      <c r="W284" s="116">
        <v>0</v>
      </c>
      <c r="X284" s="116" t="b">
        <v>0</v>
      </c>
      <c r="Y284" s="119">
        <f>IF(H284=FALSE,VLOOKUP($C284,Sales!$C:$F,4,FALSE),1)</f>
        <v>0</v>
      </c>
      <c r="Z284" s="116" t="str">
        <f t="shared" si="56"/>
        <v>Release</v>
      </c>
      <c r="AA284" s="118">
        <f t="shared" si="57"/>
        <v>45928</v>
      </c>
      <c r="AB284" s="118" t="str">
        <f t="shared" si="58"/>
        <v>HVG104-ZDOT01</v>
      </c>
      <c r="AC284" s="118">
        <f t="shared" si="59"/>
        <v>45928</v>
      </c>
    </row>
    <row r="285" spans="1:29" ht="16" x14ac:dyDescent="0.2">
      <c r="A285" s="116" t="s">
        <v>363</v>
      </c>
      <c r="B285" s="116">
        <v>6</v>
      </c>
      <c r="C285" s="116" t="s">
        <v>643</v>
      </c>
      <c r="D285" s="116" t="s">
        <v>628</v>
      </c>
      <c r="E285" s="116" t="s">
        <v>2109</v>
      </c>
      <c r="F285" s="117">
        <f>SUMIFS(Investors!$M:$M,Investors!$O:$O,FALSE,Investors!$P:$P,FALSE,Investors!$K:$K,"&gt;"&amp;'NSST Print'!$B$3,Investors!$I:$I,"&lt;="&amp;'NSST Print'!$B$3,Investors!$A:$A,'Investor Exit List'!$A285,Investors!$E:$E,'Investor Exit List'!$C285,Investors!$L:$L,'Investor Exit List'!$B285)-(SUMIFS(Investors!$M:$M,Investors!$I:$I,"&lt;="&amp;'NSST Print'!$B$3,Investors!$J:$J,"&gt;"&amp;'NSST Print'!$B$3,Investors!$A:$A,'Investor Exit List'!$A285,Investors!$E:$E,'Investor Exit List'!$C285,Investors!$L:$L,'Investor Exit List'!$B285)+SUMIFS(Investors!$M:$M,Investors!$I:$I,"&lt;="&amp;'NSST Print'!$B$3,Investors!$J:$J,"",Investors!$A:$A,'Investor Exit List'!$A285,Investors!$E:$E,'Investor Exit List'!$C285,Investors!$L:$L,'Investor Exit List'!$B285))</f>
        <v>117422.6</v>
      </c>
      <c r="G285" s="118">
        <v>45224</v>
      </c>
      <c r="H285" s="116" t="b">
        <f>VLOOKUP($C285,Sales!$C:$E,2,FALSE)</f>
        <v>0</v>
      </c>
      <c r="I285" s="116" t="b">
        <f>VLOOKUP($C285,Sales!$C:$E,3,FALSE)</f>
        <v>0</v>
      </c>
      <c r="J285" s="118">
        <f>SUMIFS(Sales!$H:$H,Sales!$C:$C,'Investor Exit List'!$C285)</f>
        <v>45532</v>
      </c>
      <c r="K285" s="118" t="str">
        <f t="shared" si="48"/>
        <v/>
      </c>
      <c r="L285" s="118">
        <f t="shared" si="49"/>
        <v>45954</v>
      </c>
      <c r="M285" s="118">
        <v>45443</v>
      </c>
      <c r="N285" s="119">
        <f t="shared" si="50"/>
        <v>511</v>
      </c>
      <c r="O285" s="119">
        <f t="shared" si="51"/>
        <v>0</v>
      </c>
      <c r="P285" s="117">
        <f t="shared" si="52"/>
        <v>0</v>
      </c>
      <c r="Q285" s="117">
        <f>SUMIFS(Investors!$M:$M,Investors!$O:$O,FALSE,Investors!$P:$P,FALSE,Investors!$K:$K,"&gt;"&amp;'NSST Print'!$B$3,Investors!$I:$I,"&lt;="&amp;'NSST Print'!$B$3,Investors!$A:$A,'Investor Exit List'!$A285,Investors!$E:$E,'Investor Exit List'!$C285,Investors!$L:$L,'Investor Exit List'!$B285)-(SUMIFS(Investors!$M:$M,Investors!$I:$I,"&lt;="&amp;'NSST Print'!$B$3,Investors!$J:$J,"&gt;"&amp;'NSST Print'!$B$3,Investors!$A:$A,'Investor Exit List'!$A285,Investors!$E:$E,'Investor Exit List'!$C285,Investors!$L:$L,'Investor Exit List'!$B285)+SUMIFS(Investors!$M:$M,Investors!$I:$I,"&lt;="&amp;'NSST Print'!$B$3,Investors!$J:$J,"",Investors!$A:$A,'Investor Exit List'!$A285,Investors!$E:$E,'Investor Exit List'!$C285,Investors!$L:$L,'Investor Exit List'!$B285))+SUMIFS(Investors!$S:$S,Investors!$O:$O,FALSE,Investors!$P:$P,FALSE,Investors!$K:$K,"&gt;"&amp;'NSST Print'!$B$3,Investors!$I:$I,"&lt;="&amp;'NSST Print'!$B$3,Investors!$A:$A,'Investor Exit List'!$A285,Investors!$E:$E,'Investor Exit List'!$C285,Investors!$L:$L,'Investor Exit List'!$B285)-(SUMIFS(Investors!$S:$S,Investors!$I:$I,"&lt;="&amp;'NSST Print'!$B$3,Investors!$J:$J,"&gt;"&amp;'NSST Print'!$B$3,Investors!$A:$A,'Investor Exit List'!$A285,Investors!$E:$E,'Investor Exit List'!$C285,Investors!$L:$L,'Investor Exit List'!$B285)+SUMIFS(Investors!$S:$S,Investors!$I:$I,"&lt;="&amp;'NSST Print'!$B$3,Investors!$J:$J,"",Investors!$A:$A,'Investor Exit List'!$A285,Investors!$E:$E,'Investor Exit List'!$C285,Investors!$L:$L,'Investor Exit List'!$B285))</f>
        <v>141642.21764657533</v>
      </c>
      <c r="R285" s="117">
        <f t="shared" si="53"/>
        <v>0</v>
      </c>
      <c r="S285" s="117">
        <f>SUMIFS(Investors!$M:$M,Investors!$O:$O,TRUE,Investors!$A:$A,'Investor Exit List'!$A285,Investors!$E:$E,'Investor Exit List'!$C285,Investors!$L:$L,'Investor Exit List'!$B285)+SUMIFS(Investors!$S:$S,Investors!$O:$O,TRUE,Investors!$A:$A,'Investor Exit List'!$A285,Investors!$E:$E,'Investor Exit List'!$C285,Investors!$L:$L,'Investor Exit List'!$B285)</f>
        <v>0</v>
      </c>
      <c r="T285" s="118" t="str">
        <f t="shared" si="54"/>
        <v/>
      </c>
      <c r="U285" s="116" t="b">
        <v>0</v>
      </c>
      <c r="V285" s="117">
        <f t="shared" si="55"/>
        <v>0</v>
      </c>
      <c r="W285" s="116">
        <v>0</v>
      </c>
      <c r="X285" s="116" t="b">
        <v>0</v>
      </c>
      <c r="Y285" s="119">
        <f>IF(H285=FALSE,VLOOKUP($C285,Sales!$C:$F,4,FALSE),1)</f>
        <v>0</v>
      </c>
      <c r="Z285" s="116" t="str">
        <f t="shared" si="56"/>
        <v>Release</v>
      </c>
      <c r="AA285" s="118">
        <f t="shared" si="57"/>
        <v>45928</v>
      </c>
      <c r="AB285" s="118" t="str">
        <f t="shared" si="58"/>
        <v>HVG104-ZVOR01</v>
      </c>
      <c r="AC285" s="118">
        <f t="shared" si="59"/>
        <v>45954</v>
      </c>
    </row>
    <row r="286" spans="1:29" ht="16" x14ac:dyDescent="0.2">
      <c r="A286" s="116" t="s">
        <v>332</v>
      </c>
      <c r="B286" s="116">
        <v>4</v>
      </c>
      <c r="C286" s="116" t="s">
        <v>644</v>
      </c>
      <c r="D286" s="116" t="s">
        <v>628</v>
      </c>
      <c r="E286" s="116" t="s">
        <v>2101</v>
      </c>
      <c r="F286" s="117">
        <f>SUMIFS(Investors!$M:$M,Investors!$O:$O,FALSE,Investors!$P:$P,FALSE,Investors!$K:$K,"&gt;"&amp;'NSST Print'!$B$3,Investors!$I:$I,"&lt;="&amp;'NSST Print'!$B$3,Investors!$A:$A,'Investor Exit List'!$A286,Investors!$E:$E,'Investor Exit List'!$C286,Investors!$L:$L,'Investor Exit List'!$B286)-(SUMIFS(Investors!$M:$M,Investors!$I:$I,"&lt;="&amp;'NSST Print'!$B$3,Investors!$J:$J,"&gt;"&amp;'NSST Print'!$B$3,Investors!$A:$A,'Investor Exit List'!$A286,Investors!$E:$E,'Investor Exit List'!$C286,Investors!$L:$L,'Investor Exit List'!$B286)+SUMIFS(Investors!$M:$M,Investors!$I:$I,"&lt;="&amp;'NSST Print'!$B$3,Investors!$J:$J,"",Investors!$A:$A,'Investor Exit List'!$A286,Investors!$E:$E,'Investor Exit List'!$C286,Investors!$L:$L,'Investor Exit List'!$B286))</f>
        <v>1000000</v>
      </c>
      <c r="G286" s="118">
        <v>45168</v>
      </c>
      <c r="H286" s="116" t="b">
        <f>VLOOKUP($C286,Sales!$C:$E,2,FALSE)</f>
        <v>0</v>
      </c>
      <c r="I286" s="116" t="b">
        <f>VLOOKUP($C286,Sales!$C:$E,3,FALSE)</f>
        <v>0</v>
      </c>
      <c r="J286" s="118">
        <f>SUMIFS(Sales!$H:$H,Sales!$C:$C,'Investor Exit List'!$C286)</f>
        <v>45532</v>
      </c>
      <c r="K286" s="118" t="str">
        <f t="shared" si="48"/>
        <v/>
      </c>
      <c r="L286" s="118">
        <f t="shared" si="49"/>
        <v>45898</v>
      </c>
      <c r="M286" s="118">
        <v>45443</v>
      </c>
      <c r="N286" s="119">
        <f t="shared" si="50"/>
        <v>455</v>
      </c>
      <c r="O286" s="119">
        <f t="shared" si="51"/>
        <v>0</v>
      </c>
      <c r="P286" s="117">
        <f t="shared" si="52"/>
        <v>0</v>
      </c>
      <c r="Q286" s="117">
        <f>SUMIFS(Investors!$M:$M,Investors!$O:$O,FALSE,Investors!$P:$P,FALSE,Investors!$K:$K,"&gt;"&amp;'NSST Print'!$B$3,Investors!$I:$I,"&lt;="&amp;'NSST Print'!$B$3,Investors!$A:$A,'Investor Exit List'!$A286,Investors!$E:$E,'Investor Exit List'!$C286,Investors!$L:$L,'Investor Exit List'!$B286)-(SUMIFS(Investors!$M:$M,Investors!$I:$I,"&lt;="&amp;'NSST Print'!$B$3,Investors!$J:$J,"&gt;"&amp;'NSST Print'!$B$3,Investors!$A:$A,'Investor Exit List'!$A286,Investors!$E:$E,'Investor Exit List'!$C286,Investors!$L:$L,'Investor Exit List'!$B286)+SUMIFS(Investors!$M:$M,Investors!$I:$I,"&lt;="&amp;'NSST Print'!$B$3,Investors!$J:$J,"",Investors!$A:$A,'Investor Exit List'!$A286,Investors!$E:$E,'Investor Exit List'!$C286,Investors!$L:$L,'Investor Exit List'!$B286))+SUMIFS(Investors!$S:$S,Investors!$O:$O,FALSE,Investors!$P:$P,FALSE,Investors!$K:$K,"&gt;"&amp;'NSST Print'!$B$3,Investors!$I:$I,"&lt;="&amp;'NSST Print'!$B$3,Investors!$A:$A,'Investor Exit List'!$A286,Investors!$E:$E,'Investor Exit List'!$C286,Investors!$L:$L,'Investor Exit List'!$B286)-(SUMIFS(Investors!$S:$S,Investors!$I:$I,"&lt;="&amp;'NSST Print'!$B$3,Investors!$J:$J,"&gt;"&amp;'NSST Print'!$B$3,Investors!$A:$A,'Investor Exit List'!$A286,Investors!$E:$E,'Investor Exit List'!$C286,Investors!$L:$L,'Investor Exit List'!$B286)+SUMIFS(Investors!$S:$S,Investors!$I:$I,"&lt;="&amp;'NSST Print'!$B$3,Investors!$J:$J,"",Investors!$A:$A,'Investor Exit List'!$A286,Investors!$E:$E,'Investor Exit List'!$C286,Investors!$L:$L,'Investor Exit List'!$B286))</f>
        <v>1220452.0547945206</v>
      </c>
      <c r="R286" s="117">
        <f t="shared" si="53"/>
        <v>0</v>
      </c>
      <c r="S286" s="117">
        <f>SUMIFS(Investors!$M:$M,Investors!$O:$O,TRUE,Investors!$A:$A,'Investor Exit List'!$A286,Investors!$E:$E,'Investor Exit List'!$C286,Investors!$L:$L,'Investor Exit List'!$B286)+SUMIFS(Investors!$S:$S,Investors!$O:$O,TRUE,Investors!$A:$A,'Investor Exit List'!$A286,Investors!$E:$E,'Investor Exit List'!$C286,Investors!$L:$L,'Investor Exit List'!$B286)</f>
        <v>0</v>
      </c>
      <c r="T286" s="118" t="str">
        <f t="shared" si="54"/>
        <v/>
      </c>
      <c r="U286" s="116" t="b">
        <v>0</v>
      </c>
      <c r="V286" s="117">
        <f t="shared" si="55"/>
        <v>0</v>
      </c>
      <c r="W286" s="116">
        <v>0</v>
      </c>
      <c r="X286" s="116" t="b">
        <v>0</v>
      </c>
      <c r="Y286" s="119">
        <f>IF(H286=FALSE,VLOOKUP($C286,Sales!$C:$F,4,FALSE),1)</f>
        <v>0</v>
      </c>
      <c r="Z286" s="116" t="str">
        <f t="shared" si="56"/>
        <v>Release</v>
      </c>
      <c r="AA286" s="118">
        <f t="shared" si="57"/>
        <v>45898</v>
      </c>
      <c r="AB286" s="118" t="str">
        <f t="shared" si="58"/>
        <v>HVG201-ZREN01</v>
      </c>
      <c r="AC286" s="118">
        <f t="shared" si="59"/>
        <v>45898</v>
      </c>
    </row>
    <row r="287" spans="1:29" ht="16" x14ac:dyDescent="0.2">
      <c r="A287" s="116" t="s">
        <v>485</v>
      </c>
      <c r="B287" s="116">
        <v>9</v>
      </c>
      <c r="C287" s="116" t="s">
        <v>644</v>
      </c>
      <c r="D287" s="116" t="s">
        <v>628</v>
      </c>
      <c r="E287" s="116" t="s">
        <v>2143</v>
      </c>
      <c r="F287" s="117">
        <f>SUMIFS(Investors!$M:$M,Investors!$O:$O,FALSE,Investors!$P:$P,FALSE,Investors!$K:$K,"&gt;"&amp;'NSST Print'!$B$3,Investors!$I:$I,"&lt;="&amp;'NSST Print'!$B$3,Investors!$A:$A,'Investor Exit List'!$A287,Investors!$E:$E,'Investor Exit List'!$C287,Investors!$L:$L,'Investor Exit List'!$B287)-(SUMIFS(Investors!$M:$M,Investors!$I:$I,"&lt;="&amp;'NSST Print'!$B$3,Investors!$J:$J,"&gt;"&amp;'NSST Print'!$B$3,Investors!$A:$A,'Investor Exit List'!$A287,Investors!$E:$E,'Investor Exit List'!$C287,Investors!$L:$L,'Investor Exit List'!$B287)+SUMIFS(Investors!$M:$M,Investors!$I:$I,"&lt;="&amp;'NSST Print'!$B$3,Investors!$J:$J,"",Investors!$A:$A,'Investor Exit List'!$A287,Investors!$E:$E,'Investor Exit List'!$C287,Investors!$L:$L,'Investor Exit List'!$B287))</f>
        <v>125000</v>
      </c>
      <c r="G287" s="118">
        <v>45198</v>
      </c>
      <c r="H287" s="116" t="b">
        <f>VLOOKUP($C287,Sales!$C:$E,2,FALSE)</f>
        <v>0</v>
      </c>
      <c r="I287" s="116" t="b">
        <f>VLOOKUP($C287,Sales!$C:$E,3,FALSE)</f>
        <v>0</v>
      </c>
      <c r="J287" s="118">
        <f>SUMIFS(Sales!$H:$H,Sales!$C:$C,'Investor Exit List'!$C287)</f>
        <v>45532</v>
      </c>
      <c r="K287" s="118" t="str">
        <f t="shared" si="48"/>
        <v/>
      </c>
      <c r="L287" s="118">
        <f t="shared" si="49"/>
        <v>45928</v>
      </c>
      <c r="M287" s="118">
        <v>45443</v>
      </c>
      <c r="N287" s="119">
        <f t="shared" si="50"/>
        <v>485</v>
      </c>
      <c r="O287" s="119">
        <f t="shared" si="51"/>
        <v>0</v>
      </c>
      <c r="P287" s="117">
        <f t="shared" si="52"/>
        <v>0</v>
      </c>
      <c r="Q287" s="117">
        <f>SUMIFS(Investors!$M:$M,Investors!$O:$O,FALSE,Investors!$P:$P,FALSE,Investors!$K:$K,"&gt;"&amp;'NSST Print'!$B$3,Investors!$I:$I,"&lt;="&amp;'NSST Print'!$B$3,Investors!$A:$A,'Investor Exit List'!$A287,Investors!$E:$E,'Investor Exit List'!$C287,Investors!$L:$L,'Investor Exit List'!$B287)-(SUMIFS(Investors!$M:$M,Investors!$I:$I,"&lt;="&amp;'NSST Print'!$B$3,Investors!$J:$J,"&gt;"&amp;'NSST Print'!$B$3,Investors!$A:$A,'Investor Exit List'!$A287,Investors!$E:$E,'Investor Exit List'!$C287,Investors!$L:$L,'Investor Exit List'!$B287)+SUMIFS(Investors!$M:$M,Investors!$I:$I,"&lt;="&amp;'NSST Print'!$B$3,Investors!$J:$J,"",Investors!$A:$A,'Investor Exit List'!$A287,Investors!$E:$E,'Investor Exit List'!$C287,Investors!$L:$L,'Investor Exit List'!$B287))+SUMIFS(Investors!$S:$S,Investors!$O:$O,FALSE,Investors!$P:$P,FALSE,Investors!$K:$K,"&gt;"&amp;'NSST Print'!$B$3,Investors!$I:$I,"&lt;="&amp;'NSST Print'!$B$3,Investors!$A:$A,'Investor Exit List'!$A287,Investors!$E:$E,'Investor Exit List'!$C287,Investors!$L:$L,'Investor Exit List'!$B287)-(SUMIFS(Investors!$S:$S,Investors!$I:$I,"&lt;="&amp;'NSST Print'!$B$3,Investors!$J:$J,"&gt;"&amp;'NSST Print'!$B$3,Investors!$A:$A,'Investor Exit List'!$A287,Investors!$E:$E,'Investor Exit List'!$C287,Investors!$L:$L,'Investor Exit List'!$B287)+SUMIFS(Investors!$S:$S,Investors!$I:$I,"&lt;="&amp;'NSST Print'!$B$3,Investors!$J:$J,"",Investors!$A:$A,'Investor Exit List'!$A287,Investors!$E:$E,'Investor Exit List'!$C287,Investors!$L:$L,'Investor Exit List'!$B287))</f>
        <v>151082.19178082192</v>
      </c>
      <c r="R287" s="117">
        <f t="shared" si="53"/>
        <v>0</v>
      </c>
      <c r="S287" s="117">
        <f>SUMIFS(Investors!$M:$M,Investors!$O:$O,TRUE,Investors!$A:$A,'Investor Exit List'!$A287,Investors!$E:$E,'Investor Exit List'!$C287,Investors!$L:$L,'Investor Exit List'!$B287)+SUMIFS(Investors!$S:$S,Investors!$O:$O,TRUE,Investors!$A:$A,'Investor Exit List'!$A287,Investors!$E:$E,'Investor Exit List'!$C287,Investors!$L:$L,'Investor Exit List'!$B287)</f>
        <v>0</v>
      </c>
      <c r="T287" s="118" t="str">
        <f t="shared" si="54"/>
        <v/>
      </c>
      <c r="U287" s="116" t="b">
        <v>0</v>
      </c>
      <c r="V287" s="117">
        <f t="shared" si="55"/>
        <v>0</v>
      </c>
      <c r="W287" s="116">
        <v>0</v>
      </c>
      <c r="X287" s="116" t="b">
        <v>0</v>
      </c>
      <c r="Y287" s="119">
        <f>IF(H287=FALSE,VLOOKUP($C287,Sales!$C:$F,4,FALSE),1)</f>
        <v>0</v>
      </c>
      <c r="Z287" s="116" t="str">
        <f t="shared" si="56"/>
        <v>Release</v>
      </c>
      <c r="AA287" s="118">
        <f t="shared" si="57"/>
        <v>45898</v>
      </c>
      <c r="AB287" s="118" t="str">
        <f t="shared" si="58"/>
        <v>HVG201-ZVAN05</v>
      </c>
      <c r="AC287" s="118">
        <f t="shared" si="59"/>
        <v>45928</v>
      </c>
    </row>
    <row r="288" spans="1:29" ht="16" x14ac:dyDescent="0.2">
      <c r="A288" s="116" t="s">
        <v>340</v>
      </c>
      <c r="B288" s="116">
        <v>5</v>
      </c>
      <c r="C288" s="116" t="s">
        <v>645</v>
      </c>
      <c r="D288" s="116" t="s">
        <v>628</v>
      </c>
      <c r="E288" s="116" t="s">
        <v>2103</v>
      </c>
      <c r="F288" s="117">
        <f>SUMIFS(Investors!$M:$M,Investors!$O:$O,FALSE,Investors!$P:$P,FALSE,Investors!$K:$K,"&gt;"&amp;'NSST Print'!$B$3,Investors!$I:$I,"&lt;="&amp;'NSST Print'!$B$3,Investors!$A:$A,'Investor Exit List'!$A288,Investors!$E:$E,'Investor Exit List'!$C288,Investors!$L:$L,'Investor Exit List'!$B288)-(SUMIFS(Investors!$M:$M,Investors!$I:$I,"&lt;="&amp;'NSST Print'!$B$3,Investors!$J:$J,"&gt;"&amp;'NSST Print'!$B$3,Investors!$A:$A,'Investor Exit List'!$A288,Investors!$E:$E,'Investor Exit List'!$C288,Investors!$L:$L,'Investor Exit List'!$B288)+SUMIFS(Investors!$M:$M,Investors!$I:$I,"&lt;="&amp;'NSST Print'!$B$3,Investors!$J:$J,"",Investors!$A:$A,'Investor Exit List'!$A288,Investors!$E:$E,'Investor Exit List'!$C288,Investors!$L:$L,'Investor Exit List'!$B288))</f>
        <v>302195.21000000002</v>
      </c>
      <c r="G288" s="118">
        <v>45129</v>
      </c>
      <c r="H288" s="116" t="b">
        <f>VLOOKUP($C288,Sales!$C:$E,2,FALSE)</f>
        <v>0</v>
      </c>
      <c r="I288" s="116" t="b">
        <f>VLOOKUP($C288,Sales!$C:$E,3,FALSE)</f>
        <v>0</v>
      </c>
      <c r="J288" s="118">
        <f>SUMIFS(Sales!$H:$H,Sales!$C:$C,'Investor Exit List'!$C288)</f>
        <v>45532</v>
      </c>
      <c r="K288" s="118" t="str">
        <f t="shared" si="48"/>
        <v/>
      </c>
      <c r="L288" s="118">
        <f t="shared" si="49"/>
        <v>45859</v>
      </c>
      <c r="M288" s="118">
        <v>45443</v>
      </c>
      <c r="N288" s="119">
        <f t="shared" si="50"/>
        <v>416</v>
      </c>
      <c r="O288" s="119">
        <f t="shared" si="51"/>
        <v>0</v>
      </c>
      <c r="P288" s="117">
        <f t="shared" si="52"/>
        <v>0</v>
      </c>
      <c r="Q288" s="117">
        <f>SUMIFS(Investors!$M:$M,Investors!$O:$O,FALSE,Investors!$P:$P,FALSE,Investors!$K:$K,"&gt;"&amp;'NSST Print'!$B$3,Investors!$I:$I,"&lt;="&amp;'NSST Print'!$B$3,Investors!$A:$A,'Investor Exit List'!$A288,Investors!$E:$E,'Investor Exit List'!$C288,Investors!$L:$L,'Investor Exit List'!$B288)-(SUMIFS(Investors!$M:$M,Investors!$I:$I,"&lt;="&amp;'NSST Print'!$B$3,Investors!$J:$J,"&gt;"&amp;'NSST Print'!$B$3,Investors!$A:$A,'Investor Exit List'!$A288,Investors!$E:$E,'Investor Exit List'!$C288,Investors!$L:$L,'Investor Exit List'!$B288)+SUMIFS(Investors!$M:$M,Investors!$I:$I,"&lt;="&amp;'NSST Print'!$B$3,Investors!$J:$J,"",Investors!$A:$A,'Investor Exit List'!$A288,Investors!$E:$E,'Investor Exit List'!$C288,Investors!$L:$L,'Investor Exit List'!$B288))+SUMIFS(Investors!$S:$S,Investors!$O:$O,FALSE,Investors!$P:$P,FALSE,Investors!$K:$K,"&gt;"&amp;'NSST Print'!$B$3,Investors!$I:$I,"&lt;="&amp;'NSST Print'!$B$3,Investors!$A:$A,'Investor Exit List'!$A288,Investors!$E:$E,'Investor Exit List'!$C288,Investors!$L:$L,'Investor Exit List'!$B288)-(SUMIFS(Investors!$S:$S,Investors!$I:$I,"&lt;="&amp;'NSST Print'!$B$3,Investors!$J:$J,"&gt;"&amp;'NSST Print'!$B$3,Investors!$A:$A,'Investor Exit List'!$A288,Investors!$E:$E,'Investor Exit List'!$C288,Investors!$L:$L,'Investor Exit List'!$B288)+SUMIFS(Investors!$S:$S,Investors!$I:$I,"&lt;="&amp;'NSST Print'!$B$3,Investors!$J:$J,"",Investors!$A:$A,'Investor Exit List'!$A288,Investors!$E:$E,'Investor Exit List'!$C288,Investors!$L:$L,'Investor Exit List'!$B288))</f>
        <v>370814.22097205481</v>
      </c>
      <c r="R288" s="117">
        <f t="shared" si="53"/>
        <v>0</v>
      </c>
      <c r="S288" s="117">
        <f>SUMIFS(Investors!$M:$M,Investors!$O:$O,TRUE,Investors!$A:$A,'Investor Exit List'!$A288,Investors!$E:$E,'Investor Exit List'!$C288,Investors!$L:$L,'Investor Exit List'!$B288)+SUMIFS(Investors!$S:$S,Investors!$O:$O,TRUE,Investors!$A:$A,'Investor Exit List'!$A288,Investors!$E:$E,'Investor Exit List'!$C288,Investors!$L:$L,'Investor Exit List'!$B288)</f>
        <v>0</v>
      </c>
      <c r="T288" s="118" t="str">
        <f t="shared" si="54"/>
        <v/>
      </c>
      <c r="U288" s="116" t="b">
        <v>0</v>
      </c>
      <c r="V288" s="117">
        <f t="shared" si="55"/>
        <v>0</v>
      </c>
      <c r="W288" s="116">
        <v>0</v>
      </c>
      <c r="X288" s="116" t="b">
        <v>0</v>
      </c>
      <c r="Y288" s="119">
        <f>IF(H288=FALSE,VLOOKUP($C288,Sales!$C:$F,4,FALSE),1)</f>
        <v>0</v>
      </c>
      <c r="Z288" s="116" t="str">
        <f t="shared" si="56"/>
        <v>Release</v>
      </c>
      <c r="AA288" s="118">
        <f t="shared" si="57"/>
        <v>45859</v>
      </c>
      <c r="AB288" s="118" t="str">
        <f t="shared" si="58"/>
        <v>HVG202-ZLAB01</v>
      </c>
      <c r="AC288" s="118">
        <f t="shared" si="59"/>
        <v>45859</v>
      </c>
    </row>
    <row r="289" spans="1:29" ht="16" x14ac:dyDescent="0.2">
      <c r="A289" s="116" t="s">
        <v>59</v>
      </c>
      <c r="B289" s="116">
        <v>27</v>
      </c>
      <c r="C289" s="116" t="s">
        <v>645</v>
      </c>
      <c r="D289" s="116" t="s">
        <v>628</v>
      </c>
      <c r="E289" s="116" t="s">
        <v>2019</v>
      </c>
      <c r="F289" s="117">
        <f>SUMIFS(Investors!$M:$M,Investors!$O:$O,FALSE,Investors!$P:$P,FALSE,Investors!$K:$K,"&gt;"&amp;'NSST Print'!$B$3,Investors!$I:$I,"&lt;="&amp;'NSST Print'!$B$3,Investors!$A:$A,'Investor Exit List'!$A289,Investors!$E:$E,'Investor Exit List'!$C289,Investors!$L:$L,'Investor Exit List'!$B289)-(SUMIFS(Investors!$M:$M,Investors!$I:$I,"&lt;="&amp;'NSST Print'!$B$3,Investors!$J:$J,"&gt;"&amp;'NSST Print'!$B$3,Investors!$A:$A,'Investor Exit List'!$A289,Investors!$E:$E,'Investor Exit List'!$C289,Investors!$L:$L,'Investor Exit List'!$B289)+SUMIFS(Investors!$M:$M,Investors!$I:$I,"&lt;="&amp;'NSST Print'!$B$3,Investors!$J:$J,"",Investors!$A:$A,'Investor Exit List'!$A289,Investors!$E:$E,'Investor Exit List'!$C289,Investors!$L:$L,'Investor Exit List'!$B289))</f>
        <v>200000</v>
      </c>
      <c r="G289" s="118">
        <v>45252</v>
      </c>
      <c r="H289" s="116" t="b">
        <f>VLOOKUP($C289,Sales!$C:$E,2,FALSE)</f>
        <v>0</v>
      </c>
      <c r="I289" s="116" t="b">
        <f>VLOOKUP($C289,Sales!$C:$E,3,FALSE)</f>
        <v>0</v>
      </c>
      <c r="J289" s="118">
        <f>SUMIFS(Sales!$H:$H,Sales!$C:$C,'Investor Exit List'!$C289)</f>
        <v>45532</v>
      </c>
      <c r="K289" s="118" t="str">
        <f t="shared" si="48"/>
        <v/>
      </c>
      <c r="L289" s="118">
        <f t="shared" si="49"/>
        <v>45982</v>
      </c>
      <c r="M289" s="118">
        <v>45443</v>
      </c>
      <c r="N289" s="119">
        <f t="shared" si="50"/>
        <v>539</v>
      </c>
      <c r="O289" s="119">
        <f t="shared" si="51"/>
        <v>0</v>
      </c>
      <c r="P289" s="117">
        <f t="shared" si="52"/>
        <v>0</v>
      </c>
      <c r="Q289" s="117">
        <f>SUMIFS(Investors!$M:$M,Investors!$O:$O,FALSE,Investors!$P:$P,FALSE,Investors!$K:$K,"&gt;"&amp;'NSST Print'!$B$3,Investors!$I:$I,"&lt;="&amp;'NSST Print'!$B$3,Investors!$A:$A,'Investor Exit List'!$A289,Investors!$E:$E,'Investor Exit List'!$C289,Investors!$L:$L,'Investor Exit List'!$B289)-(SUMIFS(Investors!$M:$M,Investors!$I:$I,"&lt;="&amp;'NSST Print'!$B$3,Investors!$J:$J,"&gt;"&amp;'NSST Print'!$B$3,Investors!$A:$A,'Investor Exit List'!$A289,Investors!$E:$E,'Investor Exit List'!$C289,Investors!$L:$L,'Investor Exit List'!$B289)+SUMIFS(Investors!$M:$M,Investors!$I:$I,"&lt;="&amp;'NSST Print'!$B$3,Investors!$J:$J,"",Investors!$A:$A,'Investor Exit List'!$A289,Investors!$E:$E,'Investor Exit List'!$C289,Investors!$L:$L,'Investor Exit List'!$B289))+SUMIFS(Investors!$S:$S,Investors!$O:$O,FALSE,Investors!$P:$P,FALSE,Investors!$K:$K,"&gt;"&amp;'NSST Print'!$B$3,Investors!$I:$I,"&lt;="&amp;'NSST Print'!$B$3,Investors!$A:$A,'Investor Exit List'!$A289,Investors!$E:$E,'Investor Exit List'!$C289,Investors!$L:$L,'Investor Exit List'!$B289)-(SUMIFS(Investors!$S:$S,Investors!$I:$I,"&lt;="&amp;'NSST Print'!$B$3,Investors!$J:$J,"&gt;"&amp;'NSST Print'!$B$3,Investors!$A:$A,'Investor Exit List'!$A289,Investors!$E:$E,'Investor Exit List'!$C289,Investors!$L:$L,'Investor Exit List'!$B289)+SUMIFS(Investors!$S:$S,Investors!$I:$I,"&lt;="&amp;'NSST Print'!$B$3,Investors!$J:$J,"",Investors!$A:$A,'Investor Exit List'!$A289,Investors!$E:$E,'Investor Exit List'!$C289,Investors!$L:$L,'Investor Exit List'!$B289))</f>
        <v>238854.7945205479</v>
      </c>
      <c r="R289" s="117">
        <f t="shared" si="53"/>
        <v>0</v>
      </c>
      <c r="S289" s="117">
        <f>SUMIFS(Investors!$M:$M,Investors!$O:$O,TRUE,Investors!$A:$A,'Investor Exit List'!$A289,Investors!$E:$E,'Investor Exit List'!$C289,Investors!$L:$L,'Investor Exit List'!$B289)+SUMIFS(Investors!$S:$S,Investors!$O:$O,TRUE,Investors!$A:$A,'Investor Exit List'!$A289,Investors!$E:$E,'Investor Exit List'!$C289,Investors!$L:$L,'Investor Exit List'!$B289)</f>
        <v>0</v>
      </c>
      <c r="T289" s="118" t="str">
        <f t="shared" si="54"/>
        <v/>
      </c>
      <c r="U289" s="116" t="b">
        <v>0</v>
      </c>
      <c r="V289" s="117">
        <f t="shared" si="55"/>
        <v>0</v>
      </c>
      <c r="W289" s="116">
        <v>0</v>
      </c>
      <c r="X289" s="116" t="b">
        <v>0</v>
      </c>
      <c r="Y289" s="119">
        <f>IF(H289=FALSE,VLOOKUP($C289,Sales!$C:$F,4,FALSE),1)</f>
        <v>0</v>
      </c>
      <c r="Z289" s="116" t="str">
        <f t="shared" si="56"/>
        <v>Release</v>
      </c>
      <c r="AA289" s="118">
        <f t="shared" si="57"/>
        <v>45859</v>
      </c>
      <c r="AB289" s="118" t="str">
        <f t="shared" si="58"/>
        <v>HVG202-ZRAN01</v>
      </c>
      <c r="AC289" s="118">
        <f t="shared" si="59"/>
        <v>45982</v>
      </c>
    </row>
    <row r="290" spans="1:29" ht="16" x14ac:dyDescent="0.2">
      <c r="A290" s="116" t="s">
        <v>276</v>
      </c>
      <c r="B290" s="116">
        <v>2</v>
      </c>
      <c r="C290" s="116" t="s">
        <v>645</v>
      </c>
      <c r="D290" s="116" t="s">
        <v>628</v>
      </c>
      <c r="E290" s="116" t="s">
        <v>2085</v>
      </c>
      <c r="F290" s="117">
        <f>SUMIFS(Investors!$M:$M,Investors!$O:$O,FALSE,Investors!$P:$P,FALSE,Investors!$K:$K,"&gt;"&amp;'NSST Print'!$B$3,Investors!$I:$I,"&lt;="&amp;'NSST Print'!$B$3,Investors!$A:$A,'Investor Exit List'!$A290,Investors!$E:$E,'Investor Exit List'!$C290,Investors!$L:$L,'Investor Exit List'!$B290)-(SUMIFS(Investors!$M:$M,Investors!$I:$I,"&lt;="&amp;'NSST Print'!$B$3,Investors!$J:$J,"&gt;"&amp;'NSST Print'!$B$3,Investors!$A:$A,'Investor Exit List'!$A290,Investors!$E:$E,'Investor Exit List'!$C290,Investors!$L:$L,'Investor Exit List'!$B290)+SUMIFS(Investors!$M:$M,Investors!$I:$I,"&lt;="&amp;'NSST Print'!$B$3,Investors!$J:$J,"",Investors!$A:$A,'Investor Exit List'!$A290,Investors!$E:$E,'Investor Exit List'!$C290,Investors!$L:$L,'Investor Exit List'!$B290))</f>
        <v>600000</v>
      </c>
      <c r="G290" s="118">
        <v>45168</v>
      </c>
      <c r="H290" s="116" t="b">
        <f>VLOOKUP($C290,Sales!$C:$E,2,FALSE)</f>
        <v>0</v>
      </c>
      <c r="I290" s="116" t="b">
        <f>VLOOKUP($C290,Sales!$C:$E,3,FALSE)</f>
        <v>0</v>
      </c>
      <c r="J290" s="118">
        <f>SUMIFS(Sales!$H:$H,Sales!$C:$C,'Investor Exit List'!$C290)</f>
        <v>45532</v>
      </c>
      <c r="K290" s="118" t="str">
        <f t="shared" si="48"/>
        <v/>
      </c>
      <c r="L290" s="118">
        <f t="shared" si="49"/>
        <v>45898</v>
      </c>
      <c r="M290" s="118">
        <v>45443</v>
      </c>
      <c r="N290" s="119">
        <f t="shared" si="50"/>
        <v>455</v>
      </c>
      <c r="O290" s="119">
        <f t="shared" si="51"/>
        <v>0</v>
      </c>
      <c r="P290" s="117">
        <f t="shared" si="52"/>
        <v>0</v>
      </c>
      <c r="Q290" s="117">
        <f>SUMIFS(Investors!$M:$M,Investors!$O:$O,FALSE,Investors!$P:$P,FALSE,Investors!$K:$K,"&gt;"&amp;'NSST Print'!$B$3,Investors!$I:$I,"&lt;="&amp;'NSST Print'!$B$3,Investors!$A:$A,'Investor Exit List'!$A290,Investors!$E:$E,'Investor Exit List'!$C290,Investors!$L:$L,'Investor Exit List'!$B290)-(SUMIFS(Investors!$M:$M,Investors!$I:$I,"&lt;="&amp;'NSST Print'!$B$3,Investors!$J:$J,"&gt;"&amp;'NSST Print'!$B$3,Investors!$A:$A,'Investor Exit List'!$A290,Investors!$E:$E,'Investor Exit List'!$C290,Investors!$L:$L,'Investor Exit List'!$B290)+SUMIFS(Investors!$M:$M,Investors!$I:$I,"&lt;="&amp;'NSST Print'!$B$3,Investors!$J:$J,"",Investors!$A:$A,'Investor Exit List'!$A290,Investors!$E:$E,'Investor Exit List'!$C290,Investors!$L:$L,'Investor Exit List'!$B290))+SUMIFS(Investors!$S:$S,Investors!$O:$O,FALSE,Investors!$P:$P,FALSE,Investors!$K:$K,"&gt;"&amp;'NSST Print'!$B$3,Investors!$I:$I,"&lt;="&amp;'NSST Print'!$B$3,Investors!$A:$A,'Investor Exit List'!$A290,Investors!$E:$E,'Investor Exit List'!$C290,Investors!$L:$L,'Investor Exit List'!$B290)-(SUMIFS(Investors!$S:$S,Investors!$I:$I,"&lt;="&amp;'NSST Print'!$B$3,Investors!$J:$J,"&gt;"&amp;'NSST Print'!$B$3,Investors!$A:$A,'Investor Exit List'!$A290,Investors!$E:$E,'Investor Exit List'!$C290,Investors!$L:$L,'Investor Exit List'!$B290)+SUMIFS(Investors!$S:$S,Investors!$I:$I,"&lt;="&amp;'NSST Print'!$B$3,Investors!$J:$J,"",Investors!$A:$A,'Investor Exit List'!$A290,Investors!$E:$E,'Investor Exit List'!$C290,Investors!$L:$L,'Investor Exit List'!$B290))</f>
        <v>731753.42465753423</v>
      </c>
      <c r="R290" s="117">
        <f t="shared" si="53"/>
        <v>0</v>
      </c>
      <c r="S290" s="117">
        <f>SUMIFS(Investors!$M:$M,Investors!$O:$O,TRUE,Investors!$A:$A,'Investor Exit List'!$A290,Investors!$E:$E,'Investor Exit List'!$C290,Investors!$L:$L,'Investor Exit List'!$B290)+SUMIFS(Investors!$S:$S,Investors!$O:$O,TRUE,Investors!$A:$A,'Investor Exit List'!$A290,Investors!$E:$E,'Investor Exit List'!$C290,Investors!$L:$L,'Investor Exit List'!$B290)</f>
        <v>0</v>
      </c>
      <c r="T290" s="118" t="str">
        <f t="shared" si="54"/>
        <v/>
      </c>
      <c r="U290" s="116" t="b">
        <v>0</v>
      </c>
      <c r="V290" s="117">
        <f t="shared" si="55"/>
        <v>0</v>
      </c>
      <c r="W290" s="116">
        <v>0</v>
      </c>
      <c r="X290" s="116" t="b">
        <v>0</v>
      </c>
      <c r="Y290" s="119">
        <f>IF(H290=FALSE,VLOOKUP($C290,Sales!$C:$F,4,FALSE),1)</f>
        <v>0</v>
      </c>
      <c r="Z290" s="116" t="str">
        <f t="shared" si="56"/>
        <v>Release</v>
      </c>
      <c r="AA290" s="118">
        <f t="shared" si="57"/>
        <v>45859</v>
      </c>
      <c r="AB290" s="118" t="str">
        <f t="shared" si="58"/>
        <v>HVG202-ZSCA02</v>
      </c>
      <c r="AC290" s="118">
        <f t="shared" si="59"/>
        <v>45898</v>
      </c>
    </row>
    <row r="291" spans="1:29" ht="16" x14ac:dyDescent="0.2">
      <c r="A291" s="116" t="s">
        <v>646</v>
      </c>
      <c r="B291" s="116">
        <v>1</v>
      </c>
      <c r="C291" s="116" t="s">
        <v>649</v>
      </c>
      <c r="D291" s="116" t="s">
        <v>628</v>
      </c>
      <c r="E291" s="116" t="s">
        <v>2183</v>
      </c>
      <c r="F291" s="117">
        <f>SUMIFS(Investors!$M:$M,Investors!$O:$O,FALSE,Investors!$P:$P,FALSE,Investors!$K:$K,"&gt;"&amp;'NSST Print'!$B$3,Investors!$I:$I,"&lt;="&amp;'NSST Print'!$B$3,Investors!$A:$A,'Investor Exit List'!$A291,Investors!$E:$E,'Investor Exit List'!$C291,Investors!$L:$L,'Investor Exit List'!$B291)-(SUMIFS(Investors!$M:$M,Investors!$I:$I,"&lt;="&amp;'NSST Print'!$B$3,Investors!$J:$J,"&gt;"&amp;'NSST Print'!$B$3,Investors!$A:$A,'Investor Exit List'!$A291,Investors!$E:$E,'Investor Exit List'!$C291,Investors!$L:$L,'Investor Exit List'!$B291)+SUMIFS(Investors!$M:$M,Investors!$I:$I,"&lt;="&amp;'NSST Print'!$B$3,Investors!$J:$J,"",Investors!$A:$A,'Investor Exit List'!$A291,Investors!$E:$E,'Investor Exit List'!$C291,Investors!$L:$L,'Investor Exit List'!$B291))</f>
        <v>100000</v>
      </c>
      <c r="G291" s="118">
        <v>45252</v>
      </c>
      <c r="H291" s="116" t="b">
        <f>VLOOKUP($C291,Sales!$C:$E,2,FALSE)</f>
        <v>0</v>
      </c>
      <c r="I291" s="116" t="b">
        <f>VLOOKUP($C291,Sales!$C:$E,3,FALSE)</f>
        <v>0</v>
      </c>
      <c r="J291" s="118">
        <f>SUMIFS(Sales!$H:$H,Sales!$C:$C,'Investor Exit List'!$C291)</f>
        <v>45532</v>
      </c>
      <c r="K291" s="118" t="str">
        <f t="shared" si="48"/>
        <v/>
      </c>
      <c r="L291" s="118">
        <f t="shared" si="49"/>
        <v>45982</v>
      </c>
      <c r="M291" s="118">
        <v>45443</v>
      </c>
      <c r="N291" s="119">
        <f t="shared" si="50"/>
        <v>539</v>
      </c>
      <c r="O291" s="119">
        <f t="shared" si="51"/>
        <v>0</v>
      </c>
      <c r="P291" s="117">
        <f t="shared" si="52"/>
        <v>0</v>
      </c>
      <c r="Q291" s="117">
        <f>SUMIFS(Investors!$M:$M,Investors!$O:$O,FALSE,Investors!$P:$P,FALSE,Investors!$K:$K,"&gt;"&amp;'NSST Print'!$B$3,Investors!$I:$I,"&lt;="&amp;'NSST Print'!$B$3,Investors!$A:$A,'Investor Exit List'!$A291,Investors!$E:$E,'Investor Exit List'!$C291,Investors!$L:$L,'Investor Exit List'!$B291)-(SUMIFS(Investors!$M:$M,Investors!$I:$I,"&lt;="&amp;'NSST Print'!$B$3,Investors!$J:$J,"&gt;"&amp;'NSST Print'!$B$3,Investors!$A:$A,'Investor Exit List'!$A291,Investors!$E:$E,'Investor Exit List'!$C291,Investors!$L:$L,'Investor Exit List'!$B291)+SUMIFS(Investors!$M:$M,Investors!$I:$I,"&lt;="&amp;'NSST Print'!$B$3,Investors!$J:$J,"",Investors!$A:$A,'Investor Exit List'!$A291,Investors!$E:$E,'Investor Exit List'!$C291,Investors!$L:$L,'Investor Exit List'!$B291))+SUMIFS(Investors!$S:$S,Investors!$O:$O,FALSE,Investors!$P:$P,FALSE,Investors!$K:$K,"&gt;"&amp;'NSST Print'!$B$3,Investors!$I:$I,"&lt;="&amp;'NSST Print'!$B$3,Investors!$A:$A,'Investor Exit List'!$A291,Investors!$E:$E,'Investor Exit List'!$C291,Investors!$L:$L,'Investor Exit List'!$B291)-(SUMIFS(Investors!$S:$S,Investors!$I:$I,"&lt;="&amp;'NSST Print'!$B$3,Investors!$J:$J,"&gt;"&amp;'NSST Print'!$B$3,Investors!$A:$A,'Investor Exit List'!$A291,Investors!$E:$E,'Investor Exit List'!$C291,Investors!$L:$L,'Investor Exit List'!$B291)+SUMIFS(Investors!$S:$S,Investors!$I:$I,"&lt;="&amp;'NSST Print'!$B$3,Investors!$J:$J,"",Investors!$A:$A,'Investor Exit List'!$A291,Investors!$E:$E,'Investor Exit List'!$C291,Investors!$L:$L,'Investor Exit List'!$B291))</f>
        <v>116358.90410958903</v>
      </c>
      <c r="R291" s="117">
        <f t="shared" si="53"/>
        <v>0</v>
      </c>
      <c r="S291" s="117">
        <f>SUMIFS(Investors!$M:$M,Investors!$O:$O,TRUE,Investors!$A:$A,'Investor Exit List'!$A291,Investors!$E:$E,'Investor Exit List'!$C291,Investors!$L:$L,'Investor Exit List'!$B291)+SUMIFS(Investors!$S:$S,Investors!$O:$O,TRUE,Investors!$A:$A,'Investor Exit List'!$A291,Investors!$E:$E,'Investor Exit List'!$C291,Investors!$L:$L,'Investor Exit List'!$B291)</f>
        <v>0</v>
      </c>
      <c r="T291" s="118" t="str">
        <f t="shared" si="54"/>
        <v/>
      </c>
      <c r="U291" s="116" t="b">
        <v>0</v>
      </c>
      <c r="V291" s="117">
        <f t="shared" si="55"/>
        <v>0</v>
      </c>
      <c r="W291" s="116">
        <v>0</v>
      </c>
      <c r="X291" s="116" t="b">
        <v>0</v>
      </c>
      <c r="Y291" s="119">
        <f>IF(H291=FALSE,VLOOKUP($C291,Sales!$C:$F,4,FALSE),1)</f>
        <v>0</v>
      </c>
      <c r="Z291" s="116" t="str">
        <f t="shared" si="56"/>
        <v>Release</v>
      </c>
      <c r="AA291" s="118">
        <f t="shared" si="57"/>
        <v>45859</v>
      </c>
      <c r="AB291" s="118" t="str">
        <f t="shared" si="58"/>
        <v>HVG203-ZGEL01</v>
      </c>
      <c r="AC291" s="118">
        <f t="shared" si="59"/>
        <v>45982</v>
      </c>
    </row>
    <row r="292" spans="1:29" ht="16" x14ac:dyDescent="0.2">
      <c r="A292" s="116" t="s">
        <v>59</v>
      </c>
      <c r="B292" s="116">
        <v>26</v>
      </c>
      <c r="C292" s="116" t="s">
        <v>649</v>
      </c>
      <c r="D292" s="116" t="s">
        <v>628</v>
      </c>
      <c r="E292" s="116" t="s">
        <v>2019</v>
      </c>
      <c r="F292" s="117">
        <f>SUMIFS(Investors!$M:$M,Investors!$O:$O,FALSE,Investors!$P:$P,FALSE,Investors!$K:$K,"&gt;"&amp;'NSST Print'!$B$3,Investors!$I:$I,"&lt;="&amp;'NSST Print'!$B$3,Investors!$A:$A,'Investor Exit List'!$A292,Investors!$E:$E,'Investor Exit List'!$C292,Investors!$L:$L,'Investor Exit List'!$B292)-(SUMIFS(Investors!$M:$M,Investors!$I:$I,"&lt;="&amp;'NSST Print'!$B$3,Investors!$J:$J,"&gt;"&amp;'NSST Print'!$B$3,Investors!$A:$A,'Investor Exit List'!$A292,Investors!$E:$E,'Investor Exit List'!$C292,Investors!$L:$L,'Investor Exit List'!$B292)+SUMIFS(Investors!$M:$M,Investors!$I:$I,"&lt;="&amp;'NSST Print'!$B$3,Investors!$J:$J,"",Investors!$A:$A,'Investor Exit List'!$A292,Investors!$E:$E,'Investor Exit List'!$C292,Investors!$L:$L,'Investor Exit List'!$B292))</f>
        <v>252491.78</v>
      </c>
      <c r="G292" s="118">
        <v>45129</v>
      </c>
      <c r="H292" s="116" t="b">
        <f>VLOOKUP($C292,Sales!$C:$E,2,FALSE)</f>
        <v>0</v>
      </c>
      <c r="I292" s="116" t="b">
        <f>VLOOKUP($C292,Sales!$C:$E,3,FALSE)</f>
        <v>0</v>
      </c>
      <c r="J292" s="118">
        <f>SUMIFS(Sales!$H:$H,Sales!$C:$C,'Investor Exit List'!$C292)</f>
        <v>45532</v>
      </c>
      <c r="K292" s="118" t="str">
        <f t="shared" si="48"/>
        <v/>
      </c>
      <c r="L292" s="118">
        <f t="shared" si="49"/>
        <v>45859</v>
      </c>
      <c r="M292" s="118">
        <v>45443</v>
      </c>
      <c r="N292" s="119">
        <f t="shared" si="50"/>
        <v>416</v>
      </c>
      <c r="O292" s="119">
        <f t="shared" si="51"/>
        <v>0</v>
      </c>
      <c r="P292" s="117">
        <f t="shared" si="52"/>
        <v>0</v>
      </c>
      <c r="Q292" s="117">
        <f>SUMIFS(Investors!$M:$M,Investors!$O:$O,FALSE,Investors!$P:$P,FALSE,Investors!$K:$K,"&gt;"&amp;'NSST Print'!$B$3,Investors!$I:$I,"&lt;="&amp;'NSST Print'!$B$3,Investors!$A:$A,'Investor Exit List'!$A292,Investors!$E:$E,'Investor Exit List'!$C292,Investors!$L:$L,'Investor Exit List'!$B292)-(SUMIFS(Investors!$M:$M,Investors!$I:$I,"&lt;="&amp;'NSST Print'!$B$3,Investors!$J:$J,"&gt;"&amp;'NSST Print'!$B$3,Investors!$A:$A,'Investor Exit List'!$A292,Investors!$E:$E,'Investor Exit List'!$C292,Investors!$L:$L,'Investor Exit List'!$B292)+SUMIFS(Investors!$M:$M,Investors!$I:$I,"&lt;="&amp;'NSST Print'!$B$3,Investors!$J:$J,"",Investors!$A:$A,'Investor Exit List'!$A292,Investors!$E:$E,'Investor Exit List'!$C292,Investors!$L:$L,'Investor Exit List'!$B292))+SUMIFS(Investors!$S:$S,Investors!$O:$O,FALSE,Investors!$P:$P,FALSE,Investors!$K:$K,"&gt;"&amp;'NSST Print'!$B$3,Investors!$I:$I,"&lt;="&amp;'NSST Print'!$B$3,Investors!$A:$A,'Investor Exit List'!$A292,Investors!$E:$E,'Investor Exit List'!$C292,Investors!$L:$L,'Investor Exit List'!$B292)-(SUMIFS(Investors!$S:$S,Investors!$I:$I,"&lt;="&amp;'NSST Print'!$B$3,Investors!$J:$J,"&gt;"&amp;'NSST Print'!$B$3,Investors!$A:$A,'Investor Exit List'!$A292,Investors!$E:$E,'Investor Exit List'!$C292,Investors!$L:$L,'Investor Exit List'!$B292)+SUMIFS(Investors!$S:$S,Investors!$I:$I,"&lt;="&amp;'NSST Print'!$B$3,Investors!$J:$J,"",Investors!$A:$A,'Investor Exit List'!$A292,Investors!$E:$E,'Investor Exit List'!$C292,Investors!$L:$L,'Investor Exit List'!$B292))</f>
        <v>309824.70801753423</v>
      </c>
      <c r="R292" s="117">
        <f t="shared" si="53"/>
        <v>0</v>
      </c>
      <c r="S292" s="117">
        <f>SUMIFS(Investors!$M:$M,Investors!$O:$O,TRUE,Investors!$A:$A,'Investor Exit List'!$A292,Investors!$E:$E,'Investor Exit List'!$C292,Investors!$L:$L,'Investor Exit List'!$B292)+SUMIFS(Investors!$S:$S,Investors!$O:$O,TRUE,Investors!$A:$A,'Investor Exit List'!$A292,Investors!$E:$E,'Investor Exit List'!$C292,Investors!$L:$L,'Investor Exit List'!$B292)</f>
        <v>0</v>
      </c>
      <c r="T292" s="118" t="str">
        <f t="shared" si="54"/>
        <v/>
      </c>
      <c r="U292" s="116" t="b">
        <v>0</v>
      </c>
      <c r="V292" s="117">
        <f t="shared" si="55"/>
        <v>0</v>
      </c>
      <c r="W292" s="116">
        <v>0</v>
      </c>
      <c r="X292" s="116" t="b">
        <v>0</v>
      </c>
      <c r="Y292" s="119">
        <f>IF(H292=FALSE,VLOOKUP($C292,Sales!$C:$F,4,FALSE),1)</f>
        <v>0</v>
      </c>
      <c r="Z292" s="116" t="str">
        <f t="shared" si="56"/>
        <v>Release</v>
      </c>
      <c r="AA292" s="118">
        <f t="shared" si="57"/>
        <v>45859</v>
      </c>
      <c r="AB292" s="118" t="str">
        <f t="shared" si="58"/>
        <v>HVG203-ZRAN01</v>
      </c>
      <c r="AC292" s="118">
        <f t="shared" si="59"/>
        <v>45859</v>
      </c>
    </row>
    <row r="293" spans="1:29" ht="16" x14ac:dyDescent="0.2">
      <c r="A293" s="116" t="s">
        <v>650</v>
      </c>
      <c r="B293" s="116">
        <v>2</v>
      </c>
      <c r="C293" s="116" t="s">
        <v>649</v>
      </c>
      <c r="D293" s="116" t="s">
        <v>628</v>
      </c>
      <c r="E293" s="116" t="s">
        <v>2184</v>
      </c>
      <c r="F293" s="117">
        <f>SUMIFS(Investors!$M:$M,Investors!$O:$O,FALSE,Investors!$P:$P,FALSE,Investors!$K:$K,"&gt;"&amp;'NSST Print'!$B$3,Investors!$I:$I,"&lt;="&amp;'NSST Print'!$B$3,Investors!$A:$A,'Investor Exit List'!$A293,Investors!$E:$E,'Investor Exit List'!$C293,Investors!$L:$L,'Investor Exit List'!$B293)-(SUMIFS(Investors!$M:$M,Investors!$I:$I,"&lt;="&amp;'NSST Print'!$B$3,Investors!$J:$J,"&gt;"&amp;'NSST Print'!$B$3,Investors!$A:$A,'Investor Exit List'!$A293,Investors!$E:$E,'Investor Exit List'!$C293,Investors!$L:$L,'Investor Exit List'!$B293)+SUMIFS(Investors!$M:$M,Investors!$I:$I,"&lt;="&amp;'NSST Print'!$B$3,Investors!$J:$J,"",Investors!$A:$A,'Investor Exit List'!$A293,Investors!$E:$E,'Investor Exit List'!$C293,Investors!$L:$L,'Investor Exit List'!$B293))</f>
        <v>631732.88</v>
      </c>
      <c r="G293" s="118">
        <v>45168</v>
      </c>
      <c r="H293" s="116" t="b">
        <f>VLOOKUP($C293,Sales!$C:$E,2,FALSE)</f>
        <v>0</v>
      </c>
      <c r="I293" s="116" t="b">
        <f>VLOOKUP($C293,Sales!$C:$E,3,FALSE)</f>
        <v>0</v>
      </c>
      <c r="J293" s="118">
        <f>SUMIFS(Sales!$H:$H,Sales!$C:$C,'Investor Exit List'!$C293)</f>
        <v>45532</v>
      </c>
      <c r="K293" s="118" t="str">
        <f t="shared" si="48"/>
        <v/>
      </c>
      <c r="L293" s="118">
        <f t="shared" si="49"/>
        <v>45898</v>
      </c>
      <c r="M293" s="118">
        <v>45443</v>
      </c>
      <c r="N293" s="119">
        <f t="shared" si="50"/>
        <v>455</v>
      </c>
      <c r="O293" s="119">
        <f t="shared" si="51"/>
        <v>0</v>
      </c>
      <c r="P293" s="117">
        <f t="shared" si="52"/>
        <v>0</v>
      </c>
      <c r="Q293" s="117">
        <f>SUMIFS(Investors!$M:$M,Investors!$O:$O,FALSE,Investors!$P:$P,FALSE,Investors!$K:$K,"&gt;"&amp;'NSST Print'!$B$3,Investors!$I:$I,"&lt;="&amp;'NSST Print'!$B$3,Investors!$A:$A,'Investor Exit List'!$A293,Investors!$E:$E,'Investor Exit List'!$C293,Investors!$L:$L,'Investor Exit List'!$B293)-(SUMIFS(Investors!$M:$M,Investors!$I:$I,"&lt;="&amp;'NSST Print'!$B$3,Investors!$J:$J,"&gt;"&amp;'NSST Print'!$B$3,Investors!$A:$A,'Investor Exit List'!$A293,Investors!$E:$E,'Investor Exit List'!$C293,Investors!$L:$L,'Investor Exit List'!$B293)+SUMIFS(Investors!$M:$M,Investors!$I:$I,"&lt;="&amp;'NSST Print'!$B$3,Investors!$J:$J,"",Investors!$A:$A,'Investor Exit List'!$A293,Investors!$E:$E,'Investor Exit List'!$C293,Investors!$L:$L,'Investor Exit List'!$B293))+SUMIFS(Investors!$S:$S,Investors!$O:$O,FALSE,Investors!$P:$P,FALSE,Investors!$K:$K,"&gt;"&amp;'NSST Print'!$B$3,Investors!$I:$I,"&lt;="&amp;'NSST Print'!$B$3,Investors!$A:$A,'Investor Exit List'!$A293,Investors!$E:$E,'Investor Exit List'!$C293,Investors!$L:$L,'Investor Exit List'!$B293)-(SUMIFS(Investors!$S:$S,Investors!$I:$I,"&lt;="&amp;'NSST Print'!$B$3,Investors!$J:$J,"&gt;"&amp;'NSST Print'!$B$3,Investors!$A:$A,'Investor Exit List'!$A293,Investors!$E:$E,'Investor Exit List'!$C293,Investors!$L:$L,'Investor Exit List'!$B293)+SUMIFS(Investors!$S:$S,Investors!$I:$I,"&lt;="&amp;'NSST Print'!$B$3,Investors!$J:$J,"",Investors!$A:$A,'Investor Exit List'!$A293,Investors!$E:$E,'Investor Exit List'!$C293,Investors!$L:$L,'Investor Exit List'!$B293))</f>
        <v>770454.49734794535</v>
      </c>
      <c r="R293" s="117">
        <f t="shared" si="53"/>
        <v>0</v>
      </c>
      <c r="S293" s="117">
        <f>SUMIFS(Investors!$M:$M,Investors!$O:$O,TRUE,Investors!$A:$A,'Investor Exit List'!$A293,Investors!$E:$E,'Investor Exit List'!$C293,Investors!$L:$L,'Investor Exit List'!$B293)+SUMIFS(Investors!$S:$S,Investors!$O:$O,TRUE,Investors!$A:$A,'Investor Exit List'!$A293,Investors!$E:$E,'Investor Exit List'!$C293,Investors!$L:$L,'Investor Exit List'!$B293)</f>
        <v>0</v>
      </c>
      <c r="T293" s="118" t="str">
        <f t="shared" si="54"/>
        <v/>
      </c>
      <c r="U293" s="116" t="b">
        <v>0</v>
      </c>
      <c r="V293" s="117">
        <f t="shared" si="55"/>
        <v>0</v>
      </c>
      <c r="W293" s="116">
        <v>0</v>
      </c>
      <c r="X293" s="116" t="b">
        <v>0</v>
      </c>
      <c r="Y293" s="119">
        <f>IF(H293=FALSE,VLOOKUP($C293,Sales!$C:$F,4,FALSE),1)</f>
        <v>0</v>
      </c>
      <c r="Z293" s="116" t="str">
        <f t="shared" si="56"/>
        <v>Release</v>
      </c>
      <c r="AA293" s="118">
        <f t="shared" si="57"/>
        <v>45859</v>
      </c>
      <c r="AB293" s="118" t="str">
        <f t="shared" si="58"/>
        <v>HVG203-ZSMI02</v>
      </c>
      <c r="AC293" s="118">
        <f t="shared" si="59"/>
        <v>45898</v>
      </c>
    </row>
    <row r="294" spans="1:29" ht="16" x14ac:dyDescent="0.2">
      <c r="A294" s="116" t="s">
        <v>403</v>
      </c>
      <c r="B294" s="116">
        <v>5</v>
      </c>
      <c r="C294" s="116" t="s">
        <v>649</v>
      </c>
      <c r="D294" s="116" t="s">
        <v>628</v>
      </c>
      <c r="E294" s="116" t="s">
        <v>2050</v>
      </c>
      <c r="F294" s="117">
        <f>SUMIFS(Investors!$M:$M,Investors!$O:$O,FALSE,Investors!$P:$P,FALSE,Investors!$K:$K,"&gt;"&amp;'NSST Print'!$B$3,Investors!$I:$I,"&lt;="&amp;'NSST Print'!$B$3,Investors!$A:$A,'Investor Exit List'!$A294,Investors!$E:$E,'Investor Exit List'!$C294,Investors!$L:$L,'Investor Exit List'!$B294)-(SUMIFS(Investors!$M:$M,Investors!$I:$I,"&lt;="&amp;'NSST Print'!$B$3,Investors!$J:$J,"&gt;"&amp;'NSST Print'!$B$3,Investors!$A:$A,'Investor Exit List'!$A294,Investors!$E:$E,'Investor Exit List'!$C294,Investors!$L:$L,'Investor Exit List'!$B294)+SUMIFS(Investors!$M:$M,Investors!$I:$I,"&lt;="&amp;'NSST Print'!$B$3,Investors!$J:$J,"",Investors!$A:$A,'Investor Exit List'!$A294,Investors!$E:$E,'Investor Exit List'!$C294,Investors!$L:$L,'Investor Exit List'!$B294))</f>
        <v>100000</v>
      </c>
      <c r="G294" s="118">
        <v>45252</v>
      </c>
      <c r="H294" s="116" t="b">
        <f>VLOOKUP($C294,Sales!$C:$E,2,FALSE)</f>
        <v>0</v>
      </c>
      <c r="I294" s="116" t="b">
        <f>VLOOKUP($C294,Sales!$C:$E,3,FALSE)</f>
        <v>0</v>
      </c>
      <c r="J294" s="118">
        <f>SUMIFS(Sales!$H:$H,Sales!$C:$C,'Investor Exit List'!$C294)</f>
        <v>45532</v>
      </c>
      <c r="K294" s="118" t="str">
        <f t="shared" si="48"/>
        <v/>
      </c>
      <c r="L294" s="118">
        <f t="shared" si="49"/>
        <v>45982</v>
      </c>
      <c r="M294" s="118">
        <v>45443</v>
      </c>
      <c r="N294" s="119">
        <f t="shared" si="50"/>
        <v>539</v>
      </c>
      <c r="O294" s="119">
        <f t="shared" si="51"/>
        <v>0</v>
      </c>
      <c r="P294" s="117">
        <f t="shared" si="52"/>
        <v>0</v>
      </c>
      <c r="Q294" s="117">
        <f>SUMIFS(Investors!$M:$M,Investors!$O:$O,FALSE,Investors!$P:$P,FALSE,Investors!$K:$K,"&gt;"&amp;'NSST Print'!$B$3,Investors!$I:$I,"&lt;="&amp;'NSST Print'!$B$3,Investors!$A:$A,'Investor Exit List'!$A294,Investors!$E:$E,'Investor Exit List'!$C294,Investors!$L:$L,'Investor Exit List'!$B294)-(SUMIFS(Investors!$M:$M,Investors!$I:$I,"&lt;="&amp;'NSST Print'!$B$3,Investors!$J:$J,"&gt;"&amp;'NSST Print'!$B$3,Investors!$A:$A,'Investor Exit List'!$A294,Investors!$E:$E,'Investor Exit List'!$C294,Investors!$L:$L,'Investor Exit List'!$B294)+SUMIFS(Investors!$M:$M,Investors!$I:$I,"&lt;="&amp;'NSST Print'!$B$3,Investors!$J:$J,"",Investors!$A:$A,'Investor Exit List'!$A294,Investors!$E:$E,'Investor Exit List'!$C294,Investors!$L:$L,'Investor Exit List'!$B294))+SUMIFS(Investors!$S:$S,Investors!$O:$O,FALSE,Investors!$P:$P,FALSE,Investors!$K:$K,"&gt;"&amp;'NSST Print'!$B$3,Investors!$I:$I,"&lt;="&amp;'NSST Print'!$B$3,Investors!$A:$A,'Investor Exit List'!$A294,Investors!$E:$E,'Investor Exit List'!$C294,Investors!$L:$L,'Investor Exit List'!$B294)-(SUMIFS(Investors!$S:$S,Investors!$I:$I,"&lt;="&amp;'NSST Print'!$B$3,Investors!$J:$J,"&gt;"&amp;'NSST Print'!$B$3,Investors!$A:$A,'Investor Exit List'!$A294,Investors!$E:$E,'Investor Exit List'!$C294,Investors!$L:$L,'Investor Exit List'!$B294)+SUMIFS(Investors!$S:$S,Investors!$I:$I,"&lt;="&amp;'NSST Print'!$B$3,Investors!$J:$J,"",Investors!$A:$A,'Investor Exit List'!$A294,Investors!$E:$E,'Investor Exit List'!$C294,Investors!$L:$L,'Investor Exit List'!$B294))</f>
        <v>119283.56164383559</v>
      </c>
      <c r="R294" s="117">
        <f t="shared" si="53"/>
        <v>0</v>
      </c>
      <c r="S294" s="117">
        <f>SUMIFS(Investors!$M:$M,Investors!$O:$O,TRUE,Investors!$A:$A,'Investor Exit List'!$A294,Investors!$E:$E,'Investor Exit List'!$C294,Investors!$L:$L,'Investor Exit List'!$B294)+SUMIFS(Investors!$S:$S,Investors!$O:$O,TRUE,Investors!$A:$A,'Investor Exit List'!$A294,Investors!$E:$E,'Investor Exit List'!$C294,Investors!$L:$L,'Investor Exit List'!$B294)</f>
        <v>0</v>
      </c>
      <c r="T294" s="118" t="str">
        <f t="shared" si="54"/>
        <v/>
      </c>
      <c r="U294" s="116" t="b">
        <v>0</v>
      </c>
      <c r="V294" s="117">
        <f t="shared" si="55"/>
        <v>0</v>
      </c>
      <c r="W294" s="116">
        <v>0</v>
      </c>
      <c r="X294" s="116" t="b">
        <v>0</v>
      </c>
      <c r="Y294" s="119">
        <f>IF(H294=FALSE,VLOOKUP($C294,Sales!$C:$F,4,FALSE),1)</f>
        <v>0</v>
      </c>
      <c r="Z294" s="116" t="str">
        <f t="shared" si="56"/>
        <v>Release</v>
      </c>
      <c r="AA294" s="118">
        <f t="shared" si="57"/>
        <v>45859</v>
      </c>
      <c r="AB294" s="118" t="str">
        <f t="shared" si="58"/>
        <v>HVG203-ZTHA01</v>
      </c>
      <c r="AC294" s="118">
        <f t="shared" si="59"/>
        <v>45982</v>
      </c>
    </row>
    <row r="295" spans="1:29" ht="16" x14ac:dyDescent="0.2">
      <c r="A295" s="116" t="s">
        <v>652</v>
      </c>
      <c r="B295" s="116">
        <v>1</v>
      </c>
      <c r="C295" s="116" t="s">
        <v>655</v>
      </c>
      <c r="D295" s="116" t="s">
        <v>628</v>
      </c>
      <c r="E295" s="116" t="s">
        <v>2185</v>
      </c>
      <c r="F295" s="117">
        <f>SUMIFS(Investors!$M:$M,Investors!$O:$O,FALSE,Investors!$P:$P,FALSE,Investors!$K:$K,"&gt;"&amp;'NSST Print'!$B$3,Investors!$I:$I,"&lt;="&amp;'NSST Print'!$B$3,Investors!$A:$A,'Investor Exit List'!$A295,Investors!$E:$E,'Investor Exit List'!$C295,Investors!$L:$L,'Investor Exit List'!$B295)-(SUMIFS(Investors!$M:$M,Investors!$I:$I,"&lt;="&amp;'NSST Print'!$B$3,Investors!$J:$J,"&gt;"&amp;'NSST Print'!$B$3,Investors!$A:$A,'Investor Exit List'!$A295,Investors!$E:$E,'Investor Exit List'!$C295,Investors!$L:$L,'Investor Exit List'!$B295)+SUMIFS(Investors!$M:$M,Investors!$I:$I,"&lt;="&amp;'NSST Print'!$B$3,Investors!$J:$J,"",Investors!$A:$A,'Investor Exit List'!$A295,Investors!$E:$E,'Investor Exit List'!$C295,Investors!$L:$L,'Investor Exit List'!$B295))</f>
        <v>500000</v>
      </c>
      <c r="G295" s="118">
        <v>45198</v>
      </c>
      <c r="H295" s="116" t="b">
        <f>VLOOKUP($C295,Sales!$C:$E,2,FALSE)</f>
        <v>0</v>
      </c>
      <c r="I295" s="116" t="b">
        <f>VLOOKUP($C295,Sales!$C:$E,3,FALSE)</f>
        <v>0</v>
      </c>
      <c r="J295" s="118">
        <f>SUMIFS(Sales!$H:$H,Sales!$C:$C,'Investor Exit List'!$C295)</f>
        <v>45532</v>
      </c>
      <c r="K295" s="118" t="str">
        <f t="shared" si="48"/>
        <v/>
      </c>
      <c r="L295" s="118">
        <f t="shared" si="49"/>
        <v>45928</v>
      </c>
      <c r="M295" s="118">
        <v>45443</v>
      </c>
      <c r="N295" s="119">
        <f t="shared" si="50"/>
        <v>485</v>
      </c>
      <c r="O295" s="119">
        <f t="shared" si="51"/>
        <v>0</v>
      </c>
      <c r="P295" s="117">
        <f t="shared" si="52"/>
        <v>0</v>
      </c>
      <c r="Q295" s="117">
        <f>SUMIFS(Investors!$M:$M,Investors!$O:$O,FALSE,Investors!$P:$P,FALSE,Investors!$K:$K,"&gt;"&amp;'NSST Print'!$B$3,Investors!$I:$I,"&lt;="&amp;'NSST Print'!$B$3,Investors!$A:$A,'Investor Exit List'!$A295,Investors!$E:$E,'Investor Exit List'!$C295,Investors!$L:$L,'Investor Exit List'!$B295)-(SUMIFS(Investors!$M:$M,Investors!$I:$I,"&lt;="&amp;'NSST Print'!$B$3,Investors!$J:$J,"&gt;"&amp;'NSST Print'!$B$3,Investors!$A:$A,'Investor Exit List'!$A295,Investors!$E:$E,'Investor Exit List'!$C295,Investors!$L:$L,'Investor Exit List'!$B295)+SUMIFS(Investors!$M:$M,Investors!$I:$I,"&lt;="&amp;'NSST Print'!$B$3,Investors!$J:$J,"",Investors!$A:$A,'Investor Exit List'!$A295,Investors!$E:$E,'Investor Exit List'!$C295,Investors!$L:$L,'Investor Exit List'!$B295))+SUMIFS(Investors!$S:$S,Investors!$O:$O,FALSE,Investors!$P:$P,FALSE,Investors!$K:$K,"&gt;"&amp;'NSST Print'!$B$3,Investors!$I:$I,"&lt;="&amp;'NSST Print'!$B$3,Investors!$A:$A,'Investor Exit List'!$A295,Investors!$E:$E,'Investor Exit List'!$C295,Investors!$L:$L,'Investor Exit List'!$B295)-(SUMIFS(Investors!$S:$S,Investors!$I:$I,"&lt;="&amp;'NSST Print'!$B$3,Investors!$J:$J,"&gt;"&amp;'NSST Print'!$B$3,Investors!$A:$A,'Investor Exit List'!$A295,Investors!$E:$E,'Investor Exit List'!$C295,Investors!$L:$L,'Investor Exit List'!$B295)+SUMIFS(Investors!$S:$S,Investors!$I:$I,"&lt;="&amp;'NSST Print'!$B$3,Investors!$J:$J,"",Investors!$A:$A,'Investor Exit List'!$A295,Investors!$E:$E,'Investor Exit List'!$C295,Investors!$L:$L,'Investor Exit List'!$B295))</f>
        <v>596616.43835616438</v>
      </c>
      <c r="R295" s="117">
        <f t="shared" si="53"/>
        <v>0</v>
      </c>
      <c r="S295" s="117">
        <f>SUMIFS(Investors!$M:$M,Investors!$O:$O,TRUE,Investors!$A:$A,'Investor Exit List'!$A295,Investors!$E:$E,'Investor Exit List'!$C295,Investors!$L:$L,'Investor Exit List'!$B295)+SUMIFS(Investors!$S:$S,Investors!$O:$O,TRUE,Investors!$A:$A,'Investor Exit List'!$A295,Investors!$E:$E,'Investor Exit List'!$C295,Investors!$L:$L,'Investor Exit List'!$B295)</f>
        <v>0</v>
      </c>
      <c r="T295" s="118" t="str">
        <f t="shared" si="54"/>
        <v/>
      </c>
      <c r="U295" s="116" t="b">
        <v>0</v>
      </c>
      <c r="V295" s="117">
        <f t="shared" si="55"/>
        <v>0</v>
      </c>
      <c r="W295" s="116">
        <v>0</v>
      </c>
      <c r="X295" s="116" t="b">
        <v>0</v>
      </c>
      <c r="Y295" s="119">
        <f>IF(H295=FALSE,VLOOKUP($C295,Sales!$C:$F,4,FALSE),1)</f>
        <v>0</v>
      </c>
      <c r="Z295" s="116" t="str">
        <f t="shared" si="56"/>
        <v>Release</v>
      </c>
      <c r="AA295" s="118">
        <f t="shared" si="57"/>
        <v>45928</v>
      </c>
      <c r="AB295" s="118" t="str">
        <f t="shared" si="58"/>
        <v>HVG204-ZBAS01</v>
      </c>
      <c r="AC295" s="118">
        <f t="shared" si="59"/>
        <v>45928</v>
      </c>
    </row>
    <row r="296" spans="1:29" ht="16" x14ac:dyDescent="0.2">
      <c r="A296" s="116" t="s">
        <v>85</v>
      </c>
      <c r="B296" s="116">
        <v>7</v>
      </c>
      <c r="C296" s="116" t="s">
        <v>655</v>
      </c>
      <c r="D296" s="116" t="s">
        <v>628</v>
      </c>
      <c r="E296" s="116" t="s">
        <v>2027</v>
      </c>
      <c r="F296" s="117">
        <f>SUMIFS(Investors!$M:$M,Investors!$O:$O,FALSE,Investors!$P:$P,FALSE,Investors!$K:$K,"&gt;"&amp;'NSST Print'!$B$3,Investors!$I:$I,"&lt;="&amp;'NSST Print'!$B$3,Investors!$A:$A,'Investor Exit List'!$A296,Investors!$E:$E,'Investor Exit List'!$C296,Investors!$L:$L,'Investor Exit List'!$B296)-(SUMIFS(Investors!$M:$M,Investors!$I:$I,"&lt;="&amp;'NSST Print'!$B$3,Investors!$J:$J,"&gt;"&amp;'NSST Print'!$B$3,Investors!$A:$A,'Investor Exit List'!$A296,Investors!$E:$E,'Investor Exit List'!$C296,Investors!$L:$L,'Investor Exit List'!$B296)+SUMIFS(Investors!$M:$M,Investors!$I:$I,"&lt;="&amp;'NSST Print'!$B$3,Investors!$J:$J,"",Investors!$A:$A,'Investor Exit List'!$A296,Investors!$E:$E,'Investor Exit List'!$C296,Investors!$L:$L,'Investor Exit List'!$B296))</f>
        <v>250000</v>
      </c>
      <c r="G296" s="118">
        <v>45252</v>
      </c>
      <c r="H296" s="116" t="b">
        <f>VLOOKUP($C296,Sales!$C:$E,2,FALSE)</f>
        <v>0</v>
      </c>
      <c r="I296" s="116" t="b">
        <f>VLOOKUP($C296,Sales!$C:$E,3,FALSE)</f>
        <v>0</v>
      </c>
      <c r="J296" s="118">
        <f>SUMIFS(Sales!$H:$H,Sales!$C:$C,'Investor Exit List'!$C296)</f>
        <v>45532</v>
      </c>
      <c r="K296" s="118" t="str">
        <f t="shared" si="48"/>
        <v/>
      </c>
      <c r="L296" s="118">
        <f t="shared" si="49"/>
        <v>45982</v>
      </c>
      <c r="M296" s="118">
        <v>45443</v>
      </c>
      <c r="N296" s="119">
        <f t="shared" si="50"/>
        <v>539</v>
      </c>
      <c r="O296" s="119">
        <f t="shared" si="51"/>
        <v>0</v>
      </c>
      <c r="P296" s="117">
        <f t="shared" si="52"/>
        <v>0</v>
      </c>
      <c r="Q296" s="117">
        <f>SUMIFS(Investors!$M:$M,Investors!$O:$O,FALSE,Investors!$P:$P,FALSE,Investors!$K:$K,"&gt;"&amp;'NSST Print'!$B$3,Investors!$I:$I,"&lt;="&amp;'NSST Print'!$B$3,Investors!$A:$A,'Investor Exit List'!$A296,Investors!$E:$E,'Investor Exit List'!$C296,Investors!$L:$L,'Investor Exit List'!$B296)-(SUMIFS(Investors!$M:$M,Investors!$I:$I,"&lt;="&amp;'NSST Print'!$B$3,Investors!$J:$J,"&gt;"&amp;'NSST Print'!$B$3,Investors!$A:$A,'Investor Exit List'!$A296,Investors!$E:$E,'Investor Exit List'!$C296,Investors!$L:$L,'Investor Exit List'!$B296)+SUMIFS(Investors!$M:$M,Investors!$I:$I,"&lt;="&amp;'NSST Print'!$B$3,Investors!$J:$J,"",Investors!$A:$A,'Investor Exit List'!$A296,Investors!$E:$E,'Investor Exit List'!$C296,Investors!$L:$L,'Investor Exit List'!$B296))+SUMIFS(Investors!$S:$S,Investors!$O:$O,FALSE,Investors!$P:$P,FALSE,Investors!$K:$K,"&gt;"&amp;'NSST Print'!$B$3,Investors!$I:$I,"&lt;="&amp;'NSST Print'!$B$3,Investors!$A:$A,'Investor Exit List'!$A296,Investors!$E:$E,'Investor Exit List'!$C296,Investors!$L:$L,'Investor Exit List'!$B296)-(SUMIFS(Investors!$S:$S,Investors!$I:$I,"&lt;="&amp;'NSST Print'!$B$3,Investors!$J:$J,"&gt;"&amp;'NSST Print'!$B$3,Investors!$A:$A,'Investor Exit List'!$A296,Investors!$E:$E,'Investor Exit List'!$C296,Investors!$L:$L,'Investor Exit List'!$B296)+SUMIFS(Investors!$S:$S,Investors!$I:$I,"&lt;="&amp;'NSST Print'!$B$3,Investors!$J:$J,"",Investors!$A:$A,'Investor Exit List'!$A296,Investors!$E:$E,'Investor Exit List'!$C296,Investors!$L:$L,'Investor Exit List'!$B296))</f>
        <v>298208.90410958906</v>
      </c>
      <c r="R296" s="117">
        <f t="shared" si="53"/>
        <v>0</v>
      </c>
      <c r="S296" s="117">
        <f>SUMIFS(Investors!$M:$M,Investors!$O:$O,TRUE,Investors!$A:$A,'Investor Exit List'!$A296,Investors!$E:$E,'Investor Exit List'!$C296,Investors!$L:$L,'Investor Exit List'!$B296)+SUMIFS(Investors!$S:$S,Investors!$O:$O,TRUE,Investors!$A:$A,'Investor Exit List'!$A296,Investors!$E:$E,'Investor Exit List'!$C296,Investors!$L:$L,'Investor Exit List'!$B296)</f>
        <v>0</v>
      </c>
      <c r="T296" s="118" t="str">
        <f t="shared" si="54"/>
        <v/>
      </c>
      <c r="U296" s="116" t="b">
        <v>0</v>
      </c>
      <c r="V296" s="117">
        <f t="shared" si="55"/>
        <v>0</v>
      </c>
      <c r="W296" s="116">
        <v>0</v>
      </c>
      <c r="X296" s="116" t="b">
        <v>0</v>
      </c>
      <c r="Y296" s="119">
        <f>IF(H296=FALSE,VLOOKUP($C296,Sales!$C:$F,4,FALSE),1)</f>
        <v>0</v>
      </c>
      <c r="Z296" s="116" t="str">
        <f t="shared" si="56"/>
        <v>Release</v>
      </c>
      <c r="AA296" s="118">
        <f t="shared" si="57"/>
        <v>45928</v>
      </c>
      <c r="AB296" s="118" t="str">
        <f t="shared" si="58"/>
        <v>HVG204-ZBEL01</v>
      </c>
      <c r="AC296" s="118">
        <f t="shared" si="59"/>
        <v>45982</v>
      </c>
    </row>
    <row r="297" spans="1:29" ht="16" x14ac:dyDescent="0.2">
      <c r="A297" s="116" t="s">
        <v>656</v>
      </c>
      <c r="B297" s="116">
        <v>1</v>
      </c>
      <c r="C297" s="116" t="s">
        <v>655</v>
      </c>
      <c r="D297" s="116" t="s">
        <v>628</v>
      </c>
      <c r="E297" s="116" t="s">
        <v>2186</v>
      </c>
      <c r="F297" s="117">
        <f>SUMIFS(Investors!$M:$M,Investors!$O:$O,FALSE,Investors!$P:$P,FALSE,Investors!$K:$K,"&gt;"&amp;'NSST Print'!$B$3,Investors!$I:$I,"&lt;="&amp;'NSST Print'!$B$3,Investors!$A:$A,'Investor Exit List'!$A297,Investors!$E:$E,'Investor Exit List'!$C297,Investors!$L:$L,'Investor Exit List'!$B297)-(SUMIFS(Investors!$M:$M,Investors!$I:$I,"&lt;="&amp;'NSST Print'!$B$3,Investors!$J:$J,"&gt;"&amp;'NSST Print'!$B$3,Investors!$A:$A,'Investor Exit List'!$A297,Investors!$E:$E,'Investor Exit List'!$C297,Investors!$L:$L,'Investor Exit List'!$B297)+SUMIFS(Investors!$M:$M,Investors!$I:$I,"&lt;="&amp;'NSST Print'!$B$3,Investors!$J:$J,"",Investors!$A:$A,'Investor Exit List'!$A297,Investors!$E:$E,'Investor Exit List'!$C297,Investors!$L:$L,'Investor Exit List'!$B297))</f>
        <v>350000</v>
      </c>
      <c r="G297" s="118">
        <v>45198</v>
      </c>
      <c r="H297" s="116" t="b">
        <f>VLOOKUP($C297,Sales!$C:$E,2,FALSE)</f>
        <v>0</v>
      </c>
      <c r="I297" s="116" t="b">
        <f>VLOOKUP($C297,Sales!$C:$E,3,FALSE)</f>
        <v>0</v>
      </c>
      <c r="J297" s="118">
        <f>SUMIFS(Sales!$H:$H,Sales!$C:$C,'Investor Exit List'!$C297)</f>
        <v>45532</v>
      </c>
      <c r="K297" s="118" t="str">
        <f t="shared" si="48"/>
        <v/>
      </c>
      <c r="L297" s="118">
        <f t="shared" si="49"/>
        <v>45928</v>
      </c>
      <c r="M297" s="118">
        <v>45443</v>
      </c>
      <c r="N297" s="119">
        <f t="shared" si="50"/>
        <v>485</v>
      </c>
      <c r="O297" s="119">
        <f t="shared" si="51"/>
        <v>0</v>
      </c>
      <c r="P297" s="117">
        <f t="shared" si="52"/>
        <v>0</v>
      </c>
      <c r="Q297" s="117">
        <f>SUMIFS(Investors!$M:$M,Investors!$O:$O,FALSE,Investors!$P:$P,FALSE,Investors!$K:$K,"&gt;"&amp;'NSST Print'!$B$3,Investors!$I:$I,"&lt;="&amp;'NSST Print'!$B$3,Investors!$A:$A,'Investor Exit List'!$A297,Investors!$E:$E,'Investor Exit List'!$C297,Investors!$L:$L,'Investor Exit List'!$B297)-(SUMIFS(Investors!$M:$M,Investors!$I:$I,"&lt;="&amp;'NSST Print'!$B$3,Investors!$J:$J,"&gt;"&amp;'NSST Print'!$B$3,Investors!$A:$A,'Investor Exit List'!$A297,Investors!$E:$E,'Investor Exit List'!$C297,Investors!$L:$L,'Investor Exit List'!$B297)+SUMIFS(Investors!$M:$M,Investors!$I:$I,"&lt;="&amp;'NSST Print'!$B$3,Investors!$J:$J,"",Investors!$A:$A,'Investor Exit List'!$A297,Investors!$E:$E,'Investor Exit List'!$C297,Investors!$L:$L,'Investor Exit List'!$B297))+SUMIFS(Investors!$S:$S,Investors!$O:$O,FALSE,Investors!$P:$P,FALSE,Investors!$K:$K,"&gt;"&amp;'NSST Print'!$B$3,Investors!$I:$I,"&lt;="&amp;'NSST Print'!$B$3,Investors!$A:$A,'Investor Exit List'!$A297,Investors!$E:$E,'Investor Exit List'!$C297,Investors!$L:$L,'Investor Exit List'!$B297)-(SUMIFS(Investors!$S:$S,Investors!$I:$I,"&lt;="&amp;'NSST Print'!$B$3,Investors!$J:$J,"&gt;"&amp;'NSST Print'!$B$3,Investors!$A:$A,'Investor Exit List'!$A297,Investors!$E:$E,'Investor Exit List'!$C297,Investors!$L:$L,'Investor Exit List'!$B297)+SUMIFS(Investors!$S:$S,Investors!$I:$I,"&lt;="&amp;'NSST Print'!$B$3,Investors!$J:$J,"",Investors!$A:$A,'Investor Exit List'!$A297,Investors!$E:$E,'Investor Exit List'!$C297,Investors!$L:$L,'Investor Exit List'!$B297))</f>
        <v>411226.0273972603</v>
      </c>
      <c r="R297" s="117">
        <f t="shared" si="53"/>
        <v>0</v>
      </c>
      <c r="S297" s="117">
        <f>SUMIFS(Investors!$M:$M,Investors!$O:$O,TRUE,Investors!$A:$A,'Investor Exit List'!$A297,Investors!$E:$E,'Investor Exit List'!$C297,Investors!$L:$L,'Investor Exit List'!$B297)+SUMIFS(Investors!$S:$S,Investors!$O:$O,TRUE,Investors!$A:$A,'Investor Exit List'!$A297,Investors!$E:$E,'Investor Exit List'!$C297,Investors!$L:$L,'Investor Exit List'!$B297)</f>
        <v>0</v>
      </c>
      <c r="T297" s="118" t="str">
        <f t="shared" si="54"/>
        <v/>
      </c>
      <c r="U297" s="116" t="b">
        <v>0</v>
      </c>
      <c r="V297" s="117">
        <f t="shared" si="55"/>
        <v>0</v>
      </c>
      <c r="W297" s="116">
        <v>0</v>
      </c>
      <c r="X297" s="116" t="b">
        <v>0</v>
      </c>
      <c r="Y297" s="119">
        <f>IF(H297=FALSE,VLOOKUP($C297,Sales!$C:$F,4,FALSE),1)</f>
        <v>0</v>
      </c>
      <c r="Z297" s="116" t="str">
        <f t="shared" si="56"/>
        <v>Release</v>
      </c>
      <c r="AA297" s="118">
        <f t="shared" si="57"/>
        <v>45928</v>
      </c>
      <c r="AB297" s="118" t="str">
        <f t="shared" si="58"/>
        <v>HVG204-ZMOS01</v>
      </c>
      <c r="AC297" s="118">
        <f t="shared" si="59"/>
        <v>45928</v>
      </c>
    </row>
    <row r="298" spans="1:29" ht="16" x14ac:dyDescent="0.2">
      <c r="A298" s="116" t="s">
        <v>659</v>
      </c>
      <c r="B298" s="116">
        <v>1</v>
      </c>
      <c r="C298" s="116" t="s">
        <v>662</v>
      </c>
      <c r="D298" s="116" t="s">
        <v>628</v>
      </c>
      <c r="E298" s="116" t="s">
        <v>2187</v>
      </c>
      <c r="F298" s="117">
        <f>SUMIFS(Investors!$M:$M,Investors!$O:$O,FALSE,Investors!$P:$P,FALSE,Investors!$K:$K,"&gt;"&amp;'NSST Print'!$B$3,Investors!$I:$I,"&lt;="&amp;'NSST Print'!$B$3,Investors!$A:$A,'Investor Exit List'!$A298,Investors!$E:$E,'Investor Exit List'!$C298,Investors!$L:$L,'Investor Exit List'!$B298)-(SUMIFS(Investors!$M:$M,Investors!$I:$I,"&lt;="&amp;'NSST Print'!$B$3,Investors!$J:$J,"&gt;"&amp;'NSST Print'!$B$3,Investors!$A:$A,'Investor Exit List'!$A298,Investors!$E:$E,'Investor Exit List'!$C298,Investors!$L:$L,'Investor Exit List'!$B298)+SUMIFS(Investors!$M:$M,Investors!$I:$I,"&lt;="&amp;'NSST Print'!$B$3,Investors!$J:$J,"",Investors!$A:$A,'Investor Exit List'!$A298,Investors!$E:$E,'Investor Exit List'!$C298,Investors!$L:$L,'Investor Exit List'!$B298))</f>
        <v>400000</v>
      </c>
      <c r="G298" s="118">
        <v>45198</v>
      </c>
      <c r="H298" s="116" t="b">
        <f>VLOOKUP($C298,Sales!$C:$E,2,FALSE)</f>
        <v>0</v>
      </c>
      <c r="I298" s="116" t="b">
        <f>VLOOKUP($C298,Sales!$C:$E,3,FALSE)</f>
        <v>0</v>
      </c>
      <c r="J298" s="118">
        <f>SUMIFS(Sales!$H:$H,Sales!$C:$C,'Investor Exit List'!$C298)</f>
        <v>45532</v>
      </c>
      <c r="K298" s="118" t="str">
        <f t="shared" si="48"/>
        <v/>
      </c>
      <c r="L298" s="118">
        <f t="shared" si="49"/>
        <v>45928</v>
      </c>
      <c r="M298" s="118">
        <v>45443</v>
      </c>
      <c r="N298" s="119">
        <f t="shared" si="50"/>
        <v>485</v>
      </c>
      <c r="O298" s="119">
        <f t="shared" si="51"/>
        <v>0</v>
      </c>
      <c r="P298" s="117">
        <f t="shared" si="52"/>
        <v>0</v>
      </c>
      <c r="Q298" s="117">
        <f>SUMIFS(Investors!$M:$M,Investors!$O:$O,FALSE,Investors!$P:$P,FALSE,Investors!$K:$K,"&gt;"&amp;'NSST Print'!$B$3,Investors!$I:$I,"&lt;="&amp;'NSST Print'!$B$3,Investors!$A:$A,'Investor Exit List'!$A298,Investors!$E:$E,'Investor Exit List'!$C298,Investors!$L:$L,'Investor Exit List'!$B298)-(SUMIFS(Investors!$M:$M,Investors!$I:$I,"&lt;="&amp;'NSST Print'!$B$3,Investors!$J:$J,"&gt;"&amp;'NSST Print'!$B$3,Investors!$A:$A,'Investor Exit List'!$A298,Investors!$E:$E,'Investor Exit List'!$C298,Investors!$L:$L,'Investor Exit List'!$B298)+SUMIFS(Investors!$M:$M,Investors!$I:$I,"&lt;="&amp;'NSST Print'!$B$3,Investors!$J:$J,"",Investors!$A:$A,'Investor Exit List'!$A298,Investors!$E:$E,'Investor Exit List'!$C298,Investors!$L:$L,'Investor Exit List'!$B298))+SUMIFS(Investors!$S:$S,Investors!$O:$O,FALSE,Investors!$P:$P,FALSE,Investors!$K:$K,"&gt;"&amp;'NSST Print'!$B$3,Investors!$I:$I,"&lt;="&amp;'NSST Print'!$B$3,Investors!$A:$A,'Investor Exit List'!$A298,Investors!$E:$E,'Investor Exit List'!$C298,Investors!$L:$L,'Investor Exit List'!$B298)-(SUMIFS(Investors!$S:$S,Investors!$I:$I,"&lt;="&amp;'NSST Print'!$B$3,Investors!$J:$J,"&gt;"&amp;'NSST Print'!$B$3,Investors!$A:$A,'Investor Exit List'!$A298,Investors!$E:$E,'Investor Exit List'!$C298,Investors!$L:$L,'Investor Exit List'!$B298)+SUMIFS(Investors!$S:$S,Investors!$I:$I,"&lt;="&amp;'NSST Print'!$B$3,Investors!$J:$J,"",Investors!$A:$A,'Investor Exit List'!$A298,Investors!$E:$E,'Investor Exit List'!$C298,Investors!$L:$L,'Investor Exit List'!$B298))</f>
        <v>470778.08219178079</v>
      </c>
      <c r="R298" s="117">
        <f t="shared" si="53"/>
        <v>0</v>
      </c>
      <c r="S298" s="117">
        <f>SUMIFS(Investors!$M:$M,Investors!$O:$O,TRUE,Investors!$A:$A,'Investor Exit List'!$A298,Investors!$E:$E,'Investor Exit List'!$C298,Investors!$L:$L,'Investor Exit List'!$B298)+SUMIFS(Investors!$S:$S,Investors!$O:$O,TRUE,Investors!$A:$A,'Investor Exit List'!$A298,Investors!$E:$E,'Investor Exit List'!$C298,Investors!$L:$L,'Investor Exit List'!$B298)</f>
        <v>0</v>
      </c>
      <c r="T298" s="118" t="str">
        <f t="shared" si="54"/>
        <v/>
      </c>
      <c r="U298" s="116" t="b">
        <v>0</v>
      </c>
      <c r="V298" s="117">
        <f t="shared" si="55"/>
        <v>0</v>
      </c>
      <c r="W298" s="116">
        <v>0</v>
      </c>
      <c r="X298" s="116" t="b">
        <v>0</v>
      </c>
      <c r="Y298" s="119">
        <f>IF(H298=FALSE,VLOOKUP($C298,Sales!$C:$F,4,FALSE),1)</f>
        <v>0</v>
      </c>
      <c r="Z298" s="116" t="str">
        <f t="shared" si="56"/>
        <v>Release</v>
      </c>
      <c r="AA298" s="118">
        <f t="shared" si="57"/>
        <v>45928</v>
      </c>
      <c r="AB298" s="118" t="str">
        <f t="shared" si="58"/>
        <v>HVG301-ZHAR02</v>
      </c>
      <c r="AC298" s="118">
        <f t="shared" si="59"/>
        <v>45928</v>
      </c>
    </row>
    <row r="299" spans="1:29" ht="16" x14ac:dyDescent="0.2">
      <c r="A299" s="116" t="s">
        <v>663</v>
      </c>
      <c r="B299" s="116">
        <v>5</v>
      </c>
      <c r="C299" s="116" t="s">
        <v>662</v>
      </c>
      <c r="D299" s="116" t="s">
        <v>628</v>
      </c>
      <c r="E299" s="116" t="s">
        <v>2188</v>
      </c>
      <c r="F299" s="117">
        <f>SUMIFS(Investors!$M:$M,Investors!$O:$O,FALSE,Investors!$P:$P,FALSE,Investors!$K:$K,"&gt;"&amp;'NSST Print'!$B$3,Investors!$I:$I,"&lt;="&amp;'NSST Print'!$B$3,Investors!$A:$A,'Investor Exit List'!$A299,Investors!$E:$E,'Investor Exit List'!$C299,Investors!$L:$L,'Investor Exit List'!$B299)-(SUMIFS(Investors!$M:$M,Investors!$I:$I,"&lt;="&amp;'NSST Print'!$B$3,Investors!$J:$J,"&gt;"&amp;'NSST Print'!$B$3,Investors!$A:$A,'Investor Exit List'!$A299,Investors!$E:$E,'Investor Exit List'!$C299,Investors!$L:$L,'Investor Exit List'!$B299)+SUMIFS(Investors!$M:$M,Investors!$I:$I,"&lt;="&amp;'NSST Print'!$B$3,Investors!$J:$J,"",Investors!$A:$A,'Investor Exit List'!$A299,Investors!$E:$E,'Investor Exit List'!$C299,Investors!$L:$L,'Investor Exit List'!$B299))</f>
        <v>500000</v>
      </c>
      <c r="G299" s="118">
        <v>45198</v>
      </c>
      <c r="H299" s="116" t="b">
        <f>VLOOKUP($C299,Sales!$C:$E,2,FALSE)</f>
        <v>0</v>
      </c>
      <c r="I299" s="116" t="b">
        <f>VLOOKUP($C299,Sales!$C:$E,3,FALSE)</f>
        <v>0</v>
      </c>
      <c r="J299" s="118">
        <f>SUMIFS(Sales!$H:$H,Sales!$C:$C,'Investor Exit List'!$C299)</f>
        <v>45532</v>
      </c>
      <c r="K299" s="118" t="str">
        <f t="shared" si="48"/>
        <v/>
      </c>
      <c r="L299" s="118">
        <f t="shared" si="49"/>
        <v>45928</v>
      </c>
      <c r="M299" s="118">
        <v>45443</v>
      </c>
      <c r="N299" s="119">
        <f t="shared" si="50"/>
        <v>485</v>
      </c>
      <c r="O299" s="119">
        <f t="shared" si="51"/>
        <v>0</v>
      </c>
      <c r="P299" s="117">
        <f t="shared" si="52"/>
        <v>0</v>
      </c>
      <c r="Q299" s="117">
        <f>SUMIFS(Investors!$M:$M,Investors!$O:$O,FALSE,Investors!$P:$P,FALSE,Investors!$K:$K,"&gt;"&amp;'NSST Print'!$B$3,Investors!$I:$I,"&lt;="&amp;'NSST Print'!$B$3,Investors!$A:$A,'Investor Exit List'!$A299,Investors!$E:$E,'Investor Exit List'!$C299,Investors!$L:$L,'Investor Exit List'!$B299)-(SUMIFS(Investors!$M:$M,Investors!$I:$I,"&lt;="&amp;'NSST Print'!$B$3,Investors!$J:$J,"&gt;"&amp;'NSST Print'!$B$3,Investors!$A:$A,'Investor Exit List'!$A299,Investors!$E:$E,'Investor Exit List'!$C299,Investors!$L:$L,'Investor Exit List'!$B299)+SUMIFS(Investors!$M:$M,Investors!$I:$I,"&lt;="&amp;'NSST Print'!$B$3,Investors!$J:$J,"",Investors!$A:$A,'Investor Exit List'!$A299,Investors!$E:$E,'Investor Exit List'!$C299,Investors!$L:$L,'Investor Exit List'!$B299))+SUMIFS(Investors!$S:$S,Investors!$O:$O,FALSE,Investors!$P:$P,FALSE,Investors!$K:$K,"&gt;"&amp;'NSST Print'!$B$3,Investors!$I:$I,"&lt;="&amp;'NSST Print'!$B$3,Investors!$A:$A,'Investor Exit List'!$A299,Investors!$E:$E,'Investor Exit List'!$C299,Investors!$L:$L,'Investor Exit List'!$B299)-(SUMIFS(Investors!$S:$S,Investors!$I:$I,"&lt;="&amp;'NSST Print'!$B$3,Investors!$J:$J,"&gt;"&amp;'NSST Print'!$B$3,Investors!$A:$A,'Investor Exit List'!$A299,Investors!$E:$E,'Investor Exit List'!$C299,Investors!$L:$L,'Investor Exit List'!$B299)+SUMIFS(Investors!$S:$S,Investors!$I:$I,"&lt;="&amp;'NSST Print'!$B$3,Investors!$J:$J,"",Investors!$A:$A,'Investor Exit List'!$A299,Investors!$E:$E,'Investor Exit List'!$C299,Investors!$L:$L,'Investor Exit List'!$B299))</f>
        <v>605623.28767123295</v>
      </c>
      <c r="R299" s="117">
        <f t="shared" si="53"/>
        <v>0</v>
      </c>
      <c r="S299" s="117">
        <f>SUMIFS(Investors!$M:$M,Investors!$O:$O,TRUE,Investors!$A:$A,'Investor Exit List'!$A299,Investors!$E:$E,'Investor Exit List'!$C299,Investors!$L:$L,'Investor Exit List'!$B299)+SUMIFS(Investors!$S:$S,Investors!$O:$O,TRUE,Investors!$A:$A,'Investor Exit List'!$A299,Investors!$E:$E,'Investor Exit List'!$C299,Investors!$L:$L,'Investor Exit List'!$B299)</f>
        <v>0</v>
      </c>
      <c r="T299" s="118" t="str">
        <f t="shared" si="54"/>
        <v/>
      </c>
      <c r="U299" s="116" t="b">
        <v>0</v>
      </c>
      <c r="V299" s="117">
        <f t="shared" si="55"/>
        <v>0</v>
      </c>
      <c r="W299" s="116">
        <v>0</v>
      </c>
      <c r="X299" s="116" t="b">
        <v>0</v>
      </c>
      <c r="Y299" s="119">
        <f>IF(H299=FALSE,VLOOKUP($C299,Sales!$C:$F,4,FALSE),1)</f>
        <v>0</v>
      </c>
      <c r="Z299" s="116" t="str">
        <f t="shared" si="56"/>
        <v>Release</v>
      </c>
      <c r="AA299" s="118">
        <f t="shared" si="57"/>
        <v>45928</v>
      </c>
      <c r="AB299" s="118" t="str">
        <f t="shared" si="58"/>
        <v>HVG301-ZNIE01</v>
      </c>
      <c r="AC299" s="118">
        <f t="shared" si="59"/>
        <v>45928</v>
      </c>
    </row>
    <row r="300" spans="1:29" ht="16" x14ac:dyDescent="0.2">
      <c r="A300" s="116" t="s">
        <v>485</v>
      </c>
      <c r="B300" s="116">
        <v>10</v>
      </c>
      <c r="C300" s="116" t="s">
        <v>662</v>
      </c>
      <c r="D300" s="116" t="s">
        <v>628</v>
      </c>
      <c r="E300" s="116" t="s">
        <v>2143</v>
      </c>
      <c r="F300" s="117">
        <f>SUMIFS(Investors!$M:$M,Investors!$O:$O,FALSE,Investors!$P:$P,FALSE,Investors!$K:$K,"&gt;"&amp;'NSST Print'!$B$3,Investors!$I:$I,"&lt;="&amp;'NSST Print'!$B$3,Investors!$A:$A,'Investor Exit List'!$A300,Investors!$E:$E,'Investor Exit List'!$C300,Investors!$L:$L,'Investor Exit List'!$B300)-(SUMIFS(Investors!$M:$M,Investors!$I:$I,"&lt;="&amp;'NSST Print'!$B$3,Investors!$J:$J,"&gt;"&amp;'NSST Print'!$B$3,Investors!$A:$A,'Investor Exit List'!$A300,Investors!$E:$E,'Investor Exit List'!$C300,Investors!$L:$L,'Investor Exit List'!$B300)+SUMIFS(Investors!$M:$M,Investors!$I:$I,"&lt;="&amp;'NSST Print'!$B$3,Investors!$J:$J,"",Investors!$A:$A,'Investor Exit List'!$A300,Investors!$E:$E,'Investor Exit List'!$C300,Investors!$L:$L,'Investor Exit List'!$B300))</f>
        <v>200000</v>
      </c>
      <c r="G300" s="118">
        <v>45198</v>
      </c>
      <c r="H300" s="116" t="b">
        <f>VLOOKUP($C300,Sales!$C:$E,2,FALSE)</f>
        <v>0</v>
      </c>
      <c r="I300" s="116" t="b">
        <f>VLOOKUP($C300,Sales!$C:$E,3,FALSE)</f>
        <v>0</v>
      </c>
      <c r="J300" s="118">
        <f>SUMIFS(Sales!$H:$H,Sales!$C:$C,'Investor Exit List'!$C300)</f>
        <v>45532</v>
      </c>
      <c r="K300" s="118" t="str">
        <f t="shared" si="48"/>
        <v/>
      </c>
      <c r="L300" s="118">
        <f t="shared" si="49"/>
        <v>45928</v>
      </c>
      <c r="M300" s="118">
        <v>45443</v>
      </c>
      <c r="N300" s="119">
        <f t="shared" si="50"/>
        <v>485</v>
      </c>
      <c r="O300" s="119">
        <f t="shared" si="51"/>
        <v>0</v>
      </c>
      <c r="P300" s="117">
        <f t="shared" si="52"/>
        <v>0</v>
      </c>
      <c r="Q300" s="117">
        <f>SUMIFS(Investors!$M:$M,Investors!$O:$O,FALSE,Investors!$P:$P,FALSE,Investors!$K:$K,"&gt;"&amp;'NSST Print'!$B$3,Investors!$I:$I,"&lt;="&amp;'NSST Print'!$B$3,Investors!$A:$A,'Investor Exit List'!$A300,Investors!$E:$E,'Investor Exit List'!$C300,Investors!$L:$L,'Investor Exit List'!$B300)-(SUMIFS(Investors!$M:$M,Investors!$I:$I,"&lt;="&amp;'NSST Print'!$B$3,Investors!$J:$J,"&gt;"&amp;'NSST Print'!$B$3,Investors!$A:$A,'Investor Exit List'!$A300,Investors!$E:$E,'Investor Exit List'!$C300,Investors!$L:$L,'Investor Exit List'!$B300)+SUMIFS(Investors!$M:$M,Investors!$I:$I,"&lt;="&amp;'NSST Print'!$B$3,Investors!$J:$J,"",Investors!$A:$A,'Investor Exit List'!$A300,Investors!$E:$E,'Investor Exit List'!$C300,Investors!$L:$L,'Investor Exit List'!$B300))+SUMIFS(Investors!$S:$S,Investors!$O:$O,FALSE,Investors!$P:$P,FALSE,Investors!$K:$K,"&gt;"&amp;'NSST Print'!$B$3,Investors!$I:$I,"&lt;="&amp;'NSST Print'!$B$3,Investors!$A:$A,'Investor Exit List'!$A300,Investors!$E:$E,'Investor Exit List'!$C300,Investors!$L:$L,'Investor Exit List'!$B300)-(SUMIFS(Investors!$S:$S,Investors!$I:$I,"&lt;="&amp;'NSST Print'!$B$3,Investors!$J:$J,"&gt;"&amp;'NSST Print'!$B$3,Investors!$A:$A,'Investor Exit List'!$A300,Investors!$E:$E,'Investor Exit List'!$C300,Investors!$L:$L,'Investor Exit List'!$B300)+SUMIFS(Investors!$S:$S,Investors!$I:$I,"&lt;="&amp;'NSST Print'!$B$3,Investors!$J:$J,"",Investors!$A:$A,'Investor Exit List'!$A300,Investors!$E:$E,'Investor Exit List'!$C300,Investors!$L:$L,'Investor Exit List'!$B300))</f>
        <v>241731.50684931505</v>
      </c>
      <c r="R300" s="117">
        <f t="shared" si="53"/>
        <v>0</v>
      </c>
      <c r="S300" s="117">
        <f>SUMIFS(Investors!$M:$M,Investors!$O:$O,TRUE,Investors!$A:$A,'Investor Exit List'!$A300,Investors!$E:$E,'Investor Exit List'!$C300,Investors!$L:$L,'Investor Exit List'!$B300)+SUMIFS(Investors!$S:$S,Investors!$O:$O,TRUE,Investors!$A:$A,'Investor Exit List'!$A300,Investors!$E:$E,'Investor Exit List'!$C300,Investors!$L:$L,'Investor Exit List'!$B300)</f>
        <v>0</v>
      </c>
      <c r="T300" s="118" t="str">
        <f t="shared" si="54"/>
        <v/>
      </c>
      <c r="U300" s="116" t="b">
        <v>0</v>
      </c>
      <c r="V300" s="117">
        <f t="shared" si="55"/>
        <v>0</v>
      </c>
      <c r="W300" s="116">
        <v>0</v>
      </c>
      <c r="X300" s="116" t="b">
        <v>0</v>
      </c>
      <c r="Y300" s="119">
        <f>IF(H300=FALSE,VLOOKUP($C300,Sales!$C:$F,4,FALSE),1)</f>
        <v>0</v>
      </c>
      <c r="Z300" s="116" t="str">
        <f t="shared" si="56"/>
        <v>Release</v>
      </c>
      <c r="AA300" s="118">
        <f t="shared" si="57"/>
        <v>45928</v>
      </c>
      <c r="AB300" s="118" t="str">
        <f t="shared" si="58"/>
        <v>HVG301-ZVAN05</v>
      </c>
      <c r="AC300" s="118">
        <f t="shared" si="59"/>
        <v>45928</v>
      </c>
    </row>
    <row r="301" spans="1:29" ht="16" x14ac:dyDescent="0.2">
      <c r="A301" s="116" t="s">
        <v>78</v>
      </c>
      <c r="B301" s="116">
        <v>4</v>
      </c>
      <c r="C301" s="116" t="s">
        <v>665</v>
      </c>
      <c r="D301" s="116" t="s">
        <v>628</v>
      </c>
      <c r="E301" s="116" t="s">
        <v>2025</v>
      </c>
      <c r="F301" s="117">
        <f>SUMIFS(Investors!$M:$M,Investors!$O:$O,FALSE,Investors!$P:$P,FALSE,Investors!$K:$K,"&gt;"&amp;'NSST Print'!$B$3,Investors!$I:$I,"&lt;="&amp;'NSST Print'!$B$3,Investors!$A:$A,'Investor Exit List'!$A301,Investors!$E:$E,'Investor Exit List'!$C301,Investors!$L:$L,'Investor Exit List'!$B301)-(SUMIFS(Investors!$M:$M,Investors!$I:$I,"&lt;="&amp;'NSST Print'!$B$3,Investors!$J:$J,"&gt;"&amp;'NSST Print'!$B$3,Investors!$A:$A,'Investor Exit List'!$A301,Investors!$E:$E,'Investor Exit List'!$C301,Investors!$L:$L,'Investor Exit List'!$B301)+SUMIFS(Investors!$M:$M,Investors!$I:$I,"&lt;="&amp;'NSST Print'!$B$3,Investors!$J:$J,"",Investors!$A:$A,'Investor Exit List'!$A301,Investors!$E:$E,'Investor Exit List'!$C301,Investors!$L:$L,'Investor Exit List'!$B301))</f>
        <v>473976.03</v>
      </c>
      <c r="G301" s="118">
        <v>45198</v>
      </c>
      <c r="H301" s="116" t="b">
        <f>VLOOKUP($C301,Sales!$C:$E,2,FALSE)</f>
        <v>0</v>
      </c>
      <c r="I301" s="116" t="b">
        <f>VLOOKUP($C301,Sales!$C:$E,3,FALSE)</f>
        <v>0</v>
      </c>
      <c r="J301" s="118">
        <f>SUMIFS(Sales!$H:$H,Sales!$C:$C,'Investor Exit List'!$C301)</f>
        <v>45532</v>
      </c>
      <c r="K301" s="118" t="str">
        <f t="shared" si="48"/>
        <v/>
      </c>
      <c r="L301" s="118">
        <f t="shared" si="49"/>
        <v>45928</v>
      </c>
      <c r="M301" s="118">
        <v>45443</v>
      </c>
      <c r="N301" s="119">
        <f t="shared" si="50"/>
        <v>485</v>
      </c>
      <c r="O301" s="119">
        <f t="shared" si="51"/>
        <v>0</v>
      </c>
      <c r="P301" s="117">
        <f t="shared" si="52"/>
        <v>0</v>
      </c>
      <c r="Q301" s="117">
        <f>SUMIFS(Investors!$M:$M,Investors!$O:$O,FALSE,Investors!$P:$P,FALSE,Investors!$K:$K,"&gt;"&amp;'NSST Print'!$B$3,Investors!$I:$I,"&lt;="&amp;'NSST Print'!$B$3,Investors!$A:$A,'Investor Exit List'!$A301,Investors!$E:$E,'Investor Exit List'!$C301,Investors!$L:$L,'Investor Exit List'!$B301)-(SUMIFS(Investors!$M:$M,Investors!$I:$I,"&lt;="&amp;'NSST Print'!$B$3,Investors!$J:$J,"&gt;"&amp;'NSST Print'!$B$3,Investors!$A:$A,'Investor Exit List'!$A301,Investors!$E:$E,'Investor Exit List'!$C301,Investors!$L:$L,'Investor Exit List'!$B301)+SUMIFS(Investors!$M:$M,Investors!$I:$I,"&lt;="&amp;'NSST Print'!$B$3,Investors!$J:$J,"",Investors!$A:$A,'Investor Exit List'!$A301,Investors!$E:$E,'Investor Exit List'!$C301,Investors!$L:$L,'Investor Exit List'!$B301))+SUMIFS(Investors!$S:$S,Investors!$O:$O,FALSE,Investors!$P:$P,FALSE,Investors!$K:$K,"&gt;"&amp;'NSST Print'!$B$3,Investors!$I:$I,"&lt;="&amp;'NSST Print'!$B$3,Investors!$A:$A,'Investor Exit List'!$A301,Investors!$E:$E,'Investor Exit List'!$C301,Investors!$L:$L,'Investor Exit List'!$B301)-(SUMIFS(Investors!$S:$S,Investors!$I:$I,"&lt;="&amp;'NSST Print'!$B$3,Investors!$J:$J,"&gt;"&amp;'NSST Print'!$B$3,Investors!$A:$A,'Investor Exit List'!$A301,Investors!$E:$E,'Investor Exit List'!$C301,Investors!$L:$L,'Investor Exit List'!$B301)+SUMIFS(Investors!$S:$S,Investors!$I:$I,"&lt;="&amp;'NSST Print'!$B$3,Investors!$J:$J,"",Investors!$A:$A,'Investor Exit List'!$A301,Investors!$E:$E,'Investor Exit List'!$C301,Investors!$L:$L,'Investor Exit List'!$B301))</f>
        <v>574101.84313191788</v>
      </c>
      <c r="R301" s="117">
        <f t="shared" si="53"/>
        <v>0</v>
      </c>
      <c r="S301" s="117">
        <f>SUMIFS(Investors!$M:$M,Investors!$O:$O,TRUE,Investors!$A:$A,'Investor Exit List'!$A301,Investors!$E:$E,'Investor Exit List'!$C301,Investors!$L:$L,'Investor Exit List'!$B301)+SUMIFS(Investors!$S:$S,Investors!$O:$O,TRUE,Investors!$A:$A,'Investor Exit List'!$A301,Investors!$E:$E,'Investor Exit List'!$C301,Investors!$L:$L,'Investor Exit List'!$B301)</f>
        <v>0</v>
      </c>
      <c r="T301" s="118" t="str">
        <f t="shared" si="54"/>
        <v/>
      </c>
      <c r="U301" s="116" t="b">
        <v>0</v>
      </c>
      <c r="V301" s="117">
        <f t="shared" si="55"/>
        <v>0</v>
      </c>
      <c r="W301" s="116">
        <v>0</v>
      </c>
      <c r="X301" s="116" t="b">
        <v>0</v>
      </c>
      <c r="Y301" s="119">
        <f>IF(H301=FALSE,VLOOKUP($C301,Sales!$C:$F,4,FALSE),1)</f>
        <v>0</v>
      </c>
      <c r="Z301" s="116" t="str">
        <f t="shared" si="56"/>
        <v>Release</v>
      </c>
      <c r="AA301" s="118">
        <f t="shared" si="57"/>
        <v>45928</v>
      </c>
      <c r="AB301" s="118" t="str">
        <f t="shared" si="58"/>
        <v>HVG302-ZDAD01</v>
      </c>
      <c r="AC301" s="118">
        <f t="shared" si="59"/>
        <v>45928</v>
      </c>
    </row>
    <row r="302" spans="1:29" ht="16" x14ac:dyDescent="0.2">
      <c r="A302" s="116" t="s">
        <v>317</v>
      </c>
      <c r="B302" s="116">
        <v>2</v>
      </c>
      <c r="C302" s="116" t="s">
        <v>665</v>
      </c>
      <c r="D302" s="116" t="s">
        <v>628</v>
      </c>
      <c r="E302" s="116" t="s">
        <v>2096</v>
      </c>
      <c r="F302" s="117">
        <f>SUMIFS(Investors!$M:$M,Investors!$O:$O,FALSE,Investors!$P:$P,FALSE,Investors!$K:$K,"&gt;"&amp;'NSST Print'!$B$3,Investors!$I:$I,"&lt;="&amp;'NSST Print'!$B$3,Investors!$A:$A,'Investor Exit List'!$A302,Investors!$E:$E,'Investor Exit List'!$C302,Investors!$L:$L,'Investor Exit List'!$B302)-(SUMIFS(Investors!$M:$M,Investors!$I:$I,"&lt;="&amp;'NSST Print'!$B$3,Investors!$J:$J,"&gt;"&amp;'NSST Print'!$B$3,Investors!$A:$A,'Investor Exit List'!$A302,Investors!$E:$E,'Investor Exit List'!$C302,Investors!$L:$L,'Investor Exit List'!$B302)+SUMIFS(Investors!$M:$M,Investors!$I:$I,"&lt;="&amp;'NSST Print'!$B$3,Investors!$J:$J,"",Investors!$A:$A,'Investor Exit List'!$A302,Investors!$E:$E,'Investor Exit List'!$C302,Investors!$L:$L,'Investor Exit List'!$B302))</f>
        <v>600000</v>
      </c>
      <c r="G302" s="118">
        <v>45224</v>
      </c>
      <c r="H302" s="116" t="b">
        <f>VLOOKUP($C302,Sales!$C:$E,2,FALSE)</f>
        <v>0</v>
      </c>
      <c r="I302" s="116" t="b">
        <f>VLOOKUP($C302,Sales!$C:$E,3,FALSE)</f>
        <v>0</v>
      </c>
      <c r="J302" s="118">
        <f>SUMIFS(Sales!$H:$H,Sales!$C:$C,'Investor Exit List'!$C302)</f>
        <v>45532</v>
      </c>
      <c r="K302" s="118" t="str">
        <f t="shared" si="48"/>
        <v/>
      </c>
      <c r="L302" s="118">
        <f t="shared" si="49"/>
        <v>45954</v>
      </c>
      <c r="M302" s="118">
        <v>45443</v>
      </c>
      <c r="N302" s="119">
        <f t="shared" si="50"/>
        <v>511</v>
      </c>
      <c r="O302" s="119">
        <f t="shared" si="51"/>
        <v>0</v>
      </c>
      <c r="P302" s="117">
        <f t="shared" si="52"/>
        <v>0</v>
      </c>
      <c r="Q302" s="117">
        <f>SUMIFS(Investors!$M:$M,Investors!$O:$O,FALSE,Investors!$P:$P,FALSE,Investors!$K:$K,"&gt;"&amp;'NSST Print'!$B$3,Investors!$I:$I,"&lt;="&amp;'NSST Print'!$B$3,Investors!$A:$A,'Investor Exit List'!$A302,Investors!$E:$E,'Investor Exit List'!$C302,Investors!$L:$L,'Investor Exit List'!$B302)-(SUMIFS(Investors!$M:$M,Investors!$I:$I,"&lt;="&amp;'NSST Print'!$B$3,Investors!$J:$J,"&gt;"&amp;'NSST Print'!$B$3,Investors!$A:$A,'Investor Exit List'!$A302,Investors!$E:$E,'Investor Exit List'!$C302,Investors!$L:$L,'Investor Exit List'!$B302)+SUMIFS(Investors!$M:$M,Investors!$I:$I,"&lt;="&amp;'NSST Print'!$B$3,Investors!$J:$J,"",Investors!$A:$A,'Investor Exit List'!$A302,Investors!$E:$E,'Investor Exit List'!$C302,Investors!$L:$L,'Investor Exit List'!$B302))+SUMIFS(Investors!$S:$S,Investors!$O:$O,FALSE,Investors!$P:$P,FALSE,Investors!$K:$K,"&gt;"&amp;'NSST Print'!$B$3,Investors!$I:$I,"&lt;="&amp;'NSST Print'!$B$3,Investors!$A:$A,'Investor Exit List'!$A302,Investors!$E:$E,'Investor Exit List'!$C302,Investors!$L:$L,'Investor Exit List'!$B302)-(SUMIFS(Investors!$S:$S,Investors!$I:$I,"&lt;="&amp;'NSST Print'!$B$3,Investors!$J:$J,"&gt;"&amp;'NSST Print'!$B$3,Investors!$A:$A,'Investor Exit List'!$A302,Investors!$E:$E,'Investor Exit List'!$C302,Investors!$L:$L,'Investor Exit List'!$B302)+SUMIFS(Investors!$S:$S,Investors!$I:$I,"&lt;="&amp;'NSST Print'!$B$3,Investors!$J:$J,"",Investors!$A:$A,'Investor Exit List'!$A302,Investors!$E:$E,'Investor Exit List'!$C302,Investors!$L:$L,'Investor Exit List'!$B302))</f>
        <v>713630.13698630128</v>
      </c>
      <c r="R302" s="117">
        <f t="shared" si="53"/>
        <v>0</v>
      </c>
      <c r="S302" s="117">
        <f>SUMIFS(Investors!$M:$M,Investors!$O:$O,TRUE,Investors!$A:$A,'Investor Exit List'!$A302,Investors!$E:$E,'Investor Exit List'!$C302,Investors!$L:$L,'Investor Exit List'!$B302)+SUMIFS(Investors!$S:$S,Investors!$O:$O,TRUE,Investors!$A:$A,'Investor Exit List'!$A302,Investors!$E:$E,'Investor Exit List'!$C302,Investors!$L:$L,'Investor Exit List'!$B302)</f>
        <v>0</v>
      </c>
      <c r="T302" s="118" t="str">
        <f t="shared" si="54"/>
        <v/>
      </c>
      <c r="U302" s="116" t="b">
        <v>0</v>
      </c>
      <c r="V302" s="117">
        <f t="shared" si="55"/>
        <v>0</v>
      </c>
      <c r="W302" s="116">
        <v>0</v>
      </c>
      <c r="X302" s="116" t="b">
        <v>0</v>
      </c>
      <c r="Y302" s="119">
        <f>IF(H302=FALSE,VLOOKUP($C302,Sales!$C:$F,4,FALSE),1)</f>
        <v>0</v>
      </c>
      <c r="Z302" s="116" t="str">
        <f t="shared" si="56"/>
        <v>Release</v>
      </c>
      <c r="AA302" s="118">
        <f t="shared" si="57"/>
        <v>45928</v>
      </c>
      <c r="AB302" s="118" t="str">
        <f t="shared" si="58"/>
        <v>HVG302-ZEDE01</v>
      </c>
      <c r="AC302" s="118">
        <f t="shared" si="59"/>
        <v>45954</v>
      </c>
    </row>
    <row r="303" spans="1:29" ht="16" x14ac:dyDescent="0.2">
      <c r="A303" s="116" t="s">
        <v>326</v>
      </c>
      <c r="B303" s="116">
        <v>6</v>
      </c>
      <c r="C303" s="116" t="s">
        <v>666</v>
      </c>
      <c r="D303" s="116" t="s">
        <v>628</v>
      </c>
      <c r="E303" s="116" t="s">
        <v>2099</v>
      </c>
      <c r="F303" s="117">
        <f>SUMIFS(Investors!$M:$M,Investors!$O:$O,FALSE,Investors!$P:$P,FALSE,Investors!$K:$K,"&gt;"&amp;'NSST Print'!$B$3,Investors!$I:$I,"&lt;="&amp;'NSST Print'!$B$3,Investors!$A:$A,'Investor Exit List'!$A303,Investors!$E:$E,'Investor Exit List'!$C303,Investors!$L:$L,'Investor Exit List'!$B303)-(SUMIFS(Investors!$M:$M,Investors!$I:$I,"&lt;="&amp;'NSST Print'!$B$3,Investors!$J:$J,"&gt;"&amp;'NSST Print'!$B$3,Investors!$A:$A,'Investor Exit List'!$A303,Investors!$E:$E,'Investor Exit List'!$C303,Investors!$L:$L,'Investor Exit List'!$B303)+SUMIFS(Investors!$M:$M,Investors!$I:$I,"&lt;="&amp;'NSST Print'!$B$3,Investors!$J:$J,"",Investors!$A:$A,'Investor Exit List'!$A303,Investors!$E:$E,'Investor Exit List'!$C303,Investors!$L:$L,'Investor Exit List'!$B303))</f>
        <v>943566.44</v>
      </c>
      <c r="G303" s="118">
        <v>45224</v>
      </c>
      <c r="H303" s="116" t="b">
        <f>VLOOKUP($C303,Sales!$C:$E,2,FALSE)</f>
        <v>0</v>
      </c>
      <c r="I303" s="116" t="b">
        <f>VLOOKUP($C303,Sales!$C:$E,3,FALSE)</f>
        <v>0</v>
      </c>
      <c r="J303" s="118">
        <f>SUMIFS(Sales!$H:$H,Sales!$C:$C,'Investor Exit List'!$C303)</f>
        <v>45532</v>
      </c>
      <c r="K303" s="118" t="str">
        <f t="shared" si="48"/>
        <v/>
      </c>
      <c r="L303" s="118">
        <f t="shared" si="49"/>
        <v>45954</v>
      </c>
      <c r="M303" s="118">
        <v>45443</v>
      </c>
      <c r="N303" s="119">
        <f t="shared" si="50"/>
        <v>511</v>
      </c>
      <c r="O303" s="119">
        <f t="shared" si="51"/>
        <v>0</v>
      </c>
      <c r="P303" s="117">
        <f t="shared" si="52"/>
        <v>0</v>
      </c>
      <c r="Q303" s="117">
        <f>SUMIFS(Investors!$M:$M,Investors!$O:$O,FALSE,Investors!$P:$P,FALSE,Investors!$K:$K,"&gt;"&amp;'NSST Print'!$B$3,Investors!$I:$I,"&lt;="&amp;'NSST Print'!$B$3,Investors!$A:$A,'Investor Exit List'!$A303,Investors!$E:$E,'Investor Exit List'!$C303,Investors!$L:$L,'Investor Exit List'!$B303)-(SUMIFS(Investors!$M:$M,Investors!$I:$I,"&lt;="&amp;'NSST Print'!$B$3,Investors!$J:$J,"&gt;"&amp;'NSST Print'!$B$3,Investors!$A:$A,'Investor Exit List'!$A303,Investors!$E:$E,'Investor Exit List'!$C303,Investors!$L:$L,'Investor Exit List'!$B303)+SUMIFS(Investors!$M:$M,Investors!$I:$I,"&lt;="&amp;'NSST Print'!$B$3,Investors!$J:$J,"",Investors!$A:$A,'Investor Exit List'!$A303,Investors!$E:$E,'Investor Exit List'!$C303,Investors!$L:$L,'Investor Exit List'!$B303))+SUMIFS(Investors!$S:$S,Investors!$O:$O,FALSE,Investors!$P:$P,FALSE,Investors!$K:$K,"&gt;"&amp;'NSST Print'!$B$3,Investors!$I:$I,"&lt;="&amp;'NSST Print'!$B$3,Investors!$A:$A,'Investor Exit List'!$A303,Investors!$E:$E,'Investor Exit List'!$C303,Investors!$L:$L,'Investor Exit List'!$B303)-(SUMIFS(Investors!$S:$S,Investors!$I:$I,"&lt;="&amp;'NSST Print'!$B$3,Investors!$J:$J,"&gt;"&amp;'NSST Print'!$B$3,Investors!$A:$A,'Investor Exit List'!$A303,Investors!$E:$E,'Investor Exit List'!$C303,Investors!$L:$L,'Investor Exit List'!$B303)+SUMIFS(Investors!$S:$S,Investors!$I:$I,"&lt;="&amp;'NSST Print'!$B$3,Investors!$J:$J,"",Investors!$A:$A,'Investor Exit List'!$A303,Investors!$E:$E,'Investor Exit List'!$C303,Investors!$L:$L,'Investor Exit List'!$B303))</f>
        <v>1138186.7124257535</v>
      </c>
      <c r="R303" s="117">
        <f t="shared" si="53"/>
        <v>0</v>
      </c>
      <c r="S303" s="117">
        <f>SUMIFS(Investors!$M:$M,Investors!$O:$O,TRUE,Investors!$A:$A,'Investor Exit List'!$A303,Investors!$E:$E,'Investor Exit List'!$C303,Investors!$L:$L,'Investor Exit List'!$B303)+SUMIFS(Investors!$S:$S,Investors!$O:$O,TRUE,Investors!$A:$A,'Investor Exit List'!$A303,Investors!$E:$E,'Investor Exit List'!$C303,Investors!$L:$L,'Investor Exit List'!$B303)</f>
        <v>0</v>
      </c>
      <c r="T303" s="118" t="str">
        <f t="shared" si="54"/>
        <v/>
      </c>
      <c r="U303" s="116" t="b">
        <v>0</v>
      </c>
      <c r="V303" s="117">
        <f t="shared" si="55"/>
        <v>0</v>
      </c>
      <c r="W303" s="116">
        <v>0</v>
      </c>
      <c r="X303" s="116" t="b">
        <v>0</v>
      </c>
      <c r="Y303" s="119">
        <f>IF(H303=FALSE,VLOOKUP($C303,Sales!$C:$F,4,FALSE),1)</f>
        <v>0</v>
      </c>
      <c r="Z303" s="116" t="str">
        <f t="shared" si="56"/>
        <v>Release</v>
      </c>
      <c r="AA303" s="118">
        <f t="shared" si="57"/>
        <v>45954</v>
      </c>
      <c r="AB303" s="118" t="str">
        <f t="shared" si="58"/>
        <v>HVG303-ZAFR01</v>
      </c>
      <c r="AC303" s="118">
        <f t="shared" si="59"/>
        <v>45954</v>
      </c>
    </row>
    <row r="304" spans="1:29" ht="16" x14ac:dyDescent="0.2">
      <c r="A304" s="116" t="s">
        <v>185</v>
      </c>
      <c r="B304" s="116">
        <v>6</v>
      </c>
      <c r="C304" s="116" t="s">
        <v>666</v>
      </c>
      <c r="D304" s="116" t="s">
        <v>628</v>
      </c>
      <c r="E304" s="116" t="s">
        <v>2058</v>
      </c>
      <c r="F304" s="117">
        <f>SUMIFS(Investors!$M:$M,Investors!$O:$O,FALSE,Investors!$P:$P,FALSE,Investors!$K:$K,"&gt;"&amp;'NSST Print'!$B$3,Investors!$I:$I,"&lt;="&amp;'NSST Print'!$B$3,Investors!$A:$A,'Investor Exit List'!$A304,Investors!$E:$E,'Investor Exit List'!$C304,Investors!$L:$L,'Investor Exit List'!$B304)-(SUMIFS(Investors!$M:$M,Investors!$I:$I,"&lt;="&amp;'NSST Print'!$B$3,Investors!$J:$J,"&gt;"&amp;'NSST Print'!$B$3,Investors!$A:$A,'Investor Exit List'!$A304,Investors!$E:$E,'Investor Exit List'!$C304,Investors!$L:$L,'Investor Exit List'!$B304)+SUMIFS(Investors!$M:$M,Investors!$I:$I,"&lt;="&amp;'NSST Print'!$B$3,Investors!$J:$J,"",Investors!$A:$A,'Investor Exit List'!$A304,Investors!$E:$E,'Investor Exit List'!$C304,Investors!$L:$L,'Investor Exit List'!$B304))</f>
        <v>139300.72</v>
      </c>
      <c r="G304" s="118">
        <v>45259</v>
      </c>
      <c r="H304" s="116" t="b">
        <f>VLOOKUP($C304,Sales!$C:$E,2,FALSE)</f>
        <v>0</v>
      </c>
      <c r="I304" s="116" t="b">
        <f>VLOOKUP($C304,Sales!$C:$E,3,FALSE)</f>
        <v>0</v>
      </c>
      <c r="J304" s="118">
        <f>SUMIFS(Sales!$H:$H,Sales!$C:$C,'Investor Exit List'!$C304)</f>
        <v>45532</v>
      </c>
      <c r="K304" s="118" t="str">
        <f t="shared" si="48"/>
        <v/>
      </c>
      <c r="L304" s="118">
        <f t="shared" si="49"/>
        <v>45989</v>
      </c>
      <c r="M304" s="118">
        <v>45443</v>
      </c>
      <c r="N304" s="119">
        <f t="shared" si="50"/>
        <v>546</v>
      </c>
      <c r="O304" s="119">
        <f t="shared" si="51"/>
        <v>0</v>
      </c>
      <c r="P304" s="117">
        <f t="shared" si="52"/>
        <v>0</v>
      </c>
      <c r="Q304" s="117">
        <f>SUMIFS(Investors!$M:$M,Investors!$O:$O,FALSE,Investors!$P:$P,FALSE,Investors!$K:$K,"&gt;"&amp;'NSST Print'!$B$3,Investors!$I:$I,"&lt;="&amp;'NSST Print'!$B$3,Investors!$A:$A,'Investor Exit List'!$A304,Investors!$E:$E,'Investor Exit List'!$C304,Investors!$L:$L,'Investor Exit List'!$B304)-(SUMIFS(Investors!$M:$M,Investors!$I:$I,"&lt;="&amp;'NSST Print'!$B$3,Investors!$J:$J,"&gt;"&amp;'NSST Print'!$B$3,Investors!$A:$A,'Investor Exit List'!$A304,Investors!$E:$E,'Investor Exit List'!$C304,Investors!$L:$L,'Investor Exit List'!$B304)+SUMIFS(Investors!$M:$M,Investors!$I:$I,"&lt;="&amp;'NSST Print'!$B$3,Investors!$J:$J,"",Investors!$A:$A,'Investor Exit List'!$A304,Investors!$E:$E,'Investor Exit List'!$C304,Investors!$L:$L,'Investor Exit List'!$B304))+SUMIFS(Investors!$S:$S,Investors!$O:$O,FALSE,Investors!$P:$P,FALSE,Investors!$K:$K,"&gt;"&amp;'NSST Print'!$B$3,Investors!$I:$I,"&lt;="&amp;'NSST Print'!$B$3,Investors!$A:$A,'Investor Exit List'!$A304,Investors!$E:$E,'Investor Exit List'!$C304,Investors!$L:$L,'Investor Exit List'!$B304)-(SUMIFS(Investors!$S:$S,Investors!$I:$I,"&lt;="&amp;'NSST Print'!$B$3,Investors!$J:$J,"&gt;"&amp;'NSST Print'!$B$3,Investors!$A:$A,'Investor Exit List'!$A304,Investors!$E:$E,'Investor Exit List'!$C304,Investors!$L:$L,'Investor Exit List'!$B304)+SUMIFS(Investors!$S:$S,Investors!$I:$I,"&lt;="&amp;'NSST Print'!$B$3,Investors!$J:$J,"",Investors!$A:$A,'Investor Exit List'!$A304,Investors!$E:$E,'Investor Exit List'!$C304,Investors!$L:$L,'Investor Exit List'!$B304))</f>
        <v>160688.15109260273</v>
      </c>
      <c r="R304" s="117">
        <f t="shared" si="53"/>
        <v>0</v>
      </c>
      <c r="S304" s="117">
        <f>SUMIFS(Investors!$M:$M,Investors!$O:$O,TRUE,Investors!$A:$A,'Investor Exit List'!$A304,Investors!$E:$E,'Investor Exit List'!$C304,Investors!$L:$L,'Investor Exit List'!$B304)+SUMIFS(Investors!$S:$S,Investors!$O:$O,TRUE,Investors!$A:$A,'Investor Exit List'!$A304,Investors!$E:$E,'Investor Exit List'!$C304,Investors!$L:$L,'Investor Exit List'!$B304)</f>
        <v>0</v>
      </c>
      <c r="T304" s="118" t="str">
        <f t="shared" si="54"/>
        <v/>
      </c>
      <c r="U304" s="116" t="b">
        <v>0</v>
      </c>
      <c r="V304" s="117">
        <f t="shared" si="55"/>
        <v>0</v>
      </c>
      <c r="W304" s="116">
        <v>0</v>
      </c>
      <c r="X304" s="116" t="b">
        <v>0</v>
      </c>
      <c r="Y304" s="119">
        <f>IF(H304=FALSE,VLOOKUP($C304,Sales!$C:$F,4,FALSE),1)</f>
        <v>0</v>
      </c>
      <c r="Z304" s="116" t="str">
        <f t="shared" si="56"/>
        <v>Release</v>
      </c>
      <c r="AA304" s="118">
        <f t="shared" si="57"/>
        <v>45954</v>
      </c>
      <c r="AB304" s="118" t="str">
        <f t="shared" si="58"/>
        <v>HVG303-ZVER02</v>
      </c>
      <c r="AC304" s="118">
        <f t="shared" si="59"/>
        <v>45989</v>
      </c>
    </row>
    <row r="305" spans="1:29" ht="16" x14ac:dyDescent="0.2">
      <c r="A305" s="116" t="s">
        <v>667</v>
      </c>
      <c r="B305" s="116">
        <v>1</v>
      </c>
      <c r="C305" s="116" t="s">
        <v>670</v>
      </c>
      <c r="D305" s="116" t="s">
        <v>628</v>
      </c>
      <c r="E305" s="116" t="s">
        <v>2189</v>
      </c>
      <c r="F305" s="117">
        <f>SUMIFS(Investors!$M:$M,Investors!$O:$O,FALSE,Investors!$P:$P,FALSE,Investors!$K:$K,"&gt;"&amp;'NSST Print'!$B$3,Investors!$I:$I,"&lt;="&amp;'NSST Print'!$B$3,Investors!$A:$A,'Investor Exit List'!$A305,Investors!$E:$E,'Investor Exit List'!$C305,Investors!$L:$L,'Investor Exit List'!$B305)-(SUMIFS(Investors!$M:$M,Investors!$I:$I,"&lt;="&amp;'NSST Print'!$B$3,Investors!$J:$J,"&gt;"&amp;'NSST Print'!$B$3,Investors!$A:$A,'Investor Exit List'!$A305,Investors!$E:$E,'Investor Exit List'!$C305,Investors!$L:$L,'Investor Exit List'!$B305)+SUMIFS(Investors!$M:$M,Investors!$I:$I,"&lt;="&amp;'NSST Print'!$B$3,Investors!$J:$J,"",Investors!$A:$A,'Investor Exit List'!$A305,Investors!$E:$E,'Investor Exit List'!$C305,Investors!$L:$L,'Investor Exit List'!$B305))</f>
        <v>100000</v>
      </c>
      <c r="G305" s="118">
        <v>45252</v>
      </c>
      <c r="H305" s="116" t="b">
        <f>VLOOKUP($C305,Sales!$C:$E,2,FALSE)</f>
        <v>0</v>
      </c>
      <c r="I305" s="116" t="b">
        <f>VLOOKUP($C305,Sales!$C:$E,3,FALSE)</f>
        <v>0</v>
      </c>
      <c r="J305" s="118">
        <f>SUMIFS(Sales!$H:$H,Sales!$C:$C,'Investor Exit List'!$C305)</f>
        <v>45532</v>
      </c>
      <c r="K305" s="118" t="str">
        <f t="shared" si="48"/>
        <v/>
      </c>
      <c r="L305" s="118">
        <f t="shared" si="49"/>
        <v>45982</v>
      </c>
      <c r="M305" s="118">
        <v>45443</v>
      </c>
      <c r="N305" s="119">
        <f t="shared" si="50"/>
        <v>539</v>
      </c>
      <c r="O305" s="119">
        <f t="shared" si="51"/>
        <v>0</v>
      </c>
      <c r="P305" s="117">
        <f t="shared" si="52"/>
        <v>0</v>
      </c>
      <c r="Q305" s="117">
        <f>SUMIFS(Investors!$M:$M,Investors!$O:$O,FALSE,Investors!$P:$P,FALSE,Investors!$K:$K,"&gt;"&amp;'NSST Print'!$B$3,Investors!$I:$I,"&lt;="&amp;'NSST Print'!$B$3,Investors!$A:$A,'Investor Exit List'!$A305,Investors!$E:$E,'Investor Exit List'!$C305,Investors!$L:$L,'Investor Exit List'!$B305)-(SUMIFS(Investors!$M:$M,Investors!$I:$I,"&lt;="&amp;'NSST Print'!$B$3,Investors!$J:$J,"&gt;"&amp;'NSST Print'!$B$3,Investors!$A:$A,'Investor Exit List'!$A305,Investors!$E:$E,'Investor Exit List'!$C305,Investors!$L:$L,'Investor Exit List'!$B305)+SUMIFS(Investors!$M:$M,Investors!$I:$I,"&lt;="&amp;'NSST Print'!$B$3,Investors!$J:$J,"",Investors!$A:$A,'Investor Exit List'!$A305,Investors!$E:$E,'Investor Exit List'!$C305,Investors!$L:$L,'Investor Exit List'!$B305))+SUMIFS(Investors!$S:$S,Investors!$O:$O,FALSE,Investors!$P:$P,FALSE,Investors!$K:$K,"&gt;"&amp;'NSST Print'!$B$3,Investors!$I:$I,"&lt;="&amp;'NSST Print'!$B$3,Investors!$A:$A,'Investor Exit List'!$A305,Investors!$E:$E,'Investor Exit List'!$C305,Investors!$L:$L,'Investor Exit List'!$B305)-(SUMIFS(Investors!$S:$S,Investors!$I:$I,"&lt;="&amp;'NSST Print'!$B$3,Investors!$J:$J,"&gt;"&amp;'NSST Print'!$B$3,Investors!$A:$A,'Investor Exit List'!$A305,Investors!$E:$E,'Investor Exit List'!$C305,Investors!$L:$L,'Investor Exit List'!$B305)+SUMIFS(Investors!$S:$S,Investors!$I:$I,"&lt;="&amp;'NSST Print'!$B$3,Investors!$J:$J,"",Investors!$A:$A,'Investor Exit List'!$A305,Investors!$E:$E,'Investor Exit List'!$C305,Investors!$L:$L,'Investor Exit List'!$B305))</f>
        <v>116589.0410958904</v>
      </c>
      <c r="R305" s="117">
        <f t="shared" si="53"/>
        <v>0</v>
      </c>
      <c r="S305" s="117">
        <f>SUMIFS(Investors!$M:$M,Investors!$O:$O,TRUE,Investors!$A:$A,'Investor Exit List'!$A305,Investors!$E:$E,'Investor Exit List'!$C305,Investors!$L:$L,'Investor Exit List'!$B305)+SUMIFS(Investors!$S:$S,Investors!$O:$O,TRUE,Investors!$A:$A,'Investor Exit List'!$A305,Investors!$E:$E,'Investor Exit List'!$C305,Investors!$L:$L,'Investor Exit List'!$B305)</f>
        <v>0</v>
      </c>
      <c r="T305" s="118" t="str">
        <f t="shared" si="54"/>
        <v/>
      </c>
      <c r="U305" s="116" t="b">
        <v>0</v>
      </c>
      <c r="V305" s="117">
        <f t="shared" si="55"/>
        <v>0</v>
      </c>
      <c r="W305" s="116">
        <v>0</v>
      </c>
      <c r="X305" s="116" t="b">
        <v>0</v>
      </c>
      <c r="Y305" s="119">
        <f>IF(H305=FALSE,VLOOKUP($C305,Sales!$C:$F,4,FALSE),1)</f>
        <v>0</v>
      </c>
      <c r="Z305" s="116" t="str">
        <f t="shared" si="56"/>
        <v>Release</v>
      </c>
      <c r="AA305" s="118">
        <f t="shared" si="57"/>
        <v>45928</v>
      </c>
      <c r="AB305" s="118" t="str">
        <f t="shared" si="58"/>
        <v>HVG304-ZJOS01</v>
      </c>
      <c r="AC305" s="118">
        <f t="shared" si="59"/>
        <v>45982</v>
      </c>
    </row>
    <row r="306" spans="1:29" ht="16" x14ac:dyDescent="0.2">
      <c r="A306" s="116" t="s">
        <v>332</v>
      </c>
      <c r="B306" s="116">
        <v>5</v>
      </c>
      <c r="C306" s="116" t="s">
        <v>670</v>
      </c>
      <c r="D306" s="116" t="s">
        <v>628</v>
      </c>
      <c r="E306" s="116" t="s">
        <v>2101</v>
      </c>
      <c r="F306" s="117">
        <f>SUMIFS(Investors!$M:$M,Investors!$O:$O,FALSE,Investors!$P:$P,FALSE,Investors!$K:$K,"&gt;"&amp;'NSST Print'!$B$3,Investors!$I:$I,"&lt;="&amp;'NSST Print'!$B$3,Investors!$A:$A,'Investor Exit List'!$A306,Investors!$E:$E,'Investor Exit List'!$C306,Investors!$L:$L,'Investor Exit List'!$B306)-(SUMIFS(Investors!$M:$M,Investors!$I:$I,"&lt;="&amp;'NSST Print'!$B$3,Investors!$J:$J,"&gt;"&amp;'NSST Print'!$B$3,Investors!$A:$A,'Investor Exit List'!$A306,Investors!$E:$E,'Investor Exit List'!$C306,Investors!$L:$L,'Investor Exit List'!$B306)+SUMIFS(Investors!$M:$M,Investors!$I:$I,"&lt;="&amp;'NSST Print'!$B$3,Investors!$J:$J,"",Investors!$A:$A,'Investor Exit List'!$A306,Investors!$E:$E,'Investor Exit List'!$C306,Investors!$L:$L,'Investor Exit List'!$B306))</f>
        <v>500000</v>
      </c>
      <c r="G306" s="118">
        <v>45198</v>
      </c>
      <c r="H306" s="116" t="b">
        <f>VLOOKUP($C306,Sales!$C:$E,2,FALSE)</f>
        <v>0</v>
      </c>
      <c r="I306" s="116" t="b">
        <f>VLOOKUP($C306,Sales!$C:$E,3,FALSE)</f>
        <v>0</v>
      </c>
      <c r="J306" s="118">
        <f>SUMIFS(Sales!$H:$H,Sales!$C:$C,'Investor Exit List'!$C306)</f>
        <v>45532</v>
      </c>
      <c r="K306" s="118" t="str">
        <f t="shared" si="48"/>
        <v/>
      </c>
      <c r="L306" s="118">
        <f t="shared" si="49"/>
        <v>45928</v>
      </c>
      <c r="M306" s="118">
        <v>45443</v>
      </c>
      <c r="N306" s="119">
        <f t="shared" si="50"/>
        <v>485</v>
      </c>
      <c r="O306" s="119">
        <f t="shared" si="51"/>
        <v>0</v>
      </c>
      <c r="P306" s="117">
        <f t="shared" si="52"/>
        <v>0</v>
      </c>
      <c r="Q306" s="117">
        <f>SUMIFS(Investors!$M:$M,Investors!$O:$O,FALSE,Investors!$P:$P,FALSE,Investors!$K:$K,"&gt;"&amp;'NSST Print'!$B$3,Investors!$I:$I,"&lt;="&amp;'NSST Print'!$B$3,Investors!$A:$A,'Investor Exit List'!$A306,Investors!$E:$E,'Investor Exit List'!$C306,Investors!$L:$L,'Investor Exit List'!$B306)-(SUMIFS(Investors!$M:$M,Investors!$I:$I,"&lt;="&amp;'NSST Print'!$B$3,Investors!$J:$J,"&gt;"&amp;'NSST Print'!$B$3,Investors!$A:$A,'Investor Exit List'!$A306,Investors!$E:$E,'Investor Exit List'!$C306,Investors!$L:$L,'Investor Exit List'!$B306)+SUMIFS(Investors!$M:$M,Investors!$I:$I,"&lt;="&amp;'NSST Print'!$B$3,Investors!$J:$J,"",Investors!$A:$A,'Investor Exit List'!$A306,Investors!$E:$E,'Investor Exit List'!$C306,Investors!$L:$L,'Investor Exit List'!$B306))+SUMIFS(Investors!$S:$S,Investors!$O:$O,FALSE,Investors!$P:$P,FALSE,Investors!$K:$K,"&gt;"&amp;'NSST Print'!$B$3,Investors!$I:$I,"&lt;="&amp;'NSST Print'!$B$3,Investors!$A:$A,'Investor Exit List'!$A306,Investors!$E:$E,'Investor Exit List'!$C306,Investors!$L:$L,'Investor Exit List'!$B306)-(SUMIFS(Investors!$S:$S,Investors!$I:$I,"&lt;="&amp;'NSST Print'!$B$3,Investors!$J:$J,"&gt;"&amp;'NSST Print'!$B$3,Investors!$A:$A,'Investor Exit List'!$A306,Investors!$E:$E,'Investor Exit List'!$C306,Investors!$L:$L,'Investor Exit List'!$B306)+SUMIFS(Investors!$S:$S,Investors!$I:$I,"&lt;="&amp;'NSST Print'!$B$3,Investors!$J:$J,"",Investors!$A:$A,'Investor Exit List'!$A306,Investors!$E:$E,'Investor Exit List'!$C306,Investors!$L:$L,'Investor Exit List'!$B306))</f>
        <v>605623.28767123295</v>
      </c>
      <c r="R306" s="117">
        <f t="shared" si="53"/>
        <v>0</v>
      </c>
      <c r="S306" s="117">
        <f>SUMIFS(Investors!$M:$M,Investors!$O:$O,TRUE,Investors!$A:$A,'Investor Exit List'!$A306,Investors!$E:$E,'Investor Exit List'!$C306,Investors!$L:$L,'Investor Exit List'!$B306)+SUMIFS(Investors!$S:$S,Investors!$O:$O,TRUE,Investors!$A:$A,'Investor Exit List'!$A306,Investors!$E:$E,'Investor Exit List'!$C306,Investors!$L:$L,'Investor Exit List'!$B306)</f>
        <v>0</v>
      </c>
      <c r="T306" s="118" t="str">
        <f t="shared" si="54"/>
        <v/>
      </c>
      <c r="U306" s="116" t="b">
        <v>0</v>
      </c>
      <c r="V306" s="117">
        <f t="shared" si="55"/>
        <v>0</v>
      </c>
      <c r="W306" s="116">
        <v>0</v>
      </c>
      <c r="X306" s="116" t="b">
        <v>0</v>
      </c>
      <c r="Y306" s="119">
        <f>IF(H306=FALSE,VLOOKUP($C306,Sales!$C:$F,4,FALSE),1)</f>
        <v>0</v>
      </c>
      <c r="Z306" s="116" t="str">
        <f t="shared" si="56"/>
        <v>Release</v>
      </c>
      <c r="AA306" s="118">
        <f t="shared" si="57"/>
        <v>45928</v>
      </c>
      <c r="AB306" s="118" t="str">
        <f t="shared" si="58"/>
        <v>HVG304-ZREN01</v>
      </c>
      <c r="AC306" s="118">
        <f t="shared" si="59"/>
        <v>45928</v>
      </c>
    </row>
    <row r="307" spans="1:29" ht="16" x14ac:dyDescent="0.2">
      <c r="A307" s="116" t="s">
        <v>276</v>
      </c>
      <c r="B307" s="116">
        <v>4</v>
      </c>
      <c r="C307" s="116" t="s">
        <v>670</v>
      </c>
      <c r="D307" s="116" t="s">
        <v>628</v>
      </c>
      <c r="E307" s="116" t="s">
        <v>2085</v>
      </c>
      <c r="F307" s="117">
        <f>SUMIFS(Investors!$M:$M,Investors!$O:$O,FALSE,Investors!$P:$P,FALSE,Investors!$K:$K,"&gt;"&amp;'NSST Print'!$B$3,Investors!$I:$I,"&lt;="&amp;'NSST Print'!$B$3,Investors!$A:$A,'Investor Exit List'!$A307,Investors!$E:$E,'Investor Exit List'!$C307,Investors!$L:$L,'Investor Exit List'!$B307)-(SUMIFS(Investors!$M:$M,Investors!$I:$I,"&lt;="&amp;'NSST Print'!$B$3,Investors!$J:$J,"&gt;"&amp;'NSST Print'!$B$3,Investors!$A:$A,'Investor Exit List'!$A307,Investors!$E:$E,'Investor Exit List'!$C307,Investors!$L:$L,'Investor Exit List'!$B307)+SUMIFS(Investors!$M:$M,Investors!$I:$I,"&lt;="&amp;'NSST Print'!$B$3,Investors!$J:$J,"",Investors!$A:$A,'Investor Exit List'!$A307,Investors!$E:$E,'Investor Exit List'!$C307,Investors!$L:$L,'Investor Exit List'!$B307))</f>
        <v>500000</v>
      </c>
      <c r="G307" s="118">
        <v>45224</v>
      </c>
      <c r="H307" s="116" t="b">
        <f>VLOOKUP($C307,Sales!$C:$E,2,FALSE)</f>
        <v>0</v>
      </c>
      <c r="I307" s="116" t="b">
        <f>VLOOKUP($C307,Sales!$C:$E,3,FALSE)</f>
        <v>0</v>
      </c>
      <c r="J307" s="118">
        <f>SUMIFS(Sales!$H:$H,Sales!$C:$C,'Investor Exit List'!$C307)</f>
        <v>45532</v>
      </c>
      <c r="K307" s="118" t="str">
        <f t="shared" si="48"/>
        <v/>
      </c>
      <c r="L307" s="118">
        <f t="shared" si="49"/>
        <v>45954</v>
      </c>
      <c r="M307" s="118">
        <v>45443</v>
      </c>
      <c r="N307" s="119">
        <f t="shared" si="50"/>
        <v>511</v>
      </c>
      <c r="O307" s="119">
        <f t="shared" si="51"/>
        <v>0</v>
      </c>
      <c r="P307" s="117">
        <f t="shared" si="52"/>
        <v>0</v>
      </c>
      <c r="Q307" s="117">
        <f>SUMIFS(Investors!$M:$M,Investors!$O:$O,FALSE,Investors!$P:$P,FALSE,Investors!$K:$K,"&gt;"&amp;'NSST Print'!$B$3,Investors!$I:$I,"&lt;="&amp;'NSST Print'!$B$3,Investors!$A:$A,'Investor Exit List'!$A307,Investors!$E:$E,'Investor Exit List'!$C307,Investors!$L:$L,'Investor Exit List'!$B307)-(SUMIFS(Investors!$M:$M,Investors!$I:$I,"&lt;="&amp;'NSST Print'!$B$3,Investors!$J:$J,"&gt;"&amp;'NSST Print'!$B$3,Investors!$A:$A,'Investor Exit List'!$A307,Investors!$E:$E,'Investor Exit List'!$C307,Investors!$L:$L,'Investor Exit List'!$B307)+SUMIFS(Investors!$M:$M,Investors!$I:$I,"&lt;="&amp;'NSST Print'!$B$3,Investors!$J:$J,"",Investors!$A:$A,'Investor Exit List'!$A307,Investors!$E:$E,'Investor Exit List'!$C307,Investors!$L:$L,'Investor Exit List'!$B307))+SUMIFS(Investors!$S:$S,Investors!$O:$O,FALSE,Investors!$P:$P,FALSE,Investors!$K:$K,"&gt;"&amp;'NSST Print'!$B$3,Investors!$I:$I,"&lt;="&amp;'NSST Print'!$B$3,Investors!$A:$A,'Investor Exit List'!$A307,Investors!$E:$E,'Investor Exit List'!$C307,Investors!$L:$L,'Investor Exit List'!$B307)-(SUMIFS(Investors!$S:$S,Investors!$I:$I,"&lt;="&amp;'NSST Print'!$B$3,Investors!$J:$J,"&gt;"&amp;'NSST Print'!$B$3,Investors!$A:$A,'Investor Exit List'!$A307,Investors!$E:$E,'Investor Exit List'!$C307,Investors!$L:$L,'Investor Exit List'!$B307)+SUMIFS(Investors!$S:$S,Investors!$I:$I,"&lt;="&amp;'NSST Print'!$B$3,Investors!$J:$J,"",Investors!$A:$A,'Investor Exit List'!$A307,Investors!$E:$E,'Investor Exit List'!$C307,Investors!$L:$L,'Investor Exit List'!$B307))</f>
        <v>602842.46575342468</v>
      </c>
      <c r="R307" s="117">
        <f t="shared" si="53"/>
        <v>0</v>
      </c>
      <c r="S307" s="117">
        <f>SUMIFS(Investors!$M:$M,Investors!$O:$O,TRUE,Investors!$A:$A,'Investor Exit List'!$A307,Investors!$E:$E,'Investor Exit List'!$C307,Investors!$L:$L,'Investor Exit List'!$B307)+SUMIFS(Investors!$S:$S,Investors!$O:$O,TRUE,Investors!$A:$A,'Investor Exit List'!$A307,Investors!$E:$E,'Investor Exit List'!$C307,Investors!$L:$L,'Investor Exit List'!$B307)</f>
        <v>0</v>
      </c>
      <c r="T307" s="118" t="str">
        <f t="shared" si="54"/>
        <v/>
      </c>
      <c r="U307" s="116" t="b">
        <v>0</v>
      </c>
      <c r="V307" s="117">
        <f t="shared" si="55"/>
        <v>0</v>
      </c>
      <c r="W307" s="116">
        <v>0</v>
      </c>
      <c r="X307" s="116" t="b">
        <v>0</v>
      </c>
      <c r="Y307" s="119">
        <f>IF(H307=FALSE,VLOOKUP($C307,Sales!$C:$F,4,FALSE),1)</f>
        <v>0</v>
      </c>
      <c r="Z307" s="116" t="str">
        <f t="shared" si="56"/>
        <v>Release</v>
      </c>
      <c r="AA307" s="118">
        <f t="shared" si="57"/>
        <v>45928</v>
      </c>
      <c r="AB307" s="118" t="str">
        <f t="shared" si="58"/>
        <v>HVG304-ZSCA02</v>
      </c>
      <c r="AC307" s="118">
        <f t="shared" si="59"/>
        <v>45954</v>
      </c>
    </row>
    <row r="308" spans="1:29" ht="16" x14ac:dyDescent="0.2">
      <c r="A308" s="116" t="s">
        <v>671</v>
      </c>
      <c r="B308" s="116">
        <v>1</v>
      </c>
      <c r="C308" s="116" t="s">
        <v>674</v>
      </c>
      <c r="D308" s="116" t="s">
        <v>675</v>
      </c>
      <c r="E308" s="116" t="s">
        <v>2190</v>
      </c>
      <c r="F308" s="117">
        <f>SUMIFS(Investors!$M:$M,Investors!$O:$O,FALSE,Investors!$P:$P,FALSE,Investors!$K:$K,"&gt;"&amp;'NSST Print'!$B$3,Investors!$I:$I,"&lt;="&amp;'NSST Print'!$B$3,Investors!$A:$A,'Investor Exit List'!$A308,Investors!$E:$E,'Investor Exit List'!$C308,Investors!$L:$L,'Investor Exit List'!$B308)-(SUMIFS(Investors!$M:$M,Investors!$I:$I,"&lt;="&amp;'NSST Print'!$B$3,Investors!$J:$J,"&gt;"&amp;'NSST Print'!$B$3,Investors!$A:$A,'Investor Exit List'!$A308,Investors!$E:$E,'Investor Exit List'!$C308,Investors!$L:$L,'Investor Exit List'!$B308)+SUMIFS(Investors!$M:$M,Investors!$I:$I,"&lt;="&amp;'NSST Print'!$B$3,Investors!$J:$J,"",Investors!$A:$A,'Investor Exit List'!$A308,Investors!$E:$E,'Investor Exit List'!$C308,Investors!$L:$L,'Investor Exit List'!$B308))</f>
        <v>1100000</v>
      </c>
      <c r="G308" s="118">
        <v>45224</v>
      </c>
      <c r="H308" s="116" t="b">
        <f>VLOOKUP($C308,Sales!$C:$E,2,FALSE)</f>
        <v>1</v>
      </c>
      <c r="I308" s="116" t="b">
        <f>VLOOKUP($C308,Sales!$C:$E,3,FALSE)</f>
        <v>0</v>
      </c>
      <c r="J308" s="118">
        <f>SUMIFS(Sales!$H:$H,Sales!$C:$C,'Investor Exit List'!$C308)</f>
        <v>45490</v>
      </c>
      <c r="K308" s="118" t="str">
        <f t="shared" si="48"/>
        <v/>
      </c>
      <c r="L308" s="118">
        <f t="shared" si="49"/>
        <v>45954</v>
      </c>
      <c r="M308" s="118">
        <v>45443</v>
      </c>
      <c r="N308" s="119">
        <f t="shared" si="50"/>
        <v>511</v>
      </c>
      <c r="O308" s="119">
        <f t="shared" si="51"/>
        <v>0</v>
      </c>
      <c r="P308" s="117">
        <f t="shared" si="52"/>
        <v>0</v>
      </c>
      <c r="Q308" s="117">
        <f>SUMIFS(Investors!$M:$M,Investors!$O:$O,FALSE,Investors!$P:$P,FALSE,Investors!$K:$K,"&gt;"&amp;'NSST Print'!$B$3,Investors!$I:$I,"&lt;="&amp;'NSST Print'!$B$3,Investors!$A:$A,'Investor Exit List'!$A308,Investors!$E:$E,'Investor Exit List'!$C308,Investors!$L:$L,'Investor Exit List'!$B308)-(SUMIFS(Investors!$M:$M,Investors!$I:$I,"&lt;="&amp;'NSST Print'!$B$3,Investors!$J:$J,"&gt;"&amp;'NSST Print'!$B$3,Investors!$A:$A,'Investor Exit List'!$A308,Investors!$E:$E,'Investor Exit List'!$C308,Investors!$L:$L,'Investor Exit List'!$B308)+SUMIFS(Investors!$M:$M,Investors!$I:$I,"&lt;="&amp;'NSST Print'!$B$3,Investors!$J:$J,"",Investors!$A:$A,'Investor Exit List'!$A308,Investors!$E:$E,'Investor Exit List'!$C308,Investors!$L:$L,'Investor Exit List'!$B308))+SUMIFS(Investors!$S:$S,Investors!$O:$O,FALSE,Investors!$P:$P,FALSE,Investors!$K:$K,"&gt;"&amp;'NSST Print'!$B$3,Investors!$I:$I,"&lt;="&amp;'NSST Print'!$B$3,Investors!$A:$A,'Investor Exit List'!$A308,Investors!$E:$E,'Investor Exit List'!$C308,Investors!$L:$L,'Investor Exit List'!$B308)-(SUMIFS(Investors!$S:$S,Investors!$I:$I,"&lt;="&amp;'NSST Print'!$B$3,Investors!$J:$J,"&gt;"&amp;'NSST Print'!$B$3,Investors!$A:$A,'Investor Exit List'!$A308,Investors!$E:$E,'Investor Exit List'!$C308,Investors!$L:$L,'Investor Exit List'!$B308)+SUMIFS(Investors!$S:$S,Investors!$I:$I,"&lt;="&amp;'NSST Print'!$B$3,Investors!$J:$J,"",Investors!$A:$A,'Investor Exit List'!$A308,Investors!$E:$E,'Investor Exit List'!$C308,Investors!$L:$L,'Investor Exit List'!$B308))</f>
        <v>1248936.98630137</v>
      </c>
      <c r="R308" s="117">
        <f t="shared" si="53"/>
        <v>1248936.98630137</v>
      </c>
      <c r="S308" s="117">
        <f>SUMIFS(Investors!$M:$M,Investors!$O:$O,TRUE,Investors!$A:$A,'Investor Exit List'!$A308,Investors!$E:$E,'Investor Exit List'!$C308,Investors!$L:$L,'Investor Exit List'!$B308)+SUMIFS(Investors!$S:$S,Investors!$O:$O,TRUE,Investors!$A:$A,'Investor Exit List'!$A308,Investors!$E:$E,'Investor Exit List'!$C308,Investors!$L:$L,'Investor Exit List'!$B308)</f>
        <v>0</v>
      </c>
      <c r="T308" s="118" t="str">
        <f t="shared" si="54"/>
        <v/>
      </c>
      <c r="U308" s="116" t="b">
        <v>0</v>
      </c>
      <c r="V308" s="117">
        <f t="shared" si="55"/>
        <v>0</v>
      </c>
      <c r="W308" s="116">
        <v>0</v>
      </c>
      <c r="X308" s="116" t="b">
        <v>0</v>
      </c>
      <c r="Y308" s="119">
        <f>IF(H308=FALSE,VLOOKUP($C308,Sales!$C:$F,4,FALSE),1)</f>
        <v>1</v>
      </c>
      <c r="Z308" s="116" t="str">
        <f t="shared" si="56"/>
        <v/>
      </c>
      <c r="AA308" s="118">
        <f t="shared" si="57"/>
        <v>45954</v>
      </c>
      <c r="AB308" s="118" t="str">
        <f t="shared" si="58"/>
        <v>HVH101-ZHAN07</v>
      </c>
      <c r="AC308" s="118">
        <f t="shared" si="59"/>
        <v>45954</v>
      </c>
    </row>
    <row r="309" spans="1:29" ht="16" x14ac:dyDescent="0.2">
      <c r="A309" s="116" t="s">
        <v>671</v>
      </c>
      <c r="B309" s="116">
        <v>2</v>
      </c>
      <c r="C309" s="116" t="s">
        <v>676</v>
      </c>
      <c r="D309" s="116" t="s">
        <v>675</v>
      </c>
      <c r="E309" s="116" t="s">
        <v>2190</v>
      </c>
      <c r="F309" s="117">
        <f>SUMIFS(Investors!$M:$M,Investors!$O:$O,FALSE,Investors!$P:$P,FALSE,Investors!$K:$K,"&gt;"&amp;'NSST Print'!$B$3,Investors!$I:$I,"&lt;="&amp;'NSST Print'!$B$3,Investors!$A:$A,'Investor Exit List'!$A309,Investors!$E:$E,'Investor Exit List'!$C309,Investors!$L:$L,'Investor Exit List'!$B309)-(SUMIFS(Investors!$M:$M,Investors!$I:$I,"&lt;="&amp;'NSST Print'!$B$3,Investors!$J:$J,"&gt;"&amp;'NSST Print'!$B$3,Investors!$A:$A,'Investor Exit List'!$A309,Investors!$E:$E,'Investor Exit List'!$C309,Investors!$L:$L,'Investor Exit List'!$B309)+SUMIFS(Investors!$M:$M,Investors!$I:$I,"&lt;="&amp;'NSST Print'!$B$3,Investors!$J:$J,"",Investors!$A:$A,'Investor Exit List'!$A309,Investors!$E:$E,'Investor Exit List'!$C309,Investors!$L:$L,'Investor Exit List'!$B309))</f>
        <v>1100000</v>
      </c>
      <c r="G309" s="118">
        <v>45224</v>
      </c>
      <c r="H309" s="116" t="b">
        <f>VLOOKUP($C309,Sales!$C:$E,2,FALSE)</f>
        <v>1</v>
      </c>
      <c r="I309" s="116" t="b">
        <f>VLOOKUP($C309,Sales!$C:$E,3,FALSE)</f>
        <v>0</v>
      </c>
      <c r="J309" s="118">
        <f>SUMIFS(Sales!$H:$H,Sales!$C:$C,'Investor Exit List'!$C309)</f>
        <v>45490</v>
      </c>
      <c r="K309" s="118" t="str">
        <f t="shared" si="48"/>
        <v/>
      </c>
      <c r="L309" s="118">
        <f t="shared" si="49"/>
        <v>45954</v>
      </c>
      <c r="M309" s="118">
        <v>45443</v>
      </c>
      <c r="N309" s="119">
        <f t="shared" si="50"/>
        <v>511</v>
      </c>
      <c r="O309" s="119">
        <f t="shared" si="51"/>
        <v>0</v>
      </c>
      <c r="P309" s="117">
        <f t="shared" si="52"/>
        <v>0</v>
      </c>
      <c r="Q309" s="117">
        <f>SUMIFS(Investors!$M:$M,Investors!$O:$O,FALSE,Investors!$P:$P,FALSE,Investors!$K:$K,"&gt;"&amp;'NSST Print'!$B$3,Investors!$I:$I,"&lt;="&amp;'NSST Print'!$B$3,Investors!$A:$A,'Investor Exit List'!$A309,Investors!$E:$E,'Investor Exit List'!$C309,Investors!$L:$L,'Investor Exit List'!$B309)-(SUMIFS(Investors!$M:$M,Investors!$I:$I,"&lt;="&amp;'NSST Print'!$B$3,Investors!$J:$J,"&gt;"&amp;'NSST Print'!$B$3,Investors!$A:$A,'Investor Exit List'!$A309,Investors!$E:$E,'Investor Exit List'!$C309,Investors!$L:$L,'Investor Exit List'!$B309)+SUMIFS(Investors!$M:$M,Investors!$I:$I,"&lt;="&amp;'NSST Print'!$B$3,Investors!$J:$J,"",Investors!$A:$A,'Investor Exit List'!$A309,Investors!$E:$E,'Investor Exit List'!$C309,Investors!$L:$L,'Investor Exit List'!$B309))+SUMIFS(Investors!$S:$S,Investors!$O:$O,FALSE,Investors!$P:$P,FALSE,Investors!$K:$K,"&gt;"&amp;'NSST Print'!$B$3,Investors!$I:$I,"&lt;="&amp;'NSST Print'!$B$3,Investors!$A:$A,'Investor Exit List'!$A309,Investors!$E:$E,'Investor Exit List'!$C309,Investors!$L:$L,'Investor Exit List'!$B309)-(SUMIFS(Investors!$S:$S,Investors!$I:$I,"&lt;="&amp;'NSST Print'!$B$3,Investors!$J:$J,"&gt;"&amp;'NSST Print'!$B$3,Investors!$A:$A,'Investor Exit List'!$A309,Investors!$E:$E,'Investor Exit List'!$C309,Investors!$L:$L,'Investor Exit List'!$B309)+SUMIFS(Investors!$S:$S,Investors!$I:$I,"&lt;="&amp;'NSST Print'!$B$3,Investors!$J:$J,"",Investors!$A:$A,'Investor Exit List'!$A309,Investors!$E:$E,'Investor Exit List'!$C309,Investors!$L:$L,'Investor Exit List'!$B309))</f>
        <v>1248936.98630137</v>
      </c>
      <c r="R309" s="117">
        <f t="shared" si="53"/>
        <v>1248936.98630137</v>
      </c>
      <c r="S309" s="117">
        <f>SUMIFS(Investors!$M:$M,Investors!$O:$O,TRUE,Investors!$A:$A,'Investor Exit List'!$A309,Investors!$E:$E,'Investor Exit List'!$C309,Investors!$L:$L,'Investor Exit List'!$B309)+SUMIFS(Investors!$S:$S,Investors!$O:$O,TRUE,Investors!$A:$A,'Investor Exit List'!$A309,Investors!$E:$E,'Investor Exit List'!$C309,Investors!$L:$L,'Investor Exit List'!$B309)</f>
        <v>0</v>
      </c>
      <c r="T309" s="118" t="str">
        <f t="shared" si="54"/>
        <v/>
      </c>
      <c r="U309" s="116" t="b">
        <v>0</v>
      </c>
      <c r="V309" s="117">
        <f t="shared" si="55"/>
        <v>0</v>
      </c>
      <c r="W309" s="116">
        <v>0</v>
      </c>
      <c r="X309" s="116" t="b">
        <v>0</v>
      </c>
      <c r="Y309" s="119">
        <f>IF(H309=FALSE,VLOOKUP($C309,Sales!$C:$F,4,FALSE),1)</f>
        <v>1</v>
      </c>
      <c r="Z309" s="116" t="str">
        <f t="shared" si="56"/>
        <v/>
      </c>
      <c r="AA309" s="118">
        <f t="shared" si="57"/>
        <v>45954</v>
      </c>
      <c r="AB309" s="118" t="str">
        <f t="shared" si="58"/>
        <v>HVH102-ZHAN07</v>
      </c>
      <c r="AC309" s="118">
        <f t="shared" si="59"/>
        <v>45954</v>
      </c>
    </row>
    <row r="310" spans="1:29" ht="16" x14ac:dyDescent="0.2">
      <c r="A310" s="116" t="s">
        <v>671</v>
      </c>
      <c r="B310" s="116">
        <v>3</v>
      </c>
      <c r="C310" s="116" t="s">
        <v>677</v>
      </c>
      <c r="D310" s="116" t="s">
        <v>675</v>
      </c>
      <c r="E310" s="116" t="s">
        <v>2190</v>
      </c>
      <c r="F310" s="117">
        <f>SUMIFS(Investors!$M:$M,Investors!$O:$O,FALSE,Investors!$P:$P,FALSE,Investors!$K:$K,"&gt;"&amp;'NSST Print'!$B$3,Investors!$I:$I,"&lt;="&amp;'NSST Print'!$B$3,Investors!$A:$A,'Investor Exit List'!$A310,Investors!$E:$E,'Investor Exit List'!$C310,Investors!$L:$L,'Investor Exit List'!$B310)-(SUMIFS(Investors!$M:$M,Investors!$I:$I,"&lt;="&amp;'NSST Print'!$B$3,Investors!$J:$J,"&gt;"&amp;'NSST Print'!$B$3,Investors!$A:$A,'Investor Exit List'!$A310,Investors!$E:$E,'Investor Exit List'!$C310,Investors!$L:$L,'Investor Exit List'!$B310)+SUMIFS(Investors!$M:$M,Investors!$I:$I,"&lt;="&amp;'NSST Print'!$B$3,Investors!$J:$J,"",Investors!$A:$A,'Investor Exit List'!$A310,Investors!$E:$E,'Investor Exit List'!$C310,Investors!$L:$L,'Investor Exit List'!$B310))</f>
        <v>1100000</v>
      </c>
      <c r="G310" s="118">
        <v>45224</v>
      </c>
      <c r="H310" s="116" t="b">
        <f>VLOOKUP($C310,Sales!$C:$E,2,FALSE)</f>
        <v>1</v>
      </c>
      <c r="I310" s="116" t="b">
        <f>VLOOKUP($C310,Sales!$C:$E,3,FALSE)</f>
        <v>0</v>
      </c>
      <c r="J310" s="118">
        <f>SUMIFS(Sales!$H:$H,Sales!$C:$C,'Investor Exit List'!$C310)</f>
        <v>45490</v>
      </c>
      <c r="K310" s="118" t="str">
        <f t="shared" si="48"/>
        <v/>
      </c>
      <c r="L310" s="118">
        <f t="shared" si="49"/>
        <v>45954</v>
      </c>
      <c r="M310" s="118">
        <v>45443</v>
      </c>
      <c r="N310" s="119">
        <f t="shared" si="50"/>
        <v>511</v>
      </c>
      <c r="O310" s="119">
        <f t="shared" si="51"/>
        <v>0</v>
      </c>
      <c r="P310" s="117">
        <f t="shared" si="52"/>
        <v>0</v>
      </c>
      <c r="Q310" s="117">
        <f>SUMIFS(Investors!$M:$M,Investors!$O:$O,FALSE,Investors!$P:$P,FALSE,Investors!$K:$K,"&gt;"&amp;'NSST Print'!$B$3,Investors!$I:$I,"&lt;="&amp;'NSST Print'!$B$3,Investors!$A:$A,'Investor Exit List'!$A310,Investors!$E:$E,'Investor Exit List'!$C310,Investors!$L:$L,'Investor Exit List'!$B310)-(SUMIFS(Investors!$M:$M,Investors!$I:$I,"&lt;="&amp;'NSST Print'!$B$3,Investors!$J:$J,"&gt;"&amp;'NSST Print'!$B$3,Investors!$A:$A,'Investor Exit List'!$A310,Investors!$E:$E,'Investor Exit List'!$C310,Investors!$L:$L,'Investor Exit List'!$B310)+SUMIFS(Investors!$M:$M,Investors!$I:$I,"&lt;="&amp;'NSST Print'!$B$3,Investors!$J:$J,"",Investors!$A:$A,'Investor Exit List'!$A310,Investors!$E:$E,'Investor Exit List'!$C310,Investors!$L:$L,'Investor Exit List'!$B310))+SUMIFS(Investors!$S:$S,Investors!$O:$O,FALSE,Investors!$P:$P,FALSE,Investors!$K:$K,"&gt;"&amp;'NSST Print'!$B$3,Investors!$I:$I,"&lt;="&amp;'NSST Print'!$B$3,Investors!$A:$A,'Investor Exit List'!$A310,Investors!$E:$E,'Investor Exit List'!$C310,Investors!$L:$L,'Investor Exit List'!$B310)-(SUMIFS(Investors!$S:$S,Investors!$I:$I,"&lt;="&amp;'NSST Print'!$B$3,Investors!$J:$J,"&gt;"&amp;'NSST Print'!$B$3,Investors!$A:$A,'Investor Exit List'!$A310,Investors!$E:$E,'Investor Exit List'!$C310,Investors!$L:$L,'Investor Exit List'!$B310)+SUMIFS(Investors!$S:$S,Investors!$I:$I,"&lt;="&amp;'NSST Print'!$B$3,Investors!$J:$J,"",Investors!$A:$A,'Investor Exit List'!$A310,Investors!$E:$E,'Investor Exit List'!$C310,Investors!$L:$L,'Investor Exit List'!$B310))</f>
        <v>1248936.98630137</v>
      </c>
      <c r="R310" s="117">
        <f t="shared" si="53"/>
        <v>1248936.98630137</v>
      </c>
      <c r="S310" s="117">
        <f>SUMIFS(Investors!$M:$M,Investors!$O:$O,TRUE,Investors!$A:$A,'Investor Exit List'!$A310,Investors!$E:$E,'Investor Exit List'!$C310,Investors!$L:$L,'Investor Exit List'!$B310)+SUMIFS(Investors!$S:$S,Investors!$O:$O,TRUE,Investors!$A:$A,'Investor Exit List'!$A310,Investors!$E:$E,'Investor Exit List'!$C310,Investors!$L:$L,'Investor Exit List'!$B310)</f>
        <v>0</v>
      </c>
      <c r="T310" s="118" t="str">
        <f t="shared" si="54"/>
        <v/>
      </c>
      <c r="U310" s="116" t="b">
        <v>0</v>
      </c>
      <c r="V310" s="117">
        <f t="shared" si="55"/>
        <v>0</v>
      </c>
      <c r="W310" s="116">
        <v>0</v>
      </c>
      <c r="X310" s="116" t="b">
        <v>0</v>
      </c>
      <c r="Y310" s="119">
        <f>IF(H310=FALSE,VLOOKUP($C310,Sales!$C:$F,4,FALSE),1)</f>
        <v>1</v>
      </c>
      <c r="Z310" s="116" t="str">
        <f t="shared" si="56"/>
        <v/>
      </c>
      <c r="AA310" s="118">
        <f t="shared" si="57"/>
        <v>45954</v>
      </c>
      <c r="AB310" s="118" t="str">
        <f t="shared" si="58"/>
        <v>HVH103-ZHAN07</v>
      </c>
      <c r="AC310" s="118">
        <f t="shared" si="59"/>
        <v>45954</v>
      </c>
    </row>
    <row r="311" spans="1:29" ht="16" x14ac:dyDescent="0.2">
      <c r="A311" s="116" t="s">
        <v>671</v>
      </c>
      <c r="B311" s="116">
        <v>4</v>
      </c>
      <c r="C311" s="116" t="s">
        <v>678</v>
      </c>
      <c r="D311" s="116" t="s">
        <v>675</v>
      </c>
      <c r="E311" s="116" t="s">
        <v>2190</v>
      </c>
      <c r="F311" s="117">
        <f>SUMIFS(Investors!$M:$M,Investors!$O:$O,FALSE,Investors!$P:$P,FALSE,Investors!$K:$K,"&gt;"&amp;'NSST Print'!$B$3,Investors!$I:$I,"&lt;="&amp;'NSST Print'!$B$3,Investors!$A:$A,'Investor Exit List'!$A311,Investors!$E:$E,'Investor Exit List'!$C311,Investors!$L:$L,'Investor Exit List'!$B311)-(SUMIFS(Investors!$M:$M,Investors!$I:$I,"&lt;="&amp;'NSST Print'!$B$3,Investors!$J:$J,"&gt;"&amp;'NSST Print'!$B$3,Investors!$A:$A,'Investor Exit List'!$A311,Investors!$E:$E,'Investor Exit List'!$C311,Investors!$L:$L,'Investor Exit List'!$B311)+SUMIFS(Investors!$M:$M,Investors!$I:$I,"&lt;="&amp;'NSST Print'!$B$3,Investors!$J:$J,"",Investors!$A:$A,'Investor Exit List'!$A311,Investors!$E:$E,'Investor Exit List'!$C311,Investors!$L:$L,'Investor Exit List'!$B311))</f>
        <v>1100000</v>
      </c>
      <c r="G311" s="118">
        <v>45224</v>
      </c>
      <c r="H311" s="116" t="b">
        <f>VLOOKUP($C311,Sales!$C:$E,2,FALSE)</f>
        <v>1</v>
      </c>
      <c r="I311" s="116" t="b">
        <f>VLOOKUP($C311,Sales!$C:$E,3,FALSE)</f>
        <v>0</v>
      </c>
      <c r="J311" s="118">
        <f>SUMIFS(Sales!$H:$H,Sales!$C:$C,'Investor Exit List'!$C311)</f>
        <v>45490</v>
      </c>
      <c r="K311" s="118" t="str">
        <f t="shared" si="48"/>
        <v/>
      </c>
      <c r="L311" s="118">
        <f t="shared" si="49"/>
        <v>45954</v>
      </c>
      <c r="M311" s="118">
        <v>45443</v>
      </c>
      <c r="N311" s="119">
        <f t="shared" si="50"/>
        <v>511</v>
      </c>
      <c r="O311" s="119">
        <f t="shared" si="51"/>
        <v>0</v>
      </c>
      <c r="P311" s="117">
        <f t="shared" si="52"/>
        <v>0</v>
      </c>
      <c r="Q311" s="117">
        <f>SUMIFS(Investors!$M:$M,Investors!$O:$O,FALSE,Investors!$P:$P,FALSE,Investors!$K:$K,"&gt;"&amp;'NSST Print'!$B$3,Investors!$I:$I,"&lt;="&amp;'NSST Print'!$B$3,Investors!$A:$A,'Investor Exit List'!$A311,Investors!$E:$E,'Investor Exit List'!$C311,Investors!$L:$L,'Investor Exit List'!$B311)-(SUMIFS(Investors!$M:$M,Investors!$I:$I,"&lt;="&amp;'NSST Print'!$B$3,Investors!$J:$J,"&gt;"&amp;'NSST Print'!$B$3,Investors!$A:$A,'Investor Exit List'!$A311,Investors!$E:$E,'Investor Exit List'!$C311,Investors!$L:$L,'Investor Exit List'!$B311)+SUMIFS(Investors!$M:$M,Investors!$I:$I,"&lt;="&amp;'NSST Print'!$B$3,Investors!$J:$J,"",Investors!$A:$A,'Investor Exit List'!$A311,Investors!$E:$E,'Investor Exit List'!$C311,Investors!$L:$L,'Investor Exit List'!$B311))+SUMIFS(Investors!$S:$S,Investors!$O:$O,FALSE,Investors!$P:$P,FALSE,Investors!$K:$K,"&gt;"&amp;'NSST Print'!$B$3,Investors!$I:$I,"&lt;="&amp;'NSST Print'!$B$3,Investors!$A:$A,'Investor Exit List'!$A311,Investors!$E:$E,'Investor Exit List'!$C311,Investors!$L:$L,'Investor Exit List'!$B311)-(SUMIFS(Investors!$S:$S,Investors!$I:$I,"&lt;="&amp;'NSST Print'!$B$3,Investors!$J:$J,"&gt;"&amp;'NSST Print'!$B$3,Investors!$A:$A,'Investor Exit List'!$A311,Investors!$E:$E,'Investor Exit List'!$C311,Investors!$L:$L,'Investor Exit List'!$B311)+SUMIFS(Investors!$S:$S,Investors!$I:$I,"&lt;="&amp;'NSST Print'!$B$3,Investors!$J:$J,"",Investors!$A:$A,'Investor Exit List'!$A311,Investors!$E:$E,'Investor Exit List'!$C311,Investors!$L:$L,'Investor Exit List'!$B311))</f>
        <v>1248936.98630137</v>
      </c>
      <c r="R311" s="117">
        <f t="shared" si="53"/>
        <v>1248936.98630137</v>
      </c>
      <c r="S311" s="117">
        <f>SUMIFS(Investors!$M:$M,Investors!$O:$O,TRUE,Investors!$A:$A,'Investor Exit List'!$A311,Investors!$E:$E,'Investor Exit List'!$C311,Investors!$L:$L,'Investor Exit List'!$B311)+SUMIFS(Investors!$S:$S,Investors!$O:$O,TRUE,Investors!$A:$A,'Investor Exit List'!$A311,Investors!$E:$E,'Investor Exit List'!$C311,Investors!$L:$L,'Investor Exit List'!$B311)</f>
        <v>0</v>
      </c>
      <c r="T311" s="118" t="str">
        <f t="shared" si="54"/>
        <v/>
      </c>
      <c r="U311" s="116" t="b">
        <v>0</v>
      </c>
      <c r="V311" s="117">
        <f t="shared" si="55"/>
        <v>0</v>
      </c>
      <c r="W311" s="116">
        <v>0</v>
      </c>
      <c r="X311" s="116" t="b">
        <v>0</v>
      </c>
      <c r="Y311" s="119">
        <f>IF(H311=FALSE,VLOOKUP($C311,Sales!$C:$F,4,FALSE),1)</f>
        <v>1</v>
      </c>
      <c r="Z311" s="116" t="str">
        <f t="shared" si="56"/>
        <v/>
      </c>
      <c r="AA311" s="118">
        <f t="shared" si="57"/>
        <v>45954</v>
      </c>
      <c r="AB311" s="118" t="str">
        <f t="shared" si="58"/>
        <v>HVH104-ZHAN07</v>
      </c>
      <c r="AC311" s="118">
        <f t="shared" si="59"/>
        <v>45954</v>
      </c>
    </row>
    <row r="312" spans="1:29" ht="16" x14ac:dyDescent="0.2">
      <c r="A312" s="116" t="s">
        <v>671</v>
      </c>
      <c r="B312" s="116">
        <v>5</v>
      </c>
      <c r="C312" s="116" t="s">
        <v>679</v>
      </c>
      <c r="D312" s="116" t="s">
        <v>675</v>
      </c>
      <c r="E312" s="116" t="s">
        <v>2190</v>
      </c>
      <c r="F312" s="117">
        <f>SUMIFS(Investors!$M:$M,Investors!$O:$O,FALSE,Investors!$P:$P,FALSE,Investors!$K:$K,"&gt;"&amp;'NSST Print'!$B$3,Investors!$I:$I,"&lt;="&amp;'NSST Print'!$B$3,Investors!$A:$A,'Investor Exit List'!$A312,Investors!$E:$E,'Investor Exit List'!$C312,Investors!$L:$L,'Investor Exit List'!$B312)-(SUMIFS(Investors!$M:$M,Investors!$I:$I,"&lt;="&amp;'NSST Print'!$B$3,Investors!$J:$J,"&gt;"&amp;'NSST Print'!$B$3,Investors!$A:$A,'Investor Exit List'!$A312,Investors!$E:$E,'Investor Exit List'!$C312,Investors!$L:$L,'Investor Exit List'!$B312)+SUMIFS(Investors!$M:$M,Investors!$I:$I,"&lt;="&amp;'NSST Print'!$B$3,Investors!$J:$J,"",Investors!$A:$A,'Investor Exit List'!$A312,Investors!$E:$E,'Investor Exit List'!$C312,Investors!$L:$L,'Investor Exit List'!$B312))</f>
        <v>1100000</v>
      </c>
      <c r="G312" s="118">
        <v>45259</v>
      </c>
      <c r="H312" s="116" t="b">
        <f>VLOOKUP($C312,Sales!$C:$E,2,FALSE)</f>
        <v>1</v>
      </c>
      <c r="I312" s="116" t="b">
        <f>VLOOKUP($C312,Sales!$C:$E,3,FALSE)</f>
        <v>0</v>
      </c>
      <c r="J312" s="118">
        <f>SUMIFS(Sales!$H:$H,Sales!$C:$C,'Investor Exit List'!$C312)</f>
        <v>45490</v>
      </c>
      <c r="K312" s="118" t="str">
        <f t="shared" si="48"/>
        <v/>
      </c>
      <c r="L312" s="118">
        <f t="shared" si="49"/>
        <v>45989</v>
      </c>
      <c r="M312" s="118">
        <v>45443</v>
      </c>
      <c r="N312" s="119">
        <f t="shared" si="50"/>
        <v>546</v>
      </c>
      <c r="O312" s="119">
        <f t="shared" si="51"/>
        <v>0</v>
      </c>
      <c r="P312" s="117">
        <f t="shared" si="52"/>
        <v>0</v>
      </c>
      <c r="Q312" s="117">
        <f>SUMIFS(Investors!$M:$M,Investors!$O:$O,FALSE,Investors!$P:$P,FALSE,Investors!$K:$K,"&gt;"&amp;'NSST Print'!$B$3,Investors!$I:$I,"&lt;="&amp;'NSST Print'!$B$3,Investors!$A:$A,'Investor Exit List'!$A312,Investors!$E:$E,'Investor Exit List'!$C312,Investors!$L:$L,'Investor Exit List'!$B312)-(SUMIFS(Investors!$M:$M,Investors!$I:$I,"&lt;="&amp;'NSST Print'!$B$3,Investors!$J:$J,"&gt;"&amp;'NSST Print'!$B$3,Investors!$A:$A,'Investor Exit List'!$A312,Investors!$E:$E,'Investor Exit List'!$C312,Investors!$L:$L,'Investor Exit List'!$B312)+SUMIFS(Investors!$M:$M,Investors!$I:$I,"&lt;="&amp;'NSST Print'!$B$3,Investors!$J:$J,"",Investors!$A:$A,'Investor Exit List'!$A312,Investors!$E:$E,'Investor Exit List'!$C312,Investors!$L:$L,'Investor Exit List'!$B312))+SUMIFS(Investors!$S:$S,Investors!$O:$O,FALSE,Investors!$P:$P,FALSE,Investors!$K:$K,"&gt;"&amp;'NSST Print'!$B$3,Investors!$I:$I,"&lt;="&amp;'NSST Print'!$B$3,Investors!$A:$A,'Investor Exit List'!$A312,Investors!$E:$E,'Investor Exit List'!$C312,Investors!$L:$L,'Investor Exit List'!$B312)-(SUMIFS(Investors!$S:$S,Investors!$I:$I,"&lt;="&amp;'NSST Print'!$B$3,Investors!$J:$J,"&gt;"&amp;'NSST Print'!$B$3,Investors!$A:$A,'Investor Exit List'!$A312,Investors!$E:$E,'Investor Exit List'!$C312,Investors!$L:$L,'Investor Exit List'!$B312)+SUMIFS(Investors!$S:$S,Investors!$I:$I,"&lt;="&amp;'NSST Print'!$B$3,Investors!$J:$J,"",Investors!$A:$A,'Investor Exit List'!$A312,Investors!$E:$E,'Investor Exit List'!$C312,Investors!$L:$L,'Investor Exit List'!$B312))</f>
        <v>1226967.1232876712</v>
      </c>
      <c r="R312" s="117">
        <f t="shared" si="53"/>
        <v>1226967.1232876712</v>
      </c>
      <c r="S312" s="117">
        <f>SUMIFS(Investors!$M:$M,Investors!$O:$O,TRUE,Investors!$A:$A,'Investor Exit List'!$A312,Investors!$E:$E,'Investor Exit List'!$C312,Investors!$L:$L,'Investor Exit List'!$B312)+SUMIFS(Investors!$S:$S,Investors!$O:$O,TRUE,Investors!$A:$A,'Investor Exit List'!$A312,Investors!$E:$E,'Investor Exit List'!$C312,Investors!$L:$L,'Investor Exit List'!$B312)</f>
        <v>0</v>
      </c>
      <c r="T312" s="118" t="str">
        <f t="shared" si="54"/>
        <v/>
      </c>
      <c r="U312" s="116" t="b">
        <v>0</v>
      </c>
      <c r="V312" s="117">
        <f t="shared" si="55"/>
        <v>0</v>
      </c>
      <c r="W312" s="116">
        <v>0</v>
      </c>
      <c r="X312" s="116" t="b">
        <v>0</v>
      </c>
      <c r="Y312" s="119">
        <f>IF(H312=FALSE,VLOOKUP($C312,Sales!$C:$F,4,FALSE),1)</f>
        <v>1</v>
      </c>
      <c r="Z312" s="116" t="str">
        <f t="shared" si="56"/>
        <v/>
      </c>
      <c r="AA312" s="118">
        <f t="shared" si="57"/>
        <v>45989</v>
      </c>
      <c r="AB312" s="118" t="str">
        <f t="shared" si="58"/>
        <v>HVH201-ZHAN07</v>
      </c>
      <c r="AC312" s="118">
        <f t="shared" si="59"/>
        <v>45989</v>
      </c>
    </row>
    <row r="313" spans="1:29" ht="16" x14ac:dyDescent="0.2">
      <c r="A313" s="116" t="s">
        <v>671</v>
      </c>
      <c r="B313" s="116">
        <v>6</v>
      </c>
      <c r="C313" s="116" t="s">
        <v>680</v>
      </c>
      <c r="D313" s="116" t="s">
        <v>675</v>
      </c>
      <c r="E313" s="116" t="s">
        <v>2190</v>
      </c>
      <c r="F313" s="117">
        <f>SUMIFS(Investors!$M:$M,Investors!$O:$O,FALSE,Investors!$P:$P,FALSE,Investors!$K:$K,"&gt;"&amp;'NSST Print'!$B$3,Investors!$I:$I,"&lt;="&amp;'NSST Print'!$B$3,Investors!$A:$A,'Investor Exit List'!$A313,Investors!$E:$E,'Investor Exit List'!$C313,Investors!$L:$L,'Investor Exit List'!$B313)-(SUMIFS(Investors!$M:$M,Investors!$I:$I,"&lt;="&amp;'NSST Print'!$B$3,Investors!$J:$J,"&gt;"&amp;'NSST Print'!$B$3,Investors!$A:$A,'Investor Exit List'!$A313,Investors!$E:$E,'Investor Exit List'!$C313,Investors!$L:$L,'Investor Exit List'!$B313)+SUMIFS(Investors!$M:$M,Investors!$I:$I,"&lt;="&amp;'NSST Print'!$B$3,Investors!$J:$J,"",Investors!$A:$A,'Investor Exit List'!$A313,Investors!$E:$E,'Investor Exit List'!$C313,Investors!$L:$L,'Investor Exit List'!$B313))</f>
        <v>1100000</v>
      </c>
      <c r="G313" s="118">
        <v>45273</v>
      </c>
      <c r="H313" s="116" t="b">
        <f>VLOOKUP($C313,Sales!$C:$E,2,FALSE)</f>
        <v>1</v>
      </c>
      <c r="I313" s="116" t="b">
        <f>VLOOKUP($C313,Sales!$C:$E,3,FALSE)</f>
        <v>0</v>
      </c>
      <c r="J313" s="118">
        <f>SUMIFS(Sales!$H:$H,Sales!$C:$C,'Investor Exit List'!$C313)</f>
        <v>45490</v>
      </c>
      <c r="K313" s="118" t="str">
        <f t="shared" si="48"/>
        <v/>
      </c>
      <c r="L313" s="118">
        <f t="shared" si="49"/>
        <v>46003</v>
      </c>
      <c r="M313" s="118">
        <v>45443</v>
      </c>
      <c r="N313" s="119">
        <f t="shared" si="50"/>
        <v>560</v>
      </c>
      <c r="O313" s="119">
        <f t="shared" si="51"/>
        <v>0</v>
      </c>
      <c r="P313" s="117">
        <f t="shared" si="52"/>
        <v>0</v>
      </c>
      <c r="Q313" s="117">
        <f>SUMIFS(Investors!$M:$M,Investors!$O:$O,FALSE,Investors!$P:$P,FALSE,Investors!$K:$K,"&gt;"&amp;'NSST Print'!$B$3,Investors!$I:$I,"&lt;="&amp;'NSST Print'!$B$3,Investors!$A:$A,'Investor Exit List'!$A313,Investors!$E:$E,'Investor Exit List'!$C313,Investors!$L:$L,'Investor Exit List'!$B313)-(SUMIFS(Investors!$M:$M,Investors!$I:$I,"&lt;="&amp;'NSST Print'!$B$3,Investors!$J:$J,"&gt;"&amp;'NSST Print'!$B$3,Investors!$A:$A,'Investor Exit List'!$A313,Investors!$E:$E,'Investor Exit List'!$C313,Investors!$L:$L,'Investor Exit List'!$B313)+SUMIFS(Investors!$M:$M,Investors!$I:$I,"&lt;="&amp;'NSST Print'!$B$3,Investors!$J:$J,"",Investors!$A:$A,'Investor Exit List'!$A313,Investors!$E:$E,'Investor Exit List'!$C313,Investors!$L:$L,'Investor Exit List'!$B313))+SUMIFS(Investors!$S:$S,Investors!$O:$O,FALSE,Investors!$P:$P,FALSE,Investors!$K:$K,"&gt;"&amp;'NSST Print'!$B$3,Investors!$I:$I,"&lt;="&amp;'NSST Print'!$B$3,Investors!$A:$A,'Investor Exit List'!$A313,Investors!$E:$E,'Investor Exit List'!$C313,Investors!$L:$L,'Investor Exit List'!$B313)-(SUMIFS(Investors!$S:$S,Investors!$I:$I,"&lt;="&amp;'NSST Print'!$B$3,Investors!$J:$J,"&gt;"&amp;'NSST Print'!$B$3,Investors!$A:$A,'Investor Exit List'!$A313,Investors!$E:$E,'Investor Exit List'!$C313,Investors!$L:$L,'Investor Exit List'!$B313)+SUMIFS(Investors!$S:$S,Investors!$I:$I,"&lt;="&amp;'NSST Print'!$B$3,Investors!$J:$J,"",Investors!$A:$A,'Investor Exit List'!$A313,Investors!$E:$E,'Investor Exit List'!$C313,Investors!$L:$L,'Investor Exit List'!$B313))</f>
        <v>1224013.6986301369</v>
      </c>
      <c r="R313" s="117">
        <f t="shared" si="53"/>
        <v>1224013.6986301369</v>
      </c>
      <c r="S313" s="117">
        <f>SUMIFS(Investors!$M:$M,Investors!$O:$O,TRUE,Investors!$A:$A,'Investor Exit List'!$A313,Investors!$E:$E,'Investor Exit List'!$C313,Investors!$L:$L,'Investor Exit List'!$B313)+SUMIFS(Investors!$S:$S,Investors!$O:$O,TRUE,Investors!$A:$A,'Investor Exit List'!$A313,Investors!$E:$E,'Investor Exit List'!$C313,Investors!$L:$L,'Investor Exit List'!$B313)</f>
        <v>0</v>
      </c>
      <c r="T313" s="118" t="str">
        <f t="shared" si="54"/>
        <v/>
      </c>
      <c r="U313" s="116" t="b">
        <v>0</v>
      </c>
      <c r="V313" s="117">
        <f t="shared" si="55"/>
        <v>0</v>
      </c>
      <c r="W313" s="116">
        <v>0</v>
      </c>
      <c r="X313" s="116" t="b">
        <v>0</v>
      </c>
      <c r="Y313" s="119">
        <f>IF(H313=FALSE,VLOOKUP($C313,Sales!$C:$F,4,FALSE),1)</f>
        <v>1</v>
      </c>
      <c r="Z313" s="116" t="str">
        <f t="shared" si="56"/>
        <v/>
      </c>
      <c r="AA313" s="118">
        <f t="shared" si="57"/>
        <v>46003</v>
      </c>
      <c r="AB313" s="118" t="str">
        <f t="shared" si="58"/>
        <v>HVH202-ZHAN07</v>
      </c>
      <c r="AC313" s="118">
        <f t="shared" si="59"/>
        <v>46003</v>
      </c>
    </row>
    <row r="314" spans="1:29" ht="16" x14ac:dyDescent="0.2">
      <c r="A314" s="116" t="s">
        <v>671</v>
      </c>
      <c r="B314" s="116">
        <v>7</v>
      </c>
      <c r="C314" s="116" t="s">
        <v>681</v>
      </c>
      <c r="D314" s="116" t="s">
        <v>675</v>
      </c>
      <c r="E314" s="116" t="s">
        <v>2190</v>
      </c>
      <c r="F314" s="117">
        <f>SUMIFS(Investors!$M:$M,Investors!$O:$O,FALSE,Investors!$P:$P,FALSE,Investors!$K:$K,"&gt;"&amp;'NSST Print'!$B$3,Investors!$I:$I,"&lt;="&amp;'NSST Print'!$B$3,Investors!$A:$A,'Investor Exit List'!$A314,Investors!$E:$E,'Investor Exit List'!$C314,Investors!$L:$L,'Investor Exit List'!$B314)-(SUMIFS(Investors!$M:$M,Investors!$I:$I,"&lt;="&amp;'NSST Print'!$B$3,Investors!$J:$J,"&gt;"&amp;'NSST Print'!$B$3,Investors!$A:$A,'Investor Exit List'!$A314,Investors!$E:$E,'Investor Exit List'!$C314,Investors!$L:$L,'Investor Exit List'!$B314)+SUMIFS(Investors!$M:$M,Investors!$I:$I,"&lt;="&amp;'NSST Print'!$B$3,Investors!$J:$J,"",Investors!$A:$A,'Investor Exit List'!$A314,Investors!$E:$E,'Investor Exit List'!$C314,Investors!$L:$L,'Investor Exit List'!$B314))</f>
        <v>1100000</v>
      </c>
      <c r="G314" s="118">
        <v>45273</v>
      </c>
      <c r="H314" s="116" t="b">
        <f>VLOOKUP($C314,Sales!$C:$E,2,FALSE)</f>
        <v>1</v>
      </c>
      <c r="I314" s="116" t="b">
        <f>VLOOKUP($C314,Sales!$C:$E,3,FALSE)</f>
        <v>0</v>
      </c>
      <c r="J314" s="118">
        <f>SUMIFS(Sales!$H:$H,Sales!$C:$C,'Investor Exit List'!$C314)</f>
        <v>45490</v>
      </c>
      <c r="K314" s="118" t="str">
        <f t="shared" si="48"/>
        <v/>
      </c>
      <c r="L314" s="118">
        <f t="shared" si="49"/>
        <v>46003</v>
      </c>
      <c r="M314" s="118">
        <v>45443</v>
      </c>
      <c r="N314" s="119">
        <f t="shared" si="50"/>
        <v>560</v>
      </c>
      <c r="O314" s="119">
        <f t="shared" si="51"/>
        <v>0</v>
      </c>
      <c r="P314" s="117">
        <f t="shared" si="52"/>
        <v>0</v>
      </c>
      <c r="Q314" s="117">
        <f>SUMIFS(Investors!$M:$M,Investors!$O:$O,FALSE,Investors!$P:$P,FALSE,Investors!$K:$K,"&gt;"&amp;'NSST Print'!$B$3,Investors!$I:$I,"&lt;="&amp;'NSST Print'!$B$3,Investors!$A:$A,'Investor Exit List'!$A314,Investors!$E:$E,'Investor Exit List'!$C314,Investors!$L:$L,'Investor Exit List'!$B314)-(SUMIFS(Investors!$M:$M,Investors!$I:$I,"&lt;="&amp;'NSST Print'!$B$3,Investors!$J:$J,"&gt;"&amp;'NSST Print'!$B$3,Investors!$A:$A,'Investor Exit List'!$A314,Investors!$E:$E,'Investor Exit List'!$C314,Investors!$L:$L,'Investor Exit List'!$B314)+SUMIFS(Investors!$M:$M,Investors!$I:$I,"&lt;="&amp;'NSST Print'!$B$3,Investors!$J:$J,"",Investors!$A:$A,'Investor Exit List'!$A314,Investors!$E:$E,'Investor Exit List'!$C314,Investors!$L:$L,'Investor Exit List'!$B314))+SUMIFS(Investors!$S:$S,Investors!$O:$O,FALSE,Investors!$P:$P,FALSE,Investors!$K:$K,"&gt;"&amp;'NSST Print'!$B$3,Investors!$I:$I,"&lt;="&amp;'NSST Print'!$B$3,Investors!$A:$A,'Investor Exit List'!$A314,Investors!$E:$E,'Investor Exit List'!$C314,Investors!$L:$L,'Investor Exit List'!$B314)-(SUMIFS(Investors!$S:$S,Investors!$I:$I,"&lt;="&amp;'NSST Print'!$B$3,Investors!$J:$J,"&gt;"&amp;'NSST Print'!$B$3,Investors!$A:$A,'Investor Exit List'!$A314,Investors!$E:$E,'Investor Exit List'!$C314,Investors!$L:$L,'Investor Exit List'!$B314)+SUMIFS(Investors!$S:$S,Investors!$I:$I,"&lt;="&amp;'NSST Print'!$B$3,Investors!$J:$J,"",Investors!$A:$A,'Investor Exit List'!$A314,Investors!$E:$E,'Investor Exit List'!$C314,Investors!$L:$L,'Investor Exit List'!$B314))</f>
        <v>1224013.6986301369</v>
      </c>
      <c r="R314" s="117">
        <f t="shared" si="53"/>
        <v>1224013.6986301369</v>
      </c>
      <c r="S314" s="117">
        <f>SUMIFS(Investors!$M:$M,Investors!$O:$O,TRUE,Investors!$A:$A,'Investor Exit List'!$A314,Investors!$E:$E,'Investor Exit List'!$C314,Investors!$L:$L,'Investor Exit List'!$B314)+SUMIFS(Investors!$S:$S,Investors!$O:$O,TRUE,Investors!$A:$A,'Investor Exit List'!$A314,Investors!$E:$E,'Investor Exit List'!$C314,Investors!$L:$L,'Investor Exit List'!$B314)</f>
        <v>0</v>
      </c>
      <c r="T314" s="118" t="str">
        <f t="shared" si="54"/>
        <v/>
      </c>
      <c r="U314" s="116" t="b">
        <v>0</v>
      </c>
      <c r="V314" s="117">
        <f t="shared" si="55"/>
        <v>0</v>
      </c>
      <c r="W314" s="116">
        <v>0</v>
      </c>
      <c r="X314" s="116" t="b">
        <v>0</v>
      </c>
      <c r="Y314" s="119">
        <f>IF(H314=FALSE,VLOOKUP($C314,Sales!$C:$F,4,FALSE),1)</f>
        <v>1</v>
      </c>
      <c r="Z314" s="116" t="str">
        <f t="shared" si="56"/>
        <v/>
      </c>
      <c r="AA314" s="118">
        <f t="shared" si="57"/>
        <v>46003</v>
      </c>
      <c r="AB314" s="118" t="str">
        <f t="shared" si="58"/>
        <v>HVH203-ZHAN07</v>
      </c>
      <c r="AC314" s="118">
        <f t="shared" si="59"/>
        <v>46003</v>
      </c>
    </row>
    <row r="315" spans="1:29" ht="16" x14ac:dyDescent="0.2">
      <c r="A315" s="116" t="s">
        <v>671</v>
      </c>
      <c r="B315" s="116">
        <v>8</v>
      </c>
      <c r="C315" s="116" t="s">
        <v>682</v>
      </c>
      <c r="D315" s="116" t="s">
        <v>675</v>
      </c>
      <c r="E315" s="116" t="s">
        <v>2190</v>
      </c>
      <c r="F315" s="117">
        <f>SUMIFS(Investors!$M:$M,Investors!$O:$O,FALSE,Investors!$P:$P,FALSE,Investors!$K:$K,"&gt;"&amp;'NSST Print'!$B$3,Investors!$I:$I,"&lt;="&amp;'NSST Print'!$B$3,Investors!$A:$A,'Investor Exit List'!$A315,Investors!$E:$E,'Investor Exit List'!$C315,Investors!$L:$L,'Investor Exit List'!$B315)-(SUMIFS(Investors!$M:$M,Investors!$I:$I,"&lt;="&amp;'NSST Print'!$B$3,Investors!$J:$J,"&gt;"&amp;'NSST Print'!$B$3,Investors!$A:$A,'Investor Exit List'!$A315,Investors!$E:$E,'Investor Exit List'!$C315,Investors!$L:$L,'Investor Exit List'!$B315)+SUMIFS(Investors!$M:$M,Investors!$I:$I,"&lt;="&amp;'NSST Print'!$B$3,Investors!$J:$J,"",Investors!$A:$A,'Investor Exit List'!$A315,Investors!$E:$E,'Investor Exit List'!$C315,Investors!$L:$L,'Investor Exit List'!$B315))</f>
        <v>1100000</v>
      </c>
      <c r="G315" s="118">
        <v>45273</v>
      </c>
      <c r="H315" s="116" t="b">
        <f>VLOOKUP($C315,Sales!$C:$E,2,FALSE)</f>
        <v>1</v>
      </c>
      <c r="I315" s="116" t="b">
        <f>VLOOKUP($C315,Sales!$C:$E,3,FALSE)</f>
        <v>0</v>
      </c>
      <c r="J315" s="118">
        <f>SUMIFS(Sales!$H:$H,Sales!$C:$C,'Investor Exit List'!$C315)</f>
        <v>45490</v>
      </c>
      <c r="K315" s="118" t="str">
        <f t="shared" si="48"/>
        <v/>
      </c>
      <c r="L315" s="118">
        <f t="shared" si="49"/>
        <v>46003</v>
      </c>
      <c r="M315" s="118">
        <v>45443</v>
      </c>
      <c r="N315" s="119">
        <f t="shared" si="50"/>
        <v>560</v>
      </c>
      <c r="O315" s="119">
        <f t="shared" si="51"/>
        <v>0</v>
      </c>
      <c r="P315" s="117">
        <f t="shared" si="52"/>
        <v>0</v>
      </c>
      <c r="Q315" s="117">
        <f>SUMIFS(Investors!$M:$M,Investors!$O:$O,FALSE,Investors!$P:$P,FALSE,Investors!$K:$K,"&gt;"&amp;'NSST Print'!$B$3,Investors!$I:$I,"&lt;="&amp;'NSST Print'!$B$3,Investors!$A:$A,'Investor Exit List'!$A315,Investors!$E:$E,'Investor Exit List'!$C315,Investors!$L:$L,'Investor Exit List'!$B315)-(SUMIFS(Investors!$M:$M,Investors!$I:$I,"&lt;="&amp;'NSST Print'!$B$3,Investors!$J:$J,"&gt;"&amp;'NSST Print'!$B$3,Investors!$A:$A,'Investor Exit List'!$A315,Investors!$E:$E,'Investor Exit List'!$C315,Investors!$L:$L,'Investor Exit List'!$B315)+SUMIFS(Investors!$M:$M,Investors!$I:$I,"&lt;="&amp;'NSST Print'!$B$3,Investors!$J:$J,"",Investors!$A:$A,'Investor Exit List'!$A315,Investors!$E:$E,'Investor Exit List'!$C315,Investors!$L:$L,'Investor Exit List'!$B315))+SUMIFS(Investors!$S:$S,Investors!$O:$O,FALSE,Investors!$P:$P,FALSE,Investors!$K:$K,"&gt;"&amp;'NSST Print'!$B$3,Investors!$I:$I,"&lt;="&amp;'NSST Print'!$B$3,Investors!$A:$A,'Investor Exit List'!$A315,Investors!$E:$E,'Investor Exit List'!$C315,Investors!$L:$L,'Investor Exit List'!$B315)-(SUMIFS(Investors!$S:$S,Investors!$I:$I,"&lt;="&amp;'NSST Print'!$B$3,Investors!$J:$J,"&gt;"&amp;'NSST Print'!$B$3,Investors!$A:$A,'Investor Exit List'!$A315,Investors!$E:$E,'Investor Exit List'!$C315,Investors!$L:$L,'Investor Exit List'!$B315)+SUMIFS(Investors!$S:$S,Investors!$I:$I,"&lt;="&amp;'NSST Print'!$B$3,Investors!$J:$J,"",Investors!$A:$A,'Investor Exit List'!$A315,Investors!$E:$E,'Investor Exit List'!$C315,Investors!$L:$L,'Investor Exit List'!$B315))</f>
        <v>1224013.6986301369</v>
      </c>
      <c r="R315" s="117">
        <f t="shared" si="53"/>
        <v>1224013.6986301369</v>
      </c>
      <c r="S315" s="117">
        <f>SUMIFS(Investors!$M:$M,Investors!$O:$O,TRUE,Investors!$A:$A,'Investor Exit List'!$A315,Investors!$E:$E,'Investor Exit List'!$C315,Investors!$L:$L,'Investor Exit List'!$B315)+SUMIFS(Investors!$S:$S,Investors!$O:$O,TRUE,Investors!$A:$A,'Investor Exit List'!$A315,Investors!$E:$E,'Investor Exit List'!$C315,Investors!$L:$L,'Investor Exit List'!$B315)</f>
        <v>0</v>
      </c>
      <c r="T315" s="118" t="str">
        <f t="shared" si="54"/>
        <v/>
      </c>
      <c r="U315" s="116" t="b">
        <v>0</v>
      </c>
      <c r="V315" s="117">
        <f t="shared" si="55"/>
        <v>0</v>
      </c>
      <c r="W315" s="116">
        <v>0</v>
      </c>
      <c r="X315" s="116" t="b">
        <v>0</v>
      </c>
      <c r="Y315" s="119">
        <f>IF(H315=FALSE,VLOOKUP($C315,Sales!$C:$F,4,FALSE),1)</f>
        <v>1</v>
      </c>
      <c r="Z315" s="116" t="str">
        <f t="shared" si="56"/>
        <v/>
      </c>
      <c r="AA315" s="118">
        <f t="shared" si="57"/>
        <v>46003</v>
      </c>
      <c r="AB315" s="118" t="str">
        <f t="shared" si="58"/>
        <v>HVH204-ZHAN07</v>
      </c>
      <c r="AC315" s="118">
        <f t="shared" si="59"/>
        <v>46003</v>
      </c>
    </row>
    <row r="316" spans="1:29" ht="16" x14ac:dyDescent="0.2">
      <c r="A316" s="116" t="s">
        <v>44</v>
      </c>
      <c r="B316" s="116">
        <v>9</v>
      </c>
      <c r="C316" s="116" t="s">
        <v>683</v>
      </c>
      <c r="D316" s="116" t="s">
        <v>684</v>
      </c>
      <c r="E316" s="116" t="s">
        <v>2015</v>
      </c>
      <c r="F316" s="117">
        <f>SUMIFS(Investors!$M:$M,Investors!$O:$O,FALSE,Investors!$P:$P,FALSE,Investors!$K:$K,"&gt;"&amp;'NSST Print'!$B$3,Investors!$I:$I,"&lt;="&amp;'NSST Print'!$B$3,Investors!$A:$A,'Investor Exit List'!$A316,Investors!$E:$E,'Investor Exit List'!$C316,Investors!$L:$L,'Investor Exit List'!$B316)-(SUMIFS(Investors!$M:$M,Investors!$I:$I,"&lt;="&amp;'NSST Print'!$B$3,Investors!$J:$J,"&gt;"&amp;'NSST Print'!$B$3,Investors!$A:$A,'Investor Exit List'!$A316,Investors!$E:$E,'Investor Exit List'!$C316,Investors!$L:$L,'Investor Exit List'!$B316)+SUMIFS(Investors!$M:$M,Investors!$I:$I,"&lt;="&amp;'NSST Print'!$B$3,Investors!$J:$J,"",Investors!$A:$A,'Investor Exit List'!$A316,Investors!$E:$E,'Investor Exit List'!$C316,Investors!$L:$L,'Investor Exit List'!$B316))</f>
        <v>1100000</v>
      </c>
      <c r="G316" s="118">
        <v>45224</v>
      </c>
      <c r="H316" s="116" t="b">
        <f>VLOOKUP($C316,Sales!$C:$E,2,FALSE)</f>
        <v>0</v>
      </c>
      <c r="I316" s="116" t="b">
        <f>VLOOKUP($C316,Sales!$C:$E,3,FALSE)</f>
        <v>0</v>
      </c>
      <c r="J316" s="118">
        <f>SUMIFS(Sales!$H:$H,Sales!$C:$C,'Investor Exit List'!$C316)</f>
        <v>45596</v>
      </c>
      <c r="K316" s="118" t="str">
        <f t="shared" si="48"/>
        <v/>
      </c>
      <c r="L316" s="118">
        <f t="shared" si="49"/>
        <v>45954</v>
      </c>
      <c r="M316" s="118">
        <v>45443</v>
      </c>
      <c r="N316" s="119">
        <f t="shared" si="50"/>
        <v>511</v>
      </c>
      <c r="O316" s="119">
        <f t="shared" si="51"/>
        <v>0</v>
      </c>
      <c r="P316" s="117">
        <f t="shared" si="52"/>
        <v>0</v>
      </c>
      <c r="Q316" s="117">
        <f>SUMIFS(Investors!$M:$M,Investors!$O:$O,FALSE,Investors!$P:$P,FALSE,Investors!$K:$K,"&gt;"&amp;'NSST Print'!$B$3,Investors!$I:$I,"&lt;="&amp;'NSST Print'!$B$3,Investors!$A:$A,'Investor Exit List'!$A316,Investors!$E:$E,'Investor Exit List'!$C316,Investors!$L:$L,'Investor Exit List'!$B316)-(SUMIFS(Investors!$M:$M,Investors!$I:$I,"&lt;="&amp;'NSST Print'!$B$3,Investors!$J:$J,"&gt;"&amp;'NSST Print'!$B$3,Investors!$A:$A,'Investor Exit List'!$A316,Investors!$E:$E,'Investor Exit List'!$C316,Investors!$L:$L,'Investor Exit List'!$B316)+SUMIFS(Investors!$M:$M,Investors!$I:$I,"&lt;="&amp;'NSST Print'!$B$3,Investors!$J:$J,"",Investors!$A:$A,'Investor Exit List'!$A316,Investors!$E:$E,'Investor Exit List'!$C316,Investors!$L:$L,'Investor Exit List'!$B316))+SUMIFS(Investors!$S:$S,Investors!$O:$O,FALSE,Investors!$P:$P,FALSE,Investors!$K:$K,"&gt;"&amp;'NSST Print'!$B$3,Investors!$I:$I,"&lt;="&amp;'NSST Print'!$B$3,Investors!$A:$A,'Investor Exit List'!$A316,Investors!$E:$E,'Investor Exit List'!$C316,Investors!$L:$L,'Investor Exit List'!$B316)-(SUMIFS(Investors!$S:$S,Investors!$I:$I,"&lt;="&amp;'NSST Print'!$B$3,Investors!$J:$J,"&gt;"&amp;'NSST Print'!$B$3,Investors!$A:$A,'Investor Exit List'!$A316,Investors!$E:$E,'Investor Exit List'!$C316,Investors!$L:$L,'Investor Exit List'!$B316)+SUMIFS(Investors!$S:$S,Investors!$I:$I,"&lt;="&amp;'NSST Print'!$B$3,Investors!$J:$J,"",Investors!$A:$A,'Investor Exit List'!$A316,Investors!$E:$E,'Investor Exit List'!$C316,Investors!$L:$L,'Investor Exit List'!$B316))</f>
        <v>1317573.9726027397</v>
      </c>
      <c r="R316" s="117">
        <f t="shared" si="53"/>
        <v>0</v>
      </c>
      <c r="S316" s="117">
        <f>SUMIFS(Investors!$M:$M,Investors!$O:$O,TRUE,Investors!$A:$A,'Investor Exit List'!$A316,Investors!$E:$E,'Investor Exit List'!$C316,Investors!$L:$L,'Investor Exit List'!$B316)+SUMIFS(Investors!$S:$S,Investors!$O:$O,TRUE,Investors!$A:$A,'Investor Exit List'!$A316,Investors!$E:$E,'Investor Exit List'!$C316,Investors!$L:$L,'Investor Exit List'!$B316)</f>
        <v>0</v>
      </c>
      <c r="T316" s="118" t="str">
        <f t="shared" si="54"/>
        <v/>
      </c>
      <c r="U316" s="116" t="b">
        <v>0</v>
      </c>
      <c r="V316" s="117">
        <f t="shared" si="55"/>
        <v>0</v>
      </c>
      <c r="W316" s="116">
        <v>0</v>
      </c>
      <c r="X316" s="116" t="b">
        <v>0</v>
      </c>
      <c r="Y316" s="119">
        <f>IF(H316=FALSE,VLOOKUP($C316,Sales!$C:$F,4,FALSE),1)</f>
        <v>0</v>
      </c>
      <c r="Z316" s="116" t="str">
        <f t="shared" si="56"/>
        <v>Release</v>
      </c>
      <c r="AA316" s="118">
        <f t="shared" si="57"/>
        <v>45954</v>
      </c>
      <c r="AB316" s="118" t="str">
        <f t="shared" si="58"/>
        <v>HVI101-ZDEB01</v>
      </c>
      <c r="AC316" s="118">
        <f t="shared" si="59"/>
        <v>45954</v>
      </c>
    </row>
    <row r="317" spans="1:29" ht="16" x14ac:dyDescent="0.2">
      <c r="A317" s="116" t="s">
        <v>85</v>
      </c>
      <c r="B317" s="116">
        <v>6</v>
      </c>
      <c r="C317" s="116" t="s">
        <v>685</v>
      </c>
      <c r="D317" s="116" t="s">
        <v>684</v>
      </c>
      <c r="E317" s="116" t="s">
        <v>2027</v>
      </c>
      <c r="F317" s="117">
        <f>SUMIFS(Investors!$M:$M,Investors!$O:$O,FALSE,Investors!$P:$P,FALSE,Investors!$K:$K,"&gt;"&amp;'NSST Print'!$B$3,Investors!$I:$I,"&lt;="&amp;'NSST Print'!$B$3,Investors!$A:$A,'Investor Exit List'!$A317,Investors!$E:$E,'Investor Exit List'!$C317,Investors!$L:$L,'Investor Exit List'!$B317)-(SUMIFS(Investors!$M:$M,Investors!$I:$I,"&lt;="&amp;'NSST Print'!$B$3,Investors!$J:$J,"&gt;"&amp;'NSST Print'!$B$3,Investors!$A:$A,'Investor Exit List'!$A317,Investors!$E:$E,'Investor Exit List'!$C317,Investors!$L:$L,'Investor Exit List'!$B317)+SUMIFS(Investors!$M:$M,Investors!$I:$I,"&lt;="&amp;'NSST Print'!$B$3,Investors!$J:$J,"",Investors!$A:$A,'Investor Exit List'!$A317,Investors!$E:$E,'Investor Exit List'!$C317,Investors!$L:$L,'Investor Exit List'!$B317))</f>
        <v>351000</v>
      </c>
      <c r="G317" s="118">
        <v>45252</v>
      </c>
      <c r="H317" s="116" t="b">
        <f>VLOOKUP($C317,Sales!$C:$E,2,FALSE)</f>
        <v>0</v>
      </c>
      <c r="I317" s="116" t="b">
        <f>VLOOKUP($C317,Sales!$C:$E,3,FALSE)</f>
        <v>0</v>
      </c>
      <c r="J317" s="118">
        <f>SUMIFS(Sales!$H:$H,Sales!$C:$C,'Investor Exit List'!$C317)</f>
        <v>45596</v>
      </c>
      <c r="K317" s="118" t="str">
        <f t="shared" si="48"/>
        <v/>
      </c>
      <c r="L317" s="118">
        <f t="shared" si="49"/>
        <v>45982</v>
      </c>
      <c r="M317" s="118">
        <v>45443</v>
      </c>
      <c r="N317" s="119">
        <f t="shared" si="50"/>
        <v>539</v>
      </c>
      <c r="O317" s="119">
        <f t="shared" si="51"/>
        <v>0</v>
      </c>
      <c r="P317" s="117">
        <f t="shared" si="52"/>
        <v>0</v>
      </c>
      <c r="Q317" s="117">
        <f>SUMIFS(Investors!$M:$M,Investors!$O:$O,FALSE,Investors!$P:$P,FALSE,Investors!$K:$K,"&gt;"&amp;'NSST Print'!$B$3,Investors!$I:$I,"&lt;="&amp;'NSST Print'!$B$3,Investors!$A:$A,'Investor Exit List'!$A317,Investors!$E:$E,'Investor Exit List'!$C317,Investors!$L:$L,'Investor Exit List'!$B317)-(SUMIFS(Investors!$M:$M,Investors!$I:$I,"&lt;="&amp;'NSST Print'!$B$3,Investors!$J:$J,"&gt;"&amp;'NSST Print'!$B$3,Investors!$A:$A,'Investor Exit List'!$A317,Investors!$E:$E,'Investor Exit List'!$C317,Investors!$L:$L,'Investor Exit List'!$B317)+SUMIFS(Investors!$M:$M,Investors!$I:$I,"&lt;="&amp;'NSST Print'!$B$3,Investors!$J:$J,"",Investors!$A:$A,'Investor Exit List'!$A317,Investors!$E:$E,'Investor Exit List'!$C317,Investors!$L:$L,'Investor Exit List'!$B317))+SUMIFS(Investors!$S:$S,Investors!$O:$O,FALSE,Investors!$P:$P,FALSE,Investors!$K:$K,"&gt;"&amp;'NSST Print'!$B$3,Investors!$I:$I,"&lt;="&amp;'NSST Print'!$B$3,Investors!$A:$A,'Investor Exit List'!$A317,Investors!$E:$E,'Investor Exit List'!$C317,Investors!$L:$L,'Investor Exit List'!$B317)-(SUMIFS(Investors!$S:$S,Investors!$I:$I,"&lt;="&amp;'NSST Print'!$B$3,Investors!$J:$J,"&gt;"&amp;'NSST Print'!$B$3,Investors!$A:$A,'Investor Exit List'!$A317,Investors!$E:$E,'Investor Exit List'!$C317,Investors!$L:$L,'Investor Exit List'!$B317)+SUMIFS(Investors!$S:$S,Investors!$I:$I,"&lt;="&amp;'NSST Print'!$B$3,Investors!$J:$J,"",Investors!$A:$A,'Investor Exit List'!$A317,Investors!$E:$E,'Investor Exit List'!$C317,Investors!$L:$L,'Investor Exit List'!$B317))</f>
        <v>416521.60273972596</v>
      </c>
      <c r="R317" s="117">
        <f t="shared" si="53"/>
        <v>0</v>
      </c>
      <c r="S317" s="117">
        <f>SUMIFS(Investors!$M:$M,Investors!$O:$O,TRUE,Investors!$A:$A,'Investor Exit List'!$A317,Investors!$E:$E,'Investor Exit List'!$C317,Investors!$L:$L,'Investor Exit List'!$B317)+SUMIFS(Investors!$S:$S,Investors!$O:$O,TRUE,Investors!$A:$A,'Investor Exit List'!$A317,Investors!$E:$E,'Investor Exit List'!$C317,Investors!$L:$L,'Investor Exit List'!$B317)</f>
        <v>0</v>
      </c>
      <c r="T317" s="118" t="str">
        <f t="shared" si="54"/>
        <v/>
      </c>
      <c r="U317" s="116" t="b">
        <v>0</v>
      </c>
      <c r="V317" s="117">
        <f t="shared" si="55"/>
        <v>0</v>
      </c>
      <c r="W317" s="116">
        <v>0</v>
      </c>
      <c r="X317" s="116" t="b">
        <v>0</v>
      </c>
      <c r="Y317" s="119">
        <f>IF(H317=FALSE,VLOOKUP($C317,Sales!$C:$F,4,FALSE),1)</f>
        <v>0</v>
      </c>
      <c r="Z317" s="116" t="str">
        <f t="shared" si="56"/>
        <v>Release</v>
      </c>
      <c r="AA317" s="118">
        <f t="shared" si="57"/>
        <v>45954</v>
      </c>
      <c r="AB317" s="118" t="str">
        <f t="shared" si="58"/>
        <v>HVI102-ZBEL01</v>
      </c>
      <c r="AC317" s="118">
        <f t="shared" si="59"/>
        <v>45982</v>
      </c>
    </row>
    <row r="318" spans="1:29" ht="16" x14ac:dyDescent="0.2">
      <c r="A318" s="116" t="s">
        <v>686</v>
      </c>
      <c r="B318" s="116">
        <v>1</v>
      </c>
      <c r="C318" s="116" t="s">
        <v>685</v>
      </c>
      <c r="D318" s="116" t="s">
        <v>684</v>
      </c>
      <c r="E318" s="116" t="s">
        <v>2191</v>
      </c>
      <c r="F318" s="117">
        <f>SUMIFS(Investors!$M:$M,Investors!$O:$O,FALSE,Investors!$P:$P,FALSE,Investors!$K:$K,"&gt;"&amp;'NSST Print'!$B$3,Investors!$I:$I,"&lt;="&amp;'NSST Print'!$B$3,Investors!$A:$A,'Investor Exit List'!$A318,Investors!$E:$E,'Investor Exit List'!$C318,Investors!$L:$L,'Investor Exit List'!$B318)-(SUMIFS(Investors!$M:$M,Investors!$I:$I,"&lt;="&amp;'NSST Print'!$B$3,Investors!$J:$J,"&gt;"&amp;'NSST Print'!$B$3,Investors!$A:$A,'Investor Exit List'!$A318,Investors!$E:$E,'Investor Exit List'!$C318,Investors!$L:$L,'Investor Exit List'!$B318)+SUMIFS(Investors!$M:$M,Investors!$I:$I,"&lt;="&amp;'NSST Print'!$B$3,Investors!$J:$J,"",Investors!$A:$A,'Investor Exit List'!$A318,Investors!$E:$E,'Investor Exit List'!$C318,Investors!$L:$L,'Investor Exit List'!$B318))</f>
        <v>150000</v>
      </c>
      <c r="G318" s="118">
        <v>45259</v>
      </c>
      <c r="H318" s="116" t="b">
        <f>VLOOKUP($C318,Sales!$C:$E,2,FALSE)</f>
        <v>0</v>
      </c>
      <c r="I318" s="116" t="b">
        <f>VLOOKUP($C318,Sales!$C:$E,3,FALSE)</f>
        <v>0</v>
      </c>
      <c r="J318" s="118">
        <f>SUMIFS(Sales!$H:$H,Sales!$C:$C,'Investor Exit List'!$C318)</f>
        <v>45596</v>
      </c>
      <c r="K318" s="118" t="str">
        <f t="shared" si="48"/>
        <v/>
      </c>
      <c r="L318" s="118">
        <f t="shared" si="49"/>
        <v>45989</v>
      </c>
      <c r="M318" s="118">
        <v>45443</v>
      </c>
      <c r="N318" s="119">
        <f t="shared" si="50"/>
        <v>546</v>
      </c>
      <c r="O318" s="119">
        <f t="shared" si="51"/>
        <v>0</v>
      </c>
      <c r="P318" s="117">
        <f t="shared" si="52"/>
        <v>0</v>
      </c>
      <c r="Q318" s="117">
        <f>SUMIFS(Investors!$M:$M,Investors!$O:$O,FALSE,Investors!$P:$P,FALSE,Investors!$K:$K,"&gt;"&amp;'NSST Print'!$B$3,Investors!$I:$I,"&lt;="&amp;'NSST Print'!$B$3,Investors!$A:$A,'Investor Exit List'!$A318,Investors!$E:$E,'Investor Exit List'!$C318,Investors!$L:$L,'Investor Exit List'!$B318)-(SUMIFS(Investors!$M:$M,Investors!$I:$I,"&lt;="&amp;'NSST Print'!$B$3,Investors!$J:$J,"&gt;"&amp;'NSST Print'!$B$3,Investors!$A:$A,'Investor Exit List'!$A318,Investors!$E:$E,'Investor Exit List'!$C318,Investors!$L:$L,'Investor Exit List'!$B318)+SUMIFS(Investors!$M:$M,Investors!$I:$I,"&lt;="&amp;'NSST Print'!$B$3,Investors!$J:$J,"",Investors!$A:$A,'Investor Exit List'!$A318,Investors!$E:$E,'Investor Exit List'!$C318,Investors!$L:$L,'Investor Exit List'!$B318))+SUMIFS(Investors!$S:$S,Investors!$O:$O,FALSE,Investors!$P:$P,FALSE,Investors!$K:$K,"&gt;"&amp;'NSST Print'!$B$3,Investors!$I:$I,"&lt;="&amp;'NSST Print'!$B$3,Investors!$A:$A,'Investor Exit List'!$A318,Investors!$E:$E,'Investor Exit List'!$C318,Investors!$L:$L,'Investor Exit List'!$B318)-(SUMIFS(Investors!$S:$S,Investors!$I:$I,"&lt;="&amp;'NSST Print'!$B$3,Investors!$J:$J,"&gt;"&amp;'NSST Print'!$B$3,Investors!$A:$A,'Investor Exit List'!$A318,Investors!$E:$E,'Investor Exit List'!$C318,Investors!$L:$L,'Investor Exit List'!$B318)+SUMIFS(Investors!$S:$S,Investors!$I:$I,"&lt;="&amp;'NSST Print'!$B$3,Investors!$J:$J,"",Investors!$A:$A,'Investor Exit List'!$A318,Investors!$E:$E,'Investor Exit List'!$C318,Investors!$L:$L,'Investor Exit List'!$B318))</f>
        <v>172019.17808219176</v>
      </c>
      <c r="R318" s="117">
        <f t="shared" si="53"/>
        <v>0</v>
      </c>
      <c r="S318" s="117">
        <f>SUMIFS(Investors!$M:$M,Investors!$O:$O,TRUE,Investors!$A:$A,'Investor Exit List'!$A318,Investors!$E:$E,'Investor Exit List'!$C318,Investors!$L:$L,'Investor Exit List'!$B318)+SUMIFS(Investors!$S:$S,Investors!$O:$O,TRUE,Investors!$A:$A,'Investor Exit List'!$A318,Investors!$E:$E,'Investor Exit List'!$C318,Investors!$L:$L,'Investor Exit List'!$B318)</f>
        <v>0</v>
      </c>
      <c r="T318" s="118" t="str">
        <f t="shared" si="54"/>
        <v/>
      </c>
      <c r="U318" s="116" t="b">
        <v>0</v>
      </c>
      <c r="V318" s="117">
        <f t="shared" si="55"/>
        <v>0</v>
      </c>
      <c r="W318" s="116">
        <v>0</v>
      </c>
      <c r="X318" s="116" t="b">
        <v>0</v>
      </c>
      <c r="Y318" s="119">
        <f>IF(H318=FALSE,VLOOKUP($C318,Sales!$C:$F,4,FALSE),1)</f>
        <v>0</v>
      </c>
      <c r="Z318" s="116" t="str">
        <f t="shared" si="56"/>
        <v>Release</v>
      </c>
      <c r="AA318" s="118">
        <f t="shared" si="57"/>
        <v>45954</v>
      </c>
      <c r="AB318" s="118" t="str">
        <f t="shared" si="58"/>
        <v>HVI102-ZCAR01</v>
      </c>
      <c r="AC318" s="118">
        <f t="shared" si="59"/>
        <v>45989</v>
      </c>
    </row>
    <row r="319" spans="1:29" ht="16" x14ac:dyDescent="0.2">
      <c r="A319" s="116" t="s">
        <v>689</v>
      </c>
      <c r="B319" s="116">
        <v>1</v>
      </c>
      <c r="C319" s="116" t="s">
        <v>685</v>
      </c>
      <c r="D319" s="116" t="s">
        <v>684</v>
      </c>
      <c r="E319" s="116" t="s">
        <v>2192</v>
      </c>
      <c r="F319" s="117">
        <f>SUMIFS(Investors!$M:$M,Investors!$O:$O,FALSE,Investors!$P:$P,FALSE,Investors!$K:$K,"&gt;"&amp;'NSST Print'!$B$3,Investors!$I:$I,"&lt;="&amp;'NSST Print'!$B$3,Investors!$A:$A,'Investor Exit List'!$A319,Investors!$E:$E,'Investor Exit List'!$C319,Investors!$L:$L,'Investor Exit List'!$B319)-(SUMIFS(Investors!$M:$M,Investors!$I:$I,"&lt;="&amp;'NSST Print'!$B$3,Investors!$J:$J,"&gt;"&amp;'NSST Print'!$B$3,Investors!$A:$A,'Investor Exit List'!$A319,Investors!$E:$E,'Investor Exit List'!$C319,Investors!$L:$L,'Investor Exit List'!$B319)+SUMIFS(Investors!$M:$M,Investors!$I:$I,"&lt;="&amp;'NSST Print'!$B$3,Investors!$J:$J,"",Investors!$A:$A,'Investor Exit List'!$A319,Investors!$E:$E,'Investor Exit List'!$C319,Investors!$L:$L,'Investor Exit List'!$B319))</f>
        <v>400000</v>
      </c>
      <c r="G319" s="118">
        <v>45224</v>
      </c>
      <c r="H319" s="116" t="b">
        <f>VLOOKUP($C319,Sales!$C:$E,2,FALSE)</f>
        <v>0</v>
      </c>
      <c r="I319" s="116" t="b">
        <f>VLOOKUP($C319,Sales!$C:$E,3,FALSE)</f>
        <v>0</v>
      </c>
      <c r="J319" s="118">
        <f>SUMIFS(Sales!$H:$H,Sales!$C:$C,'Investor Exit List'!$C319)</f>
        <v>45596</v>
      </c>
      <c r="K319" s="118" t="str">
        <f t="shared" si="48"/>
        <v/>
      </c>
      <c r="L319" s="118">
        <f t="shared" si="49"/>
        <v>45954</v>
      </c>
      <c r="M319" s="118">
        <v>45443</v>
      </c>
      <c r="N319" s="119">
        <f t="shared" si="50"/>
        <v>511</v>
      </c>
      <c r="O319" s="119">
        <f t="shared" si="51"/>
        <v>0</v>
      </c>
      <c r="P319" s="117">
        <f t="shared" si="52"/>
        <v>0</v>
      </c>
      <c r="Q319" s="117">
        <f>SUMIFS(Investors!$M:$M,Investors!$O:$O,FALSE,Investors!$P:$P,FALSE,Investors!$K:$K,"&gt;"&amp;'NSST Print'!$B$3,Investors!$I:$I,"&lt;="&amp;'NSST Print'!$B$3,Investors!$A:$A,'Investor Exit List'!$A319,Investors!$E:$E,'Investor Exit List'!$C319,Investors!$L:$L,'Investor Exit List'!$B319)-(SUMIFS(Investors!$M:$M,Investors!$I:$I,"&lt;="&amp;'NSST Print'!$B$3,Investors!$J:$J,"&gt;"&amp;'NSST Print'!$B$3,Investors!$A:$A,'Investor Exit List'!$A319,Investors!$E:$E,'Investor Exit List'!$C319,Investors!$L:$L,'Investor Exit List'!$B319)+SUMIFS(Investors!$M:$M,Investors!$I:$I,"&lt;="&amp;'NSST Print'!$B$3,Investors!$J:$J,"",Investors!$A:$A,'Investor Exit List'!$A319,Investors!$E:$E,'Investor Exit List'!$C319,Investors!$L:$L,'Investor Exit List'!$B319))+SUMIFS(Investors!$S:$S,Investors!$O:$O,FALSE,Investors!$P:$P,FALSE,Investors!$K:$K,"&gt;"&amp;'NSST Print'!$B$3,Investors!$I:$I,"&lt;="&amp;'NSST Print'!$B$3,Investors!$A:$A,'Investor Exit List'!$A319,Investors!$E:$E,'Investor Exit List'!$C319,Investors!$L:$L,'Investor Exit List'!$B319)-(SUMIFS(Investors!$S:$S,Investors!$I:$I,"&lt;="&amp;'NSST Print'!$B$3,Investors!$J:$J,"&gt;"&amp;'NSST Print'!$B$3,Investors!$A:$A,'Investor Exit List'!$A319,Investors!$E:$E,'Investor Exit List'!$C319,Investors!$L:$L,'Investor Exit List'!$B319)+SUMIFS(Investors!$S:$S,Investors!$I:$I,"&lt;="&amp;'NSST Print'!$B$3,Investors!$J:$J,"",Investors!$A:$A,'Investor Exit List'!$A319,Investors!$E:$E,'Investor Exit List'!$C319,Investors!$L:$L,'Investor Exit List'!$B319))</f>
        <v>466317.808219178</v>
      </c>
      <c r="R319" s="117">
        <f t="shared" si="53"/>
        <v>0</v>
      </c>
      <c r="S319" s="117">
        <f>SUMIFS(Investors!$M:$M,Investors!$O:$O,TRUE,Investors!$A:$A,'Investor Exit List'!$A319,Investors!$E:$E,'Investor Exit List'!$C319,Investors!$L:$L,'Investor Exit List'!$B319)+SUMIFS(Investors!$S:$S,Investors!$O:$O,TRUE,Investors!$A:$A,'Investor Exit List'!$A319,Investors!$E:$E,'Investor Exit List'!$C319,Investors!$L:$L,'Investor Exit List'!$B319)</f>
        <v>0</v>
      </c>
      <c r="T319" s="118" t="str">
        <f t="shared" si="54"/>
        <v/>
      </c>
      <c r="U319" s="116" t="b">
        <v>0</v>
      </c>
      <c r="V319" s="117">
        <f t="shared" si="55"/>
        <v>0</v>
      </c>
      <c r="W319" s="116">
        <v>0</v>
      </c>
      <c r="X319" s="116" t="b">
        <v>0</v>
      </c>
      <c r="Y319" s="119">
        <f>IF(H319=FALSE,VLOOKUP($C319,Sales!$C:$F,4,FALSE),1)</f>
        <v>0</v>
      </c>
      <c r="Z319" s="116" t="str">
        <f t="shared" si="56"/>
        <v>Release</v>
      </c>
      <c r="AA319" s="118">
        <f t="shared" si="57"/>
        <v>45954</v>
      </c>
      <c r="AB319" s="118" t="str">
        <f t="shared" si="58"/>
        <v>HVI102-ZCOE02</v>
      </c>
      <c r="AC319" s="118">
        <f t="shared" si="59"/>
        <v>45954</v>
      </c>
    </row>
    <row r="320" spans="1:29" ht="16" x14ac:dyDescent="0.2">
      <c r="A320" s="116" t="s">
        <v>692</v>
      </c>
      <c r="B320" s="116">
        <v>1</v>
      </c>
      <c r="C320" s="116" t="s">
        <v>685</v>
      </c>
      <c r="D320" s="116" t="s">
        <v>684</v>
      </c>
      <c r="E320" s="116" t="s">
        <v>2193</v>
      </c>
      <c r="F320" s="117">
        <f>SUMIFS(Investors!$M:$M,Investors!$O:$O,FALSE,Investors!$P:$P,FALSE,Investors!$K:$K,"&gt;"&amp;'NSST Print'!$B$3,Investors!$I:$I,"&lt;="&amp;'NSST Print'!$B$3,Investors!$A:$A,'Investor Exit List'!$A320,Investors!$E:$E,'Investor Exit List'!$C320,Investors!$L:$L,'Investor Exit List'!$B320)-(SUMIFS(Investors!$M:$M,Investors!$I:$I,"&lt;="&amp;'NSST Print'!$B$3,Investors!$J:$J,"&gt;"&amp;'NSST Print'!$B$3,Investors!$A:$A,'Investor Exit List'!$A320,Investors!$E:$E,'Investor Exit List'!$C320,Investors!$L:$L,'Investor Exit List'!$B320)+SUMIFS(Investors!$M:$M,Investors!$I:$I,"&lt;="&amp;'NSST Print'!$B$3,Investors!$J:$J,"",Investors!$A:$A,'Investor Exit List'!$A320,Investors!$E:$E,'Investor Exit List'!$C320,Investors!$L:$L,'Investor Exit List'!$B320))</f>
        <v>200000</v>
      </c>
      <c r="G320" s="118">
        <v>45259</v>
      </c>
      <c r="H320" s="116" t="b">
        <f>VLOOKUP($C320,Sales!$C:$E,2,FALSE)</f>
        <v>0</v>
      </c>
      <c r="I320" s="116" t="b">
        <f>VLOOKUP($C320,Sales!$C:$E,3,FALSE)</f>
        <v>0</v>
      </c>
      <c r="J320" s="118">
        <f>SUMIFS(Sales!$H:$H,Sales!$C:$C,'Investor Exit List'!$C320)</f>
        <v>45596</v>
      </c>
      <c r="K320" s="118" t="str">
        <f t="shared" si="48"/>
        <v/>
      </c>
      <c r="L320" s="118">
        <f t="shared" si="49"/>
        <v>45989</v>
      </c>
      <c r="M320" s="118">
        <v>45443</v>
      </c>
      <c r="N320" s="119">
        <f t="shared" si="50"/>
        <v>546</v>
      </c>
      <c r="O320" s="119">
        <f t="shared" si="51"/>
        <v>0</v>
      </c>
      <c r="P320" s="117">
        <f t="shared" si="52"/>
        <v>0</v>
      </c>
      <c r="Q320" s="117">
        <f>SUMIFS(Investors!$M:$M,Investors!$O:$O,FALSE,Investors!$P:$P,FALSE,Investors!$K:$K,"&gt;"&amp;'NSST Print'!$B$3,Investors!$I:$I,"&lt;="&amp;'NSST Print'!$B$3,Investors!$A:$A,'Investor Exit List'!$A320,Investors!$E:$E,'Investor Exit List'!$C320,Investors!$L:$L,'Investor Exit List'!$B320)-(SUMIFS(Investors!$M:$M,Investors!$I:$I,"&lt;="&amp;'NSST Print'!$B$3,Investors!$J:$J,"&gt;"&amp;'NSST Print'!$B$3,Investors!$A:$A,'Investor Exit List'!$A320,Investors!$E:$E,'Investor Exit List'!$C320,Investors!$L:$L,'Investor Exit List'!$B320)+SUMIFS(Investors!$M:$M,Investors!$I:$I,"&lt;="&amp;'NSST Print'!$B$3,Investors!$J:$J,"",Investors!$A:$A,'Investor Exit List'!$A320,Investors!$E:$E,'Investor Exit List'!$C320,Investors!$L:$L,'Investor Exit List'!$B320))+SUMIFS(Investors!$S:$S,Investors!$O:$O,FALSE,Investors!$P:$P,FALSE,Investors!$K:$K,"&gt;"&amp;'NSST Print'!$B$3,Investors!$I:$I,"&lt;="&amp;'NSST Print'!$B$3,Investors!$A:$A,'Investor Exit List'!$A320,Investors!$E:$E,'Investor Exit List'!$C320,Investors!$L:$L,'Investor Exit List'!$B320)-(SUMIFS(Investors!$S:$S,Investors!$I:$I,"&lt;="&amp;'NSST Print'!$B$3,Investors!$J:$J,"&gt;"&amp;'NSST Print'!$B$3,Investors!$A:$A,'Investor Exit List'!$A320,Investors!$E:$E,'Investor Exit List'!$C320,Investors!$L:$L,'Investor Exit List'!$B320)+SUMIFS(Investors!$S:$S,Investors!$I:$I,"&lt;="&amp;'NSST Print'!$B$3,Investors!$J:$J,"",Investors!$A:$A,'Investor Exit List'!$A320,Investors!$E:$E,'Investor Exit List'!$C320,Investors!$L:$L,'Investor Exit List'!$B320))</f>
        <v>228515.06849315067</v>
      </c>
      <c r="R320" s="117">
        <f t="shared" si="53"/>
        <v>0</v>
      </c>
      <c r="S320" s="117">
        <f>SUMIFS(Investors!$M:$M,Investors!$O:$O,TRUE,Investors!$A:$A,'Investor Exit List'!$A320,Investors!$E:$E,'Investor Exit List'!$C320,Investors!$L:$L,'Investor Exit List'!$B320)+SUMIFS(Investors!$S:$S,Investors!$O:$O,TRUE,Investors!$A:$A,'Investor Exit List'!$A320,Investors!$E:$E,'Investor Exit List'!$C320,Investors!$L:$L,'Investor Exit List'!$B320)</f>
        <v>0</v>
      </c>
      <c r="T320" s="118" t="str">
        <f t="shared" si="54"/>
        <v/>
      </c>
      <c r="U320" s="116" t="b">
        <v>0</v>
      </c>
      <c r="V320" s="117">
        <f t="shared" si="55"/>
        <v>0</v>
      </c>
      <c r="W320" s="116">
        <v>0</v>
      </c>
      <c r="X320" s="116" t="b">
        <v>0</v>
      </c>
      <c r="Y320" s="119">
        <f>IF(H320=FALSE,VLOOKUP($C320,Sales!$C:$F,4,FALSE),1)</f>
        <v>0</v>
      </c>
      <c r="Z320" s="116" t="str">
        <f t="shared" si="56"/>
        <v>Release</v>
      </c>
      <c r="AA320" s="118">
        <f t="shared" si="57"/>
        <v>45954</v>
      </c>
      <c r="AB320" s="118" t="str">
        <f t="shared" si="58"/>
        <v>HVI102-ZNEL01</v>
      </c>
      <c r="AC320" s="118">
        <f t="shared" si="59"/>
        <v>45989</v>
      </c>
    </row>
    <row r="321" spans="1:29" ht="16" x14ac:dyDescent="0.2">
      <c r="A321" s="116" t="s">
        <v>695</v>
      </c>
      <c r="B321" s="116">
        <v>1</v>
      </c>
      <c r="C321" s="116" t="s">
        <v>698</v>
      </c>
      <c r="D321" s="116" t="s">
        <v>684</v>
      </c>
      <c r="E321" s="116" t="s">
        <v>2194</v>
      </c>
      <c r="F321" s="117">
        <f>SUMIFS(Investors!$M:$M,Investors!$O:$O,FALSE,Investors!$P:$P,FALSE,Investors!$K:$K,"&gt;"&amp;'NSST Print'!$B$3,Investors!$I:$I,"&lt;="&amp;'NSST Print'!$B$3,Investors!$A:$A,'Investor Exit List'!$A321,Investors!$E:$E,'Investor Exit List'!$C321,Investors!$L:$L,'Investor Exit List'!$B321)-(SUMIFS(Investors!$M:$M,Investors!$I:$I,"&lt;="&amp;'NSST Print'!$B$3,Investors!$J:$J,"&gt;"&amp;'NSST Print'!$B$3,Investors!$A:$A,'Investor Exit List'!$A321,Investors!$E:$E,'Investor Exit List'!$C321,Investors!$L:$L,'Investor Exit List'!$B321)+SUMIFS(Investors!$M:$M,Investors!$I:$I,"&lt;="&amp;'NSST Print'!$B$3,Investors!$J:$J,"",Investors!$A:$A,'Investor Exit List'!$A321,Investors!$E:$E,'Investor Exit List'!$C321,Investors!$L:$L,'Investor Exit List'!$B321))</f>
        <v>1000000</v>
      </c>
      <c r="G321" s="118">
        <v>45259</v>
      </c>
      <c r="H321" s="116" t="b">
        <f>VLOOKUP($C321,Sales!$C:$E,2,FALSE)</f>
        <v>0</v>
      </c>
      <c r="I321" s="116" t="b">
        <f>VLOOKUP($C321,Sales!$C:$E,3,FALSE)</f>
        <v>0</v>
      </c>
      <c r="J321" s="118">
        <f>SUMIFS(Sales!$H:$H,Sales!$C:$C,'Investor Exit List'!$C321)</f>
        <v>45596</v>
      </c>
      <c r="K321" s="118" t="str">
        <f t="shared" si="48"/>
        <v/>
      </c>
      <c r="L321" s="118">
        <f t="shared" si="49"/>
        <v>45989</v>
      </c>
      <c r="M321" s="118">
        <v>45443</v>
      </c>
      <c r="N321" s="119">
        <f t="shared" si="50"/>
        <v>546</v>
      </c>
      <c r="O321" s="119">
        <f t="shared" si="51"/>
        <v>0</v>
      </c>
      <c r="P321" s="117">
        <f t="shared" si="52"/>
        <v>0</v>
      </c>
      <c r="Q321" s="117">
        <f>SUMIFS(Investors!$M:$M,Investors!$O:$O,FALSE,Investors!$P:$P,FALSE,Investors!$K:$K,"&gt;"&amp;'NSST Print'!$B$3,Investors!$I:$I,"&lt;="&amp;'NSST Print'!$B$3,Investors!$A:$A,'Investor Exit List'!$A321,Investors!$E:$E,'Investor Exit List'!$C321,Investors!$L:$L,'Investor Exit List'!$B321)-(SUMIFS(Investors!$M:$M,Investors!$I:$I,"&lt;="&amp;'NSST Print'!$B$3,Investors!$J:$J,"&gt;"&amp;'NSST Print'!$B$3,Investors!$A:$A,'Investor Exit List'!$A321,Investors!$E:$E,'Investor Exit List'!$C321,Investors!$L:$L,'Investor Exit List'!$B321)+SUMIFS(Investors!$M:$M,Investors!$I:$I,"&lt;="&amp;'NSST Print'!$B$3,Investors!$J:$J,"",Investors!$A:$A,'Investor Exit List'!$A321,Investors!$E:$E,'Investor Exit List'!$C321,Investors!$L:$L,'Investor Exit List'!$B321))+SUMIFS(Investors!$S:$S,Investors!$O:$O,FALSE,Investors!$P:$P,FALSE,Investors!$K:$K,"&gt;"&amp;'NSST Print'!$B$3,Investors!$I:$I,"&lt;="&amp;'NSST Print'!$B$3,Investors!$A:$A,'Investor Exit List'!$A321,Investors!$E:$E,'Investor Exit List'!$C321,Investors!$L:$L,'Investor Exit List'!$B321)-(SUMIFS(Investors!$S:$S,Investors!$I:$I,"&lt;="&amp;'NSST Print'!$B$3,Investors!$J:$J,"&gt;"&amp;'NSST Print'!$B$3,Investors!$A:$A,'Investor Exit List'!$A321,Investors!$E:$E,'Investor Exit List'!$C321,Investors!$L:$L,'Investor Exit List'!$B321)+SUMIFS(Investors!$S:$S,Investors!$I:$I,"&lt;="&amp;'NSST Print'!$B$3,Investors!$J:$J,"",Investors!$A:$A,'Investor Exit List'!$A321,Investors!$E:$E,'Investor Exit List'!$C321,Investors!$L:$L,'Investor Exit List'!$B321))</f>
        <v>1185328.7671232878</v>
      </c>
      <c r="R321" s="117">
        <f t="shared" si="53"/>
        <v>0</v>
      </c>
      <c r="S321" s="117">
        <f>SUMIFS(Investors!$M:$M,Investors!$O:$O,TRUE,Investors!$A:$A,'Investor Exit List'!$A321,Investors!$E:$E,'Investor Exit List'!$C321,Investors!$L:$L,'Investor Exit List'!$B321)+SUMIFS(Investors!$S:$S,Investors!$O:$O,TRUE,Investors!$A:$A,'Investor Exit List'!$A321,Investors!$E:$E,'Investor Exit List'!$C321,Investors!$L:$L,'Investor Exit List'!$B321)</f>
        <v>0</v>
      </c>
      <c r="T321" s="118" t="str">
        <f t="shared" si="54"/>
        <v/>
      </c>
      <c r="U321" s="116" t="b">
        <v>0</v>
      </c>
      <c r="V321" s="117">
        <f t="shared" si="55"/>
        <v>0</v>
      </c>
      <c r="W321" s="116">
        <v>0</v>
      </c>
      <c r="X321" s="116" t="b">
        <v>0</v>
      </c>
      <c r="Y321" s="119">
        <f>IF(H321=FALSE,VLOOKUP($C321,Sales!$C:$F,4,FALSE),1)</f>
        <v>0</v>
      </c>
      <c r="Z321" s="116" t="str">
        <f t="shared" si="56"/>
        <v>Release</v>
      </c>
      <c r="AA321" s="118">
        <f t="shared" si="57"/>
        <v>45989</v>
      </c>
      <c r="AB321" s="118" t="str">
        <f t="shared" si="58"/>
        <v>HVI103-ZSWA02</v>
      </c>
      <c r="AC321" s="118">
        <f t="shared" si="59"/>
        <v>45989</v>
      </c>
    </row>
    <row r="322" spans="1:29" ht="16" x14ac:dyDescent="0.2">
      <c r="A322" s="116" t="s">
        <v>142</v>
      </c>
      <c r="B322" s="116">
        <v>6</v>
      </c>
      <c r="C322" s="116" t="s">
        <v>698</v>
      </c>
      <c r="D322" s="116" t="s">
        <v>684</v>
      </c>
      <c r="E322" s="116" t="s">
        <v>2045</v>
      </c>
      <c r="F322" s="117">
        <f>SUMIFS(Investors!$M:$M,Investors!$O:$O,FALSE,Investors!$P:$P,FALSE,Investors!$K:$K,"&gt;"&amp;'NSST Print'!$B$3,Investors!$I:$I,"&lt;="&amp;'NSST Print'!$B$3,Investors!$A:$A,'Investor Exit List'!$A322,Investors!$E:$E,'Investor Exit List'!$C322,Investors!$L:$L,'Investor Exit List'!$B322)-(SUMIFS(Investors!$M:$M,Investors!$I:$I,"&lt;="&amp;'NSST Print'!$B$3,Investors!$J:$J,"&gt;"&amp;'NSST Print'!$B$3,Investors!$A:$A,'Investor Exit List'!$A322,Investors!$E:$E,'Investor Exit List'!$C322,Investors!$L:$L,'Investor Exit List'!$B322)+SUMIFS(Investors!$M:$M,Investors!$I:$I,"&lt;="&amp;'NSST Print'!$B$3,Investors!$J:$J,"",Investors!$A:$A,'Investor Exit List'!$A322,Investors!$E:$E,'Investor Exit List'!$C322,Investors!$L:$L,'Investor Exit List'!$B322))</f>
        <v>100000</v>
      </c>
      <c r="G322" s="118">
        <v>45371</v>
      </c>
      <c r="H322" s="116" t="b">
        <f>VLOOKUP($C322,Sales!$C:$E,2,FALSE)</f>
        <v>0</v>
      </c>
      <c r="I322" s="116" t="b">
        <f>VLOOKUP($C322,Sales!$C:$E,3,FALSE)</f>
        <v>0</v>
      </c>
      <c r="J322" s="118">
        <f>SUMIFS(Sales!$H:$H,Sales!$C:$C,'Investor Exit List'!$C322)</f>
        <v>45596</v>
      </c>
      <c r="K322" s="118" t="str">
        <f t="shared" si="48"/>
        <v/>
      </c>
      <c r="L322" s="118">
        <f t="shared" si="49"/>
        <v>46101</v>
      </c>
      <c r="M322" s="118">
        <v>45443</v>
      </c>
      <c r="N322" s="119">
        <f t="shared" si="50"/>
        <v>658</v>
      </c>
      <c r="O322" s="119">
        <f t="shared" si="51"/>
        <v>0</v>
      </c>
      <c r="P322" s="117">
        <f t="shared" si="52"/>
        <v>0</v>
      </c>
      <c r="Q322" s="117">
        <f>SUMIFS(Investors!$M:$M,Investors!$O:$O,FALSE,Investors!$P:$P,FALSE,Investors!$K:$K,"&gt;"&amp;'NSST Print'!$B$3,Investors!$I:$I,"&lt;="&amp;'NSST Print'!$B$3,Investors!$A:$A,'Investor Exit List'!$A322,Investors!$E:$E,'Investor Exit List'!$C322,Investors!$L:$L,'Investor Exit List'!$B322)-(SUMIFS(Investors!$M:$M,Investors!$I:$I,"&lt;="&amp;'NSST Print'!$B$3,Investors!$J:$J,"&gt;"&amp;'NSST Print'!$B$3,Investors!$A:$A,'Investor Exit List'!$A322,Investors!$E:$E,'Investor Exit List'!$C322,Investors!$L:$L,'Investor Exit List'!$B322)+SUMIFS(Investors!$M:$M,Investors!$I:$I,"&lt;="&amp;'NSST Print'!$B$3,Investors!$J:$J,"",Investors!$A:$A,'Investor Exit List'!$A322,Investors!$E:$E,'Investor Exit List'!$C322,Investors!$L:$L,'Investor Exit List'!$B322))+SUMIFS(Investors!$S:$S,Investors!$O:$O,FALSE,Investors!$P:$P,FALSE,Investors!$K:$K,"&gt;"&amp;'NSST Print'!$B$3,Investors!$I:$I,"&lt;="&amp;'NSST Print'!$B$3,Investors!$A:$A,'Investor Exit List'!$A322,Investors!$E:$E,'Investor Exit List'!$C322,Investors!$L:$L,'Investor Exit List'!$B322)-(SUMIFS(Investors!$S:$S,Investors!$I:$I,"&lt;="&amp;'NSST Print'!$B$3,Investors!$J:$J,"&gt;"&amp;'NSST Print'!$B$3,Investors!$A:$A,'Investor Exit List'!$A322,Investors!$E:$E,'Investor Exit List'!$C322,Investors!$L:$L,'Investor Exit List'!$B322)+SUMIFS(Investors!$S:$S,Investors!$I:$I,"&lt;="&amp;'NSST Print'!$B$3,Investors!$J:$J,"",Investors!$A:$A,'Investor Exit List'!$A322,Investors!$E:$E,'Investor Exit List'!$C322,Investors!$L:$L,'Investor Exit List'!$B322))</f>
        <v>106857.53424657535</v>
      </c>
      <c r="R322" s="117">
        <f t="shared" si="53"/>
        <v>0</v>
      </c>
      <c r="S322" s="117">
        <f>SUMIFS(Investors!$M:$M,Investors!$O:$O,TRUE,Investors!$A:$A,'Investor Exit List'!$A322,Investors!$E:$E,'Investor Exit List'!$C322,Investors!$L:$L,'Investor Exit List'!$B322)+SUMIFS(Investors!$S:$S,Investors!$O:$O,TRUE,Investors!$A:$A,'Investor Exit List'!$A322,Investors!$E:$E,'Investor Exit List'!$C322,Investors!$L:$L,'Investor Exit List'!$B322)</f>
        <v>0</v>
      </c>
      <c r="T322" s="118" t="str">
        <f t="shared" si="54"/>
        <v/>
      </c>
      <c r="U322" s="116" t="b">
        <v>0</v>
      </c>
      <c r="V322" s="117">
        <f t="shared" si="55"/>
        <v>0</v>
      </c>
      <c r="W322" s="116">
        <v>0</v>
      </c>
      <c r="X322" s="116" t="b">
        <v>0</v>
      </c>
      <c r="Y322" s="119">
        <f>IF(H322=FALSE,VLOOKUP($C322,Sales!$C:$F,4,FALSE),1)</f>
        <v>0</v>
      </c>
      <c r="Z322" s="116" t="str">
        <f t="shared" si="56"/>
        <v>Release</v>
      </c>
      <c r="AA322" s="118">
        <f t="shared" si="57"/>
        <v>45989</v>
      </c>
      <c r="AB322" s="118" t="str">
        <f t="shared" si="58"/>
        <v>HVI103-ZVDM01</v>
      </c>
      <c r="AC322" s="118">
        <f t="shared" si="59"/>
        <v>46101</v>
      </c>
    </row>
    <row r="323" spans="1:29" ht="16" x14ac:dyDescent="0.2">
      <c r="A323" s="116" t="s">
        <v>699</v>
      </c>
      <c r="B323" s="116">
        <v>2</v>
      </c>
      <c r="C323" s="116" t="s">
        <v>702</v>
      </c>
      <c r="D323" s="116" t="s">
        <v>684</v>
      </c>
      <c r="E323" s="116" t="s">
        <v>2195</v>
      </c>
      <c r="F323" s="117">
        <f>SUMIFS(Investors!$M:$M,Investors!$O:$O,FALSE,Investors!$P:$P,FALSE,Investors!$K:$K,"&gt;"&amp;'NSST Print'!$B$3,Investors!$I:$I,"&lt;="&amp;'NSST Print'!$B$3,Investors!$A:$A,'Investor Exit List'!$A323,Investors!$E:$E,'Investor Exit List'!$C323,Investors!$L:$L,'Investor Exit List'!$B323)-(SUMIFS(Investors!$M:$M,Investors!$I:$I,"&lt;="&amp;'NSST Print'!$B$3,Investors!$J:$J,"&gt;"&amp;'NSST Print'!$B$3,Investors!$A:$A,'Investor Exit List'!$A323,Investors!$E:$E,'Investor Exit List'!$C323,Investors!$L:$L,'Investor Exit List'!$B323)+SUMIFS(Investors!$M:$M,Investors!$I:$I,"&lt;="&amp;'NSST Print'!$B$3,Investors!$J:$J,"",Investors!$A:$A,'Investor Exit List'!$A323,Investors!$E:$E,'Investor Exit List'!$C323,Investors!$L:$L,'Investor Exit List'!$B323))</f>
        <v>100000</v>
      </c>
      <c r="G323" s="118">
        <v>45259</v>
      </c>
      <c r="H323" s="116" t="b">
        <f>VLOOKUP($C323,Sales!$C:$E,2,FALSE)</f>
        <v>0</v>
      </c>
      <c r="I323" s="116" t="b">
        <f>VLOOKUP($C323,Sales!$C:$E,3,FALSE)</f>
        <v>0</v>
      </c>
      <c r="J323" s="118">
        <f>SUMIFS(Sales!$H:$H,Sales!$C:$C,'Investor Exit List'!$C323)</f>
        <v>45596</v>
      </c>
      <c r="K323" s="118" t="str">
        <f t="shared" si="48"/>
        <v/>
      </c>
      <c r="L323" s="118">
        <f t="shared" si="49"/>
        <v>45989</v>
      </c>
      <c r="M323" s="118">
        <v>45443</v>
      </c>
      <c r="N323" s="119">
        <f t="shared" si="50"/>
        <v>546</v>
      </c>
      <c r="O323" s="119">
        <f t="shared" si="51"/>
        <v>0</v>
      </c>
      <c r="P323" s="117">
        <f t="shared" si="52"/>
        <v>0</v>
      </c>
      <c r="Q323" s="117">
        <f>SUMIFS(Investors!$M:$M,Investors!$O:$O,FALSE,Investors!$P:$P,FALSE,Investors!$K:$K,"&gt;"&amp;'NSST Print'!$B$3,Investors!$I:$I,"&lt;="&amp;'NSST Print'!$B$3,Investors!$A:$A,'Investor Exit List'!$A323,Investors!$E:$E,'Investor Exit List'!$C323,Investors!$L:$L,'Investor Exit List'!$B323)-(SUMIFS(Investors!$M:$M,Investors!$I:$I,"&lt;="&amp;'NSST Print'!$B$3,Investors!$J:$J,"&gt;"&amp;'NSST Print'!$B$3,Investors!$A:$A,'Investor Exit List'!$A323,Investors!$E:$E,'Investor Exit List'!$C323,Investors!$L:$L,'Investor Exit List'!$B323)+SUMIFS(Investors!$M:$M,Investors!$I:$I,"&lt;="&amp;'NSST Print'!$B$3,Investors!$J:$J,"",Investors!$A:$A,'Investor Exit List'!$A323,Investors!$E:$E,'Investor Exit List'!$C323,Investors!$L:$L,'Investor Exit List'!$B323))+SUMIFS(Investors!$S:$S,Investors!$O:$O,FALSE,Investors!$P:$P,FALSE,Investors!$K:$K,"&gt;"&amp;'NSST Print'!$B$3,Investors!$I:$I,"&lt;="&amp;'NSST Print'!$B$3,Investors!$A:$A,'Investor Exit List'!$A323,Investors!$E:$E,'Investor Exit List'!$C323,Investors!$L:$L,'Investor Exit List'!$B323)-(SUMIFS(Investors!$S:$S,Investors!$I:$I,"&lt;="&amp;'NSST Print'!$B$3,Investors!$J:$J,"&gt;"&amp;'NSST Print'!$B$3,Investors!$A:$A,'Investor Exit List'!$A323,Investors!$E:$E,'Investor Exit List'!$C323,Investors!$L:$L,'Investor Exit List'!$B323)+SUMIFS(Investors!$S:$S,Investors!$I:$I,"&lt;="&amp;'NSST Print'!$B$3,Investors!$J:$J,"",Investors!$A:$A,'Investor Exit List'!$A323,Investors!$E:$E,'Investor Exit List'!$C323,Investors!$L:$L,'Investor Exit List'!$B323))</f>
        <v>114739.72602739725</v>
      </c>
      <c r="R323" s="117">
        <f t="shared" si="53"/>
        <v>0</v>
      </c>
      <c r="S323" s="117">
        <f>SUMIFS(Investors!$M:$M,Investors!$O:$O,TRUE,Investors!$A:$A,'Investor Exit List'!$A323,Investors!$E:$E,'Investor Exit List'!$C323,Investors!$L:$L,'Investor Exit List'!$B323)+SUMIFS(Investors!$S:$S,Investors!$O:$O,TRUE,Investors!$A:$A,'Investor Exit List'!$A323,Investors!$E:$E,'Investor Exit List'!$C323,Investors!$L:$L,'Investor Exit List'!$B323)</f>
        <v>0</v>
      </c>
      <c r="T323" s="118" t="str">
        <f t="shared" si="54"/>
        <v/>
      </c>
      <c r="U323" s="116" t="b">
        <v>0</v>
      </c>
      <c r="V323" s="117">
        <f t="shared" si="55"/>
        <v>0</v>
      </c>
      <c r="W323" s="116">
        <v>0</v>
      </c>
      <c r="X323" s="116" t="b">
        <v>0</v>
      </c>
      <c r="Y323" s="119">
        <f>IF(H323=FALSE,VLOOKUP($C323,Sales!$C:$F,4,FALSE),1)</f>
        <v>0</v>
      </c>
      <c r="Z323" s="116" t="str">
        <f t="shared" si="56"/>
        <v>Release</v>
      </c>
      <c r="AA323" s="118">
        <f t="shared" si="57"/>
        <v>45989</v>
      </c>
      <c r="AB323" s="118" t="str">
        <f t="shared" si="58"/>
        <v>HVI104-ZDUP01</v>
      </c>
      <c r="AC323" s="118">
        <f t="shared" si="59"/>
        <v>45989</v>
      </c>
    </row>
    <row r="324" spans="1:29" ht="16" x14ac:dyDescent="0.2">
      <c r="A324" s="116" t="s">
        <v>292</v>
      </c>
      <c r="B324" s="116">
        <v>2</v>
      </c>
      <c r="C324" s="116" t="s">
        <v>702</v>
      </c>
      <c r="D324" s="116" t="s">
        <v>684</v>
      </c>
      <c r="E324" s="116" t="s">
        <v>2090</v>
      </c>
      <c r="F324" s="117">
        <f>SUMIFS(Investors!$M:$M,Investors!$O:$O,FALSE,Investors!$P:$P,FALSE,Investors!$K:$K,"&gt;"&amp;'NSST Print'!$B$3,Investors!$I:$I,"&lt;="&amp;'NSST Print'!$B$3,Investors!$A:$A,'Investor Exit List'!$A324,Investors!$E:$E,'Investor Exit List'!$C324,Investors!$L:$L,'Investor Exit List'!$B324)-(SUMIFS(Investors!$M:$M,Investors!$I:$I,"&lt;="&amp;'NSST Print'!$B$3,Investors!$J:$J,"&gt;"&amp;'NSST Print'!$B$3,Investors!$A:$A,'Investor Exit List'!$A324,Investors!$E:$E,'Investor Exit List'!$C324,Investors!$L:$L,'Investor Exit List'!$B324)+SUMIFS(Investors!$M:$M,Investors!$I:$I,"&lt;="&amp;'NSST Print'!$B$3,Investors!$J:$J,"",Investors!$A:$A,'Investor Exit List'!$A324,Investors!$E:$E,'Investor Exit List'!$C324,Investors!$L:$L,'Investor Exit List'!$B324))</f>
        <v>1000000</v>
      </c>
      <c r="G324" s="118">
        <v>45259</v>
      </c>
      <c r="H324" s="116" t="b">
        <f>VLOOKUP($C324,Sales!$C:$E,2,FALSE)</f>
        <v>0</v>
      </c>
      <c r="I324" s="116" t="b">
        <f>VLOOKUP($C324,Sales!$C:$E,3,FALSE)</f>
        <v>0</v>
      </c>
      <c r="J324" s="118">
        <f>SUMIFS(Sales!$H:$H,Sales!$C:$C,'Investor Exit List'!$C324)</f>
        <v>45596</v>
      </c>
      <c r="K324" s="118" t="str">
        <f t="shared" ref="K324:K387" si="60">IF(I324=TRUE,J324,"")</f>
        <v/>
      </c>
      <c r="L324" s="118">
        <f t="shared" ref="L324:L387" si="61">G324+730</f>
        <v>45989</v>
      </c>
      <c r="M324" s="118">
        <v>45443</v>
      </c>
      <c r="N324" s="119">
        <f t="shared" ref="N324:N387" si="62">IFERROR(IF(G324&lt;&gt;"",IF(I324=TRUE,0,IF(U324=TRUE,0,L324-M324)),0),0)</f>
        <v>546</v>
      </c>
      <c r="O324" s="119">
        <f t="shared" ref="O324:O387" si="63">IF(N324&gt;0,IF(N324&lt;=180,N324,0),0)</f>
        <v>0</v>
      </c>
      <c r="P324" s="117">
        <f t="shared" ref="P324:P387" si="64">IF(AND(N324&lt;90,N324&gt;0),Q324,0)</f>
        <v>0</v>
      </c>
      <c r="Q324" s="117">
        <f>SUMIFS(Investors!$M:$M,Investors!$O:$O,FALSE,Investors!$P:$P,FALSE,Investors!$K:$K,"&gt;"&amp;'NSST Print'!$B$3,Investors!$I:$I,"&lt;="&amp;'NSST Print'!$B$3,Investors!$A:$A,'Investor Exit List'!$A324,Investors!$E:$E,'Investor Exit List'!$C324,Investors!$L:$L,'Investor Exit List'!$B324)-(SUMIFS(Investors!$M:$M,Investors!$I:$I,"&lt;="&amp;'NSST Print'!$B$3,Investors!$J:$J,"&gt;"&amp;'NSST Print'!$B$3,Investors!$A:$A,'Investor Exit List'!$A324,Investors!$E:$E,'Investor Exit List'!$C324,Investors!$L:$L,'Investor Exit List'!$B324)+SUMIFS(Investors!$M:$M,Investors!$I:$I,"&lt;="&amp;'NSST Print'!$B$3,Investors!$J:$J,"",Investors!$A:$A,'Investor Exit List'!$A324,Investors!$E:$E,'Investor Exit List'!$C324,Investors!$L:$L,'Investor Exit List'!$B324))+SUMIFS(Investors!$S:$S,Investors!$O:$O,FALSE,Investors!$P:$P,FALSE,Investors!$K:$K,"&gt;"&amp;'NSST Print'!$B$3,Investors!$I:$I,"&lt;="&amp;'NSST Print'!$B$3,Investors!$A:$A,'Investor Exit List'!$A324,Investors!$E:$E,'Investor Exit List'!$C324,Investors!$L:$L,'Investor Exit List'!$B324)-(SUMIFS(Investors!$S:$S,Investors!$I:$I,"&lt;="&amp;'NSST Print'!$B$3,Investors!$J:$J,"&gt;"&amp;'NSST Print'!$B$3,Investors!$A:$A,'Investor Exit List'!$A324,Investors!$E:$E,'Investor Exit List'!$C324,Investors!$L:$L,'Investor Exit List'!$B324)+SUMIFS(Investors!$S:$S,Investors!$I:$I,"&lt;="&amp;'NSST Print'!$B$3,Investors!$J:$J,"",Investors!$A:$A,'Investor Exit List'!$A324,Investors!$E:$E,'Investor Exit List'!$C324,Investors!$L:$L,'Investor Exit List'!$B324))</f>
        <v>1178876.7123287672</v>
      </c>
      <c r="R324" s="117">
        <f t="shared" ref="R324:R387" si="65">IF(AND(H324=TRUE,I324=FALSE),Q324,0)</f>
        <v>0</v>
      </c>
      <c r="S324" s="117">
        <f>SUMIFS(Investors!$M:$M,Investors!$O:$O,TRUE,Investors!$A:$A,'Investor Exit List'!$A324,Investors!$E:$E,'Investor Exit List'!$C324,Investors!$L:$L,'Investor Exit List'!$B324)+SUMIFS(Investors!$S:$S,Investors!$O:$O,TRUE,Investors!$A:$A,'Investor Exit List'!$A324,Investors!$E:$E,'Investor Exit List'!$C324,Investors!$L:$L,'Investor Exit List'!$B324)</f>
        <v>0</v>
      </c>
      <c r="T324" s="118" t="str">
        <f t="shared" ref="T324:T387" si="66">IF(U324=TRUE,$J324,"")</f>
        <v/>
      </c>
      <c r="U324" s="116" t="b">
        <v>0</v>
      </c>
      <c r="V324" s="117">
        <f t="shared" ref="V324:V387" si="67">IF(AND(H324=TRUE,OR(K324="",K324&gt;M324)),S324,0)</f>
        <v>0</v>
      </c>
      <c r="W324" s="116">
        <v>0</v>
      </c>
      <c r="X324" s="116" t="b">
        <v>0</v>
      </c>
      <c r="Y324" s="119">
        <f>IF(H324=FALSE,VLOOKUP($C324,Sales!$C:$F,4,FALSE),1)</f>
        <v>0</v>
      </c>
      <c r="Z324" s="116" t="str">
        <f t="shared" ref="Z324:Z387" si="68">IF(Y324=0,"Release",IF(AND(L324&lt;J324,Y324=1,H324=FALSE,U324=FALSE,MONTH(L324)&amp;"/"&amp;YEAR(L324)&lt;&gt;MONTH(J324)&amp;"/"&amp;YEAR(J324)),"Release",""))</f>
        <v>Release</v>
      </c>
      <c r="AA324" s="118">
        <f t="shared" ref="AA324:AA387" si="69">_xlfn.MINIFS($L:$L,$C:$C,$C324,$F:$F,"&lt;&gt;0")</f>
        <v>45989</v>
      </c>
      <c r="AB324" s="118" t="str">
        <f t="shared" ref="AB324:AB387" si="70">C324&amp;"-"&amp;A324</f>
        <v>HVI104-ZRUS01</v>
      </c>
      <c r="AC324" s="118">
        <f t="shared" ref="AC324:AC387" si="71">L324</f>
        <v>45989</v>
      </c>
    </row>
    <row r="325" spans="1:29" ht="16" x14ac:dyDescent="0.2">
      <c r="A325" s="116" t="s">
        <v>304</v>
      </c>
      <c r="B325" s="116">
        <v>11</v>
      </c>
      <c r="C325" s="116" t="s">
        <v>703</v>
      </c>
      <c r="D325" s="116" t="s">
        <v>684</v>
      </c>
      <c r="E325" s="116" t="s">
        <v>2093</v>
      </c>
      <c r="F325" s="117">
        <f>SUMIFS(Investors!$M:$M,Investors!$O:$O,FALSE,Investors!$P:$P,FALSE,Investors!$K:$K,"&gt;"&amp;'NSST Print'!$B$3,Investors!$I:$I,"&lt;="&amp;'NSST Print'!$B$3,Investors!$A:$A,'Investor Exit List'!$A325,Investors!$E:$E,'Investor Exit List'!$C325,Investors!$L:$L,'Investor Exit List'!$B325)-(SUMIFS(Investors!$M:$M,Investors!$I:$I,"&lt;="&amp;'NSST Print'!$B$3,Investors!$J:$J,"&gt;"&amp;'NSST Print'!$B$3,Investors!$A:$A,'Investor Exit List'!$A325,Investors!$E:$E,'Investor Exit List'!$C325,Investors!$L:$L,'Investor Exit List'!$B325)+SUMIFS(Investors!$M:$M,Investors!$I:$I,"&lt;="&amp;'NSST Print'!$B$3,Investors!$J:$J,"",Investors!$A:$A,'Investor Exit List'!$A325,Investors!$E:$E,'Investor Exit List'!$C325,Investors!$L:$L,'Investor Exit List'!$B325))</f>
        <v>100000</v>
      </c>
      <c r="G325" s="118">
        <v>45259</v>
      </c>
      <c r="H325" s="116" t="b">
        <f>VLOOKUP($C325,Sales!$C:$E,2,FALSE)</f>
        <v>0</v>
      </c>
      <c r="I325" s="116" t="b">
        <f>VLOOKUP($C325,Sales!$C:$E,3,FALSE)</f>
        <v>0</v>
      </c>
      <c r="J325" s="118">
        <f>SUMIFS(Sales!$H:$H,Sales!$C:$C,'Investor Exit List'!$C325)</f>
        <v>45596</v>
      </c>
      <c r="K325" s="118" t="str">
        <f t="shared" si="60"/>
        <v/>
      </c>
      <c r="L325" s="118">
        <f t="shared" si="61"/>
        <v>45989</v>
      </c>
      <c r="M325" s="118">
        <v>45443</v>
      </c>
      <c r="N325" s="119">
        <f t="shared" si="62"/>
        <v>546</v>
      </c>
      <c r="O325" s="119">
        <f t="shared" si="63"/>
        <v>0</v>
      </c>
      <c r="P325" s="117">
        <f t="shared" si="64"/>
        <v>0</v>
      </c>
      <c r="Q325" s="117">
        <f>SUMIFS(Investors!$M:$M,Investors!$O:$O,FALSE,Investors!$P:$P,FALSE,Investors!$K:$K,"&gt;"&amp;'NSST Print'!$B$3,Investors!$I:$I,"&lt;="&amp;'NSST Print'!$B$3,Investors!$A:$A,'Investor Exit List'!$A325,Investors!$E:$E,'Investor Exit List'!$C325,Investors!$L:$L,'Investor Exit List'!$B325)-(SUMIFS(Investors!$M:$M,Investors!$I:$I,"&lt;="&amp;'NSST Print'!$B$3,Investors!$J:$J,"&gt;"&amp;'NSST Print'!$B$3,Investors!$A:$A,'Investor Exit List'!$A325,Investors!$E:$E,'Investor Exit List'!$C325,Investors!$L:$L,'Investor Exit List'!$B325)+SUMIFS(Investors!$M:$M,Investors!$I:$I,"&lt;="&amp;'NSST Print'!$B$3,Investors!$J:$J,"",Investors!$A:$A,'Investor Exit List'!$A325,Investors!$E:$E,'Investor Exit List'!$C325,Investors!$L:$L,'Investor Exit List'!$B325))+SUMIFS(Investors!$S:$S,Investors!$O:$O,FALSE,Investors!$P:$P,FALSE,Investors!$K:$K,"&gt;"&amp;'NSST Print'!$B$3,Investors!$I:$I,"&lt;="&amp;'NSST Print'!$B$3,Investors!$A:$A,'Investor Exit List'!$A325,Investors!$E:$E,'Investor Exit List'!$C325,Investors!$L:$L,'Investor Exit List'!$B325)-(SUMIFS(Investors!$S:$S,Investors!$I:$I,"&lt;="&amp;'NSST Print'!$B$3,Investors!$J:$J,"&gt;"&amp;'NSST Print'!$B$3,Investors!$A:$A,'Investor Exit List'!$A325,Investors!$E:$E,'Investor Exit List'!$C325,Investors!$L:$L,'Investor Exit List'!$B325)+SUMIFS(Investors!$S:$S,Investors!$I:$I,"&lt;="&amp;'NSST Print'!$B$3,Investors!$J:$J,"",Investors!$A:$A,'Investor Exit List'!$A325,Investors!$E:$E,'Investor Exit List'!$C325,Investors!$L:$L,'Investor Exit List'!$B325))</f>
        <v>116230.13698630137</v>
      </c>
      <c r="R325" s="117">
        <f t="shared" si="65"/>
        <v>0</v>
      </c>
      <c r="S325" s="117">
        <f>SUMIFS(Investors!$M:$M,Investors!$O:$O,TRUE,Investors!$A:$A,'Investor Exit List'!$A325,Investors!$E:$E,'Investor Exit List'!$C325,Investors!$L:$L,'Investor Exit List'!$B325)+SUMIFS(Investors!$S:$S,Investors!$O:$O,TRUE,Investors!$A:$A,'Investor Exit List'!$A325,Investors!$E:$E,'Investor Exit List'!$C325,Investors!$L:$L,'Investor Exit List'!$B325)</f>
        <v>0</v>
      </c>
      <c r="T325" s="118" t="str">
        <f t="shared" si="66"/>
        <v/>
      </c>
      <c r="U325" s="116" t="b">
        <v>0</v>
      </c>
      <c r="V325" s="117">
        <f t="shared" si="67"/>
        <v>0</v>
      </c>
      <c r="W325" s="116">
        <v>0</v>
      </c>
      <c r="X325" s="116" t="b">
        <v>0</v>
      </c>
      <c r="Y325" s="119">
        <f>IF(H325=FALSE,VLOOKUP($C325,Sales!$C:$F,4,FALSE),1)</f>
        <v>0</v>
      </c>
      <c r="Z325" s="116" t="str">
        <f t="shared" si="68"/>
        <v>Release</v>
      </c>
      <c r="AA325" s="118">
        <f t="shared" si="69"/>
        <v>45982</v>
      </c>
      <c r="AB325" s="118" t="str">
        <f t="shared" si="70"/>
        <v>HVI201-ZDEL01</v>
      </c>
      <c r="AC325" s="118">
        <f t="shared" si="71"/>
        <v>45989</v>
      </c>
    </row>
    <row r="326" spans="1:29" ht="16" x14ac:dyDescent="0.2">
      <c r="A326" s="116" t="s">
        <v>704</v>
      </c>
      <c r="B326" s="116">
        <v>2</v>
      </c>
      <c r="C326" s="116" t="s">
        <v>703</v>
      </c>
      <c r="D326" s="116" t="s">
        <v>684</v>
      </c>
      <c r="E326" s="116" t="s">
        <v>2196</v>
      </c>
      <c r="F326" s="117">
        <f>SUMIFS(Investors!$M:$M,Investors!$O:$O,FALSE,Investors!$P:$P,FALSE,Investors!$K:$K,"&gt;"&amp;'NSST Print'!$B$3,Investors!$I:$I,"&lt;="&amp;'NSST Print'!$B$3,Investors!$A:$A,'Investor Exit List'!$A326,Investors!$E:$E,'Investor Exit List'!$C326,Investors!$L:$L,'Investor Exit List'!$B326)-(SUMIFS(Investors!$M:$M,Investors!$I:$I,"&lt;="&amp;'NSST Print'!$B$3,Investors!$J:$J,"&gt;"&amp;'NSST Print'!$B$3,Investors!$A:$A,'Investor Exit List'!$A326,Investors!$E:$E,'Investor Exit List'!$C326,Investors!$L:$L,'Investor Exit List'!$B326)+SUMIFS(Investors!$M:$M,Investors!$I:$I,"&lt;="&amp;'NSST Print'!$B$3,Investors!$J:$J,"",Investors!$A:$A,'Investor Exit List'!$A326,Investors!$E:$E,'Investor Exit List'!$C326,Investors!$L:$L,'Investor Exit List'!$B326))</f>
        <v>700000</v>
      </c>
      <c r="G326" s="118">
        <v>45252</v>
      </c>
      <c r="H326" s="116" t="b">
        <f>VLOOKUP($C326,Sales!$C:$E,2,FALSE)</f>
        <v>0</v>
      </c>
      <c r="I326" s="116" t="b">
        <f>VLOOKUP($C326,Sales!$C:$E,3,FALSE)</f>
        <v>0</v>
      </c>
      <c r="J326" s="118">
        <f>SUMIFS(Sales!$H:$H,Sales!$C:$C,'Investor Exit List'!$C326)</f>
        <v>45596</v>
      </c>
      <c r="K326" s="118" t="str">
        <f t="shared" si="60"/>
        <v/>
      </c>
      <c r="L326" s="118">
        <f t="shared" si="61"/>
        <v>45982</v>
      </c>
      <c r="M326" s="118">
        <v>45443</v>
      </c>
      <c r="N326" s="119">
        <f t="shared" si="62"/>
        <v>539</v>
      </c>
      <c r="O326" s="119">
        <f t="shared" si="63"/>
        <v>0</v>
      </c>
      <c r="P326" s="117">
        <f t="shared" si="64"/>
        <v>0</v>
      </c>
      <c r="Q326" s="117">
        <f>SUMIFS(Investors!$M:$M,Investors!$O:$O,FALSE,Investors!$P:$P,FALSE,Investors!$K:$K,"&gt;"&amp;'NSST Print'!$B$3,Investors!$I:$I,"&lt;="&amp;'NSST Print'!$B$3,Investors!$A:$A,'Investor Exit List'!$A326,Investors!$E:$E,'Investor Exit List'!$C326,Investors!$L:$L,'Investor Exit List'!$B326)-(SUMIFS(Investors!$M:$M,Investors!$I:$I,"&lt;="&amp;'NSST Print'!$B$3,Investors!$J:$J,"&gt;"&amp;'NSST Print'!$B$3,Investors!$A:$A,'Investor Exit List'!$A326,Investors!$E:$E,'Investor Exit List'!$C326,Investors!$L:$L,'Investor Exit List'!$B326)+SUMIFS(Investors!$M:$M,Investors!$I:$I,"&lt;="&amp;'NSST Print'!$B$3,Investors!$J:$J,"",Investors!$A:$A,'Investor Exit List'!$A326,Investors!$E:$E,'Investor Exit List'!$C326,Investors!$L:$L,'Investor Exit List'!$B326))+SUMIFS(Investors!$S:$S,Investors!$O:$O,FALSE,Investors!$P:$P,FALSE,Investors!$K:$K,"&gt;"&amp;'NSST Print'!$B$3,Investors!$I:$I,"&lt;="&amp;'NSST Print'!$B$3,Investors!$A:$A,'Investor Exit List'!$A326,Investors!$E:$E,'Investor Exit List'!$C326,Investors!$L:$L,'Investor Exit List'!$B326)-(SUMIFS(Investors!$S:$S,Investors!$I:$I,"&lt;="&amp;'NSST Print'!$B$3,Investors!$J:$J,"&gt;"&amp;'NSST Print'!$B$3,Investors!$A:$A,'Investor Exit List'!$A326,Investors!$E:$E,'Investor Exit List'!$C326,Investors!$L:$L,'Investor Exit List'!$B326)+SUMIFS(Investors!$S:$S,Investors!$I:$I,"&lt;="&amp;'NSST Print'!$B$3,Investors!$J:$J,"",Investors!$A:$A,'Investor Exit List'!$A326,Investors!$E:$E,'Investor Exit List'!$C326,Investors!$L:$L,'Investor Exit List'!$B326))</f>
        <v>816027.39726027404</v>
      </c>
      <c r="R326" s="117">
        <f t="shared" si="65"/>
        <v>0</v>
      </c>
      <c r="S326" s="117">
        <f>SUMIFS(Investors!$M:$M,Investors!$O:$O,TRUE,Investors!$A:$A,'Investor Exit List'!$A326,Investors!$E:$E,'Investor Exit List'!$C326,Investors!$L:$L,'Investor Exit List'!$B326)+SUMIFS(Investors!$S:$S,Investors!$O:$O,TRUE,Investors!$A:$A,'Investor Exit List'!$A326,Investors!$E:$E,'Investor Exit List'!$C326,Investors!$L:$L,'Investor Exit List'!$B326)</f>
        <v>0</v>
      </c>
      <c r="T326" s="118" t="str">
        <f t="shared" si="66"/>
        <v/>
      </c>
      <c r="U326" s="116" t="b">
        <v>0</v>
      </c>
      <c r="V326" s="117">
        <f t="shared" si="67"/>
        <v>0</v>
      </c>
      <c r="W326" s="116">
        <v>0</v>
      </c>
      <c r="X326" s="116" t="b">
        <v>0</v>
      </c>
      <c r="Y326" s="119">
        <f>IF(H326=FALSE,VLOOKUP($C326,Sales!$C:$F,4,FALSE),1)</f>
        <v>0</v>
      </c>
      <c r="Z326" s="116" t="str">
        <f t="shared" si="68"/>
        <v>Release</v>
      </c>
      <c r="AA326" s="118">
        <f t="shared" si="69"/>
        <v>45982</v>
      </c>
      <c r="AB326" s="118" t="str">
        <f t="shared" si="70"/>
        <v>HVI201-ZESP01</v>
      </c>
      <c r="AC326" s="118">
        <f t="shared" si="71"/>
        <v>45982</v>
      </c>
    </row>
    <row r="327" spans="1:29" ht="16" x14ac:dyDescent="0.2">
      <c r="A327" s="116" t="s">
        <v>176</v>
      </c>
      <c r="B327" s="116">
        <v>5</v>
      </c>
      <c r="C327" s="116" t="s">
        <v>703</v>
      </c>
      <c r="D327" s="116" t="s">
        <v>684</v>
      </c>
      <c r="E327" s="116" t="s">
        <v>2055</v>
      </c>
      <c r="F327" s="117">
        <f>SUMIFS(Investors!$M:$M,Investors!$O:$O,FALSE,Investors!$P:$P,FALSE,Investors!$K:$K,"&gt;"&amp;'NSST Print'!$B$3,Investors!$I:$I,"&lt;="&amp;'NSST Print'!$B$3,Investors!$A:$A,'Investor Exit List'!$A327,Investors!$E:$E,'Investor Exit List'!$C327,Investors!$L:$L,'Investor Exit List'!$B327)-(SUMIFS(Investors!$M:$M,Investors!$I:$I,"&lt;="&amp;'NSST Print'!$B$3,Investors!$J:$J,"&gt;"&amp;'NSST Print'!$B$3,Investors!$A:$A,'Investor Exit List'!$A327,Investors!$E:$E,'Investor Exit List'!$C327,Investors!$L:$L,'Investor Exit List'!$B327)+SUMIFS(Investors!$M:$M,Investors!$I:$I,"&lt;="&amp;'NSST Print'!$B$3,Investors!$J:$J,"",Investors!$A:$A,'Investor Exit List'!$A327,Investors!$E:$E,'Investor Exit List'!$C327,Investors!$L:$L,'Investor Exit List'!$B327))</f>
        <v>300000</v>
      </c>
      <c r="G327" s="118">
        <v>45273</v>
      </c>
      <c r="H327" s="116" t="b">
        <f>VLOOKUP($C327,Sales!$C:$E,2,FALSE)</f>
        <v>0</v>
      </c>
      <c r="I327" s="116" t="b">
        <f>VLOOKUP($C327,Sales!$C:$E,3,FALSE)</f>
        <v>0</v>
      </c>
      <c r="J327" s="118">
        <f>SUMIFS(Sales!$H:$H,Sales!$C:$C,'Investor Exit List'!$C327)</f>
        <v>45596</v>
      </c>
      <c r="K327" s="118" t="str">
        <f t="shared" si="60"/>
        <v/>
      </c>
      <c r="L327" s="118">
        <f t="shared" si="61"/>
        <v>46003</v>
      </c>
      <c r="M327" s="118">
        <v>45443</v>
      </c>
      <c r="N327" s="119">
        <f t="shared" si="62"/>
        <v>560</v>
      </c>
      <c r="O327" s="119">
        <f t="shared" si="63"/>
        <v>0</v>
      </c>
      <c r="P327" s="117">
        <f t="shared" si="64"/>
        <v>0</v>
      </c>
      <c r="Q327" s="117">
        <f>SUMIFS(Investors!$M:$M,Investors!$O:$O,FALSE,Investors!$P:$P,FALSE,Investors!$K:$K,"&gt;"&amp;'NSST Print'!$B$3,Investors!$I:$I,"&lt;="&amp;'NSST Print'!$B$3,Investors!$A:$A,'Investor Exit List'!$A327,Investors!$E:$E,'Investor Exit List'!$C327,Investors!$L:$L,'Investor Exit List'!$B327)-(SUMIFS(Investors!$M:$M,Investors!$I:$I,"&lt;="&amp;'NSST Print'!$B$3,Investors!$J:$J,"&gt;"&amp;'NSST Print'!$B$3,Investors!$A:$A,'Investor Exit List'!$A327,Investors!$E:$E,'Investor Exit List'!$C327,Investors!$L:$L,'Investor Exit List'!$B327)+SUMIFS(Investors!$M:$M,Investors!$I:$I,"&lt;="&amp;'NSST Print'!$B$3,Investors!$J:$J,"",Investors!$A:$A,'Investor Exit List'!$A327,Investors!$E:$E,'Investor Exit List'!$C327,Investors!$L:$L,'Investor Exit List'!$B327))+SUMIFS(Investors!$S:$S,Investors!$O:$O,FALSE,Investors!$P:$P,FALSE,Investors!$K:$K,"&gt;"&amp;'NSST Print'!$B$3,Investors!$I:$I,"&lt;="&amp;'NSST Print'!$B$3,Investors!$A:$A,'Investor Exit List'!$A327,Investors!$E:$E,'Investor Exit List'!$C327,Investors!$L:$L,'Investor Exit List'!$B327)-(SUMIFS(Investors!$S:$S,Investors!$I:$I,"&lt;="&amp;'NSST Print'!$B$3,Investors!$J:$J,"&gt;"&amp;'NSST Print'!$B$3,Investors!$A:$A,'Investor Exit List'!$A327,Investors!$E:$E,'Investor Exit List'!$C327,Investors!$L:$L,'Investor Exit List'!$B327)+SUMIFS(Investors!$S:$S,Investors!$I:$I,"&lt;="&amp;'NSST Print'!$B$3,Investors!$J:$J,"",Investors!$A:$A,'Investor Exit List'!$A327,Investors!$E:$E,'Investor Exit List'!$C327,Investors!$L:$L,'Investor Exit List'!$B327))</f>
        <v>347884.9315068493</v>
      </c>
      <c r="R327" s="117">
        <f t="shared" si="65"/>
        <v>0</v>
      </c>
      <c r="S327" s="117">
        <f>SUMIFS(Investors!$M:$M,Investors!$O:$O,TRUE,Investors!$A:$A,'Investor Exit List'!$A327,Investors!$E:$E,'Investor Exit List'!$C327,Investors!$L:$L,'Investor Exit List'!$B327)+SUMIFS(Investors!$S:$S,Investors!$O:$O,TRUE,Investors!$A:$A,'Investor Exit List'!$A327,Investors!$E:$E,'Investor Exit List'!$C327,Investors!$L:$L,'Investor Exit List'!$B327)</f>
        <v>0</v>
      </c>
      <c r="T327" s="118" t="str">
        <f t="shared" si="66"/>
        <v/>
      </c>
      <c r="U327" s="116" t="b">
        <v>0</v>
      </c>
      <c r="V327" s="117">
        <f t="shared" si="67"/>
        <v>0</v>
      </c>
      <c r="W327" s="116">
        <v>0</v>
      </c>
      <c r="X327" s="116" t="b">
        <v>0</v>
      </c>
      <c r="Y327" s="119">
        <f>IF(H327=FALSE,VLOOKUP($C327,Sales!$C:$F,4,FALSE),1)</f>
        <v>0</v>
      </c>
      <c r="Z327" s="116" t="str">
        <f t="shared" si="68"/>
        <v>Release</v>
      </c>
      <c r="AA327" s="118">
        <f t="shared" si="69"/>
        <v>45982</v>
      </c>
      <c r="AB327" s="118" t="str">
        <f t="shared" si="70"/>
        <v>HVI201-ZKRO01</v>
      </c>
      <c r="AC327" s="118">
        <f t="shared" si="71"/>
        <v>46003</v>
      </c>
    </row>
    <row r="328" spans="1:29" ht="16" x14ac:dyDescent="0.2">
      <c r="A328" s="116" t="s">
        <v>395</v>
      </c>
      <c r="B328" s="116">
        <v>5</v>
      </c>
      <c r="C328" s="116" t="s">
        <v>707</v>
      </c>
      <c r="D328" s="116" t="s">
        <v>684</v>
      </c>
      <c r="E328" s="116" t="s">
        <v>2117</v>
      </c>
      <c r="F328" s="117">
        <f>SUMIFS(Investors!$M:$M,Investors!$O:$O,FALSE,Investors!$P:$P,FALSE,Investors!$K:$K,"&gt;"&amp;'NSST Print'!$B$3,Investors!$I:$I,"&lt;="&amp;'NSST Print'!$B$3,Investors!$A:$A,'Investor Exit List'!$A328,Investors!$E:$E,'Investor Exit List'!$C328,Investors!$L:$L,'Investor Exit List'!$B328)-(SUMIFS(Investors!$M:$M,Investors!$I:$I,"&lt;="&amp;'NSST Print'!$B$3,Investors!$J:$J,"&gt;"&amp;'NSST Print'!$B$3,Investors!$A:$A,'Investor Exit List'!$A328,Investors!$E:$E,'Investor Exit List'!$C328,Investors!$L:$L,'Investor Exit List'!$B328)+SUMIFS(Investors!$M:$M,Investors!$I:$I,"&lt;="&amp;'NSST Print'!$B$3,Investors!$J:$J,"",Investors!$A:$A,'Investor Exit List'!$A328,Investors!$E:$E,'Investor Exit List'!$C328,Investors!$L:$L,'Investor Exit List'!$B328))</f>
        <v>1100000</v>
      </c>
      <c r="G328" s="118">
        <v>45259</v>
      </c>
      <c r="H328" s="116" t="b">
        <f>VLOOKUP($C328,Sales!$C:$E,2,FALSE)</f>
        <v>0</v>
      </c>
      <c r="I328" s="116" t="b">
        <f>VLOOKUP($C328,Sales!$C:$E,3,FALSE)</f>
        <v>0</v>
      </c>
      <c r="J328" s="118">
        <f>SUMIFS(Sales!$H:$H,Sales!$C:$C,'Investor Exit List'!$C328)</f>
        <v>45596</v>
      </c>
      <c r="K328" s="118" t="str">
        <f t="shared" si="60"/>
        <v/>
      </c>
      <c r="L328" s="118">
        <f t="shared" si="61"/>
        <v>45989</v>
      </c>
      <c r="M328" s="118">
        <v>45443</v>
      </c>
      <c r="N328" s="119">
        <f t="shared" si="62"/>
        <v>546</v>
      </c>
      <c r="O328" s="119">
        <f t="shared" si="63"/>
        <v>0</v>
      </c>
      <c r="P328" s="117">
        <f t="shared" si="64"/>
        <v>0</v>
      </c>
      <c r="Q328" s="117">
        <f>SUMIFS(Investors!$M:$M,Investors!$O:$O,FALSE,Investors!$P:$P,FALSE,Investors!$K:$K,"&gt;"&amp;'NSST Print'!$B$3,Investors!$I:$I,"&lt;="&amp;'NSST Print'!$B$3,Investors!$A:$A,'Investor Exit List'!$A328,Investors!$E:$E,'Investor Exit List'!$C328,Investors!$L:$L,'Investor Exit List'!$B328)-(SUMIFS(Investors!$M:$M,Investors!$I:$I,"&lt;="&amp;'NSST Print'!$B$3,Investors!$J:$J,"&gt;"&amp;'NSST Print'!$B$3,Investors!$A:$A,'Investor Exit List'!$A328,Investors!$E:$E,'Investor Exit List'!$C328,Investors!$L:$L,'Investor Exit List'!$B328)+SUMIFS(Investors!$M:$M,Investors!$I:$I,"&lt;="&amp;'NSST Print'!$B$3,Investors!$J:$J,"",Investors!$A:$A,'Investor Exit List'!$A328,Investors!$E:$E,'Investor Exit List'!$C328,Investors!$L:$L,'Investor Exit List'!$B328))+SUMIFS(Investors!$S:$S,Investors!$O:$O,FALSE,Investors!$P:$P,FALSE,Investors!$K:$K,"&gt;"&amp;'NSST Print'!$B$3,Investors!$I:$I,"&lt;="&amp;'NSST Print'!$B$3,Investors!$A:$A,'Investor Exit List'!$A328,Investors!$E:$E,'Investor Exit List'!$C328,Investors!$L:$L,'Investor Exit List'!$B328)-(SUMIFS(Investors!$S:$S,Investors!$I:$I,"&lt;="&amp;'NSST Print'!$B$3,Investors!$J:$J,"&gt;"&amp;'NSST Print'!$B$3,Investors!$A:$A,'Investor Exit List'!$A328,Investors!$E:$E,'Investor Exit List'!$C328,Investors!$L:$L,'Investor Exit List'!$B328)+SUMIFS(Investors!$S:$S,Investors!$I:$I,"&lt;="&amp;'NSST Print'!$B$3,Investors!$J:$J,"",Investors!$A:$A,'Investor Exit List'!$A328,Investors!$E:$E,'Investor Exit List'!$C328,Investors!$L:$L,'Investor Exit List'!$B328))</f>
        <v>1293117.8082191781</v>
      </c>
      <c r="R328" s="117">
        <f t="shared" si="65"/>
        <v>0</v>
      </c>
      <c r="S328" s="117">
        <f>SUMIFS(Investors!$M:$M,Investors!$O:$O,TRUE,Investors!$A:$A,'Investor Exit List'!$A328,Investors!$E:$E,'Investor Exit List'!$C328,Investors!$L:$L,'Investor Exit List'!$B328)+SUMIFS(Investors!$S:$S,Investors!$O:$O,TRUE,Investors!$A:$A,'Investor Exit List'!$A328,Investors!$E:$E,'Investor Exit List'!$C328,Investors!$L:$L,'Investor Exit List'!$B328)</f>
        <v>0</v>
      </c>
      <c r="T328" s="118" t="str">
        <f t="shared" si="66"/>
        <v/>
      </c>
      <c r="U328" s="116" t="b">
        <v>0</v>
      </c>
      <c r="V328" s="117">
        <f t="shared" si="67"/>
        <v>0</v>
      </c>
      <c r="W328" s="116">
        <v>0</v>
      </c>
      <c r="X328" s="116" t="b">
        <v>0</v>
      </c>
      <c r="Y328" s="119">
        <f>IF(H328=FALSE,VLOOKUP($C328,Sales!$C:$F,4,FALSE),1)</f>
        <v>0</v>
      </c>
      <c r="Z328" s="116" t="str">
        <f t="shared" si="68"/>
        <v>Release</v>
      </c>
      <c r="AA328" s="118">
        <f t="shared" si="69"/>
        <v>45989</v>
      </c>
      <c r="AB328" s="118" t="str">
        <f t="shared" si="70"/>
        <v>HVI202-ZKRI02</v>
      </c>
      <c r="AC328" s="118">
        <f t="shared" si="71"/>
        <v>45989</v>
      </c>
    </row>
    <row r="329" spans="1:29" ht="16" x14ac:dyDescent="0.2">
      <c r="A329" s="116" t="s">
        <v>395</v>
      </c>
      <c r="B329" s="116">
        <v>6</v>
      </c>
      <c r="C329" s="116" t="s">
        <v>708</v>
      </c>
      <c r="D329" s="116" t="s">
        <v>684</v>
      </c>
      <c r="E329" s="116" t="s">
        <v>2117</v>
      </c>
      <c r="F329" s="117">
        <f>SUMIFS(Investors!$M:$M,Investors!$O:$O,FALSE,Investors!$P:$P,FALSE,Investors!$K:$K,"&gt;"&amp;'NSST Print'!$B$3,Investors!$I:$I,"&lt;="&amp;'NSST Print'!$B$3,Investors!$A:$A,'Investor Exit List'!$A329,Investors!$E:$E,'Investor Exit List'!$C329,Investors!$L:$L,'Investor Exit List'!$B329)-(SUMIFS(Investors!$M:$M,Investors!$I:$I,"&lt;="&amp;'NSST Print'!$B$3,Investors!$J:$J,"&gt;"&amp;'NSST Print'!$B$3,Investors!$A:$A,'Investor Exit List'!$A329,Investors!$E:$E,'Investor Exit List'!$C329,Investors!$L:$L,'Investor Exit List'!$B329)+SUMIFS(Investors!$M:$M,Investors!$I:$I,"&lt;="&amp;'NSST Print'!$B$3,Investors!$J:$J,"",Investors!$A:$A,'Investor Exit List'!$A329,Investors!$E:$E,'Investor Exit List'!$C329,Investors!$L:$L,'Investor Exit List'!$B329))</f>
        <v>1100000</v>
      </c>
      <c r="G329" s="118">
        <v>45259</v>
      </c>
      <c r="H329" s="116" t="b">
        <f>VLOOKUP($C329,Sales!$C:$E,2,FALSE)</f>
        <v>0</v>
      </c>
      <c r="I329" s="116" t="b">
        <f>VLOOKUP($C329,Sales!$C:$E,3,FALSE)</f>
        <v>0</v>
      </c>
      <c r="J329" s="118">
        <f>SUMIFS(Sales!$H:$H,Sales!$C:$C,'Investor Exit List'!$C329)</f>
        <v>45596</v>
      </c>
      <c r="K329" s="118" t="str">
        <f t="shared" si="60"/>
        <v/>
      </c>
      <c r="L329" s="118">
        <f t="shared" si="61"/>
        <v>45989</v>
      </c>
      <c r="M329" s="118">
        <v>45443</v>
      </c>
      <c r="N329" s="119">
        <f t="shared" si="62"/>
        <v>546</v>
      </c>
      <c r="O329" s="119">
        <f t="shared" si="63"/>
        <v>0</v>
      </c>
      <c r="P329" s="117">
        <f t="shared" si="64"/>
        <v>0</v>
      </c>
      <c r="Q329" s="117">
        <f>SUMIFS(Investors!$M:$M,Investors!$O:$O,FALSE,Investors!$P:$P,FALSE,Investors!$K:$K,"&gt;"&amp;'NSST Print'!$B$3,Investors!$I:$I,"&lt;="&amp;'NSST Print'!$B$3,Investors!$A:$A,'Investor Exit List'!$A329,Investors!$E:$E,'Investor Exit List'!$C329,Investors!$L:$L,'Investor Exit List'!$B329)-(SUMIFS(Investors!$M:$M,Investors!$I:$I,"&lt;="&amp;'NSST Print'!$B$3,Investors!$J:$J,"&gt;"&amp;'NSST Print'!$B$3,Investors!$A:$A,'Investor Exit List'!$A329,Investors!$E:$E,'Investor Exit List'!$C329,Investors!$L:$L,'Investor Exit List'!$B329)+SUMIFS(Investors!$M:$M,Investors!$I:$I,"&lt;="&amp;'NSST Print'!$B$3,Investors!$J:$J,"",Investors!$A:$A,'Investor Exit List'!$A329,Investors!$E:$E,'Investor Exit List'!$C329,Investors!$L:$L,'Investor Exit List'!$B329))+SUMIFS(Investors!$S:$S,Investors!$O:$O,FALSE,Investors!$P:$P,FALSE,Investors!$K:$K,"&gt;"&amp;'NSST Print'!$B$3,Investors!$I:$I,"&lt;="&amp;'NSST Print'!$B$3,Investors!$A:$A,'Investor Exit List'!$A329,Investors!$E:$E,'Investor Exit List'!$C329,Investors!$L:$L,'Investor Exit List'!$B329)-(SUMIFS(Investors!$S:$S,Investors!$I:$I,"&lt;="&amp;'NSST Print'!$B$3,Investors!$J:$J,"&gt;"&amp;'NSST Print'!$B$3,Investors!$A:$A,'Investor Exit List'!$A329,Investors!$E:$E,'Investor Exit List'!$C329,Investors!$L:$L,'Investor Exit List'!$B329)+SUMIFS(Investors!$S:$S,Investors!$I:$I,"&lt;="&amp;'NSST Print'!$B$3,Investors!$J:$J,"",Investors!$A:$A,'Investor Exit List'!$A329,Investors!$E:$E,'Investor Exit List'!$C329,Investors!$L:$L,'Investor Exit List'!$B329))</f>
        <v>1293117.8082191781</v>
      </c>
      <c r="R329" s="117">
        <f t="shared" si="65"/>
        <v>0</v>
      </c>
      <c r="S329" s="117">
        <f>SUMIFS(Investors!$M:$M,Investors!$O:$O,TRUE,Investors!$A:$A,'Investor Exit List'!$A329,Investors!$E:$E,'Investor Exit List'!$C329,Investors!$L:$L,'Investor Exit List'!$B329)+SUMIFS(Investors!$S:$S,Investors!$O:$O,TRUE,Investors!$A:$A,'Investor Exit List'!$A329,Investors!$E:$E,'Investor Exit List'!$C329,Investors!$L:$L,'Investor Exit List'!$B329)</f>
        <v>0</v>
      </c>
      <c r="T329" s="118" t="str">
        <f t="shared" si="66"/>
        <v/>
      </c>
      <c r="U329" s="116" t="b">
        <v>0</v>
      </c>
      <c r="V329" s="117">
        <f t="shared" si="67"/>
        <v>0</v>
      </c>
      <c r="W329" s="116">
        <v>0</v>
      </c>
      <c r="X329" s="116" t="b">
        <v>0</v>
      </c>
      <c r="Y329" s="119">
        <f>IF(H329=FALSE,VLOOKUP($C329,Sales!$C:$F,4,FALSE),1)</f>
        <v>0</v>
      </c>
      <c r="Z329" s="116" t="str">
        <f t="shared" si="68"/>
        <v>Release</v>
      </c>
      <c r="AA329" s="118">
        <f t="shared" si="69"/>
        <v>45989</v>
      </c>
      <c r="AB329" s="118" t="str">
        <f t="shared" si="70"/>
        <v>HVI203-ZKRI02</v>
      </c>
      <c r="AC329" s="118">
        <f t="shared" si="71"/>
        <v>45989</v>
      </c>
    </row>
    <row r="330" spans="1:29" ht="16" x14ac:dyDescent="0.2">
      <c r="A330" s="116" t="s">
        <v>576</v>
      </c>
      <c r="B330" s="116">
        <v>2</v>
      </c>
      <c r="C330" s="116" t="s">
        <v>709</v>
      </c>
      <c r="D330" s="116" t="s">
        <v>684</v>
      </c>
      <c r="E330" s="116" t="s">
        <v>2168</v>
      </c>
      <c r="F330" s="117">
        <f>SUMIFS(Investors!$M:$M,Investors!$O:$O,FALSE,Investors!$P:$P,FALSE,Investors!$K:$K,"&gt;"&amp;'NSST Print'!$B$3,Investors!$I:$I,"&lt;="&amp;'NSST Print'!$B$3,Investors!$A:$A,'Investor Exit List'!$A330,Investors!$E:$E,'Investor Exit List'!$C330,Investors!$L:$L,'Investor Exit List'!$B330)-(SUMIFS(Investors!$M:$M,Investors!$I:$I,"&lt;="&amp;'NSST Print'!$B$3,Investors!$J:$J,"&gt;"&amp;'NSST Print'!$B$3,Investors!$A:$A,'Investor Exit List'!$A330,Investors!$E:$E,'Investor Exit List'!$C330,Investors!$L:$L,'Investor Exit List'!$B330)+SUMIFS(Investors!$M:$M,Investors!$I:$I,"&lt;="&amp;'NSST Print'!$B$3,Investors!$J:$J,"",Investors!$A:$A,'Investor Exit List'!$A330,Investors!$E:$E,'Investor Exit List'!$C330,Investors!$L:$L,'Investor Exit List'!$B330))</f>
        <v>1100000</v>
      </c>
      <c r="G330" s="118">
        <v>45280</v>
      </c>
      <c r="H330" s="116" t="b">
        <f>VLOOKUP($C330,Sales!$C:$E,2,FALSE)</f>
        <v>0</v>
      </c>
      <c r="I330" s="116" t="b">
        <f>VLOOKUP($C330,Sales!$C:$E,3,FALSE)</f>
        <v>0</v>
      </c>
      <c r="J330" s="118">
        <f>SUMIFS(Sales!$H:$H,Sales!$C:$C,'Investor Exit List'!$C330)</f>
        <v>45596</v>
      </c>
      <c r="K330" s="118" t="str">
        <f t="shared" si="60"/>
        <v/>
      </c>
      <c r="L330" s="118">
        <f t="shared" si="61"/>
        <v>46010</v>
      </c>
      <c r="M330" s="118">
        <v>45443</v>
      </c>
      <c r="N330" s="119">
        <f t="shared" si="62"/>
        <v>567</v>
      </c>
      <c r="O330" s="119">
        <f t="shared" si="63"/>
        <v>0</v>
      </c>
      <c r="P330" s="117">
        <f t="shared" si="64"/>
        <v>0</v>
      </c>
      <c r="Q330" s="117">
        <f>SUMIFS(Investors!$M:$M,Investors!$O:$O,FALSE,Investors!$P:$P,FALSE,Investors!$K:$K,"&gt;"&amp;'NSST Print'!$B$3,Investors!$I:$I,"&lt;="&amp;'NSST Print'!$B$3,Investors!$A:$A,'Investor Exit List'!$A330,Investors!$E:$E,'Investor Exit List'!$C330,Investors!$L:$L,'Investor Exit List'!$B330)-(SUMIFS(Investors!$M:$M,Investors!$I:$I,"&lt;="&amp;'NSST Print'!$B$3,Investors!$J:$J,"&gt;"&amp;'NSST Print'!$B$3,Investors!$A:$A,'Investor Exit List'!$A330,Investors!$E:$E,'Investor Exit List'!$C330,Investors!$L:$L,'Investor Exit List'!$B330)+SUMIFS(Investors!$M:$M,Investors!$I:$I,"&lt;="&amp;'NSST Print'!$B$3,Investors!$J:$J,"",Investors!$A:$A,'Investor Exit List'!$A330,Investors!$E:$E,'Investor Exit List'!$C330,Investors!$L:$L,'Investor Exit List'!$B330))+SUMIFS(Investors!$S:$S,Investors!$O:$O,FALSE,Investors!$P:$P,FALSE,Investors!$K:$K,"&gt;"&amp;'NSST Print'!$B$3,Investors!$I:$I,"&lt;="&amp;'NSST Print'!$B$3,Investors!$A:$A,'Investor Exit List'!$A330,Investors!$E:$E,'Investor Exit List'!$C330,Investors!$L:$L,'Investor Exit List'!$B330)-(SUMIFS(Investors!$S:$S,Investors!$I:$I,"&lt;="&amp;'NSST Print'!$B$3,Investors!$J:$J,"&gt;"&amp;'NSST Print'!$B$3,Investors!$A:$A,'Investor Exit List'!$A330,Investors!$E:$E,'Investor Exit List'!$C330,Investors!$L:$L,'Investor Exit List'!$B330)+SUMIFS(Investors!$S:$S,Investors!$I:$I,"&lt;="&amp;'NSST Print'!$B$3,Investors!$J:$J,"",Investors!$A:$A,'Investor Exit List'!$A330,Investors!$E:$E,'Investor Exit List'!$C330,Investors!$L:$L,'Investor Exit List'!$B330))</f>
        <v>1288024.6575342466</v>
      </c>
      <c r="R330" s="117">
        <f t="shared" si="65"/>
        <v>0</v>
      </c>
      <c r="S330" s="117">
        <f>SUMIFS(Investors!$M:$M,Investors!$O:$O,TRUE,Investors!$A:$A,'Investor Exit List'!$A330,Investors!$E:$E,'Investor Exit List'!$C330,Investors!$L:$L,'Investor Exit List'!$B330)+SUMIFS(Investors!$S:$S,Investors!$O:$O,TRUE,Investors!$A:$A,'Investor Exit List'!$A330,Investors!$E:$E,'Investor Exit List'!$C330,Investors!$L:$L,'Investor Exit List'!$B330)</f>
        <v>0</v>
      </c>
      <c r="T330" s="118" t="str">
        <f t="shared" si="66"/>
        <v/>
      </c>
      <c r="U330" s="116" t="b">
        <v>0</v>
      </c>
      <c r="V330" s="117">
        <f t="shared" si="67"/>
        <v>0</v>
      </c>
      <c r="W330" s="116">
        <v>0</v>
      </c>
      <c r="X330" s="116" t="b">
        <v>0</v>
      </c>
      <c r="Y330" s="119">
        <f>IF(H330=FALSE,VLOOKUP($C330,Sales!$C:$F,4,FALSE),1)</f>
        <v>0</v>
      </c>
      <c r="Z330" s="116" t="str">
        <f t="shared" si="68"/>
        <v>Release</v>
      </c>
      <c r="AA330" s="118">
        <f t="shared" si="69"/>
        <v>46010</v>
      </c>
      <c r="AB330" s="118" t="str">
        <f t="shared" si="70"/>
        <v>HVI204-ZMYB01</v>
      </c>
      <c r="AC330" s="118">
        <f t="shared" si="71"/>
        <v>46010</v>
      </c>
    </row>
    <row r="331" spans="1:29" ht="16" x14ac:dyDescent="0.2">
      <c r="A331" s="116" t="s">
        <v>416</v>
      </c>
      <c r="B331" s="116">
        <v>2</v>
      </c>
      <c r="C331" s="116" t="s">
        <v>710</v>
      </c>
      <c r="D331" s="116" t="s">
        <v>711</v>
      </c>
      <c r="E331" s="116" t="s">
        <v>2122</v>
      </c>
      <c r="F331" s="117">
        <f>SUMIFS(Investors!$M:$M,Investors!$O:$O,FALSE,Investors!$P:$P,FALSE,Investors!$K:$K,"&gt;"&amp;'NSST Print'!$B$3,Investors!$I:$I,"&lt;="&amp;'NSST Print'!$B$3,Investors!$A:$A,'Investor Exit List'!$A331,Investors!$E:$E,'Investor Exit List'!$C331,Investors!$L:$L,'Investor Exit List'!$B331)-(SUMIFS(Investors!$M:$M,Investors!$I:$I,"&lt;="&amp;'NSST Print'!$B$3,Investors!$J:$J,"&gt;"&amp;'NSST Print'!$B$3,Investors!$A:$A,'Investor Exit List'!$A331,Investors!$E:$E,'Investor Exit List'!$C331,Investors!$L:$L,'Investor Exit List'!$B331)+SUMIFS(Investors!$M:$M,Investors!$I:$I,"&lt;="&amp;'NSST Print'!$B$3,Investors!$J:$J,"",Investors!$A:$A,'Investor Exit List'!$A331,Investors!$E:$E,'Investor Exit List'!$C331,Investors!$L:$L,'Investor Exit List'!$B331))</f>
        <v>500000</v>
      </c>
      <c r="G331" s="118">
        <v>44779</v>
      </c>
      <c r="H331" s="116" t="b">
        <f>VLOOKUP($C331,Sales!$C:$E,2,FALSE)</f>
        <v>1</v>
      </c>
      <c r="I331" s="116" t="b">
        <f>VLOOKUP($C331,Sales!$C:$E,3,FALSE)</f>
        <v>0</v>
      </c>
      <c r="J331" s="118">
        <f>SUMIFS(Sales!$H:$H,Sales!$C:$C,'Investor Exit List'!$C331)</f>
        <v>45552</v>
      </c>
      <c r="K331" s="118" t="str">
        <f t="shared" si="60"/>
        <v/>
      </c>
      <c r="L331" s="118">
        <f t="shared" si="61"/>
        <v>45509</v>
      </c>
      <c r="M331" s="118">
        <v>45443</v>
      </c>
      <c r="N331" s="119">
        <f t="shared" si="62"/>
        <v>66</v>
      </c>
      <c r="O331" s="119">
        <f t="shared" si="63"/>
        <v>66</v>
      </c>
      <c r="P331" s="117">
        <f t="shared" si="64"/>
        <v>695493.15068493155</v>
      </c>
      <c r="Q331" s="117">
        <f>SUMIFS(Investors!$M:$M,Investors!$O:$O,FALSE,Investors!$P:$P,FALSE,Investors!$K:$K,"&gt;"&amp;'NSST Print'!$B$3,Investors!$I:$I,"&lt;="&amp;'NSST Print'!$B$3,Investors!$A:$A,'Investor Exit List'!$A331,Investors!$E:$E,'Investor Exit List'!$C331,Investors!$L:$L,'Investor Exit List'!$B331)-(SUMIFS(Investors!$M:$M,Investors!$I:$I,"&lt;="&amp;'NSST Print'!$B$3,Investors!$J:$J,"&gt;"&amp;'NSST Print'!$B$3,Investors!$A:$A,'Investor Exit List'!$A331,Investors!$E:$E,'Investor Exit List'!$C331,Investors!$L:$L,'Investor Exit List'!$B331)+SUMIFS(Investors!$M:$M,Investors!$I:$I,"&lt;="&amp;'NSST Print'!$B$3,Investors!$J:$J,"",Investors!$A:$A,'Investor Exit List'!$A331,Investors!$E:$E,'Investor Exit List'!$C331,Investors!$L:$L,'Investor Exit List'!$B331))+SUMIFS(Investors!$S:$S,Investors!$O:$O,FALSE,Investors!$P:$P,FALSE,Investors!$K:$K,"&gt;"&amp;'NSST Print'!$B$3,Investors!$I:$I,"&lt;="&amp;'NSST Print'!$B$3,Investors!$A:$A,'Investor Exit List'!$A331,Investors!$E:$E,'Investor Exit List'!$C331,Investors!$L:$L,'Investor Exit List'!$B331)-(SUMIFS(Investors!$S:$S,Investors!$I:$I,"&lt;="&amp;'NSST Print'!$B$3,Investors!$J:$J,"&gt;"&amp;'NSST Print'!$B$3,Investors!$A:$A,'Investor Exit List'!$A331,Investors!$E:$E,'Investor Exit List'!$C331,Investors!$L:$L,'Investor Exit List'!$B331)+SUMIFS(Investors!$S:$S,Investors!$I:$I,"&lt;="&amp;'NSST Print'!$B$3,Investors!$J:$J,"",Investors!$A:$A,'Investor Exit List'!$A331,Investors!$E:$E,'Investor Exit List'!$C331,Investors!$L:$L,'Investor Exit List'!$B331))</f>
        <v>695493.15068493155</v>
      </c>
      <c r="R331" s="117">
        <f t="shared" si="65"/>
        <v>695493.15068493155</v>
      </c>
      <c r="S331" s="117">
        <f>SUMIFS(Investors!$M:$M,Investors!$O:$O,TRUE,Investors!$A:$A,'Investor Exit List'!$A331,Investors!$E:$E,'Investor Exit List'!$C331,Investors!$L:$L,'Investor Exit List'!$B331)+SUMIFS(Investors!$S:$S,Investors!$O:$O,TRUE,Investors!$A:$A,'Investor Exit List'!$A331,Investors!$E:$E,'Investor Exit List'!$C331,Investors!$L:$L,'Investor Exit List'!$B331)</f>
        <v>0</v>
      </c>
      <c r="T331" s="118" t="str">
        <f t="shared" si="66"/>
        <v/>
      </c>
      <c r="U331" s="116" t="b">
        <v>0</v>
      </c>
      <c r="V331" s="117">
        <f t="shared" si="67"/>
        <v>0</v>
      </c>
      <c r="W331" s="116">
        <v>0</v>
      </c>
      <c r="X331" s="116" t="b">
        <v>0</v>
      </c>
      <c r="Y331" s="119">
        <f>IF(H331=FALSE,VLOOKUP($C331,Sales!$C:$F,4,FALSE),1)</f>
        <v>1</v>
      </c>
      <c r="Z331" s="116" t="str">
        <f t="shared" si="68"/>
        <v/>
      </c>
      <c r="AA331" s="118">
        <f t="shared" si="69"/>
        <v>45507</v>
      </c>
      <c r="AB331" s="118" t="str">
        <f t="shared" si="70"/>
        <v>HVJ101-ZOLI01</v>
      </c>
      <c r="AC331" s="118">
        <f t="shared" si="71"/>
        <v>45509</v>
      </c>
    </row>
    <row r="332" spans="1:29" ht="16" x14ac:dyDescent="0.2">
      <c r="A332" s="116" t="s">
        <v>485</v>
      </c>
      <c r="B332" s="116">
        <v>2</v>
      </c>
      <c r="C332" s="116" t="s">
        <v>710</v>
      </c>
      <c r="D332" s="116" t="s">
        <v>711</v>
      </c>
      <c r="E332" s="116" t="s">
        <v>2143</v>
      </c>
      <c r="F332" s="117">
        <f>SUMIFS(Investors!$M:$M,Investors!$O:$O,FALSE,Investors!$P:$P,FALSE,Investors!$K:$K,"&gt;"&amp;'NSST Print'!$B$3,Investors!$I:$I,"&lt;="&amp;'NSST Print'!$B$3,Investors!$A:$A,'Investor Exit List'!$A332,Investors!$E:$E,'Investor Exit List'!$C332,Investors!$L:$L,'Investor Exit List'!$B332)-(SUMIFS(Investors!$M:$M,Investors!$I:$I,"&lt;="&amp;'NSST Print'!$B$3,Investors!$J:$J,"&gt;"&amp;'NSST Print'!$B$3,Investors!$A:$A,'Investor Exit List'!$A332,Investors!$E:$E,'Investor Exit List'!$C332,Investors!$L:$L,'Investor Exit List'!$B332)+SUMIFS(Investors!$M:$M,Investors!$I:$I,"&lt;="&amp;'NSST Print'!$B$3,Investors!$J:$J,"",Investors!$A:$A,'Investor Exit List'!$A332,Investors!$E:$E,'Investor Exit List'!$C332,Investors!$L:$L,'Investor Exit List'!$B332))</f>
        <v>525000</v>
      </c>
      <c r="G332" s="118">
        <v>44777</v>
      </c>
      <c r="H332" s="116" t="b">
        <f>VLOOKUP($C332,Sales!$C:$E,2,FALSE)</f>
        <v>1</v>
      </c>
      <c r="I332" s="116" t="b">
        <f>VLOOKUP($C332,Sales!$C:$E,3,FALSE)</f>
        <v>0</v>
      </c>
      <c r="J332" s="118">
        <f>SUMIFS(Sales!$H:$H,Sales!$C:$C,'Investor Exit List'!$C332)</f>
        <v>45552</v>
      </c>
      <c r="K332" s="118" t="str">
        <f t="shared" si="60"/>
        <v/>
      </c>
      <c r="L332" s="118">
        <f t="shared" si="61"/>
        <v>45507</v>
      </c>
      <c r="M332" s="118">
        <v>45443</v>
      </c>
      <c r="N332" s="119">
        <f t="shared" si="62"/>
        <v>64</v>
      </c>
      <c r="O332" s="119">
        <f t="shared" si="63"/>
        <v>64</v>
      </c>
      <c r="P332" s="117">
        <f t="shared" si="64"/>
        <v>731950.68493150687</v>
      </c>
      <c r="Q332" s="117">
        <f>SUMIFS(Investors!$M:$M,Investors!$O:$O,FALSE,Investors!$P:$P,FALSE,Investors!$K:$K,"&gt;"&amp;'NSST Print'!$B$3,Investors!$I:$I,"&lt;="&amp;'NSST Print'!$B$3,Investors!$A:$A,'Investor Exit List'!$A332,Investors!$E:$E,'Investor Exit List'!$C332,Investors!$L:$L,'Investor Exit List'!$B332)-(SUMIFS(Investors!$M:$M,Investors!$I:$I,"&lt;="&amp;'NSST Print'!$B$3,Investors!$J:$J,"&gt;"&amp;'NSST Print'!$B$3,Investors!$A:$A,'Investor Exit List'!$A332,Investors!$E:$E,'Investor Exit List'!$C332,Investors!$L:$L,'Investor Exit List'!$B332)+SUMIFS(Investors!$M:$M,Investors!$I:$I,"&lt;="&amp;'NSST Print'!$B$3,Investors!$J:$J,"",Investors!$A:$A,'Investor Exit List'!$A332,Investors!$E:$E,'Investor Exit List'!$C332,Investors!$L:$L,'Investor Exit List'!$B332))+SUMIFS(Investors!$S:$S,Investors!$O:$O,FALSE,Investors!$P:$P,FALSE,Investors!$K:$K,"&gt;"&amp;'NSST Print'!$B$3,Investors!$I:$I,"&lt;="&amp;'NSST Print'!$B$3,Investors!$A:$A,'Investor Exit List'!$A332,Investors!$E:$E,'Investor Exit List'!$C332,Investors!$L:$L,'Investor Exit List'!$B332)-(SUMIFS(Investors!$S:$S,Investors!$I:$I,"&lt;="&amp;'NSST Print'!$B$3,Investors!$J:$J,"&gt;"&amp;'NSST Print'!$B$3,Investors!$A:$A,'Investor Exit List'!$A332,Investors!$E:$E,'Investor Exit List'!$C332,Investors!$L:$L,'Investor Exit List'!$B332)+SUMIFS(Investors!$S:$S,Investors!$I:$I,"&lt;="&amp;'NSST Print'!$B$3,Investors!$J:$J,"",Investors!$A:$A,'Investor Exit List'!$A332,Investors!$E:$E,'Investor Exit List'!$C332,Investors!$L:$L,'Investor Exit List'!$B332))</f>
        <v>731950.68493150687</v>
      </c>
      <c r="R332" s="117">
        <f t="shared" si="65"/>
        <v>731950.68493150687</v>
      </c>
      <c r="S332" s="117">
        <f>SUMIFS(Investors!$M:$M,Investors!$O:$O,TRUE,Investors!$A:$A,'Investor Exit List'!$A332,Investors!$E:$E,'Investor Exit List'!$C332,Investors!$L:$L,'Investor Exit List'!$B332)+SUMIFS(Investors!$S:$S,Investors!$O:$O,TRUE,Investors!$A:$A,'Investor Exit List'!$A332,Investors!$E:$E,'Investor Exit List'!$C332,Investors!$L:$L,'Investor Exit List'!$B332)</f>
        <v>0</v>
      </c>
      <c r="T332" s="118" t="str">
        <f t="shared" si="66"/>
        <v/>
      </c>
      <c r="U332" s="116" t="b">
        <v>0</v>
      </c>
      <c r="V332" s="117">
        <f t="shared" si="67"/>
        <v>0</v>
      </c>
      <c r="W332" s="116">
        <v>0</v>
      </c>
      <c r="X332" s="116" t="b">
        <v>0</v>
      </c>
      <c r="Y332" s="119">
        <f>IF(H332=FALSE,VLOOKUP($C332,Sales!$C:$F,4,FALSE),1)</f>
        <v>1</v>
      </c>
      <c r="Z332" s="116" t="str">
        <f t="shared" si="68"/>
        <v/>
      </c>
      <c r="AA332" s="118">
        <f t="shared" si="69"/>
        <v>45507</v>
      </c>
      <c r="AB332" s="118" t="str">
        <f t="shared" si="70"/>
        <v>HVJ101-ZVAN05</v>
      </c>
      <c r="AC332" s="118">
        <f t="shared" si="71"/>
        <v>45507</v>
      </c>
    </row>
    <row r="333" spans="1:29" ht="16" x14ac:dyDescent="0.2">
      <c r="A333" s="116" t="s">
        <v>423</v>
      </c>
      <c r="B333" s="116">
        <v>3</v>
      </c>
      <c r="C333" s="116" t="s">
        <v>712</v>
      </c>
      <c r="D333" s="116" t="s">
        <v>711</v>
      </c>
      <c r="E333" s="116" t="s">
        <v>2124</v>
      </c>
      <c r="F333" s="117">
        <f>SUMIFS(Investors!$M:$M,Investors!$O:$O,FALSE,Investors!$P:$P,FALSE,Investors!$K:$K,"&gt;"&amp;'NSST Print'!$B$3,Investors!$I:$I,"&lt;="&amp;'NSST Print'!$B$3,Investors!$A:$A,'Investor Exit List'!$A333,Investors!$E:$E,'Investor Exit List'!$C333,Investors!$L:$L,'Investor Exit List'!$B333)-(SUMIFS(Investors!$M:$M,Investors!$I:$I,"&lt;="&amp;'NSST Print'!$B$3,Investors!$J:$J,"&gt;"&amp;'NSST Print'!$B$3,Investors!$A:$A,'Investor Exit List'!$A333,Investors!$E:$E,'Investor Exit List'!$C333,Investors!$L:$L,'Investor Exit List'!$B333)+SUMIFS(Investors!$M:$M,Investors!$I:$I,"&lt;="&amp;'NSST Print'!$B$3,Investors!$J:$J,"",Investors!$A:$A,'Investor Exit List'!$A333,Investors!$E:$E,'Investor Exit List'!$C333,Investors!$L:$L,'Investor Exit List'!$B333))</f>
        <v>164674.38</v>
      </c>
      <c r="G333" s="118">
        <v>44743</v>
      </c>
      <c r="H333" s="116" t="b">
        <f>VLOOKUP($C333,Sales!$C:$E,2,FALSE)</f>
        <v>1</v>
      </c>
      <c r="I333" s="116" t="b">
        <f>VLOOKUP($C333,Sales!$C:$E,3,FALSE)</f>
        <v>0</v>
      </c>
      <c r="J333" s="118">
        <f>SUMIFS(Sales!$H:$H,Sales!$C:$C,'Investor Exit List'!$C333)</f>
        <v>45552</v>
      </c>
      <c r="K333" s="118" t="str">
        <f t="shared" si="60"/>
        <v/>
      </c>
      <c r="L333" s="118">
        <f t="shared" si="61"/>
        <v>45473</v>
      </c>
      <c r="M333" s="118">
        <v>45443</v>
      </c>
      <c r="N333" s="119">
        <f t="shared" si="62"/>
        <v>30</v>
      </c>
      <c r="O333" s="119">
        <f t="shared" si="63"/>
        <v>30</v>
      </c>
      <c r="P333" s="117">
        <f t="shared" si="64"/>
        <v>216585.15852821918</v>
      </c>
      <c r="Q333" s="117">
        <f>SUMIFS(Investors!$M:$M,Investors!$O:$O,FALSE,Investors!$P:$P,FALSE,Investors!$K:$K,"&gt;"&amp;'NSST Print'!$B$3,Investors!$I:$I,"&lt;="&amp;'NSST Print'!$B$3,Investors!$A:$A,'Investor Exit List'!$A333,Investors!$E:$E,'Investor Exit List'!$C333,Investors!$L:$L,'Investor Exit List'!$B333)-(SUMIFS(Investors!$M:$M,Investors!$I:$I,"&lt;="&amp;'NSST Print'!$B$3,Investors!$J:$J,"&gt;"&amp;'NSST Print'!$B$3,Investors!$A:$A,'Investor Exit List'!$A333,Investors!$E:$E,'Investor Exit List'!$C333,Investors!$L:$L,'Investor Exit List'!$B333)+SUMIFS(Investors!$M:$M,Investors!$I:$I,"&lt;="&amp;'NSST Print'!$B$3,Investors!$J:$J,"",Investors!$A:$A,'Investor Exit List'!$A333,Investors!$E:$E,'Investor Exit List'!$C333,Investors!$L:$L,'Investor Exit List'!$B333))+SUMIFS(Investors!$S:$S,Investors!$O:$O,FALSE,Investors!$P:$P,FALSE,Investors!$K:$K,"&gt;"&amp;'NSST Print'!$B$3,Investors!$I:$I,"&lt;="&amp;'NSST Print'!$B$3,Investors!$A:$A,'Investor Exit List'!$A333,Investors!$E:$E,'Investor Exit List'!$C333,Investors!$L:$L,'Investor Exit List'!$B333)-(SUMIFS(Investors!$S:$S,Investors!$I:$I,"&lt;="&amp;'NSST Print'!$B$3,Investors!$J:$J,"&gt;"&amp;'NSST Print'!$B$3,Investors!$A:$A,'Investor Exit List'!$A333,Investors!$E:$E,'Investor Exit List'!$C333,Investors!$L:$L,'Investor Exit List'!$B333)+SUMIFS(Investors!$S:$S,Investors!$I:$I,"&lt;="&amp;'NSST Print'!$B$3,Investors!$J:$J,"",Investors!$A:$A,'Investor Exit List'!$A333,Investors!$E:$E,'Investor Exit List'!$C333,Investors!$L:$L,'Investor Exit List'!$B333))</f>
        <v>216585.15852821918</v>
      </c>
      <c r="R333" s="117">
        <f t="shared" si="65"/>
        <v>216585.15852821918</v>
      </c>
      <c r="S333" s="117">
        <f>SUMIFS(Investors!$M:$M,Investors!$O:$O,TRUE,Investors!$A:$A,'Investor Exit List'!$A333,Investors!$E:$E,'Investor Exit List'!$C333,Investors!$L:$L,'Investor Exit List'!$B333)+SUMIFS(Investors!$S:$S,Investors!$O:$O,TRUE,Investors!$A:$A,'Investor Exit List'!$A333,Investors!$E:$E,'Investor Exit List'!$C333,Investors!$L:$L,'Investor Exit List'!$B333)</f>
        <v>0</v>
      </c>
      <c r="T333" s="118" t="str">
        <f t="shared" si="66"/>
        <v/>
      </c>
      <c r="U333" s="116" t="b">
        <v>0</v>
      </c>
      <c r="V333" s="117">
        <f t="shared" si="67"/>
        <v>0</v>
      </c>
      <c r="W333" s="116">
        <v>0</v>
      </c>
      <c r="X333" s="116" t="b">
        <v>0</v>
      </c>
      <c r="Y333" s="119">
        <f>IF(H333=FALSE,VLOOKUP($C333,Sales!$C:$F,4,FALSE),1)</f>
        <v>1</v>
      </c>
      <c r="Z333" s="116" t="str">
        <f t="shared" si="68"/>
        <v/>
      </c>
      <c r="AA333" s="118">
        <f t="shared" si="69"/>
        <v>45473</v>
      </c>
      <c r="AB333" s="118" t="str">
        <f t="shared" si="70"/>
        <v>HVJ102-ZKUS03</v>
      </c>
      <c r="AC333" s="118">
        <f t="shared" si="71"/>
        <v>45473</v>
      </c>
    </row>
    <row r="334" spans="1:29" ht="16" x14ac:dyDescent="0.2">
      <c r="A334" s="116" t="s">
        <v>713</v>
      </c>
      <c r="B334" s="116">
        <v>3</v>
      </c>
      <c r="C334" s="116" t="s">
        <v>712</v>
      </c>
      <c r="D334" s="116" t="s">
        <v>711</v>
      </c>
      <c r="E334" s="116" t="s">
        <v>2197</v>
      </c>
      <c r="F334" s="117">
        <f>SUMIFS(Investors!$M:$M,Investors!$O:$O,FALSE,Investors!$P:$P,FALSE,Investors!$K:$K,"&gt;"&amp;'NSST Print'!$B$3,Investors!$I:$I,"&lt;="&amp;'NSST Print'!$B$3,Investors!$A:$A,'Investor Exit List'!$A334,Investors!$E:$E,'Investor Exit List'!$C334,Investors!$L:$L,'Investor Exit List'!$B334)-(SUMIFS(Investors!$M:$M,Investors!$I:$I,"&lt;="&amp;'NSST Print'!$B$3,Investors!$J:$J,"&gt;"&amp;'NSST Print'!$B$3,Investors!$A:$A,'Investor Exit List'!$A334,Investors!$E:$E,'Investor Exit List'!$C334,Investors!$L:$L,'Investor Exit List'!$B334)+SUMIFS(Investors!$M:$M,Investors!$I:$I,"&lt;="&amp;'NSST Print'!$B$3,Investors!$J:$J,"",Investors!$A:$A,'Investor Exit List'!$A334,Investors!$E:$E,'Investor Exit List'!$C334,Investors!$L:$L,'Investor Exit List'!$B334))</f>
        <v>100000</v>
      </c>
      <c r="G334" s="118">
        <v>44743</v>
      </c>
      <c r="H334" s="116" t="b">
        <f>VLOOKUP($C334,Sales!$C:$E,2,FALSE)</f>
        <v>1</v>
      </c>
      <c r="I334" s="116" t="b">
        <f>VLOOKUP($C334,Sales!$C:$E,3,FALSE)</f>
        <v>0</v>
      </c>
      <c r="J334" s="118">
        <f>SUMIFS(Sales!$H:$H,Sales!$C:$C,'Investor Exit List'!$C334)</f>
        <v>45552</v>
      </c>
      <c r="K334" s="118" t="str">
        <f t="shared" si="60"/>
        <v/>
      </c>
      <c r="L334" s="118">
        <f t="shared" si="61"/>
        <v>45473</v>
      </c>
      <c r="M334" s="118">
        <v>45443</v>
      </c>
      <c r="N334" s="119">
        <f t="shared" si="62"/>
        <v>30</v>
      </c>
      <c r="O334" s="119">
        <f t="shared" si="63"/>
        <v>30</v>
      </c>
      <c r="P334" s="117">
        <f t="shared" si="64"/>
        <v>131523.28767123289</v>
      </c>
      <c r="Q334" s="117">
        <f>SUMIFS(Investors!$M:$M,Investors!$O:$O,FALSE,Investors!$P:$P,FALSE,Investors!$K:$K,"&gt;"&amp;'NSST Print'!$B$3,Investors!$I:$I,"&lt;="&amp;'NSST Print'!$B$3,Investors!$A:$A,'Investor Exit List'!$A334,Investors!$E:$E,'Investor Exit List'!$C334,Investors!$L:$L,'Investor Exit List'!$B334)-(SUMIFS(Investors!$M:$M,Investors!$I:$I,"&lt;="&amp;'NSST Print'!$B$3,Investors!$J:$J,"&gt;"&amp;'NSST Print'!$B$3,Investors!$A:$A,'Investor Exit List'!$A334,Investors!$E:$E,'Investor Exit List'!$C334,Investors!$L:$L,'Investor Exit List'!$B334)+SUMIFS(Investors!$M:$M,Investors!$I:$I,"&lt;="&amp;'NSST Print'!$B$3,Investors!$J:$J,"",Investors!$A:$A,'Investor Exit List'!$A334,Investors!$E:$E,'Investor Exit List'!$C334,Investors!$L:$L,'Investor Exit List'!$B334))+SUMIFS(Investors!$S:$S,Investors!$O:$O,FALSE,Investors!$P:$P,FALSE,Investors!$K:$K,"&gt;"&amp;'NSST Print'!$B$3,Investors!$I:$I,"&lt;="&amp;'NSST Print'!$B$3,Investors!$A:$A,'Investor Exit List'!$A334,Investors!$E:$E,'Investor Exit List'!$C334,Investors!$L:$L,'Investor Exit List'!$B334)-(SUMIFS(Investors!$S:$S,Investors!$I:$I,"&lt;="&amp;'NSST Print'!$B$3,Investors!$J:$J,"&gt;"&amp;'NSST Print'!$B$3,Investors!$A:$A,'Investor Exit List'!$A334,Investors!$E:$E,'Investor Exit List'!$C334,Investors!$L:$L,'Investor Exit List'!$B334)+SUMIFS(Investors!$S:$S,Investors!$I:$I,"&lt;="&amp;'NSST Print'!$B$3,Investors!$J:$J,"",Investors!$A:$A,'Investor Exit List'!$A334,Investors!$E:$E,'Investor Exit List'!$C334,Investors!$L:$L,'Investor Exit List'!$B334))</f>
        <v>131523.28767123289</v>
      </c>
      <c r="R334" s="117">
        <f t="shared" si="65"/>
        <v>131523.28767123289</v>
      </c>
      <c r="S334" s="117">
        <f>SUMIFS(Investors!$M:$M,Investors!$O:$O,TRUE,Investors!$A:$A,'Investor Exit List'!$A334,Investors!$E:$E,'Investor Exit List'!$C334,Investors!$L:$L,'Investor Exit List'!$B334)+SUMIFS(Investors!$S:$S,Investors!$O:$O,TRUE,Investors!$A:$A,'Investor Exit List'!$A334,Investors!$E:$E,'Investor Exit List'!$C334,Investors!$L:$L,'Investor Exit List'!$B334)</f>
        <v>0</v>
      </c>
      <c r="T334" s="118" t="str">
        <f t="shared" si="66"/>
        <v/>
      </c>
      <c r="U334" s="116" t="b">
        <v>0</v>
      </c>
      <c r="V334" s="117">
        <f t="shared" si="67"/>
        <v>0</v>
      </c>
      <c r="W334" s="116">
        <v>0</v>
      </c>
      <c r="X334" s="116" t="b">
        <v>0</v>
      </c>
      <c r="Y334" s="119">
        <f>IF(H334=FALSE,VLOOKUP($C334,Sales!$C:$F,4,FALSE),1)</f>
        <v>1</v>
      </c>
      <c r="Z334" s="116" t="str">
        <f t="shared" si="68"/>
        <v/>
      </c>
      <c r="AA334" s="118">
        <f t="shared" si="69"/>
        <v>45473</v>
      </c>
      <c r="AB334" s="118" t="str">
        <f t="shared" si="70"/>
        <v>HVJ102-ZMCD02</v>
      </c>
      <c r="AC334" s="118">
        <f t="shared" si="71"/>
        <v>45473</v>
      </c>
    </row>
    <row r="335" spans="1:29" ht="16" x14ac:dyDescent="0.2">
      <c r="A335" s="116" t="s">
        <v>27</v>
      </c>
      <c r="B335" s="116">
        <v>14</v>
      </c>
      <c r="C335" s="116" t="s">
        <v>712</v>
      </c>
      <c r="D335" s="116" t="s">
        <v>711</v>
      </c>
      <c r="E335" s="116" t="s">
        <v>2010</v>
      </c>
      <c r="F335" s="117">
        <f>SUMIFS(Investors!$M:$M,Investors!$O:$O,FALSE,Investors!$P:$P,FALSE,Investors!$K:$K,"&gt;"&amp;'NSST Print'!$B$3,Investors!$I:$I,"&lt;="&amp;'NSST Print'!$B$3,Investors!$A:$A,'Investor Exit List'!$A335,Investors!$E:$E,'Investor Exit List'!$C335,Investors!$L:$L,'Investor Exit List'!$B335)-(SUMIFS(Investors!$M:$M,Investors!$I:$I,"&lt;="&amp;'NSST Print'!$B$3,Investors!$J:$J,"&gt;"&amp;'NSST Print'!$B$3,Investors!$A:$A,'Investor Exit List'!$A335,Investors!$E:$E,'Investor Exit List'!$C335,Investors!$L:$L,'Investor Exit List'!$B335)+SUMIFS(Investors!$M:$M,Investors!$I:$I,"&lt;="&amp;'NSST Print'!$B$3,Investors!$J:$J,"",Investors!$A:$A,'Investor Exit List'!$A335,Investors!$E:$E,'Investor Exit List'!$C335,Investors!$L:$L,'Investor Exit List'!$B335))</f>
        <v>642671.4</v>
      </c>
      <c r="G335" s="118">
        <v>44757</v>
      </c>
      <c r="H335" s="116" t="b">
        <f>VLOOKUP($C335,Sales!$C:$E,2,FALSE)</f>
        <v>1</v>
      </c>
      <c r="I335" s="116" t="b">
        <f>VLOOKUP($C335,Sales!$C:$E,3,FALSE)</f>
        <v>0</v>
      </c>
      <c r="J335" s="118">
        <f>SUMIFS(Sales!$H:$H,Sales!$C:$C,'Investor Exit List'!$C335)</f>
        <v>45552</v>
      </c>
      <c r="K335" s="118" t="str">
        <f t="shared" si="60"/>
        <v/>
      </c>
      <c r="L335" s="118">
        <f t="shared" si="61"/>
        <v>45487</v>
      </c>
      <c r="M335" s="118">
        <v>45443</v>
      </c>
      <c r="N335" s="119">
        <f t="shared" si="62"/>
        <v>44</v>
      </c>
      <c r="O335" s="119">
        <f t="shared" si="63"/>
        <v>44</v>
      </c>
      <c r="P335" s="117">
        <f t="shared" si="64"/>
        <v>899651.9228219178</v>
      </c>
      <c r="Q335" s="117">
        <f>SUMIFS(Investors!$M:$M,Investors!$O:$O,FALSE,Investors!$P:$P,FALSE,Investors!$K:$K,"&gt;"&amp;'NSST Print'!$B$3,Investors!$I:$I,"&lt;="&amp;'NSST Print'!$B$3,Investors!$A:$A,'Investor Exit List'!$A335,Investors!$E:$E,'Investor Exit List'!$C335,Investors!$L:$L,'Investor Exit List'!$B335)-(SUMIFS(Investors!$M:$M,Investors!$I:$I,"&lt;="&amp;'NSST Print'!$B$3,Investors!$J:$J,"&gt;"&amp;'NSST Print'!$B$3,Investors!$A:$A,'Investor Exit List'!$A335,Investors!$E:$E,'Investor Exit List'!$C335,Investors!$L:$L,'Investor Exit List'!$B335)+SUMIFS(Investors!$M:$M,Investors!$I:$I,"&lt;="&amp;'NSST Print'!$B$3,Investors!$J:$J,"",Investors!$A:$A,'Investor Exit List'!$A335,Investors!$E:$E,'Investor Exit List'!$C335,Investors!$L:$L,'Investor Exit List'!$B335))+SUMIFS(Investors!$S:$S,Investors!$O:$O,FALSE,Investors!$P:$P,FALSE,Investors!$K:$K,"&gt;"&amp;'NSST Print'!$B$3,Investors!$I:$I,"&lt;="&amp;'NSST Print'!$B$3,Investors!$A:$A,'Investor Exit List'!$A335,Investors!$E:$E,'Investor Exit List'!$C335,Investors!$L:$L,'Investor Exit List'!$B335)-(SUMIFS(Investors!$S:$S,Investors!$I:$I,"&lt;="&amp;'NSST Print'!$B$3,Investors!$J:$J,"&gt;"&amp;'NSST Print'!$B$3,Investors!$A:$A,'Investor Exit List'!$A335,Investors!$E:$E,'Investor Exit List'!$C335,Investors!$L:$L,'Investor Exit List'!$B335)+SUMIFS(Investors!$S:$S,Investors!$I:$I,"&lt;="&amp;'NSST Print'!$B$3,Investors!$J:$J,"",Investors!$A:$A,'Investor Exit List'!$A335,Investors!$E:$E,'Investor Exit List'!$C335,Investors!$L:$L,'Investor Exit List'!$B335))</f>
        <v>899651.9228219178</v>
      </c>
      <c r="R335" s="117">
        <f t="shared" si="65"/>
        <v>899651.9228219178</v>
      </c>
      <c r="S335" s="117">
        <f>SUMIFS(Investors!$M:$M,Investors!$O:$O,TRUE,Investors!$A:$A,'Investor Exit List'!$A335,Investors!$E:$E,'Investor Exit List'!$C335,Investors!$L:$L,'Investor Exit List'!$B335)+SUMIFS(Investors!$S:$S,Investors!$O:$O,TRUE,Investors!$A:$A,'Investor Exit List'!$A335,Investors!$E:$E,'Investor Exit List'!$C335,Investors!$L:$L,'Investor Exit List'!$B335)</f>
        <v>0</v>
      </c>
      <c r="T335" s="118" t="str">
        <f t="shared" si="66"/>
        <v/>
      </c>
      <c r="U335" s="116" t="b">
        <v>0</v>
      </c>
      <c r="V335" s="117">
        <f t="shared" si="67"/>
        <v>0</v>
      </c>
      <c r="W335" s="116">
        <v>0</v>
      </c>
      <c r="X335" s="116" t="b">
        <v>0</v>
      </c>
      <c r="Y335" s="119">
        <f>IF(H335=FALSE,VLOOKUP($C335,Sales!$C:$F,4,FALSE),1)</f>
        <v>1</v>
      </c>
      <c r="Z335" s="116" t="str">
        <f t="shared" si="68"/>
        <v/>
      </c>
      <c r="AA335" s="118">
        <f t="shared" si="69"/>
        <v>45473</v>
      </c>
      <c r="AB335" s="118" t="str">
        <f t="shared" si="70"/>
        <v>HVJ102-ZSCH01</v>
      </c>
      <c r="AC335" s="118">
        <f t="shared" si="71"/>
        <v>45487</v>
      </c>
    </row>
    <row r="336" spans="1:29" ht="16" x14ac:dyDescent="0.2">
      <c r="A336" s="116" t="s">
        <v>466</v>
      </c>
      <c r="B336" s="116">
        <v>3</v>
      </c>
      <c r="C336" s="116" t="s">
        <v>712</v>
      </c>
      <c r="D336" s="116" t="s">
        <v>711</v>
      </c>
      <c r="E336" s="116" t="s">
        <v>2138</v>
      </c>
      <c r="F336" s="117">
        <f>SUMIFS(Investors!$M:$M,Investors!$O:$O,FALSE,Investors!$P:$P,FALSE,Investors!$K:$K,"&gt;"&amp;'NSST Print'!$B$3,Investors!$I:$I,"&lt;="&amp;'NSST Print'!$B$3,Investors!$A:$A,'Investor Exit List'!$A336,Investors!$E:$E,'Investor Exit List'!$C336,Investors!$L:$L,'Investor Exit List'!$B336)-(SUMIFS(Investors!$M:$M,Investors!$I:$I,"&lt;="&amp;'NSST Print'!$B$3,Investors!$J:$J,"&gt;"&amp;'NSST Print'!$B$3,Investors!$A:$A,'Investor Exit List'!$A336,Investors!$E:$E,'Investor Exit List'!$C336,Investors!$L:$L,'Investor Exit List'!$B336)+SUMIFS(Investors!$M:$M,Investors!$I:$I,"&lt;="&amp;'NSST Print'!$B$3,Investors!$J:$J,"",Investors!$A:$A,'Investor Exit List'!$A336,Investors!$E:$E,'Investor Exit List'!$C336,Investors!$L:$L,'Investor Exit List'!$B336))</f>
        <v>100000</v>
      </c>
      <c r="G336" s="118">
        <v>44903</v>
      </c>
      <c r="H336" s="116" t="b">
        <f>VLOOKUP($C336,Sales!$C:$E,2,FALSE)</f>
        <v>1</v>
      </c>
      <c r="I336" s="116" t="b">
        <f>VLOOKUP($C336,Sales!$C:$E,3,FALSE)</f>
        <v>0</v>
      </c>
      <c r="J336" s="118">
        <f>SUMIFS(Sales!$H:$H,Sales!$C:$C,'Investor Exit List'!$C336)</f>
        <v>45552</v>
      </c>
      <c r="K336" s="118" t="str">
        <f t="shared" si="60"/>
        <v/>
      </c>
      <c r="L336" s="118">
        <f t="shared" si="61"/>
        <v>45633</v>
      </c>
      <c r="M336" s="118">
        <v>45443</v>
      </c>
      <c r="N336" s="119">
        <f t="shared" si="62"/>
        <v>190</v>
      </c>
      <c r="O336" s="119">
        <f t="shared" si="63"/>
        <v>0</v>
      </c>
      <c r="P336" s="117">
        <f t="shared" si="64"/>
        <v>0</v>
      </c>
      <c r="Q336" s="117">
        <f>SUMIFS(Investors!$M:$M,Investors!$O:$O,FALSE,Investors!$P:$P,FALSE,Investors!$K:$K,"&gt;"&amp;'NSST Print'!$B$3,Investors!$I:$I,"&lt;="&amp;'NSST Print'!$B$3,Investors!$A:$A,'Investor Exit List'!$A336,Investors!$E:$E,'Investor Exit List'!$C336,Investors!$L:$L,'Investor Exit List'!$B336)-(SUMIFS(Investors!$M:$M,Investors!$I:$I,"&lt;="&amp;'NSST Print'!$B$3,Investors!$J:$J,"&gt;"&amp;'NSST Print'!$B$3,Investors!$A:$A,'Investor Exit List'!$A336,Investors!$E:$E,'Investor Exit List'!$C336,Investors!$L:$L,'Investor Exit List'!$B336)+SUMIFS(Investors!$M:$M,Investors!$I:$I,"&lt;="&amp;'NSST Print'!$B$3,Investors!$J:$J,"",Investors!$A:$A,'Investor Exit List'!$A336,Investors!$E:$E,'Investor Exit List'!$C336,Investors!$L:$L,'Investor Exit List'!$B336))+SUMIFS(Investors!$S:$S,Investors!$O:$O,FALSE,Investors!$P:$P,FALSE,Investors!$K:$K,"&gt;"&amp;'NSST Print'!$B$3,Investors!$I:$I,"&lt;="&amp;'NSST Print'!$B$3,Investors!$A:$A,'Investor Exit List'!$A336,Investors!$E:$E,'Investor Exit List'!$C336,Investors!$L:$L,'Investor Exit List'!$B336)-(SUMIFS(Investors!$S:$S,Investors!$I:$I,"&lt;="&amp;'NSST Print'!$B$3,Investors!$J:$J,"&gt;"&amp;'NSST Print'!$B$3,Investors!$A:$A,'Investor Exit List'!$A336,Investors!$E:$E,'Investor Exit List'!$C336,Investors!$L:$L,'Investor Exit List'!$B336)+SUMIFS(Investors!$S:$S,Investors!$I:$I,"&lt;="&amp;'NSST Print'!$B$3,Investors!$J:$J,"",Investors!$A:$A,'Investor Exit List'!$A336,Investors!$E:$E,'Investor Exit List'!$C336,Investors!$L:$L,'Investor Exit List'!$B336))</f>
        <v>125575.34246575342</v>
      </c>
      <c r="R336" s="117">
        <f t="shared" si="65"/>
        <v>125575.34246575342</v>
      </c>
      <c r="S336" s="117">
        <f>SUMIFS(Investors!$M:$M,Investors!$O:$O,TRUE,Investors!$A:$A,'Investor Exit List'!$A336,Investors!$E:$E,'Investor Exit List'!$C336,Investors!$L:$L,'Investor Exit List'!$B336)+SUMIFS(Investors!$S:$S,Investors!$O:$O,TRUE,Investors!$A:$A,'Investor Exit List'!$A336,Investors!$E:$E,'Investor Exit List'!$C336,Investors!$L:$L,'Investor Exit List'!$B336)</f>
        <v>0</v>
      </c>
      <c r="T336" s="118" t="str">
        <f t="shared" si="66"/>
        <v/>
      </c>
      <c r="U336" s="116" t="b">
        <v>0</v>
      </c>
      <c r="V336" s="117">
        <f t="shared" si="67"/>
        <v>0</v>
      </c>
      <c r="W336" s="116">
        <v>0</v>
      </c>
      <c r="X336" s="116" t="b">
        <v>0</v>
      </c>
      <c r="Y336" s="119">
        <f>IF(H336=FALSE,VLOOKUP($C336,Sales!$C:$F,4,FALSE),1)</f>
        <v>1</v>
      </c>
      <c r="Z336" s="116" t="str">
        <f t="shared" si="68"/>
        <v/>
      </c>
      <c r="AA336" s="118">
        <f t="shared" si="69"/>
        <v>45473</v>
      </c>
      <c r="AB336" s="118" t="str">
        <f t="shared" si="70"/>
        <v>HVJ102-ZWAL02</v>
      </c>
      <c r="AC336" s="118">
        <f t="shared" si="71"/>
        <v>45633</v>
      </c>
    </row>
    <row r="337" spans="1:29" ht="16" x14ac:dyDescent="0.2">
      <c r="A337" s="116" t="s">
        <v>253</v>
      </c>
      <c r="B337" s="116">
        <v>10</v>
      </c>
      <c r="C337" s="116" t="s">
        <v>715</v>
      </c>
      <c r="D337" s="116" t="s">
        <v>711</v>
      </c>
      <c r="E337" s="116" t="s">
        <v>2079</v>
      </c>
      <c r="F337" s="117">
        <f>SUMIFS(Investors!$M:$M,Investors!$O:$O,FALSE,Investors!$P:$P,FALSE,Investors!$K:$K,"&gt;"&amp;'NSST Print'!$B$3,Investors!$I:$I,"&lt;="&amp;'NSST Print'!$B$3,Investors!$A:$A,'Investor Exit List'!$A337,Investors!$E:$E,'Investor Exit List'!$C337,Investors!$L:$L,'Investor Exit List'!$B337)-(SUMIFS(Investors!$M:$M,Investors!$I:$I,"&lt;="&amp;'NSST Print'!$B$3,Investors!$J:$J,"&gt;"&amp;'NSST Print'!$B$3,Investors!$A:$A,'Investor Exit List'!$A337,Investors!$E:$E,'Investor Exit List'!$C337,Investors!$L:$L,'Investor Exit List'!$B337)+SUMIFS(Investors!$M:$M,Investors!$I:$I,"&lt;="&amp;'NSST Print'!$B$3,Investors!$J:$J,"",Investors!$A:$A,'Investor Exit List'!$A337,Investors!$E:$E,'Investor Exit List'!$C337,Investors!$L:$L,'Investor Exit List'!$B337))</f>
        <v>500000</v>
      </c>
      <c r="G337" s="118">
        <v>44783</v>
      </c>
      <c r="H337" s="116" t="b">
        <f>VLOOKUP($C337,Sales!$C:$E,2,FALSE)</f>
        <v>0</v>
      </c>
      <c r="I337" s="116" t="b">
        <f>VLOOKUP($C337,Sales!$C:$E,3,FALSE)</f>
        <v>0</v>
      </c>
      <c r="J337" s="118">
        <f>SUMIFS(Sales!$H:$H,Sales!$C:$C,'Investor Exit List'!$C337)</f>
        <v>45552</v>
      </c>
      <c r="K337" s="118" t="str">
        <f t="shared" si="60"/>
        <v/>
      </c>
      <c r="L337" s="118">
        <f t="shared" si="61"/>
        <v>45513</v>
      </c>
      <c r="M337" s="118">
        <v>45443</v>
      </c>
      <c r="N337" s="119">
        <f t="shared" si="62"/>
        <v>70</v>
      </c>
      <c r="O337" s="119">
        <f t="shared" si="63"/>
        <v>70</v>
      </c>
      <c r="P337" s="117">
        <f t="shared" si="64"/>
        <v>693479.45205479453</v>
      </c>
      <c r="Q337" s="117">
        <f>SUMIFS(Investors!$M:$M,Investors!$O:$O,FALSE,Investors!$P:$P,FALSE,Investors!$K:$K,"&gt;"&amp;'NSST Print'!$B$3,Investors!$I:$I,"&lt;="&amp;'NSST Print'!$B$3,Investors!$A:$A,'Investor Exit List'!$A337,Investors!$E:$E,'Investor Exit List'!$C337,Investors!$L:$L,'Investor Exit List'!$B337)-(SUMIFS(Investors!$M:$M,Investors!$I:$I,"&lt;="&amp;'NSST Print'!$B$3,Investors!$J:$J,"&gt;"&amp;'NSST Print'!$B$3,Investors!$A:$A,'Investor Exit List'!$A337,Investors!$E:$E,'Investor Exit List'!$C337,Investors!$L:$L,'Investor Exit List'!$B337)+SUMIFS(Investors!$M:$M,Investors!$I:$I,"&lt;="&amp;'NSST Print'!$B$3,Investors!$J:$J,"",Investors!$A:$A,'Investor Exit List'!$A337,Investors!$E:$E,'Investor Exit List'!$C337,Investors!$L:$L,'Investor Exit List'!$B337))+SUMIFS(Investors!$S:$S,Investors!$O:$O,FALSE,Investors!$P:$P,FALSE,Investors!$K:$K,"&gt;"&amp;'NSST Print'!$B$3,Investors!$I:$I,"&lt;="&amp;'NSST Print'!$B$3,Investors!$A:$A,'Investor Exit List'!$A337,Investors!$E:$E,'Investor Exit List'!$C337,Investors!$L:$L,'Investor Exit List'!$B337)-(SUMIFS(Investors!$S:$S,Investors!$I:$I,"&lt;="&amp;'NSST Print'!$B$3,Investors!$J:$J,"&gt;"&amp;'NSST Print'!$B$3,Investors!$A:$A,'Investor Exit List'!$A337,Investors!$E:$E,'Investor Exit List'!$C337,Investors!$L:$L,'Investor Exit List'!$B337)+SUMIFS(Investors!$S:$S,Investors!$I:$I,"&lt;="&amp;'NSST Print'!$B$3,Investors!$J:$J,"",Investors!$A:$A,'Investor Exit List'!$A337,Investors!$E:$E,'Investor Exit List'!$C337,Investors!$L:$L,'Investor Exit List'!$B337))</f>
        <v>693479.45205479453</v>
      </c>
      <c r="R337" s="117">
        <f t="shared" si="65"/>
        <v>0</v>
      </c>
      <c r="S337" s="117">
        <f>SUMIFS(Investors!$M:$M,Investors!$O:$O,TRUE,Investors!$A:$A,'Investor Exit List'!$A337,Investors!$E:$E,'Investor Exit List'!$C337,Investors!$L:$L,'Investor Exit List'!$B337)+SUMIFS(Investors!$S:$S,Investors!$O:$O,TRUE,Investors!$A:$A,'Investor Exit List'!$A337,Investors!$E:$E,'Investor Exit List'!$C337,Investors!$L:$L,'Investor Exit List'!$B337)</f>
        <v>0</v>
      </c>
      <c r="T337" s="118" t="str">
        <f t="shared" si="66"/>
        <v/>
      </c>
      <c r="U337" s="116" t="b">
        <v>0</v>
      </c>
      <c r="V337" s="117">
        <f t="shared" si="67"/>
        <v>0</v>
      </c>
      <c r="W337" s="116">
        <v>0</v>
      </c>
      <c r="X337" s="116" t="b">
        <v>0</v>
      </c>
      <c r="Y337" s="119">
        <f>IF(H337=FALSE,VLOOKUP($C337,Sales!$C:$F,4,FALSE),1)</f>
        <v>0</v>
      </c>
      <c r="Z337" s="116" t="str">
        <f t="shared" si="68"/>
        <v>Release</v>
      </c>
      <c r="AA337" s="118">
        <f t="shared" si="69"/>
        <v>45507</v>
      </c>
      <c r="AB337" s="118" t="str">
        <f t="shared" si="70"/>
        <v>HVJ103-ZDIC01</v>
      </c>
      <c r="AC337" s="118">
        <f t="shared" si="71"/>
        <v>45513</v>
      </c>
    </row>
    <row r="338" spans="1:29" ht="16" x14ac:dyDescent="0.2">
      <c r="A338" s="116" t="s">
        <v>716</v>
      </c>
      <c r="B338" s="116">
        <v>3</v>
      </c>
      <c r="C338" s="116" t="s">
        <v>715</v>
      </c>
      <c r="D338" s="116" t="s">
        <v>711</v>
      </c>
      <c r="E338" s="116" t="s">
        <v>2198</v>
      </c>
      <c r="F338" s="117">
        <f>SUMIFS(Investors!$M:$M,Investors!$O:$O,FALSE,Investors!$P:$P,FALSE,Investors!$K:$K,"&gt;"&amp;'NSST Print'!$B$3,Investors!$I:$I,"&lt;="&amp;'NSST Print'!$B$3,Investors!$A:$A,'Investor Exit List'!$A338,Investors!$E:$E,'Investor Exit List'!$C338,Investors!$L:$L,'Investor Exit List'!$B338)-(SUMIFS(Investors!$M:$M,Investors!$I:$I,"&lt;="&amp;'NSST Print'!$B$3,Investors!$J:$J,"&gt;"&amp;'NSST Print'!$B$3,Investors!$A:$A,'Investor Exit List'!$A338,Investors!$E:$E,'Investor Exit List'!$C338,Investors!$L:$L,'Investor Exit List'!$B338)+SUMIFS(Investors!$M:$M,Investors!$I:$I,"&lt;="&amp;'NSST Print'!$B$3,Investors!$J:$J,"",Investors!$A:$A,'Investor Exit List'!$A338,Investors!$E:$E,'Investor Exit List'!$C338,Investors!$L:$L,'Investor Exit List'!$B338))</f>
        <v>100000</v>
      </c>
      <c r="G338" s="118">
        <v>44798</v>
      </c>
      <c r="H338" s="116" t="b">
        <f>VLOOKUP($C338,Sales!$C:$E,2,FALSE)</f>
        <v>0</v>
      </c>
      <c r="I338" s="116" t="b">
        <f>VLOOKUP($C338,Sales!$C:$E,3,FALSE)</f>
        <v>0</v>
      </c>
      <c r="J338" s="118">
        <f>SUMIFS(Sales!$H:$H,Sales!$C:$C,'Investor Exit List'!$C338)</f>
        <v>45552</v>
      </c>
      <c r="K338" s="118" t="str">
        <f t="shared" si="60"/>
        <v/>
      </c>
      <c r="L338" s="118">
        <f t="shared" si="61"/>
        <v>45528</v>
      </c>
      <c r="M338" s="118">
        <v>45443</v>
      </c>
      <c r="N338" s="119">
        <f t="shared" si="62"/>
        <v>85</v>
      </c>
      <c r="O338" s="119">
        <f t="shared" si="63"/>
        <v>85</v>
      </c>
      <c r="P338" s="117">
        <f t="shared" si="64"/>
        <v>129502.05479452055</v>
      </c>
      <c r="Q338" s="117">
        <f>SUMIFS(Investors!$M:$M,Investors!$O:$O,FALSE,Investors!$P:$P,FALSE,Investors!$K:$K,"&gt;"&amp;'NSST Print'!$B$3,Investors!$I:$I,"&lt;="&amp;'NSST Print'!$B$3,Investors!$A:$A,'Investor Exit List'!$A338,Investors!$E:$E,'Investor Exit List'!$C338,Investors!$L:$L,'Investor Exit List'!$B338)-(SUMIFS(Investors!$M:$M,Investors!$I:$I,"&lt;="&amp;'NSST Print'!$B$3,Investors!$J:$J,"&gt;"&amp;'NSST Print'!$B$3,Investors!$A:$A,'Investor Exit List'!$A338,Investors!$E:$E,'Investor Exit List'!$C338,Investors!$L:$L,'Investor Exit List'!$B338)+SUMIFS(Investors!$M:$M,Investors!$I:$I,"&lt;="&amp;'NSST Print'!$B$3,Investors!$J:$J,"",Investors!$A:$A,'Investor Exit List'!$A338,Investors!$E:$E,'Investor Exit List'!$C338,Investors!$L:$L,'Investor Exit List'!$B338))+SUMIFS(Investors!$S:$S,Investors!$O:$O,FALSE,Investors!$P:$P,FALSE,Investors!$K:$K,"&gt;"&amp;'NSST Print'!$B$3,Investors!$I:$I,"&lt;="&amp;'NSST Print'!$B$3,Investors!$A:$A,'Investor Exit List'!$A338,Investors!$E:$E,'Investor Exit List'!$C338,Investors!$L:$L,'Investor Exit List'!$B338)-(SUMIFS(Investors!$S:$S,Investors!$I:$I,"&lt;="&amp;'NSST Print'!$B$3,Investors!$J:$J,"&gt;"&amp;'NSST Print'!$B$3,Investors!$A:$A,'Investor Exit List'!$A338,Investors!$E:$E,'Investor Exit List'!$C338,Investors!$L:$L,'Investor Exit List'!$B338)+SUMIFS(Investors!$S:$S,Investors!$I:$I,"&lt;="&amp;'NSST Print'!$B$3,Investors!$J:$J,"",Investors!$A:$A,'Investor Exit List'!$A338,Investors!$E:$E,'Investor Exit List'!$C338,Investors!$L:$L,'Investor Exit List'!$B338))</f>
        <v>129502.05479452055</v>
      </c>
      <c r="R338" s="117">
        <f t="shared" si="65"/>
        <v>0</v>
      </c>
      <c r="S338" s="117">
        <f>SUMIFS(Investors!$M:$M,Investors!$O:$O,TRUE,Investors!$A:$A,'Investor Exit List'!$A338,Investors!$E:$E,'Investor Exit List'!$C338,Investors!$L:$L,'Investor Exit List'!$B338)+SUMIFS(Investors!$S:$S,Investors!$O:$O,TRUE,Investors!$A:$A,'Investor Exit List'!$A338,Investors!$E:$E,'Investor Exit List'!$C338,Investors!$L:$L,'Investor Exit List'!$B338)</f>
        <v>0</v>
      </c>
      <c r="T338" s="118" t="str">
        <f t="shared" si="66"/>
        <v/>
      </c>
      <c r="U338" s="116" t="b">
        <v>0</v>
      </c>
      <c r="V338" s="117">
        <f t="shared" si="67"/>
        <v>0</v>
      </c>
      <c r="W338" s="116">
        <v>0</v>
      </c>
      <c r="X338" s="116" t="b">
        <v>0</v>
      </c>
      <c r="Y338" s="119">
        <f>IF(H338=FALSE,VLOOKUP($C338,Sales!$C:$F,4,FALSE),1)</f>
        <v>0</v>
      </c>
      <c r="Z338" s="116" t="str">
        <f t="shared" si="68"/>
        <v>Release</v>
      </c>
      <c r="AA338" s="118">
        <f t="shared" si="69"/>
        <v>45507</v>
      </c>
      <c r="AB338" s="118" t="str">
        <f t="shared" si="70"/>
        <v>HVJ103-ZJER01</v>
      </c>
      <c r="AC338" s="118">
        <f t="shared" si="71"/>
        <v>45528</v>
      </c>
    </row>
    <row r="339" spans="1:29" ht="16" x14ac:dyDescent="0.2">
      <c r="A339" s="116" t="s">
        <v>719</v>
      </c>
      <c r="B339" s="116">
        <v>1</v>
      </c>
      <c r="C339" s="116" t="s">
        <v>715</v>
      </c>
      <c r="D339" s="116" t="s">
        <v>711</v>
      </c>
      <c r="E339" s="116" t="s">
        <v>2199</v>
      </c>
      <c r="F339" s="117">
        <f>SUMIFS(Investors!$M:$M,Investors!$O:$O,FALSE,Investors!$P:$P,FALSE,Investors!$K:$K,"&gt;"&amp;'NSST Print'!$B$3,Investors!$I:$I,"&lt;="&amp;'NSST Print'!$B$3,Investors!$A:$A,'Investor Exit List'!$A339,Investors!$E:$E,'Investor Exit List'!$C339,Investors!$L:$L,'Investor Exit List'!$B339)-(SUMIFS(Investors!$M:$M,Investors!$I:$I,"&lt;="&amp;'NSST Print'!$B$3,Investors!$J:$J,"&gt;"&amp;'NSST Print'!$B$3,Investors!$A:$A,'Investor Exit List'!$A339,Investors!$E:$E,'Investor Exit List'!$C339,Investors!$L:$L,'Investor Exit List'!$B339)+SUMIFS(Investors!$M:$M,Investors!$I:$I,"&lt;="&amp;'NSST Print'!$B$3,Investors!$J:$J,"",Investors!$A:$A,'Investor Exit List'!$A339,Investors!$E:$E,'Investor Exit List'!$C339,Investors!$L:$L,'Investor Exit List'!$B339))</f>
        <v>400000</v>
      </c>
      <c r="G339" s="118">
        <v>44777</v>
      </c>
      <c r="H339" s="116" t="b">
        <f>VLOOKUP($C339,Sales!$C:$E,2,FALSE)</f>
        <v>0</v>
      </c>
      <c r="I339" s="116" t="b">
        <f>VLOOKUP($C339,Sales!$C:$E,3,FALSE)</f>
        <v>0</v>
      </c>
      <c r="J339" s="118">
        <f>SUMIFS(Sales!$H:$H,Sales!$C:$C,'Investor Exit List'!$C339)</f>
        <v>45552</v>
      </c>
      <c r="K339" s="118" t="str">
        <f t="shared" si="60"/>
        <v/>
      </c>
      <c r="L339" s="118">
        <f t="shared" si="61"/>
        <v>45507</v>
      </c>
      <c r="M339" s="118">
        <v>45443</v>
      </c>
      <c r="N339" s="119">
        <f t="shared" si="62"/>
        <v>64</v>
      </c>
      <c r="O339" s="119">
        <f t="shared" si="63"/>
        <v>64</v>
      </c>
      <c r="P339" s="117">
        <f t="shared" si="64"/>
        <v>520975.34246575343</v>
      </c>
      <c r="Q339" s="117">
        <f>SUMIFS(Investors!$M:$M,Investors!$O:$O,FALSE,Investors!$P:$P,FALSE,Investors!$K:$K,"&gt;"&amp;'NSST Print'!$B$3,Investors!$I:$I,"&lt;="&amp;'NSST Print'!$B$3,Investors!$A:$A,'Investor Exit List'!$A339,Investors!$E:$E,'Investor Exit List'!$C339,Investors!$L:$L,'Investor Exit List'!$B339)-(SUMIFS(Investors!$M:$M,Investors!$I:$I,"&lt;="&amp;'NSST Print'!$B$3,Investors!$J:$J,"&gt;"&amp;'NSST Print'!$B$3,Investors!$A:$A,'Investor Exit List'!$A339,Investors!$E:$E,'Investor Exit List'!$C339,Investors!$L:$L,'Investor Exit List'!$B339)+SUMIFS(Investors!$M:$M,Investors!$I:$I,"&lt;="&amp;'NSST Print'!$B$3,Investors!$J:$J,"",Investors!$A:$A,'Investor Exit List'!$A339,Investors!$E:$E,'Investor Exit List'!$C339,Investors!$L:$L,'Investor Exit List'!$B339))+SUMIFS(Investors!$S:$S,Investors!$O:$O,FALSE,Investors!$P:$P,FALSE,Investors!$K:$K,"&gt;"&amp;'NSST Print'!$B$3,Investors!$I:$I,"&lt;="&amp;'NSST Print'!$B$3,Investors!$A:$A,'Investor Exit List'!$A339,Investors!$E:$E,'Investor Exit List'!$C339,Investors!$L:$L,'Investor Exit List'!$B339)-(SUMIFS(Investors!$S:$S,Investors!$I:$I,"&lt;="&amp;'NSST Print'!$B$3,Investors!$J:$J,"&gt;"&amp;'NSST Print'!$B$3,Investors!$A:$A,'Investor Exit List'!$A339,Investors!$E:$E,'Investor Exit List'!$C339,Investors!$L:$L,'Investor Exit List'!$B339)+SUMIFS(Investors!$S:$S,Investors!$I:$I,"&lt;="&amp;'NSST Print'!$B$3,Investors!$J:$J,"",Investors!$A:$A,'Investor Exit List'!$A339,Investors!$E:$E,'Investor Exit List'!$C339,Investors!$L:$L,'Investor Exit List'!$B339))</f>
        <v>520975.34246575343</v>
      </c>
      <c r="R339" s="117">
        <f t="shared" si="65"/>
        <v>0</v>
      </c>
      <c r="S339" s="117">
        <f>SUMIFS(Investors!$M:$M,Investors!$O:$O,TRUE,Investors!$A:$A,'Investor Exit List'!$A339,Investors!$E:$E,'Investor Exit List'!$C339,Investors!$L:$L,'Investor Exit List'!$B339)+SUMIFS(Investors!$S:$S,Investors!$O:$O,TRUE,Investors!$A:$A,'Investor Exit List'!$A339,Investors!$E:$E,'Investor Exit List'!$C339,Investors!$L:$L,'Investor Exit List'!$B339)</f>
        <v>0</v>
      </c>
      <c r="T339" s="118" t="str">
        <f t="shared" si="66"/>
        <v/>
      </c>
      <c r="U339" s="116" t="b">
        <v>0</v>
      </c>
      <c r="V339" s="117">
        <f t="shared" si="67"/>
        <v>0</v>
      </c>
      <c r="W339" s="116">
        <v>0</v>
      </c>
      <c r="X339" s="116" t="b">
        <v>0</v>
      </c>
      <c r="Y339" s="119">
        <f>IF(H339=FALSE,VLOOKUP($C339,Sales!$C:$F,4,FALSE),1)</f>
        <v>0</v>
      </c>
      <c r="Z339" s="116" t="str">
        <f t="shared" si="68"/>
        <v>Release</v>
      </c>
      <c r="AA339" s="118">
        <f t="shared" si="69"/>
        <v>45507</v>
      </c>
      <c r="AB339" s="118" t="str">
        <f t="shared" si="70"/>
        <v>HVJ103-ZZYL05</v>
      </c>
      <c r="AC339" s="118">
        <f t="shared" si="71"/>
        <v>45507</v>
      </c>
    </row>
    <row r="340" spans="1:29" ht="16" x14ac:dyDescent="0.2">
      <c r="A340" s="116" t="s">
        <v>721</v>
      </c>
      <c r="B340" s="116">
        <v>2</v>
      </c>
      <c r="C340" s="116" t="s">
        <v>724</v>
      </c>
      <c r="D340" s="116" t="s">
        <v>711</v>
      </c>
      <c r="E340" s="116" t="s">
        <v>2200</v>
      </c>
      <c r="F340" s="117">
        <f>SUMIFS(Investors!$M:$M,Investors!$O:$O,FALSE,Investors!$P:$P,FALSE,Investors!$K:$K,"&gt;"&amp;'NSST Print'!$B$3,Investors!$I:$I,"&lt;="&amp;'NSST Print'!$B$3,Investors!$A:$A,'Investor Exit List'!$A340,Investors!$E:$E,'Investor Exit List'!$C340,Investors!$L:$L,'Investor Exit List'!$B340)-(SUMIFS(Investors!$M:$M,Investors!$I:$I,"&lt;="&amp;'NSST Print'!$B$3,Investors!$J:$J,"&gt;"&amp;'NSST Print'!$B$3,Investors!$A:$A,'Investor Exit List'!$A340,Investors!$E:$E,'Investor Exit List'!$C340,Investors!$L:$L,'Investor Exit List'!$B340)+SUMIFS(Investors!$M:$M,Investors!$I:$I,"&lt;="&amp;'NSST Print'!$B$3,Investors!$J:$J,"",Investors!$A:$A,'Investor Exit List'!$A340,Investors!$E:$E,'Investor Exit List'!$C340,Investors!$L:$L,'Investor Exit List'!$B340))</f>
        <v>500000</v>
      </c>
      <c r="G340" s="118">
        <v>44783</v>
      </c>
      <c r="H340" s="116" t="b">
        <f>VLOOKUP($C340,Sales!$C:$E,2,FALSE)</f>
        <v>1</v>
      </c>
      <c r="I340" s="116" t="b">
        <f>VLOOKUP($C340,Sales!$C:$E,3,FALSE)</f>
        <v>0</v>
      </c>
      <c r="J340" s="118">
        <f>SUMIFS(Sales!$H:$H,Sales!$C:$C,'Investor Exit List'!$C340)</f>
        <v>45552</v>
      </c>
      <c r="K340" s="118" t="str">
        <f t="shared" si="60"/>
        <v/>
      </c>
      <c r="L340" s="118">
        <f t="shared" si="61"/>
        <v>45513</v>
      </c>
      <c r="M340" s="118">
        <v>45443</v>
      </c>
      <c r="N340" s="119">
        <f t="shared" si="62"/>
        <v>70</v>
      </c>
      <c r="O340" s="119">
        <f t="shared" si="63"/>
        <v>70</v>
      </c>
      <c r="P340" s="117">
        <f t="shared" si="64"/>
        <v>692452.05479452049</v>
      </c>
      <c r="Q340" s="117">
        <f>SUMIFS(Investors!$M:$M,Investors!$O:$O,FALSE,Investors!$P:$P,FALSE,Investors!$K:$K,"&gt;"&amp;'NSST Print'!$B$3,Investors!$I:$I,"&lt;="&amp;'NSST Print'!$B$3,Investors!$A:$A,'Investor Exit List'!$A340,Investors!$E:$E,'Investor Exit List'!$C340,Investors!$L:$L,'Investor Exit List'!$B340)-(SUMIFS(Investors!$M:$M,Investors!$I:$I,"&lt;="&amp;'NSST Print'!$B$3,Investors!$J:$J,"&gt;"&amp;'NSST Print'!$B$3,Investors!$A:$A,'Investor Exit List'!$A340,Investors!$E:$E,'Investor Exit List'!$C340,Investors!$L:$L,'Investor Exit List'!$B340)+SUMIFS(Investors!$M:$M,Investors!$I:$I,"&lt;="&amp;'NSST Print'!$B$3,Investors!$J:$J,"",Investors!$A:$A,'Investor Exit List'!$A340,Investors!$E:$E,'Investor Exit List'!$C340,Investors!$L:$L,'Investor Exit List'!$B340))+SUMIFS(Investors!$S:$S,Investors!$O:$O,FALSE,Investors!$P:$P,FALSE,Investors!$K:$K,"&gt;"&amp;'NSST Print'!$B$3,Investors!$I:$I,"&lt;="&amp;'NSST Print'!$B$3,Investors!$A:$A,'Investor Exit List'!$A340,Investors!$E:$E,'Investor Exit List'!$C340,Investors!$L:$L,'Investor Exit List'!$B340)-(SUMIFS(Investors!$S:$S,Investors!$I:$I,"&lt;="&amp;'NSST Print'!$B$3,Investors!$J:$J,"&gt;"&amp;'NSST Print'!$B$3,Investors!$A:$A,'Investor Exit List'!$A340,Investors!$E:$E,'Investor Exit List'!$C340,Investors!$L:$L,'Investor Exit List'!$B340)+SUMIFS(Investors!$S:$S,Investors!$I:$I,"&lt;="&amp;'NSST Print'!$B$3,Investors!$J:$J,"",Investors!$A:$A,'Investor Exit List'!$A340,Investors!$E:$E,'Investor Exit List'!$C340,Investors!$L:$L,'Investor Exit List'!$B340))</f>
        <v>692452.05479452049</v>
      </c>
      <c r="R340" s="117">
        <f t="shared" si="65"/>
        <v>692452.05479452049</v>
      </c>
      <c r="S340" s="117">
        <f>SUMIFS(Investors!$M:$M,Investors!$O:$O,TRUE,Investors!$A:$A,'Investor Exit List'!$A340,Investors!$E:$E,'Investor Exit List'!$C340,Investors!$L:$L,'Investor Exit List'!$B340)+SUMIFS(Investors!$S:$S,Investors!$O:$O,TRUE,Investors!$A:$A,'Investor Exit List'!$A340,Investors!$E:$E,'Investor Exit List'!$C340,Investors!$L:$L,'Investor Exit List'!$B340)</f>
        <v>0</v>
      </c>
      <c r="T340" s="118" t="str">
        <f t="shared" si="66"/>
        <v/>
      </c>
      <c r="U340" s="116" t="b">
        <v>0</v>
      </c>
      <c r="V340" s="117">
        <f t="shared" si="67"/>
        <v>0</v>
      </c>
      <c r="W340" s="116">
        <v>0</v>
      </c>
      <c r="X340" s="116" t="b">
        <v>0</v>
      </c>
      <c r="Y340" s="119">
        <f>IF(H340=FALSE,VLOOKUP($C340,Sales!$C:$F,4,FALSE),1)</f>
        <v>1</v>
      </c>
      <c r="Z340" s="116" t="str">
        <f t="shared" si="68"/>
        <v/>
      </c>
      <c r="AA340" s="118">
        <f t="shared" si="69"/>
        <v>45513</v>
      </c>
      <c r="AB340" s="118" t="str">
        <f t="shared" si="70"/>
        <v>HVJ201-ZBUM01</v>
      </c>
      <c r="AC340" s="118">
        <f t="shared" si="71"/>
        <v>45513</v>
      </c>
    </row>
    <row r="341" spans="1:29" ht="16" x14ac:dyDescent="0.2">
      <c r="A341" s="116" t="s">
        <v>725</v>
      </c>
      <c r="B341" s="116">
        <v>1</v>
      </c>
      <c r="C341" s="116" t="s">
        <v>724</v>
      </c>
      <c r="D341" s="116" t="s">
        <v>711</v>
      </c>
      <c r="E341" s="116" t="s">
        <v>2052</v>
      </c>
      <c r="F341" s="117">
        <f>SUMIFS(Investors!$M:$M,Investors!$O:$O,FALSE,Investors!$P:$P,FALSE,Investors!$K:$K,"&gt;"&amp;'NSST Print'!$B$3,Investors!$I:$I,"&lt;="&amp;'NSST Print'!$B$3,Investors!$A:$A,'Investor Exit List'!$A341,Investors!$E:$E,'Investor Exit List'!$C341,Investors!$L:$L,'Investor Exit List'!$B341)-(SUMIFS(Investors!$M:$M,Investors!$I:$I,"&lt;="&amp;'NSST Print'!$B$3,Investors!$J:$J,"&gt;"&amp;'NSST Print'!$B$3,Investors!$A:$A,'Investor Exit List'!$A341,Investors!$E:$E,'Investor Exit List'!$C341,Investors!$L:$L,'Investor Exit List'!$B341)+SUMIFS(Investors!$M:$M,Investors!$I:$I,"&lt;="&amp;'NSST Print'!$B$3,Investors!$J:$J,"",Investors!$A:$A,'Investor Exit List'!$A341,Investors!$E:$E,'Investor Exit List'!$C341,Investors!$L:$L,'Investor Exit List'!$B341))</f>
        <v>300000</v>
      </c>
      <c r="G341" s="118">
        <v>44811</v>
      </c>
      <c r="H341" s="116" t="b">
        <f>VLOOKUP($C341,Sales!$C:$E,2,FALSE)</f>
        <v>1</v>
      </c>
      <c r="I341" s="116" t="b">
        <f>VLOOKUP($C341,Sales!$C:$E,3,FALSE)</f>
        <v>0</v>
      </c>
      <c r="J341" s="118">
        <f>SUMIFS(Sales!$H:$H,Sales!$C:$C,'Investor Exit List'!$C341)</f>
        <v>45552</v>
      </c>
      <c r="K341" s="118" t="str">
        <f t="shared" si="60"/>
        <v/>
      </c>
      <c r="L341" s="118">
        <f t="shared" si="61"/>
        <v>45541</v>
      </c>
      <c r="M341" s="118">
        <v>45443</v>
      </c>
      <c r="N341" s="119">
        <f t="shared" si="62"/>
        <v>98</v>
      </c>
      <c r="O341" s="119">
        <f t="shared" si="63"/>
        <v>98</v>
      </c>
      <c r="P341" s="117">
        <f t="shared" si="64"/>
        <v>0</v>
      </c>
      <c r="Q341" s="117">
        <f>SUMIFS(Investors!$M:$M,Investors!$O:$O,FALSE,Investors!$P:$P,FALSE,Investors!$K:$K,"&gt;"&amp;'NSST Print'!$B$3,Investors!$I:$I,"&lt;="&amp;'NSST Print'!$B$3,Investors!$A:$A,'Investor Exit List'!$A341,Investors!$E:$E,'Investor Exit List'!$C341,Investors!$L:$L,'Investor Exit List'!$B341)-(SUMIFS(Investors!$M:$M,Investors!$I:$I,"&lt;="&amp;'NSST Print'!$B$3,Investors!$J:$J,"&gt;"&amp;'NSST Print'!$B$3,Investors!$A:$A,'Investor Exit List'!$A341,Investors!$E:$E,'Investor Exit List'!$C341,Investors!$L:$L,'Investor Exit List'!$B341)+SUMIFS(Investors!$M:$M,Investors!$I:$I,"&lt;="&amp;'NSST Print'!$B$3,Investors!$J:$J,"",Investors!$A:$A,'Investor Exit List'!$A341,Investors!$E:$E,'Investor Exit List'!$C341,Investors!$L:$L,'Investor Exit List'!$B341))+SUMIFS(Investors!$S:$S,Investors!$O:$O,FALSE,Investors!$P:$P,FALSE,Investors!$K:$K,"&gt;"&amp;'NSST Print'!$B$3,Investors!$I:$I,"&lt;="&amp;'NSST Print'!$B$3,Investors!$A:$A,'Investor Exit List'!$A341,Investors!$E:$E,'Investor Exit List'!$C341,Investors!$L:$L,'Investor Exit List'!$B341)-(SUMIFS(Investors!$S:$S,Investors!$I:$I,"&lt;="&amp;'NSST Print'!$B$3,Investors!$J:$J,"&gt;"&amp;'NSST Print'!$B$3,Investors!$A:$A,'Investor Exit List'!$A341,Investors!$E:$E,'Investor Exit List'!$C341,Investors!$L:$L,'Investor Exit List'!$B341)+SUMIFS(Investors!$S:$S,Investors!$I:$I,"&lt;="&amp;'NSST Print'!$B$3,Investors!$J:$J,"",Investors!$A:$A,'Investor Exit List'!$A341,Investors!$E:$E,'Investor Exit List'!$C341,Investors!$L:$L,'Investor Exit List'!$B341))</f>
        <v>399850.68493150687</v>
      </c>
      <c r="R341" s="117">
        <f t="shared" si="65"/>
        <v>399850.68493150687</v>
      </c>
      <c r="S341" s="117">
        <f>SUMIFS(Investors!$M:$M,Investors!$O:$O,TRUE,Investors!$A:$A,'Investor Exit List'!$A341,Investors!$E:$E,'Investor Exit List'!$C341,Investors!$L:$L,'Investor Exit List'!$B341)+SUMIFS(Investors!$S:$S,Investors!$O:$O,TRUE,Investors!$A:$A,'Investor Exit List'!$A341,Investors!$E:$E,'Investor Exit List'!$C341,Investors!$L:$L,'Investor Exit List'!$B341)</f>
        <v>0</v>
      </c>
      <c r="T341" s="118" t="str">
        <f t="shared" si="66"/>
        <v/>
      </c>
      <c r="U341" s="116" t="b">
        <v>0</v>
      </c>
      <c r="V341" s="117">
        <f t="shared" si="67"/>
        <v>0</v>
      </c>
      <c r="W341" s="116">
        <v>0</v>
      </c>
      <c r="X341" s="116" t="b">
        <v>0</v>
      </c>
      <c r="Y341" s="119">
        <f>IF(H341=FALSE,VLOOKUP($C341,Sales!$C:$F,4,FALSE),1)</f>
        <v>1</v>
      </c>
      <c r="Z341" s="116" t="str">
        <f t="shared" si="68"/>
        <v/>
      </c>
      <c r="AA341" s="118">
        <f t="shared" si="69"/>
        <v>45513</v>
      </c>
      <c r="AB341" s="118" t="str">
        <f t="shared" si="70"/>
        <v>HVJ201-ZSMI03</v>
      </c>
      <c r="AC341" s="118">
        <f t="shared" si="71"/>
        <v>45541</v>
      </c>
    </row>
    <row r="342" spans="1:29" ht="16" x14ac:dyDescent="0.2">
      <c r="A342" s="116" t="s">
        <v>227</v>
      </c>
      <c r="B342" s="116">
        <v>2</v>
      </c>
      <c r="C342" s="116" t="s">
        <v>724</v>
      </c>
      <c r="D342" s="116" t="s">
        <v>711</v>
      </c>
      <c r="E342" s="116" t="s">
        <v>2071</v>
      </c>
      <c r="F342" s="117">
        <f>SUMIFS(Investors!$M:$M,Investors!$O:$O,FALSE,Investors!$P:$P,FALSE,Investors!$K:$K,"&gt;"&amp;'NSST Print'!$B$3,Investors!$I:$I,"&lt;="&amp;'NSST Print'!$B$3,Investors!$A:$A,'Investor Exit List'!$A342,Investors!$E:$E,'Investor Exit List'!$C342,Investors!$L:$L,'Investor Exit List'!$B342)-(SUMIFS(Investors!$M:$M,Investors!$I:$I,"&lt;="&amp;'NSST Print'!$B$3,Investors!$J:$J,"&gt;"&amp;'NSST Print'!$B$3,Investors!$A:$A,'Investor Exit List'!$A342,Investors!$E:$E,'Investor Exit List'!$C342,Investors!$L:$L,'Investor Exit List'!$B342)+SUMIFS(Investors!$M:$M,Investors!$I:$I,"&lt;="&amp;'NSST Print'!$B$3,Investors!$J:$J,"",Investors!$A:$A,'Investor Exit List'!$A342,Investors!$E:$E,'Investor Exit List'!$C342,Investors!$L:$L,'Investor Exit List'!$B342))</f>
        <v>200000</v>
      </c>
      <c r="G342" s="118">
        <v>44916</v>
      </c>
      <c r="H342" s="116" t="b">
        <f>VLOOKUP($C342,Sales!$C:$E,2,FALSE)</f>
        <v>1</v>
      </c>
      <c r="I342" s="116" t="b">
        <f>VLOOKUP($C342,Sales!$C:$E,3,FALSE)</f>
        <v>0</v>
      </c>
      <c r="J342" s="118">
        <f>SUMIFS(Sales!$H:$H,Sales!$C:$C,'Investor Exit List'!$C342)</f>
        <v>45552</v>
      </c>
      <c r="K342" s="118" t="str">
        <f t="shared" si="60"/>
        <v/>
      </c>
      <c r="L342" s="118">
        <f t="shared" si="61"/>
        <v>45646</v>
      </c>
      <c r="M342" s="118">
        <v>45443</v>
      </c>
      <c r="N342" s="119">
        <f t="shared" si="62"/>
        <v>203</v>
      </c>
      <c r="O342" s="119">
        <f t="shared" si="63"/>
        <v>0</v>
      </c>
      <c r="P342" s="117">
        <f t="shared" si="64"/>
        <v>0</v>
      </c>
      <c r="Q342" s="117">
        <f>SUMIFS(Investors!$M:$M,Investors!$O:$O,FALSE,Investors!$P:$P,FALSE,Investors!$K:$K,"&gt;"&amp;'NSST Print'!$B$3,Investors!$I:$I,"&lt;="&amp;'NSST Print'!$B$3,Investors!$A:$A,'Investor Exit List'!$A342,Investors!$E:$E,'Investor Exit List'!$C342,Investors!$L:$L,'Investor Exit List'!$B342)-(SUMIFS(Investors!$M:$M,Investors!$I:$I,"&lt;="&amp;'NSST Print'!$B$3,Investors!$J:$J,"&gt;"&amp;'NSST Print'!$B$3,Investors!$A:$A,'Investor Exit List'!$A342,Investors!$E:$E,'Investor Exit List'!$C342,Investors!$L:$L,'Investor Exit List'!$B342)+SUMIFS(Investors!$M:$M,Investors!$I:$I,"&lt;="&amp;'NSST Print'!$B$3,Investors!$J:$J,"",Investors!$A:$A,'Investor Exit List'!$A342,Investors!$E:$E,'Investor Exit List'!$C342,Investors!$L:$L,'Investor Exit List'!$B342))+SUMIFS(Investors!$S:$S,Investors!$O:$O,FALSE,Investors!$P:$P,FALSE,Investors!$K:$K,"&gt;"&amp;'NSST Print'!$B$3,Investors!$I:$I,"&lt;="&amp;'NSST Print'!$B$3,Investors!$A:$A,'Investor Exit List'!$A342,Investors!$E:$E,'Investor Exit List'!$C342,Investors!$L:$L,'Investor Exit List'!$B342)-(SUMIFS(Investors!$S:$S,Investors!$I:$I,"&lt;="&amp;'NSST Print'!$B$3,Investors!$J:$J,"&gt;"&amp;'NSST Print'!$B$3,Investors!$A:$A,'Investor Exit List'!$A342,Investors!$E:$E,'Investor Exit List'!$C342,Investors!$L:$L,'Investor Exit List'!$B342)+SUMIFS(Investors!$S:$S,Investors!$I:$I,"&lt;="&amp;'NSST Print'!$B$3,Investors!$J:$J,"",Investors!$A:$A,'Investor Exit List'!$A342,Investors!$E:$E,'Investor Exit List'!$C342,Investors!$L:$L,'Investor Exit List'!$B342))</f>
        <v>256901.36986301368</v>
      </c>
      <c r="R342" s="117">
        <f t="shared" si="65"/>
        <v>256901.36986301368</v>
      </c>
      <c r="S342" s="117">
        <f>SUMIFS(Investors!$M:$M,Investors!$O:$O,TRUE,Investors!$A:$A,'Investor Exit List'!$A342,Investors!$E:$E,'Investor Exit List'!$C342,Investors!$L:$L,'Investor Exit List'!$B342)+SUMIFS(Investors!$S:$S,Investors!$O:$O,TRUE,Investors!$A:$A,'Investor Exit List'!$A342,Investors!$E:$E,'Investor Exit List'!$C342,Investors!$L:$L,'Investor Exit List'!$B342)</f>
        <v>0</v>
      </c>
      <c r="T342" s="118" t="str">
        <f t="shared" si="66"/>
        <v/>
      </c>
      <c r="U342" s="116" t="b">
        <v>0</v>
      </c>
      <c r="V342" s="117">
        <f t="shared" si="67"/>
        <v>0</v>
      </c>
      <c r="W342" s="116">
        <v>0</v>
      </c>
      <c r="X342" s="116" t="b">
        <v>0</v>
      </c>
      <c r="Y342" s="119">
        <f>IF(H342=FALSE,VLOOKUP($C342,Sales!$C:$F,4,FALSE),1)</f>
        <v>1</v>
      </c>
      <c r="Z342" s="116" t="str">
        <f t="shared" si="68"/>
        <v/>
      </c>
      <c r="AA342" s="118">
        <f t="shared" si="69"/>
        <v>45513</v>
      </c>
      <c r="AB342" s="118" t="str">
        <f t="shared" si="70"/>
        <v>HVJ201-ZZYL02</v>
      </c>
      <c r="AC342" s="118">
        <f t="shared" si="71"/>
        <v>45646</v>
      </c>
    </row>
    <row r="343" spans="1:29" ht="16" x14ac:dyDescent="0.2">
      <c r="A343" s="116" t="s">
        <v>340</v>
      </c>
      <c r="B343" s="116">
        <v>3</v>
      </c>
      <c r="C343" s="116" t="s">
        <v>726</v>
      </c>
      <c r="D343" s="116" t="s">
        <v>711</v>
      </c>
      <c r="E343" s="116" t="s">
        <v>2103</v>
      </c>
      <c r="F343" s="117">
        <f>SUMIFS(Investors!$M:$M,Investors!$O:$O,FALSE,Investors!$P:$P,FALSE,Investors!$K:$K,"&gt;"&amp;'NSST Print'!$B$3,Investors!$I:$I,"&lt;="&amp;'NSST Print'!$B$3,Investors!$A:$A,'Investor Exit List'!$A343,Investors!$E:$E,'Investor Exit List'!$C343,Investors!$L:$L,'Investor Exit List'!$B343)-(SUMIFS(Investors!$M:$M,Investors!$I:$I,"&lt;="&amp;'NSST Print'!$B$3,Investors!$J:$J,"&gt;"&amp;'NSST Print'!$B$3,Investors!$A:$A,'Investor Exit List'!$A343,Investors!$E:$E,'Investor Exit List'!$C343,Investors!$L:$L,'Investor Exit List'!$B343)+SUMIFS(Investors!$M:$M,Investors!$I:$I,"&lt;="&amp;'NSST Print'!$B$3,Investors!$J:$J,"",Investors!$A:$A,'Investor Exit List'!$A343,Investors!$E:$E,'Investor Exit List'!$C343,Investors!$L:$L,'Investor Exit List'!$B343))</f>
        <v>1000000</v>
      </c>
      <c r="G343" s="118">
        <v>44811</v>
      </c>
      <c r="H343" s="116" t="b">
        <f>VLOOKUP($C343,Sales!$C:$E,2,FALSE)</f>
        <v>1</v>
      </c>
      <c r="I343" s="116" t="b">
        <f>VLOOKUP($C343,Sales!$C:$E,3,FALSE)</f>
        <v>0</v>
      </c>
      <c r="J343" s="118">
        <f>SUMIFS(Sales!$H:$H,Sales!$C:$C,'Investor Exit List'!$C343)</f>
        <v>45552</v>
      </c>
      <c r="K343" s="118" t="str">
        <f t="shared" si="60"/>
        <v/>
      </c>
      <c r="L343" s="118">
        <f t="shared" si="61"/>
        <v>45541</v>
      </c>
      <c r="M343" s="118">
        <v>45443</v>
      </c>
      <c r="N343" s="119">
        <f t="shared" si="62"/>
        <v>98</v>
      </c>
      <c r="O343" s="119">
        <f t="shared" si="63"/>
        <v>98</v>
      </c>
      <c r="P343" s="117">
        <f t="shared" si="64"/>
        <v>0</v>
      </c>
      <c r="Q343" s="117">
        <f>SUMIFS(Investors!$M:$M,Investors!$O:$O,FALSE,Investors!$P:$P,FALSE,Investors!$K:$K,"&gt;"&amp;'NSST Print'!$B$3,Investors!$I:$I,"&lt;="&amp;'NSST Print'!$B$3,Investors!$A:$A,'Investor Exit List'!$A343,Investors!$E:$E,'Investor Exit List'!$C343,Investors!$L:$L,'Investor Exit List'!$B343)-(SUMIFS(Investors!$M:$M,Investors!$I:$I,"&lt;="&amp;'NSST Print'!$B$3,Investors!$J:$J,"&gt;"&amp;'NSST Print'!$B$3,Investors!$A:$A,'Investor Exit List'!$A343,Investors!$E:$E,'Investor Exit List'!$C343,Investors!$L:$L,'Investor Exit List'!$B343)+SUMIFS(Investors!$M:$M,Investors!$I:$I,"&lt;="&amp;'NSST Print'!$B$3,Investors!$J:$J,"",Investors!$A:$A,'Investor Exit List'!$A343,Investors!$E:$E,'Investor Exit List'!$C343,Investors!$L:$L,'Investor Exit List'!$B343))+SUMIFS(Investors!$S:$S,Investors!$O:$O,FALSE,Investors!$P:$P,FALSE,Investors!$K:$K,"&gt;"&amp;'NSST Print'!$B$3,Investors!$I:$I,"&lt;="&amp;'NSST Print'!$B$3,Investors!$A:$A,'Investor Exit List'!$A343,Investors!$E:$E,'Investor Exit List'!$C343,Investors!$L:$L,'Investor Exit List'!$B343)-(SUMIFS(Investors!$S:$S,Investors!$I:$I,"&lt;="&amp;'NSST Print'!$B$3,Investors!$J:$J,"&gt;"&amp;'NSST Print'!$B$3,Investors!$A:$A,'Investor Exit List'!$A343,Investors!$E:$E,'Investor Exit List'!$C343,Investors!$L:$L,'Investor Exit List'!$B343)+SUMIFS(Investors!$S:$S,Investors!$I:$I,"&lt;="&amp;'NSST Print'!$B$3,Investors!$J:$J,"",Investors!$A:$A,'Investor Exit List'!$A343,Investors!$E:$E,'Investor Exit List'!$C343,Investors!$L:$L,'Investor Exit List'!$B343))</f>
        <v>1366205.4794520547</v>
      </c>
      <c r="R343" s="117">
        <f t="shared" si="65"/>
        <v>1366205.4794520547</v>
      </c>
      <c r="S343" s="117">
        <f>SUMIFS(Investors!$M:$M,Investors!$O:$O,TRUE,Investors!$A:$A,'Investor Exit List'!$A343,Investors!$E:$E,'Investor Exit List'!$C343,Investors!$L:$L,'Investor Exit List'!$B343)+SUMIFS(Investors!$S:$S,Investors!$O:$O,TRUE,Investors!$A:$A,'Investor Exit List'!$A343,Investors!$E:$E,'Investor Exit List'!$C343,Investors!$L:$L,'Investor Exit List'!$B343)</f>
        <v>0</v>
      </c>
      <c r="T343" s="118" t="str">
        <f t="shared" si="66"/>
        <v/>
      </c>
      <c r="U343" s="116" t="b">
        <v>0</v>
      </c>
      <c r="V343" s="117">
        <f t="shared" si="67"/>
        <v>0</v>
      </c>
      <c r="W343" s="116">
        <v>0</v>
      </c>
      <c r="X343" s="116" t="b">
        <v>0</v>
      </c>
      <c r="Y343" s="119">
        <f>IF(H343=FALSE,VLOOKUP($C343,Sales!$C:$F,4,FALSE),1)</f>
        <v>1</v>
      </c>
      <c r="Z343" s="116" t="str">
        <f t="shared" si="68"/>
        <v/>
      </c>
      <c r="AA343" s="118">
        <f t="shared" si="69"/>
        <v>45541</v>
      </c>
      <c r="AB343" s="118" t="str">
        <f t="shared" si="70"/>
        <v>HVJ202-ZLAB01</v>
      </c>
      <c r="AC343" s="118">
        <f t="shared" si="71"/>
        <v>45541</v>
      </c>
    </row>
    <row r="344" spans="1:29" ht="16" x14ac:dyDescent="0.2">
      <c r="A344" s="116" t="s">
        <v>721</v>
      </c>
      <c r="B344" s="116">
        <v>1</v>
      </c>
      <c r="C344" s="116" t="s">
        <v>727</v>
      </c>
      <c r="D344" s="116" t="s">
        <v>711</v>
      </c>
      <c r="E344" s="116" t="s">
        <v>2200</v>
      </c>
      <c r="F344" s="117">
        <f>SUMIFS(Investors!$M:$M,Investors!$O:$O,FALSE,Investors!$P:$P,FALSE,Investors!$K:$K,"&gt;"&amp;'NSST Print'!$B$3,Investors!$I:$I,"&lt;="&amp;'NSST Print'!$B$3,Investors!$A:$A,'Investor Exit List'!$A344,Investors!$E:$E,'Investor Exit List'!$C344,Investors!$L:$L,'Investor Exit List'!$B344)-(SUMIFS(Investors!$M:$M,Investors!$I:$I,"&lt;="&amp;'NSST Print'!$B$3,Investors!$J:$J,"&gt;"&amp;'NSST Print'!$B$3,Investors!$A:$A,'Investor Exit List'!$A344,Investors!$E:$E,'Investor Exit List'!$C344,Investors!$L:$L,'Investor Exit List'!$B344)+SUMIFS(Investors!$M:$M,Investors!$I:$I,"&lt;="&amp;'NSST Print'!$B$3,Investors!$J:$J,"",Investors!$A:$A,'Investor Exit List'!$A344,Investors!$E:$E,'Investor Exit List'!$C344,Investors!$L:$L,'Investor Exit List'!$B344))</f>
        <v>1000000</v>
      </c>
      <c r="G344" s="118">
        <v>44791</v>
      </c>
      <c r="H344" s="116" t="b">
        <f>VLOOKUP($C344,Sales!$C:$E,2,FALSE)</f>
        <v>0</v>
      </c>
      <c r="I344" s="116" t="b">
        <f>VLOOKUP($C344,Sales!$C:$E,3,FALSE)</f>
        <v>0</v>
      </c>
      <c r="J344" s="118">
        <f>SUMIFS(Sales!$H:$H,Sales!$C:$C,'Investor Exit List'!$C344)</f>
        <v>45552</v>
      </c>
      <c r="K344" s="118" t="str">
        <f t="shared" si="60"/>
        <v/>
      </c>
      <c r="L344" s="118">
        <f t="shared" si="61"/>
        <v>45521</v>
      </c>
      <c r="M344" s="118">
        <v>45443</v>
      </c>
      <c r="N344" s="119">
        <f t="shared" si="62"/>
        <v>78</v>
      </c>
      <c r="O344" s="119">
        <f t="shared" si="63"/>
        <v>78</v>
      </c>
      <c r="P344" s="117">
        <f t="shared" si="64"/>
        <v>1382972.6027397262</v>
      </c>
      <c r="Q344" s="117">
        <f>SUMIFS(Investors!$M:$M,Investors!$O:$O,FALSE,Investors!$P:$P,FALSE,Investors!$K:$K,"&gt;"&amp;'NSST Print'!$B$3,Investors!$I:$I,"&lt;="&amp;'NSST Print'!$B$3,Investors!$A:$A,'Investor Exit List'!$A344,Investors!$E:$E,'Investor Exit List'!$C344,Investors!$L:$L,'Investor Exit List'!$B344)-(SUMIFS(Investors!$M:$M,Investors!$I:$I,"&lt;="&amp;'NSST Print'!$B$3,Investors!$J:$J,"&gt;"&amp;'NSST Print'!$B$3,Investors!$A:$A,'Investor Exit List'!$A344,Investors!$E:$E,'Investor Exit List'!$C344,Investors!$L:$L,'Investor Exit List'!$B344)+SUMIFS(Investors!$M:$M,Investors!$I:$I,"&lt;="&amp;'NSST Print'!$B$3,Investors!$J:$J,"",Investors!$A:$A,'Investor Exit List'!$A344,Investors!$E:$E,'Investor Exit List'!$C344,Investors!$L:$L,'Investor Exit List'!$B344))+SUMIFS(Investors!$S:$S,Investors!$O:$O,FALSE,Investors!$P:$P,FALSE,Investors!$K:$K,"&gt;"&amp;'NSST Print'!$B$3,Investors!$I:$I,"&lt;="&amp;'NSST Print'!$B$3,Investors!$A:$A,'Investor Exit List'!$A344,Investors!$E:$E,'Investor Exit List'!$C344,Investors!$L:$L,'Investor Exit List'!$B344)-(SUMIFS(Investors!$S:$S,Investors!$I:$I,"&lt;="&amp;'NSST Print'!$B$3,Investors!$J:$J,"&gt;"&amp;'NSST Print'!$B$3,Investors!$A:$A,'Investor Exit List'!$A344,Investors!$E:$E,'Investor Exit List'!$C344,Investors!$L:$L,'Investor Exit List'!$B344)+SUMIFS(Investors!$S:$S,Investors!$I:$I,"&lt;="&amp;'NSST Print'!$B$3,Investors!$J:$J,"",Investors!$A:$A,'Investor Exit List'!$A344,Investors!$E:$E,'Investor Exit List'!$C344,Investors!$L:$L,'Investor Exit List'!$B344))</f>
        <v>1382972.6027397262</v>
      </c>
      <c r="R344" s="117">
        <f t="shared" si="65"/>
        <v>0</v>
      </c>
      <c r="S344" s="117">
        <f>SUMIFS(Investors!$M:$M,Investors!$O:$O,TRUE,Investors!$A:$A,'Investor Exit List'!$A344,Investors!$E:$E,'Investor Exit List'!$C344,Investors!$L:$L,'Investor Exit List'!$B344)+SUMIFS(Investors!$S:$S,Investors!$O:$O,TRUE,Investors!$A:$A,'Investor Exit List'!$A344,Investors!$E:$E,'Investor Exit List'!$C344,Investors!$L:$L,'Investor Exit List'!$B344)</f>
        <v>0</v>
      </c>
      <c r="T344" s="118" t="str">
        <f t="shared" si="66"/>
        <v/>
      </c>
      <c r="U344" s="116" t="b">
        <v>0</v>
      </c>
      <c r="V344" s="117">
        <f t="shared" si="67"/>
        <v>0</v>
      </c>
      <c r="W344" s="116">
        <v>0</v>
      </c>
      <c r="X344" s="116" t="b">
        <v>0</v>
      </c>
      <c r="Y344" s="119">
        <f>IF(H344=FALSE,VLOOKUP($C344,Sales!$C:$F,4,FALSE),1)</f>
        <v>0</v>
      </c>
      <c r="Z344" s="116" t="str">
        <f t="shared" si="68"/>
        <v>Release</v>
      </c>
      <c r="AA344" s="118">
        <f t="shared" si="69"/>
        <v>45521</v>
      </c>
      <c r="AB344" s="118" t="str">
        <f t="shared" si="70"/>
        <v>HVJ203-ZBUM01</v>
      </c>
      <c r="AC344" s="118">
        <f t="shared" si="71"/>
        <v>45521</v>
      </c>
    </row>
    <row r="345" spans="1:29" ht="16" x14ac:dyDescent="0.2">
      <c r="A345" s="116" t="s">
        <v>728</v>
      </c>
      <c r="B345" s="116">
        <v>3</v>
      </c>
      <c r="C345" s="116" t="s">
        <v>731</v>
      </c>
      <c r="D345" s="116" t="s">
        <v>711</v>
      </c>
      <c r="E345" s="116" t="s">
        <v>2201</v>
      </c>
      <c r="F345" s="117">
        <f>SUMIFS(Investors!$M:$M,Investors!$O:$O,FALSE,Investors!$P:$P,FALSE,Investors!$K:$K,"&gt;"&amp;'NSST Print'!$B$3,Investors!$I:$I,"&lt;="&amp;'NSST Print'!$B$3,Investors!$A:$A,'Investor Exit List'!$A345,Investors!$E:$E,'Investor Exit List'!$C345,Investors!$L:$L,'Investor Exit List'!$B345)-(SUMIFS(Investors!$M:$M,Investors!$I:$I,"&lt;="&amp;'NSST Print'!$B$3,Investors!$J:$J,"&gt;"&amp;'NSST Print'!$B$3,Investors!$A:$A,'Investor Exit List'!$A345,Investors!$E:$E,'Investor Exit List'!$C345,Investors!$L:$L,'Investor Exit List'!$B345)+SUMIFS(Investors!$M:$M,Investors!$I:$I,"&lt;="&amp;'NSST Print'!$B$3,Investors!$J:$J,"",Investors!$A:$A,'Investor Exit List'!$A345,Investors!$E:$E,'Investor Exit List'!$C345,Investors!$L:$L,'Investor Exit List'!$B345))</f>
        <v>127553.41</v>
      </c>
      <c r="G345" s="118">
        <v>44868</v>
      </c>
      <c r="H345" s="116" t="b">
        <f>VLOOKUP($C345,Sales!$C:$E,2,FALSE)</f>
        <v>0</v>
      </c>
      <c r="I345" s="116" t="b">
        <f>VLOOKUP($C345,Sales!$C:$E,3,FALSE)</f>
        <v>0</v>
      </c>
      <c r="J345" s="118">
        <f>SUMIFS(Sales!$H:$H,Sales!$C:$C,'Investor Exit List'!$C345)</f>
        <v>45552</v>
      </c>
      <c r="K345" s="118" t="str">
        <f t="shared" si="60"/>
        <v/>
      </c>
      <c r="L345" s="118">
        <f t="shared" si="61"/>
        <v>45598</v>
      </c>
      <c r="M345" s="118">
        <v>45443</v>
      </c>
      <c r="N345" s="119">
        <f t="shared" si="62"/>
        <v>155</v>
      </c>
      <c r="O345" s="119">
        <f t="shared" si="63"/>
        <v>155</v>
      </c>
      <c r="P345" s="117">
        <f t="shared" si="64"/>
        <v>0</v>
      </c>
      <c r="Q345" s="117">
        <f>SUMIFS(Investors!$M:$M,Investors!$O:$O,FALSE,Investors!$P:$P,FALSE,Investors!$K:$K,"&gt;"&amp;'NSST Print'!$B$3,Investors!$I:$I,"&lt;="&amp;'NSST Print'!$B$3,Investors!$A:$A,'Investor Exit List'!$A345,Investors!$E:$E,'Investor Exit List'!$C345,Investors!$L:$L,'Investor Exit List'!$B345)-(SUMIFS(Investors!$M:$M,Investors!$I:$I,"&lt;="&amp;'NSST Print'!$B$3,Investors!$J:$J,"&gt;"&amp;'NSST Print'!$B$3,Investors!$A:$A,'Investor Exit List'!$A345,Investors!$E:$E,'Investor Exit List'!$C345,Investors!$L:$L,'Investor Exit List'!$B345)+SUMIFS(Investors!$M:$M,Investors!$I:$I,"&lt;="&amp;'NSST Print'!$B$3,Investors!$J:$J,"",Investors!$A:$A,'Investor Exit List'!$A345,Investors!$E:$E,'Investor Exit List'!$C345,Investors!$L:$L,'Investor Exit List'!$B345))+SUMIFS(Investors!$S:$S,Investors!$O:$O,FALSE,Investors!$P:$P,FALSE,Investors!$K:$K,"&gt;"&amp;'NSST Print'!$B$3,Investors!$I:$I,"&lt;="&amp;'NSST Print'!$B$3,Investors!$A:$A,'Investor Exit List'!$A345,Investors!$E:$E,'Investor Exit List'!$C345,Investors!$L:$L,'Investor Exit List'!$B345)-(SUMIFS(Investors!$S:$S,Investors!$I:$I,"&lt;="&amp;'NSST Print'!$B$3,Investors!$J:$J,"&gt;"&amp;'NSST Print'!$B$3,Investors!$A:$A,'Investor Exit List'!$A345,Investors!$E:$E,'Investor Exit List'!$C345,Investors!$L:$L,'Investor Exit List'!$B345)+SUMIFS(Investors!$S:$S,Investors!$I:$I,"&lt;="&amp;'NSST Print'!$B$3,Investors!$J:$J,"",Investors!$A:$A,'Investor Exit List'!$A345,Investors!$E:$E,'Investor Exit List'!$C345,Investors!$L:$L,'Investor Exit List'!$B345))</f>
        <v>161447.67092027399</v>
      </c>
      <c r="R345" s="117">
        <f t="shared" si="65"/>
        <v>0</v>
      </c>
      <c r="S345" s="117">
        <f>SUMIFS(Investors!$M:$M,Investors!$O:$O,TRUE,Investors!$A:$A,'Investor Exit List'!$A345,Investors!$E:$E,'Investor Exit List'!$C345,Investors!$L:$L,'Investor Exit List'!$B345)+SUMIFS(Investors!$S:$S,Investors!$O:$O,TRUE,Investors!$A:$A,'Investor Exit List'!$A345,Investors!$E:$E,'Investor Exit List'!$C345,Investors!$L:$L,'Investor Exit List'!$B345)</f>
        <v>0</v>
      </c>
      <c r="T345" s="118" t="str">
        <f t="shared" si="66"/>
        <v/>
      </c>
      <c r="U345" s="116" t="b">
        <v>0</v>
      </c>
      <c r="V345" s="117">
        <f t="shared" si="67"/>
        <v>0</v>
      </c>
      <c r="W345" s="116">
        <v>0</v>
      </c>
      <c r="X345" s="116" t="b">
        <v>0</v>
      </c>
      <c r="Y345" s="119">
        <f>IF(H345=FALSE,VLOOKUP($C345,Sales!$C:$F,4,FALSE),1)</f>
        <v>0</v>
      </c>
      <c r="Z345" s="116" t="str">
        <f t="shared" si="68"/>
        <v>Release</v>
      </c>
      <c r="AA345" s="118">
        <f t="shared" si="69"/>
        <v>45541</v>
      </c>
      <c r="AB345" s="118" t="str">
        <f t="shared" si="70"/>
        <v>HVJ301-ZBRO01</v>
      </c>
      <c r="AC345" s="118">
        <f t="shared" si="71"/>
        <v>45598</v>
      </c>
    </row>
    <row r="346" spans="1:29" ht="16" x14ac:dyDescent="0.2">
      <c r="A346" s="116" t="s">
        <v>732</v>
      </c>
      <c r="B346" s="116">
        <v>1</v>
      </c>
      <c r="C346" s="116" t="s">
        <v>731</v>
      </c>
      <c r="D346" s="116" t="s">
        <v>711</v>
      </c>
      <c r="E346" s="116" t="s">
        <v>2202</v>
      </c>
      <c r="F346" s="117">
        <f>SUMIFS(Investors!$M:$M,Investors!$O:$O,FALSE,Investors!$P:$P,FALSE,Investors!$K:$K,"&gt;"&amp;'NSST Print'!$B$3,Investors!$I:$I,"&lt;="&amp;'NSST Print'!$B$3,Investors!$A:$A,'Investor Exit List'!$A346,Investors!$E:$E,'Investor Exit List'!$C346,Investors!$L:$L,'Investor Exit List'!$B346)-(SUMIFS(Investors!$M:$M,Investors!$I:$I,"&lt;="&amp;'NSST Print'!$B$3,Investors!$J:$J,"&gt;"&amp;'NSST Print'!$B$3,Investors!$A:$A,'Investor Exit List'!$A346,Investors!$E:$E,'Investor Exit List'!$C346,Investors!$L:$L,'Investor Exit List'!$B346)+SUMIFS(Investors!$M:$M,Investors!$I:$I,"&lt;="&amp;'NSST Print'!$B$3,Investors!$J:$J,"",Investors!$A:$A,'Investor Exit List'!$A346,Investors!$E:$E,'Investor Exit List'!$C346,Investors!$L:$L,'Investor Exit List'!$B346))</f>
        <v>550000</v>
      </c>
      <c r="G346" s="118">
        <v>44811</v>
      </c>
      <c r="H346" s="116" t="b">
        <f>VLOOKUP($C346,Sales!$C:$E,2,FALSE)</f>
        <v>0</v>
      </c>
      <c r="I346" s="116" t="b">
        <f>VLOOKUP($C346,Sales!$C:$E,3,FALSE)</f>
        <v>0</v>
      </c>
      <c r="J346" s="118">
        <f>SUMIFS(Sales!$H:$H,Sales!$C:$C,'Investor Exit List'!$C346)</f>
        <v>45552</v>
      </c>
      <c r="K346" s="118" t="str">
        <f t="shared" si="60"/>
        <v/>
      </c>
      <c r="L346" s="118">
        <f t="shared" si="61"/>
        <v>45541</v>
      </c>
      <c r="M346" s="118">
        <v>45443</v>
      </c>
      <c r="N346" s="119">
        <f t="shared" si="62"/>
        <v>98</v>
      </c>
      <c r="O346" s="119">
        <f t="shared" si="63"/>
        <v>98</v>
      </c>
      <c r="P346" s="117">
        <f t="shared" si="64"/>
        <v>0</v>
      </c>
      <c r="Q346" s="117">
        <f>SUMIFS(Investors!$M:$M,Investors!$O:$O,FALSE,Investors!$P:$P,FALSE,Investors!$K:$K,"&gt;"&amp;'NSST Print'!$B$3,Investors!$I:$I,"&lt;="&amp;'NSST Print'!$B$3,Investors!$A:$A,'Investor Exit List'!$A346,Investors!$E:$E,'Investor Exit List'!$C346,Investors!$L:$L,'Investor Exit List'!$B346)-(SUMIFS(Investors!$M:$M,Investors!$I:$I,"&lt;="&amp;'NSST Print'!$B$3,Investors!$J:$J,"&gt;"&amp;'NSST Print'!$B$3,Investors!$A:$A,'Investor Exit List'!$A346,Investors!$E:$E,'Investor Exit List'!$C346,Investors!$L:$L,'Investor Exit List'!$B346)+SUMIFS(Investors!$M:$M,Investors!$I:$I,"&lt;="&amp;'NSST Print'!$B$3,Investors!$J:$J,"",Investors!$A:$A,'Investor Exit List'!$A346,Investors!$E:$E,'Investor Exit List'!$C346,Investors!$L:$L,'Investor Exit List'!$B346))+SUMIFS(Investors!$S:$S,Investors!$O:$O,FALSE,Investors!$P:$P,FALSE,Investors!$K:$K,"&gt;"&amp;'NSST Print'!$B$3,Investors!$I:$I,"&lt;="&amp;'NSST Print'!$B$3,Investors!$A:$A,'Investor Exit List'!$A346,Investors!$E:$E,'Investor Exit List'!$C346,Investors!$L:$L,'Investor Exit List'!$B346)-(SUMIFS(Investors!$S:$S,Investors!$I:$I,"&lt;="&amp;'NSST Print'!$B$3,Investors!$J:$J,"&gt;"&amp;'NSST Print'!$B$3,Investors!$A:$A,'Investor Exit List'!$A346,Investors!$E:$E,'Investor Exit List'!$C346,Investors!$L:$L,'Investor Exit List'!$B346)+SUMIFS(Investors!$S:$S,Investors!$I:$I,"&lt;="&amp;'NSST Print'!$B$3,Investors!$J:$J,"",Investors!$A:$A,'Investor Exit List'!$A346,Investors!$E:$E,'Investor Exit List'!$C346,Investors!$L:$L,'Investor Exit List'!$B346))</f>
        <v>755210.27397260279</v>
      </c>
      <c r="R346" s="117">
        <f t="shared" si="65"/>
        <v>0</v>
      </c>
      <c r="S346" s="117">
        <f>SUMIFS(Investors!$M:$M,Investors!$O:$O,TRUE,Investors!$A:$A,'Investor Exit List'!$A346,Investors!$E:$E,'Investor Exit List'!$C346,Investors!$L:$L,'Investor Exit List'!$B346)+SUMIFS(Investors!$S:$S,Investors!$O:$O,TRUE,Investors!$A:$A,'Investor Exit List'!$A346,Investors!$E:$E,'Investor Exit List'!$C346,Investors!$L:$L,'Investor Exit List'!$B346)</f>
        <v>0</v>
      </c>
      <c r="T346" s="118" t="str">
        <f t="shared" si="66"/>
        <v/>
      </c>
      <c r="U346" s="116" t="b">
        <v>0</v>
      </c>
      <c r="V346" s="117">
        <f t="shared" si="67"/>
        <v>0</v>
      </c>
      <c r="W346" s="116">
        <v>0</v>
      </c>
      <c r="X346" s="116" t="b">
        <v>0</v>
      </c>
      <c r="Y346" s="119">
        <f>IF(H346=FALSE,VLOOKUP($C346,Sales!$C:$F,4,FALSE),1)</f>
        <v>0</v>
      </c>
      <c r="Z346" s="116" t="str">
        <f t="shared" si="68"/>
        <v>Release</v>
      </c>
      <c r="AA346" s="118">
        <f t="shared" si="69"/>
        <v>45541</v>
      </c>
      <c r="AB346" s="118" t="str">
        <f t="shared" si="70"/>
        <v>HVJ301-ZMAN02</v>
      </c>
      <c r="AC346" s="118">
        <f t="shared" si="71"/>
        <v>45541</v>
      </c>
    </row>
    <row r="347" spans="1:29" ht="16" x14ac:dyDescent="0.2">
      <c r="A347" s="116" t="s">
        <v>725</v>
      </c>
      <c r="B347" s="116">
        <v>2</v>
      </c>
      <c r="C347" s="116" t="s">
        <v>731</v>
      </c>
      <c r="D347" s="116" t="s">
        <v>711</v>
      </c>
      <c r="E347" s="116" t="s">
        <v>2052</v>
      </c>
      <c r="F347" s="117">
        <f>SUMIFS(Investors!$M:$M,Investors!$O:$O,FALSE,Investors!$P:$P,FALSE,Investors!$K:$K,"&gt;"&amp;'NSST Print'!$B$3,Investors!$I:$I,"&lt;="&amp;'NSST Print'!$B$3,Investors!$A:$A,'Investor Exit List'!$A347,Investors!$E:$E,'Investor Exit List'!$C347,Investors!$L:$L,'Investor Exit List'!$B347)-(SUMIFS(Investors!$M:$M,Investors!$I:$I,"&lt;="&amp;'NSST Print'!$B$3,Investors!$J:$J,"&gt;"&amp;'NSST Print'!$B$3,Investors!$A:$A,'Investor Exit List'!$A347,Investors!$E:$E,'Investor Exit List'!$C347,Investors!$L:$L,'Investor Exit List'!$B347)+SUMIFS(Investors!$M:$M,Investors!$I:$I,"&lt;="&amp;'NSST Print'!$B$3,Investors!$J:$J,"",Investors!$A:$A,'Investor Exit List'!$A347,Investors!$E:$E,'Investor Exit List'!$C347,Investors!$L:$L,'Investor Exit List'!$B347))</f>
        <v>300000</v>
      </c>
      <c r="G347" s="118">
        <v>44811</v>
      </c>
      <c r="H347" s="116" t="b">
        <f>VLOOKUP($C347,Sales!$C:$E,2,FALSE)</f>
        <v>0</v>
      </c>
      <c r="I347" s="116" t="b">
        <f>VLOOKUP($C347,Sales!$C:$E,3,FALSE)</f>
        <v>0</v>
      </c>
      <c r="J347" s="118">
        <f>SUMIFS(Sales!$H:$H,Sales!$C:$C,'Investor Exit List'!$C347)</f>
        <v>45552</v>
      </c>
      <c r="K347" s="118" t="str">
        <f t="shared" si="60"/>
        <v/>
      </c>
      <c r="L347" s="118">
        <f t="shared" si="61"/>
        <v>45541</v>
      </c>
      <c r="M347" s="118">
        <v>45443</v>
      </c>
      <c r="N347" s="119">
        <f t="shared" si="62"/>
        <v>98</v>
      </c>
      <c r="O347" s="119">
        <f t="shared" si="63"/>
        <v>98</v>
      </c>
      <c r="P347" s="117">
        <f t="shared" si="64"/>
        <v>0</v>
      </c>
      <c r="Q347" s="117">
        <f>SUMIFS(Investors!$M:$M,Investors!$O:$O,FALSE,Investors!$P:$P,FALSE,Investors!$K:$K,"&gt;"&amp;'NSST Print'!$B$3,Investors!$I:$I,"&lt;="&amp;'NSST Print'!$B$3,Investors!$A:$A,'Investor Exit List'!$A347,Investors!$E:$E,'Investor Exit List'!$C347,Investors!$L:$L,'Investor Exit List'!$B347)-(SUMIFS(Investors!$M:$M,Investors!$I:$I,"&lt;="&amp;'NSST Print'!$B$3,Investors!$J:$J,"&gt;"&amp;'NSST Print'!$B$3,Investors!$A:$A,'Investor Exit List'!$A347,Investors!$E:$E,'Investor Exit List'!$C347,Investors!$L:$L,'Investor Exit List'!$B347)+SUMIFS(Investors!$M:$M,Investors!$I:$I,"&lt;="&amp;'NSST Print'!$B$3,Investors!$J:$J,"",Investors!$A:$A,'Investor Exit List'!$A347,Investors!$E:$E,'Investor Exit List'!$C347,Investors!$L:$L,'Investor Exit List'!$B347))+SUMIFS(Investors!$S:$S,Investors!$O:$O,FALSE,Investors!$P:$P,FALSE,Investors!$K:$K,"&gt;"&amp;'NSST Print'!$B$3,Investors!$I:$I,"&lt;="&amp;'NSST Print'!$B$3,Investors!$A:$A,'Investor Exit List'!$A347,Investors!$E:$E,'Investor Exit List'!$C347,Investors!$L:$L,'Investor Exit List'!$B347)-(SUMIFS(Investors!$S:$S,Investors!$I:$I,"&lt;="&amp;'NSST Print'!$B$3,Investors!$J:$J,"&gt;"&amp;'NSST Print'!$B$3,Investors!$A:$A,'Investor Exit List'!$A347,Investors!$E:$E,'Investor Exit List'!$C347,Investors!$L:$L,'Investor Exit List'!$B347)+SUMIFS(Investors!$S:$S,Investors!$I:$I,"&lt;="&amp;'NSST Print'!$B$3,Investors!$J:$J,"",Investors!$A:$A,'Investor Exit List'!$A347,Investors!$E:$E,'Investor Exit List'!$C347,Investors!$L:$L,'Investor Exit List'!$B347))</f>
        <v>399850.68493150687</v>
      </c>
      <c r="R347" s="117">
        <f t="shared" si="65"/>
        <v>0</v>
      </c>
      <c r="S347" s="117">
        <f>SUMIFS(Investors!$M:$M,Investors!$O:$O,TRUE,Investors!$A:$A,'Investor Exit List'!$A347,Investors!$E:$E,'Investor Exit List'!$C347,Investors!$L:$L,'Investor Exit List'!$B347)+SUMIFS(Investors!$S:$S,Investors!$O:$O,TRUE,Investors!$A:$A,'Investor Exit List'!$A347,Investors!$E:$E,'Investor Exit List'!$C347,Investors!$L:$L,'Investor Exit List'!$B347)</f>
        <v>0</v>
      </c>
      <c r="T347" s="118" t="str">
        <f t="shared" si="66"/>
        <v/>
      </c>
      <c r="U347" s="116" t="b">
        <v>0</v>
      </c>
      <c r="V347" s="117">
        <f t="shared" si="67"/>
        <v>0</v>
      </c>
      <c r="W347" s="116">
        <v>0</v>
      </c>
      <c r="X347" s="116" t="b">
        <v>0</v>
      </c>
      <c r="Y347" s="119">
        <f>IF(H347=FALSE,VLOOKUP($C347,Sales!$C:$F,4,FALSE),1)</f>
        <v>0</v>
      </c>
      <c r="Z347" s="116" t="str">
        <f t="shared" si="68"/>
        <v>Release</v>
      </c>
      <c r="AA347" s="118">
        <f t="shared" si="69"/>
        <v>45541</v>
      </c>
      <c r="AB347" s="118" t="str">
        <f t="shared" si="70"/>
        <v>HVJ301-ZSMI03</v>
      </c>
      <c r="AC347" s="118">
        <f t="shared" si="71"/>
        <v>45541</v>
      </c>
    </row>
    <row r="348" spans="1:29" ht="16" x14ac:dyDescent="0.2">
      <c r="A348" s="116" t="s">
        <v>732</v>
      </c>
      <c r="B348" s="116">
        <v>2</v>
      </c>
      <c r="C348" s="116" t="s">
        <v>735</v>
      </c>
      <c r="D348" s="116" t="s">
        <v>711</v>
      </c>
      <c r="E348" s="116" t="s">
        <v>2202</v>
      </c>
      <c r="F348" s="117">
        <f>SUMIFS(Investors!$M:$M,Investors!$O:$O,FALSE,Investors!$P:$P,FALSE,Investors!$K:$K,"&gt;"&amp;'NSST Print'!$B$3,Investors!$I:$I,"&lt;="&amp;'NSST Print'!$B$3,Investors!$A:$A,'Investor Exit List'!$A348,Investors!$E:$E,'Investor Exit List'!$C348,Investors!$L:$L,'Investor Exit List'!$B348)-(SUMIFS(Investors!$M:$M,Investors!$I:$I,"&lt;="&amp;'NSST Print'!$B$3,Investors!$J:$J,"&gt;"&amp;'NSST Print'!$B$3,Investors!$A:$A,'Investor Exit List'!$A348,Investors!$E:$E,'Investor Exit List'!$C348,Investors!$L:$L,'Investor Exit List'!$B348)+SUMIFS(Investors!$M:$M,Investors!$I:$I,"&lt;="&amp;'NSST Print'!$B$3,Investors!$J:$J,"",Investors!$A:$A,'Investor Exit List'!$A348,Investors!$E:$E,'Investor Exit List'!$C348,Investors!$L:$L,'Investor Exit List'!$B348))</f>
        <v>500000</v>
      </c>
      <c r="G348" s="118">
        <v>44811</v>
      </c>
      <c r="H348" s="116" t="b">
        <f>VLOOKUP($C348,Sales!$C:$E,2,FALSE)</f>
        <v>0</v>
      </c>
      <c r="I348" s="116" t="b">
        <f>VLOOKUP($C348,Sales!$C:$E,3,FALSE)</f>
        <v>0</v>
      </c>
      <c r="J348" s="118">
        <f>SUMIFS(Sales!$H:$H,Sales!$C:$C,'Investor Exit List'!$C348)</f>
        <v>45552</v>
      </c>
      <c r="K348" s="118" t="str">
        <f t="shared" si="60"/>
        <v/>
      </c>
      <c r="L348" s="118">
        <f t="shared" si="61"/>
        <v>45541</v>
      </c>
      <c r="M348" s="118">
        <v>45443</v>
      </c>
      <c r="N348" s="119">
        <f t="shared" si="62"/>
        <v>98</v>
      </c>
      <c r="O348" s="119">
        <f t="shared" si="63"/>
        <v>98</v>
      </c>
      <c r="P348" s="117">
        <f t="shared" si="64"/>
        <v>0</v>
      </c>
      <c r="Q348" s="117">
        <f>SUMIFS(Investors!$M:$M,Investors!$O:$O,FALSE,Investors!$P:$P,FALSE,Investors!$K:$K,"&gt;"&amp;'NSST Print'!$B$3,Investors!$I:$I,"&lt;="&amp;'NSST Print'!$B$3,Investors!$A:$A,'Investor Exit List'!$A348,Investors!$E:$E,'Investor Exit List'!$C348,Investors!$L:$L,'Investor Exit List'!$B348)-(SUMIFS(Investors!$M:$M,Investors!$I:$I,"&lt;="&amp;'NSST Print'!$B$3,Investors!$J:$J,"&gt;"&amp;'NSST Print'!$B$3,Investors!$A:$A,'Investor Exit List'!$A348,Investors!$E:$E,'Investor Exit List'!$C348,Investors!$L:$L,'Investor Exit List'!$B348)+SUMIFS(Investors!$M:$M,Investors!$I:$I,"&lt;="&amp;'NSST Print'!$B$3,Investors!$J:$J,"",Investors!$A:$A,'Investor Exit List'!$A348,Investors!$E:$E,'Investor Exit List'!$C348,Investors!$L:$L,'Investor Exit List'!$B348))+SUMIFS(Investors!$S:$S,Investors!$O:$O,FALSE,Investors!$P:$P,FALSE,Investors!$K:$K,"&gt;"&amp;'NSST Print'!$B$3,Investors!$I:$I,"&lt;="&amp;'NSST Print'!$B$3,Investors!$A:$A,'Investor Exit List'!$A348,Investors!$E:$E,'Investor Exit List'!$C348,Investors!$L:$L,'Investor Exit List'!$B348)-(SUMIFS(Investors!$S:$S,Investors!$I:$I,"&lt;="&amp;'NSST Print'!$B$3,Investors!$J:$J,"&gt;"&amp;'NSST Print'!$B$3,Investors!$A:$A,'Investor Exit List'!$A348,Investors!$E:$E,'Investor Exit List'!$C348,Investors!$L:$L,'Investor Exit List'!$B348)+SUMIFS(Investors!$S:$S,Investors!$I:$I,"&lt;="&amp;'NSST Print'!$B$3,Investors!$J:$J,"",Investors!$A:$A,'Investor Exit List'!$A348,Investors!$E:$E,'Investor Exit List'!$C348,Investors!$L:$L,'Investor Exit List'!$B348))</f>
        <v>690253.42465753434</v>
      </c>
      <c r="R348" s="117">
        <f t="shared" si="65"/>
        <v>0</v>
      </c>
      <c r="S348" s="117">
        <f>SUMIFS(Investors!$M:$M,Investors!$O:$O,TRUE,Investors!$A:$A,'Investor Exit List'!$A348,Investors!$E:$E,'Investor Exit List'!$C348,Investors!$L:$L,'Investor Exit List'!$B348)+SUMIFS(Investors!$S:$S,Investors!$O:$O,TRUE,Investors!$A:$A,'Investor Exit List'!$A348,Investors!$E:$E,'Investor Exit List'!$C348,Investors!$L:$L,'Investor Exit List'!$B348)</f>
        <v>0</v>
      </c>
      <c r="T348" s="118" t="str">
        <f t="shared" si="66"/>
        <v/>
      </c>
      <c r="U348" s="116" t="b">
        <v>0</v>
      </c>
      <c r="V348" s="117">
        <f t="shared" si="67"/>
        <v>0</v>
      </c>
      <c r="W348" s="116">
        <v>0</v>
      </c>
      <c r="X348" s="116" t="b">
        <v>0</v>
      </c>
      <c r="Y348" s="119">
        <f>IF(H348=FALSE,VLOOKUP($C348,Sales!$C:$F,4,FALSE),1)</f>
        <v>0</v>
      </c>
      <c r="Z348" s="116" t="str">
        <f t="shared" si="68"/>
        <v>Release</v>
      </c>
      <c r="AA348" s="118">
        <f t="shared" si="69"/>
        <v>45528</v>
      </c>
      <c r="AB348" s="118" t="str">
        <f t="shared" si="70"/>
        <v>HVJ302-ZMAN02</v>
      </c>
      <c r="AC348" s="118">
        <f t="shared" si="71"/>
        <v>45541</v>
      </c>
    </row>
    <row r="349" spans="1:29" ht="16" x14ac:dyDescent="0.2">
      <c r="A349" s="116" t="s">
        <v>736</v>
      </c>
      <c r="B349" s="116">
        <v>1</v>
      </c>
      <c r="C349" s="116" t="s">
        <v>735</v>
      </c>
      <c r="D349" s="116" t="s">
        <v>711</v>
      </c>
      <c r="E349" s="116" t="s">
        <v>2203</v>
      </c>
      <c r="F349" s="117">
        <f>SUMIFS(Investors!$M:$M,Investors!$O:$O,FALSE,Investors!$P:$P,FALSE,Investors!$K:$K,"&gt;"&amp;'NSST Print'!$B$3,Investors!$I:$I,"&lt;="&amp;'NSST Print'!$B$3,Investors!$A:$A,'Investor Exit List'!$A349,Investors!$E:$E,'Investor Exit List'!$C349,Investors!$L:$L,'Investor Exit List'!$B349)-(SUMIFS(Investors!$M:$M,Investors!$I:$I,"&lt;="&amp;'NSST Print'!$B$3,Investors!$J:$J,"&gt;"&amp;'NSST Print'!$B$3,Investors!$A:$A,'Investor Exit List'!$A349,Investors!$E:$E,'Investor Exit List'!$C349,Investors!$L:$L,'Investor Exit List'!$B349)+SUMIFS(Investors!$M:$M,Investors!$I:$I,"&lt;="&amp;'NSST Print'!$B$3,Investors!$J:$J,"",Investors!$A:$A,'Investor Exit List'!$A349,Investors!$E:$E,'Investor Exit List'!$C349,Investors!$L:$L,'Investor Exit List'!$B349))</f>
        <v>500000</v>
      </c>
      <c r="G349" s="118">
        <v>44798</v>
      </c>
      <c r="H349" s="116" t="b">
        <f>VLOOKUP($C349,Sales!$C:$E,2,FALSE)</f>
        <v>0</v>
      </c>
      <c r="I349" s="116" t="b">
        <f>VLOOKUP($C349,Sales!$C:$E,3,FALSE)</f>
        <v>0</v>
      </c>
      <c r="J349" s="118">
        <f>SUMIFS(Sales!$H:$H,Sales!$C:$C,'Investor Exit List'!$C349)</f>
        <v>45552</v>
      </c>
      <c r="K349" s="118" t="str">
        <f t="shared" si="60"/>
        <v/>
      </c>
      <c r="L349" s="118">
        <f t="shared" si="61"/>
        <v>45528</v>
      </c>
      <c r="M349" s="118">
        <v>45443</v>
      </c>
      <c r="N349" s="119">
        <f t="shared" si="62"/>
        <v>85</v>
      </c>
      <c r="O349" s="119">
        <f t="shared" si="63"/>
        <v>85</v>
      </c>
      <c r="P349" s="117">
        <f t="shared" si="64"/>
        <v>692811.64383561641</v>
      </c>
      <c r="Q349" s="117">
        <f>SUMIFS(Investors!$M:$M,Investors!$O:$O,FALSE,Investors!$P:$P,FALSE,Investors!$K:$K,"&gt;"&amp;'NSST Print'!$B$3,Investors!$I:$I,"&lt;="&amp;'NSST Print'!$B$3,Investors!$A:$A,'Investor Exit List'!$A349,Investors!$E:$E,'Investor Exit List'!$C349,Investors!$L:$L,'Investor Exit List'!$B349)-(SUMIFS(Investors!$M:$M,Investors!$I:$I,"&lt;="&amp;'NSST Print'!$B$3,Investors!$J:$J,"&gt;"&amp;'NSST Print'!$B$3,Investors!$A:$A,'Investor Exit List'!$A349,Investors!$E:$E,'Investor Exit List'!$C349,Investors!$L:$L,'Investor Exit List'!$B349)+SUMIFS(Investors!$M:$M,Investors!$I:$I,"&lt;="&amp;'NSST Print'!$B$3,Investors!$J:$J,"",Investors!$A:$A,'Investor Exit List'!$A349,Investors!$E:$E,'Investor Exit List'!$C349,Investors!$L:$L,'Investor Exit List'!$B349))+SUMIFS(Investors!$S:$S,Investors!$O:$O,FALSE,Investors!$P:$P,FALSE,Investors!$K:$K,"&gt;"&amp;'NSST Print'!$B$3,Investors!$I:$I,"&lt;="&amp;'NSST Print'!$B$3,Investors!$A:$A,'Investor Exit List'!$A349,Investors!$E:$E,'Investor Exit List'!$C349,Investors!$L:$L,'Investor Exit List'!$B349)-(SUMIFS(Investors!$S:$S,Investors!$I:$I,"&lt;="&amp;'NSST Print'!$B$3,Investors!$J:$J,"&gt;"&amp;'NSST Print'!$B$3,Investors!$A:$A,'Investor Exit List'!$A349,Investors!$E:$E,'Investor Exit List'!$C349,Investors!$L:$L,'Investor Exit List'!$B349)+SUMIFS(Investors!$S:$S,Investors!$I:$I,"&lt;="&amp;'NSST Print'!$B$3,Investors!$J:$J,"",Investors!$A:$A,'Investor Exit List'!$A349,Investors!$E:$E,'Investor Exit List'!$C349,Investors!$L:$L,'Investor Exit List'!$B349))</f>
        <v>692811.64383561641</v>
      </c>
      <c r="R349" s="117">
        <f t="shared" si="65"/>
        <v>0</v>
      </c>
      <c r="S349" s="117">
        <f>SUMIFS(Investors!$M:$M,Investors!$O:$O,TRUE,Investors!$A:$A,'Investor Exit List'!$A349,Investors!$E:$E,'Investor Exit List'!$C349,Investors!$L:$L,'Investor Exit List'!$B349)+SUMIFS(Investors!$S:$S,Investors!$O:$O,TRUE,Investors!$A:$A,'Investor Exit List'!$A349,Investors!$E:$E,'Investor Exit List'!$C349,Investors!$L:$L,'Investor Exit List'!$B349)</f>
        <v>0</v>
      </c>
      <c r="T349" s="118" t="str">
        <f t="shared" si="66"/>
        <v/>
      </c>
      <c r="U349" s="116" t="b">
        <v>0</v>
      </c>
      <c r="V349" s="117">
        <f t="shared" si="67"/>
        <v>0</v>
      </c>
      <c r="W349" s="116">
        <v>0</v>
      </c>
      <c r="X349" s="116" t="b">
        <v>0</v>
      </c>
      <c r="Y349" s="119">
        <f>IF(H349=FALSE,VLOOKUP($C349,Sales!$C:$F,4,FALSE),1)</f>
        <v>0</v>
      </c>
      <c r="Z349" s="116" t="str">
        <f t="shared" si="68"/>
        <v>Release</v>
      </c>
      <c r="AA349" s="118">
        <f t="shared" si="69"/>
        <v>45528</v>
      </c>
      <c r="AB349" s="118" t="str">
        <f t="shared" si="70"/>
        <v>HVJ302-ZVER04</v>
      </c>
      <c r="AC349" s="118">
        <f t="shared" si="71"/>
        <v>45528</v>
      </c>
    </row>
    <row r="350" spans="1:29" ht="16" x14ac:dyDescent="0.2">
      <c r="A350" s="116" t="s">
        <v>554</v>
      </c>
      <c r="B350" s="116">
        <v>3</v>
      </c>
      <c r="C350" s="116" t="s">
        <v>739</v>
      </c>
      <c r="D350" s="116" t="s">
        <v>711</v>
      </c>
      <c r="E350" s="116" t="s">
        <v>2163</v>
      </c>
      <c r="F350" s="117">
        <f>SUMIFS(Investors!$M:$M,Investors!$O:$O,FALSE,Investors!$P:$P,FALSE,Investors!$K:$K,"&gt;"&amp;'NSST Print'!$B$3,Investors!$I:$I,"&lt;="&amp;'NSST Print'!$B$3,Investors!$A:$A,'Investor Exit List'!$A350,Investors!$E:$E,'Investor Exit List'!$C350,Investors!$L:$L,'Investor Exit List'!$B350)-(SUMIFS(Investors!$M:$M,Investors!$I:$I,"&lt;="&amp;'NSST Print'!$B$3,Investors!$J:$J,"&gt;"&amp;'NSST Print'!$B$3,Investors!$A:$A,'Investor Exit List'!$A350,Investors!$E:$E,'Investor Exit List'!$C350,Investors!$L:$L,'Investor Exit List'!$B350)+SUMIFS(Investors!$M:$M,Investors!$I:$I,"&lt;="&amp;'NSST Print'!$B$3,Investors!$J:$J,"",Investors!$A:$A,'Investor Exit List'!$A350,Investors!$E:$E,'Investor Exit List'!$C350,Investors!$L:$L,'Investor Exit List'!$B350))</f>
        <v>0</v>
      </c>
      <c r="G350" s="118">
        <v>45450</v>
      </c>
      <c r="H350" s="116" t="b">
        <f>VLOOKUP($C350,Sales!$C:$E,2,FALSE)</f>
        <v>0</v>
      </c>
      <c r="I350" s="116" t="b">
        <f>VLOOKUP($C350,Sales!$C:$E,3,FALSE)</f>
        <v>0</v>
      </c>
      <c r="J350" s="118">
        <f>SUMIFS(Sales!$H:$H,Sales!$C:$C,'Investor Exit List'!$C350)</f>
        <v>45552</v>
      </c>
      <c r="K350" s="118" t="str">
        <f t="shared" si="60"/>
        <v/>
      </c>
      <c r="L350" s="118">
        <f t="shared" si="61"/>
        <v>46180</v>
      </c>
      <c r="M350" s="118">
        <v>45443</v>
      </c>
      <c r="N350" s="119">
        <f t="shared" si="62"/>
        <v>737</v>
      </c>
      <c r="O350" s="119">
        <f t="shared" si="63"/>
        <v>0</v>
      </c>
      <c r="P350" s="117">
        <f t="shared" si="64"/>
        <v>0</v>
      </c>
      <c r="Q350" s="117">
        <f>SUMIFS(Investors!$M:$M,Investors!$O:$O,FALSE,Investors!$P:$P,FALSE,Investors!$K:$K,"&gt;"&amp;'NSST Print'!$B$3,Investors!$I:$I,"&lt;="&amp;'NSST Print'!$B$3,Investors!$A:$A,'Investor Exit List'!$A350,Investors!$E:$E,'Investor Exit List'!$C350,Investors!$L:$L,'Investor Exit List'!$B350)-(SUMIFS(Investors!$M:$M,Investors!$I:$I,"&lt;="&amp;'NSST Print'!$B$3,Investors!$J:$J,"&gt;"&amp;'NSST Print'!$B$3,Investors!$A:$A,'Investor Exit List'!$A350,Investors!$E:$E,'Investor Exit List'!$C350,Investors!$L:$L,'Investor Exit List'!$B350)+SUMIFS(Investors!$M:$M,Investors!$I:$I,"&lt;="&amp;'NSST Print'!$B$3,Investors!$J:$J,"",Investors!$A:$A,'Investor Exit List'!$A350,Investors!$E:$E,'Investor Exit List'!$C350,Investors!$L:$L,'Investor Exit List'!$B350))+SUMIFS(Investors!$S:$S,Investors!$O:$O,FALSE,Investors!$P:$P,FALSE,Investors!$K:$K,"&gt;"&amp;'NSST Print'!$B$3,Investors!$I:$I,"&lt;="&amp;'NSST Print'!$B$3,Investors!$A:$A,'Investor Exit List'!$A350,Investors!$E:$E,'Investor Exit List'!$C350,Investors!$L:$L,'Investor Exit List'!$B350)-(SUMIFS(Investors!$S:$S,Investors!$I:$I,"&lt;="&amp;'NSST Print'!$B$3,Investors!$J:$J,"&gt;"&amp;'NSST Print'!$B$3,Investors!$A:$A,'Investor Exit List'!$A350,Investors!$E:$E,'Investor Exit List'!$C350,Investors!$L:$L,'Investor Exit List'!$B350)+SUMIFS(Investors!$S:$S,Investors!$I:$I,"&lt;="&amp;'NSST Print'!$B$3,Investors!$J:$J,"",Investors!$A:$A,'Investor Exit List'!$A350,Investors!$E:$E,'Investor Exit List'!$C350,Investors!$L:$L,'Investor Exit List'!$B350))</f>
        <v>0</v>
      </c>
      <c r="R350" s="117">
        <f t="shared" si="65"/>
        <v>0</v>
      </c>
      <c r="S350" s="117">
        <f>SUMIFS(Investors!$M:$M,Investors!$O:$O,TRUE,Investors!$A:$A,'Investor Exit List'!$A350,Investors!$E:$E,'Investor Exit List'!$C350,Investors!$L:$L,'Investor Exit List'!$B350)+SUMIFS(Investors!$S:$S,Investors!$O:$O,TRUE,Investors!$A:$A,'Investor Exit List'!$A350,Investors!$E:$E,'Investor Exit List'!$C350,Investors!$L:$L,'Investor Exit List'!$B350)</f>
        <v>0</v>
      </c>
      <c r="T350" s="118" t="str">
        <f t="shared" si="66"/>
        <v/>
      </c>
      <c r="U350" s="116" t="b">
        <v>0</v>
      </c>
      <c r="V350" s="117">
        <f t="shared" si="67"/>
        <v>0</v>
      </c>
      <c r="W350" s="116">
        <v>0</v>
      </c>
      <c r="X350" s="116" t="b">
        <v>0</v>
      </c>
      <c r="Y350" s="119">
        <f>IF(H350=FALSE,VLOOKUP($C350,Sales!$C:$F,4,FALSE),1)</f>
        <v>0</v>
      </c>
      <c r="Z350" s="116" t="str">
        <f t="shared" si="68"/>
        <v>Release</v>
      </c>
      <c r="AA350" s="118">
        <f t="shared" si="69"/>
        <v>0</v>
      </c>
      <c r="AB350" s="118" t="str">
        <f t="shared" si="70"/>
        <v>HVJ303-ZHAY01</v>
      </c>
      <c r="AC350" s="118">
        <f t="shared" si="71"/>
        <v>46180</v>
      </c>
    </row>
    <row r="351" spans="1:29" ht="16" x14ac:dyDescent="0.2">
      <c r="A351" s="116" t="s">
        <v>240</v>
      </c>
      <c r="B351" s="116">
        <v>10</v>
      </c>
      <c r="C351" s="116" t="s">
        <v>739</v>
      </c>
      <c r="D351" s="116" t="s">
        <v>711</v>
      </c>
      <c r="E351" s="116" t="s">
        <v>2075</v>
      </c>
      <c r="F351" s="117">
        <f>SUMIFS(Investors!$M:$M,Investors!$O:$O,FALSE,Investors!$P:$P,FALSE,Investors!$K:$K,"&gt;"&amp;'NSST Print'!$B$3,Investors!$I:$I,"&lt;="&amp;'NSST Print'!$B$3,Investors!$A:$A,'Investor Exit List'!$A351,Investors!$E:$E,'Investor Exit List'!$C351,Investors!$L:$L,'Investor Exit List'!$B351)-(SUMIFS(Investors!$M:$M,Investors!$I:$I,"&lt;="&amp;'NSST Print'!$B$3,Investors!$J:$J,"&gt;"&amp;'NSST Print'!$B$3,Investors!$A:$A,'Investor Exit List'!$A351,Investors!$E:$E,'Investor Exit List'!$C351,Investors!$L:$L,'Investor Exit List'!$B351)+SUMIFS(Investors!$M:$M,Investors!$I:$I,"&lt;="&amp;'NSST Print'!$B$3,Investors!$J:$J,"",Investors!$A:$A,'Investor Exit List'!$A351,Investors!$E:$E,'Investor Exit List'!$C351,Investors!$L:$L,'Investor Exit List'!$B351))</f>
        <v>0</v>
      </c>
      <c r="G351" s="118">
        <v>45450</v>
      </c>
      <c r="H351" s="116" t="b">
        <f>VLOOKUP($C351,Sales!$C:$E,2,FALSE)</f>
        <v>0</v>
      </c>
      <c r="I351" s="116" t="b">
        <f>VLOOKUP($C351,Sales!$C:$E,3,FALSE)</f>
        <v>0</v>
      </c>
      <c r="J351" s="118">
        <f>SUMIFS(Sales!$H:$H,Sales!$C:$C,'Investor Exit List'!$C351)</f>
        <v>45552</v>
      </c>
      <c r="K351" s="118" t="str">
        <f t="shared" si="60"/>
        <v/>
      </c>
      <c r="L351" s="118">
        <f t="shared" si="61"/>
        <v>46180</v>
      </c>
      <c r="M351" s="118">
        <v>45443</v>
      </c>
      <c r="N351" s="119">
        <f t="shared" si="62"/>
        <v>737</v>
      </c>
      <c r="O351" s="119">
        <f t="shared" si="63"/>
        <v>0</v>
      </c>
      <c r="P351" s="117">
        <f t="shared" si="64"/>
        <v>0</v>
      </c>
      <c r="Q351" s="117">
        <f>SUMIFS(Investors!$M:$M,Investors!$O:$O,FALSE,Investors!$P:$P,FALSE,Investors!$K:$K,"&gt;"&amp;'NSST Print'!$B$3,Investors!$I:$I,"&lt;="&amp;'NSST Print'!$B$3,Investors!$A:$A,'Investor Exit List'!$A351,Investors!$E:$E,'Investor Exit List'!$C351,Investors!$L:$L,'Investor Exit List'!$B351)-(SUMIFS(Investors!$M:$M,Investors!$I:$I,"&lt;="&amp;'NSST Print'!$B$3,Investors!$J:$J,"&gt;"&amp;'NSST Print'!$B$3,Investors!$A:$A,'Investor Exit List'!$A351,Investors!$E:$E,'Investor Exit List'!$C351,Investors!$L:$L,'Investor Exit List'!$B351)+SUMIFS(Investors!$M:$M,Investors!$I:$I,"&lt;="&amp;'NSST Print'!$B$3,Investors!$J:$J,"",Investors!$A:$A,'Investor Exit List'!$A351,Investors!$E:$E,'Investor Exit List'!$C351,Investors!$L:$L,'Investor Exit List'!$B351))+SUMIFS(Investors!$S:$S,Investors!$O:$O,FALSE,Investors!$P:$P,FALSE,Investors!$K:$K,"&gt;"&amp;'NSST Print'!$B$3,Investors!$I:$I,"&lt;="&amp;'NSST Print'!$B$3,Investors!$A:$A,'Investor Exit List'!$A351,Investors!$E:$E,'Investor Exit List'!$C351,Investors!$L:$L,'Investor Exit List'!$B351)-(SUMIFS(Investors!$S:$S,Investors!$I:$I,"&lt;="&amp;'NSST Print'!$B$3,Investors!$J:$J,"&gt;"&amp;'NSST Print'!$B$3,Investors!$A:$A,'Investor Exit List'!$A351,Investors!$E:$E,'Investor Exit List'!$C351,Investors!$L:$L,'Investor Exit List'!$B351)+SUMIFS(Investors!$S:$S,Investors!$I:$I,"&lt;="&amp;'NSST Print'!$B$3,Investors!$J:$J,"",Investors!$A:$A,'Investor Exit List'!$A351,Investors!$E:$E,'Investor Exit List'!$C351,Investors!$L:$L,'Investor Exit List'!$B351))</f>
        <v>0</v>
      </c>
      <c r="R351" s="117">
        <f t="shared" si="65"/>
        <v>0</v>
      </c>
      <c r="S351" s="117">
        <f>SUMIFS(Investors!$M:$M,Investors!$O:$O,TRUE,Investors!$A:$A,'Investor Exit List'!$A351,Investors!$E:$E,'Investor Exit List'!$C351,Investors!$L:$L,'Investor Exit List'!$B351)+SUMIFS(Investors!$S:$S,Investors!$O:$O,TRUE,Investors!$A:$A,'Investor Exit List'!$A351,Investors!$E:$E,'Investor Exit List'!$C351,Investors!$L:$L,'Investor Exit List'!$B351)</f>
        <v>0</v>
      </c>
      <c r="T351" s="118" t="str">
        <f t="shared" si="66"/>
        <v/>
      </c>
      <c r="U351" s="116" t="b">
        <v>0</v>
      </c>
      <c r="V351" s="117">
        <f t="shared" si="67"/>
        <v>0</v>
      </c>
      <c r="W351" s="116">
        <v>0</v>
      </c>
      <c r="X351" s="116" t="b">
        <v>0</v>
      </c>
      <c r="Y351" s="119">
        <f>IF(H351=FALSE,VLOOKUP($C351,Sales!$C:$F,4,FALSE),1)</f>
        <v>0</v>
      </c>
      <c r="Z351" s="116" t="str">
        <f t="shared" si="68"/>
        <v>Release</v>
      </c>
      <c r="AA351" s="118">
        <f t="shared" si="69"/>
        <v>0</v>
      </c>
      <c r="AB351" s="118" t="str">
        <f t="shared" si="70"/>
        <v>HVJ303-ZKRU01</v>
      </c>
      <c r="AC351" s="118">
        <f t="shared" si="71"/>
        <v>46180</v>
      </c>
    </row>
    <row r="352" spans="1:29" ht="16" x14ac:dyDescent="0.2">
      <c r="A352" s="116" t="s">
        <v>559</v>
      </c>
      <c r="B352" s="116">
        <v>4</v>
      </c>
      <c r="C352" s="116" t="s">
        <v>739</v>
      </c>
      <c r="D352" s="116" t="s">
        <v>711</v>
      </c>
      <c r="E352" s="116" t="s">
        <v>2164</v>
      </c>
      <c r="F352" s="117">
        <f>SUMIFS(Investors!$M:$M,Investors!$O:$O,FALSE,Investors!$P:$P,FALSE,Investors!$K:$K,"&gt;"&amp;'NSST Print'!$B$3,Investors!$I:$I,"&lt;="&amp;'NSST Print'!$B$3,Investors!$A:$A,'Investor Exit List'!$A352,Investors!$E:$E,'Investor Exit List'!$C352,Investors!$L:$L,'Investor Exit List'!$B352)-(SUMIFS(Investors!$M:$M,Investors!$I:$I,"&lt;="&amp;'NSST Print'!$B$3,Investors!$J:$J,"&gt;"&amp;'NSST Print'!$B$3,Investors!$A:$A,'Investor Exit List'!$A352,Investors!$E:$E,'Investor Exit List'!$C352,Investors!$L:$L,'Investor Exit List'!$B352)+SUMIFS(Investors!$M:$M,Investors!$I:$I,"&lt;="&amp;'NSST Print'!$B$3,Investors!$J:$J,"",Investors!$A:$A,'Investor Exit List'!$A352,Investors!$E:$E,'Investor Exit List'!$C352,Investors!$L:$L,'Investor Exit List'!$B352))</f>
        <v>0</v>
      </c>
      <c r="G352" s="118">
        <v>45450</v>
      </c>
      <c r="H352" s="116" t="b">
        <f>VLOOKUP($C352,Sales!$C:$E,2,FALSE)</f>
        <v>0</v>
      </c>
      <c r="I352" s="116" t="b">
        <f>VLOOKUP($C352,Sales!$C:$E,3,FALSE)</f>
        <v>0</v>
      </c>
      <c r="J352" s="118">
        <f>SUMIFS(Sales!$H:$H,Sales!$C:$C,'Investor Exit List'!$C352)</f>
        <v>45552</v>
      </c>
      <c r="K352" s="118" t="str">
        <f t="shared" si="60"/>
        <v/>
      </c>
      <c r="L352" s="118">
        <f t="shared" si="61"/>
        <v>46180</v>
      </c>
      <c r="M352" s="118">
        <v>45443</v>
      </c>
      <c r="N352" s="119">
        <f t="shared" si="62"/>
        <v>737</v>
      </c>
      <c r="O352" s="119">
        <f t="shared" si="63"/>
        <v>0</v>
      </c>
      <c r="P352" s="117">
        <f t="shared" si="64"/>
        <v>0</v>
      </c>
      <c r="Q352" s="117">
        <f>SUMIFS(Investors!$M:$M,Investors!$O:$O,FALSE,Investors!$P:$P,FALSE,Investors!$K:$K,"&gt;"&amp;'NSST Print'!$B$3,Investors!$I:$I,"&lt;="&amp;'NSST Print'!$B$3,Investors!$A:$A,'Investor Exit List'!$A352,Investors!$E:$E,'Investor Exit List'!$C352,Investors!$L:$L,'Investor Exit List'!$B352)-(SUMIFS(Investors!$M:$M,Investors!$I:$I,"&lt;="&amp;'NSST Print'!$B$3,Investors!$J:$J,"&gt;"&amp;'NSST Print'!$B$3,Investors!$A:$A,'Investor Exit List'!$A352,Investors!$E:$E,'Investor Exit List'!$C352,Investors!$L:$L,'Investor Exit List'!$B352)+SUMIFS(Investors!$M:$M,Investors!$I:$I,"&lt;="&amp;'NSST Print'!$B$3,Investors!$J:$J,"",Investors!$A:$A,'Investor Exit List'!$A352,Investors!$E:$E,'Investor Exit List'!$C352,Investors!$L:$L,'Investor Exit List'!$B352))+SUMIFS(Investors!$S:$S,Investors!$O:$O,FALSE,Investors!$P:$P,FALSE,Investors!$K:$K,"&gt;"&amp;'NSST Print'!$B$3,Investors!$I:$I,"&lt;="&amp;'NSST Print'!$B$3,Investors!$A:$A,'Investor Exit List'!$A352,Investors!$E:$E,'Investor Exit List'!$C352,Investors!$L:$L,'Investor Exit List'!$B352)-(SUMIFS(Investors!$S:$S,Investors!$I:$I,"&lt;="&amp;'NSST Print'!$B$3,Investors!$J:$J,"&gt;"&amp;'NSST Print'!$B$3,Investors!$A:$A,'Investor Exit List'!$A352,Investors!$E:$E,'Investor Exit List'!$C352,Investors!$L:$L,'Investor Exit List'!$B352)+SUMIFS(Investors!$S:$S,Investors!$I:$I,"&lt;="&amp;'NSST Print'!$B$3,Investors!$J:$J,"",Investors!$A:$A,'Investor Exit List'!$A352,Investors!$E:$E,'Investor Exit List'!$C352,Investors!$L:$L,'Investor Exit List'!$B352))</f>
        <v>0</v>
      </c>
      <c r="R352" s="117">
        <f t="shared" si="65"/>
        <v>0</v>
      </c>
      <c r="S352" s="117">
        <f>SUMIFS(Investors!$M:$M,Investors!$O:$O,TRUE,Investors!$A:$A,'Investor Exit List'!$A352,Investors!$E:$E,'Investor Exit List'!$C352,Investors!$L:$L,'Investor Exit List'!$B352)+SUMIFS(Investors!$S:$S,Investors!$O:$O,TRUE,Investors!$A:$A,'Investor Exit List'!$A352,Investors!$E:$E,'Investor Exit List'!$C352,Investors!$L:$L,'Investor Exit List'!$B352)</f>
        <v>0</v>
      </c>
      <c r="T352" s="118" t="str">
        <f t="shared" si="66"/>
        <v/>
      </c>
      <c r="U352" s="116" t="b">
        <v>0</v>
      </c>
      <c r="V352" s="117">
        <f t="shared" si="67"/>
        <v>0</v>
      </c>
      <c r="W352" s="116">
        <v>0</v>
      </c>
      <c r="X352" s="116" t="b">
        <v>0</v>
      </c>
      <c r="Y352" s="119">
        <f>IF(H352=FALSE,VLOOKUP($C352,Sales!$C:$F,4,FALSE),1)</f>
        <v>0</v>
      </c>
      <c r="Z352" s="116" t="str">
        <f t="shared" si="68"/>
        <v>Release</v>
      </c>
      <c r="AA352" s="118">
        <f t="shared" si="69"/>
        <v>0</v>
      </c>
      <c r="AB352" s="118" t="str">
        <f t="shared" si="70"/>
        <v>HVJ303-ZPLA01</v>
      </c>
      <c r="AC352" s="118">
        <f t="shared" si="71"/>
        <v>46180</v>
      </c>
    </row>
    <row r="353" spans="1:29" ht="16" x14ac:dyDescent="0.2">
      <c r="A353" s="116" t="s">
        <v>736</v>
      </c>
      <c r="B353" s="116">
        <v>2</v>
      </c>
      <c r="C353" s="116" t="s">
        <v>739</v>
      </c>
      <c r="D353" s="116" t="s">
        <v>711</v>
      </c>
      <c r="E353" s="116" t="s">
        <v>2203</v>
      </c>
      <c r="F353" s="117">
        <f>SUMIFS(Investors!$M:$M,Investors!$O:$O,FALSE,Investors!$P:$P,FALSE,Investors!$K:$K,"&gt;"&amp;'NSST Print'!$B$3,Investors!$I:$I,"&lt;="&amp;'NSST Print'!$B$3,Investors!$A:$A,'Investor Exit List'!$A353,Investors!$E:$E,'Investor Exit List'!$C353,Investors!$L:$L,'Investor Exit List'!$B353)-(SUMIFS(Investors!$M:$M,Investors!$I:$I,"&lt;="&amp;'NSST Print'!$B$3,Investors!$J:$J,"&gt;"&amp;'NSST Print'!$B$3,Investors!$A:$A,'Investor Exit List'!$A353,Investors!$E:$E,'Investor Exit List'!$C353,Investors!$L:$L,'Investor Exit List'!$B353)+SUMIFS(Investors!$M:$M,Investors!$I:$I,"&lt;="&amp;'NSST Print'!$B$3,Investors!$J:$J,"",Investors!$A:$A,'Investor Exit List'!$A353,Investors!$E:$E,'Investor Exit List'!$C353,Investors!$L:$L,'Investor Exit List'!$B353))</f>
        <v>0</v>
      </c>
      <c r="G353" s="118">
        <v>44798</v>
      </c>
      <c r="H353" s="116" t="b">
        <f>VLOOKUP($C353,Sales!$C:$E,2,FALSE)</f>
        <v>0</v>
      </c>
      <c r="I353" s="116" t="b">
        <f>VLOOKUP($C353,Sales!$C:$E,3,FALSE)</f>
        <v>0</v>
      </c>
      <c r="J353" s="118">
        <f>SUMIFS(Sales!$H:$H,Sales!$C:$C,'Investor Exit List'!$C353)</f>
        <v>45552</v>
      </c>
      <c r="K353" s="118" t="str">
        <f t="shared" si="60"/>
        <v/>
      </c>
      <c r="L353" s="118">
        <f t="shared" si="61"/>
        <v>45528</v>
      </c>
      <c r="M353" s="118">
        <v>45443</v>
      </c>
      <c r="N353" s="119">
        <f t="shared" si="62"/>
        <v>0</v>
      </c>
      <c r="O353" s="119">
        <f t="shared" si="63"/>
        <v>0</v>
      </c>
      <c r="P353" s="117">
        <f t="shared" si="64"/>
        <v>0</v>
      </c>
      <c r="Q353" s="117">
        <f>SUMIFS(Investors!$M:$M,Investors!$O:$O,FALSE,Investors!$P:$P,FALSE,Investors!$K:$K,"&gt;"&amp;'NSST Print'!$B$3,Investors!$I:$I,"&lt;="&amp;'NSST Print'!$B$3,Investors!$A:$A,'Investor Exit List'!$A353,Investors!$E:$E,'Investor Exit List'!$C353,Investors!$L:$L,'Investor Exit List'!$B353)-(SUMIFS(Investors!$M:$M,Investors!$I:$I,"&lt;="&amp;'NSST Print'!$B$3,Investors!$J:$J,"&gt;"&amp;'NSST Print'!$B$3,Investors!$A:$A,'Investor Exit List'!$A353,Investors!$E:$E,'Investor Exit List'!$C353,Investors!$L:$L,'Investor Exit List'!$B353)+SUMIFS(Investors!$M:$M,Investors!$I:$I,"&lt;="&amp;'NSST Print'!$B$3,Investors!$J:$J,"",Investors!$A:$A,'Investor Exit List'!$A353,Investors!$E:$E,'Investor Exit List'!$C353,Investors!$L:$L,'Investor Exit List'!$B353))+SUMIFS(Investors!$S:$S,Investors!$O:$O,FALSE,Investors!$P:$P,FALSE,Investors!$K:$K,"&gt;"&amp;'NSST Print'!$B$3,Investors!$I:$I,"&lt;="&amp;'NSST Print'!$B$3,Investors!$A:$A,'Investor Exit List'!$A353,Investors!$E:$E,'Investor Exit List'!$C353,Investors!$L:$L,'Investor Exit List'!$B353)-(SUMIFS(Investors!$S:$S,Investors!$I:$I,"&lt;="&amp;'NSST Print'!$B$3,Investors!$J:$J,"&gt;"&amp;'NSST Print'!$B$3,Investors!$A:$A,'Investor Exit List'!$A353,Investors!$E:$E,'Investor Exit List'!$C353,Investors!$L:$L,'Investor Exit List'!$B353)+SUMIFS(Investors!$S:$S,Investors!$I:$I,"&lt;="&amp;'NSST Print'!$B$3,Investors!$J:$J,"",Investors!$A:$A,'Investor Exit List'!$A353,Investors!$E:$E,'Investor Exit List'!$C353,Investors!$L:$L,'Investor Exit List'!$B353))</f>
        <v>0</v>
      </c>
      <c r="R353" s="117">
        <f t="shared" si="65"/>
        <v>0</v>
      </c>
      <c r="S353" s="117">
        <f>SUMIFS(Investors!$M:$M,Investors!$O:$O,TRUE,Investors!$A:$A,'Investor Exit List'!$A353,Investors!$E:$E,'Investor Exit List'!$C353,Investors!$L:$L,'Investor Exit List'!$B353)+SUMIFS(Investors!$S:$S,Investors!$O:$O,TRUE,Investors!$A:$A,'Investor Exit List'!$A353,Investors!$E:$E,'Investor Exit List'!$C353,Investors!$L:$L,'Investor Exit List'!$B353)</f>
        <v>1327431.506849315</v>
      </c>
      <c r="T353" s="118">
        <f t="shared" si="66"/>
        <v>45552</v>
      </c>
      <c r="U353" s="116" t="b">
        <v>1</v>
      </c>
      <c r="V353" s="117">
        <f t="shared" si="67"/>
        <v>0</v>
      </c>
      <c r="W353" s="116">
        <v>0</v>
      </c>
      <c r="X353" s="116" t="b">
        <v>0</v>
      </c>
      <c r="Y353" s="119">
        <f>IF(H353=FALSE,VLOOKUP($C353,Sales!$C:$F,4,FALSE),1)</f>
        <v>0</v>
      </c>
      <c r="Z353" s="116" t="str">
        <f t="shared" si="68"/>
        <v>Release</v>
      </c>
      <c r="AA353" s="118">
        <f t="shared" si="69"/>
        <v>0</v>
      </c>
      <c r="AB353" s="118" t="str">
        <f t="shared" si="70"/>
        <v>HVJ303-ZVER04</v>
      </c>
      <c r="AC353" s="118">
        <f t="shared" si="71"/>
        <v>45528</v>
      </c>
    </row>
    <row r="354" spans="1:29" ht="16" x14ac:dyDescent="0.2">
      <c r="A354" s="116" t="s">
        <v>740</v>
      </c>
      <c r="B354" s="116">
        <v>1</v>
      </c>
      <c r="C354" s="116" t="s">
        <v>743</v>
      </c>
      <c r="D354" s="116" t="s">
        <v>711</v>
      </c>
      <c r="E354" s="116" t="s">
        <v>2204</v>
      </c>
      <c r="F354" s="117">
        <f>SUMIFS(Investors!$M:$M,Investors!$O:$O,FALSE,Investors!$P:$P,FALSE,Investors!$K:$K,"&gt;"&amp;'NSST Print'!$B$3,Investors!$I:$I,"&lt;="&amp;'NSST Print'!$B$3,Investors!$A:$A,'Investor Exit List'!$A354,Investors!$E:$E,'Investor Exit List'!$C354,Investors!$L:$L,'Investor Exit List'!$B354)-(SUMIFS(Investors!$M:$M,Investors!$I:$I,"&lt;="&amp;'NSST Print'!$B$3,Investors!$J:$J,"&gt;"&amp;'NSST Print'!$B$3,Investors!$A:$A,'Investor Exit List'!$A354,Investors!$E:$E,'Investor Exit List'!$C354,Investors!$L:$L,'Investor Exit List'!$B354)+SUMIFS(Investors!$M:$M,Investors!$I:$I,"&lt;="&amp;'NSST Print'!$B$3,Investors!$J:$J,"",Investors!$A:$A,'Investor Exit List'!$A354,Investors!$E:$E,'Investor Exit List'!$C354,Investors!$L:$L,'Investor Exit List'!$B354))</f>
        <v>1000000</v>
      </c>
      <c r="G354" s="118">
        <v>44811</v>
      </c>
      <c r="H354" s="116" t="b">
        <f>VLOOKUP($C354,Sales!$C:$E,2,FALSE)</f>
        <v>0</v>
      </c>
      <c r="I354" s="116" t="b">
        <f>VLOOKUP($C354,Sales!$C:$E,3,FALSE)</f>
        <v>0</v>
      </c>
      <c r="J354" s="118">
        <f>SUMIFS(Sales!$H:$H,Sales!$C:$C,'Investor Exit List'!$C354)</f>
        <v>45552</v>
      </c>
      <c r="K354" s="118" t="str">
        <f t="shared" si="60"/>
        <v/>
      </c>
      <c r="L354" s="118">
        <f t="shared" si="61"/>
        <v>45541</v>
      </c>
      <c r="M354" s="118">
        <v>45443</v>
      </c>
      <c r="N354" s="119">
        <f t="shared" si="62"/>
        <v>98</v>
      </c>
      <c r="O354" s="119">
        <f t="shared" si="63"/>
        <v>98</v>
      </c>
      <c r="P354" s="117">
        <f t="shared" si="64"/>
        <v>0</v>
      </c>
      <c r="Q354" s="117">
        <f>SUMIFS(Investors!$M:$M,Investors!$O:$O,FALSE,Investors!$P:$P,FALSE,Investors!$K:$K,"&gt;"&amp;'NSST Print'!$B$3,Investors!$I:$I,"&lt;="&amp;'NSST Print'!$B$3,Investors!$A:$A,'Investor Exit List'!$A354,Investors!$E:$E,'Investor Exit List'!$C354,Investors!$L:$L,'Investor Exit List'!$B354)-(SUMIFS(Investors!$M:$M,Investors!$I:$I,"&lt;="&amp;'NSST Print'!$B$3,Investors!$J:$J,"&gt;"&amp;'NSST Print'!$B$3,Investors!$A:$A,'Investor Exit List'!$A354,Investors!$E:$E,'Investor Exit List'!$C354,Investors!$L:$L,'Investor Exit List'!$B354)+SUMIFS(Investors!$M:$M,Investors!$I:$I,"&lt;="&amp;'NSST Print'!$B$3,Investors!$J:$J,"",Investors!$A:$A,'Investor Exit List'!$A354,Investors!$E:$E,'Investor Exit List'!$C354,Investors!$L:$L,'Investor Exit List'!$B354))+SUMIFS(Investors!$S:$S,Investors!$O:$O,FALSE,Investors!$P:$P,FALSE,Investors!$K:$K,"&gt;"&amp;'NSST Print'!$B$3,Investors!$I:$I,"&lt;="&amp;'NSST Print'!$B$3,Investors!$A:$A,'Investor Exit List'!$A354,Investors!$E:$E,'Investor Exit List'!$C354,Investors!$L:$L,'Investor Exit List'!$B354)-(SUMIFS(Investors!$S:$S,Investors!$I:$I,"&lt;="&amp;'NSST Print'!$B$3,Investors!$J:$J,"&gt;"&amp;'NSST Print'!$B$3,Investors!$A:$A,'Investor Exit List'!$A354,Investors!$E:$E,'Investor Exit List'!$C354,Investors!$L:$L,'Investor Exit List'!$B354)+SUMIFS(Investors!$S:$S,Investors!$I:$I,"&lt;="&amp;'NSST Print'!$B$3,Investors!$J:$J,"",Investors!$A:$A,'Investor Exit List'!$A354,Investors!$E:$E,'Investor Exit List'!$C354,Investors!$L:$L,'Investor Exit List'!$B354))</f>
        <v>1393616.4383561644</v>
      </c>
      <c r="R354" s="117">
        <f t="shared" si="65"/>
        <v>0</v>
      </c>
      <c r="S354" s="117">
        <f>SUMIFS(Investors!$M:$M,Investors!$O:$O,TRUE,Investors!$A:$A,'Investor Exit List'!$A354,Investors!$E:$E,'Investor Exit List'!$C354,Investors!$L:$L,'Investor Exit List'!$B354)+SUMIFS(Investors!$S:$S,Investors!$O:$O,TRUE,Investors!$A:$A,'Investor Exit List'!$A354,Investors!$E:$E,'Investor Exit List'!$C354,Investors!$L:$L,'Investor Exit List'!$B354)</f>
        <v>0</v>
      </c>
      <c r="T354" s="118" t="str">
        <f t="shared" si="66"/>
        <v/>
      </c>
      <c r="U354" s="116" t="b">
        <v>0</v>
      </c>
      <c r="V354" s="117">
        <f t="shared" si="67"/>
        <v>0</v>
      </c>
      <c r="W354" s="116">
        <v>0</v>
      </c>
      <c r="X354" s="116" t="b">
        <v>0</v>
      </c>
      <c r="Y354" s="119">
        <f>IF(H354=FALSE,VLOOKUP($C354,Sales!$C:$F,4,FALSE),1)</f>
        <v>0</v>
      </c>
      <c r="Z354" s="116" t="str">
        <f t="shared" si="68"/>
        <v>Release</v>
      </c>
      <c r="AA354" s="118">
        <f t="shared" si="69"/>
        <v>45541</v>
      </c>
      <c r="AB354" s="118" t="str">
        <f t="shared" si="70"/>
        <v>HVJ401-ZFOU02</v>
      </c>
      <c r="AC354" s="118">
        <f t="shared" si="71"/>
        <v>45541</v>
      </c>
    </row>
    <row r="355" spans="1:29" ht="16" x14ac:dyDescent="0.2">
      <c r="A355" s="116" t="s">
        <v>554</v>
      </c>
      <c r="B355" s="116">
        <v>4</v>
      </c>
      <c r="C355" s="116" t="s">
        <v>744</v>
      </c>
      <c r="D355" s="116" t="s">
        <v>711</v>
      </c>
      <c r="E355" s="116" t="s">
        <v>2163</v>
      </c>
      <c r="F355" s="117">
        <f>SUMIFS(Investors!$M:$M,Investors!$O:$O,FALSE,Investors!$P:$P,FALSE,Investors!$K:$K,"&gt;"&amp;'NSST Print'!$B$3,Investors!$I:$I,"&lt;="&amp;'NSST Print'!$B$3,Investors!$A:$A,'Investor Exit List'!$A355,Investors!$E:$E,'Investor Exit List'!$C355,Investors!$L:$L,'Investor Exit List'!$B355)-(SUMIFS(Investors!$M:$M,Investors!$I:$I,"&lt;="&amp;'NSST Print'!$B$3,Investors!$J:$J,"&gt;"&amp;'NSST Print'!$B$3,Investors!$A:$A,'Investor Exit List'!$A355,Investors!$E:$E,'Investor Exit List'!$C355,Investors!$L:$L,'Investor Exit List'!$B355)+SUMIFS(Investors!$M:$M,Investors!$I:$I,"&lt;="&amp;'NSST Print'!$B$3,Investors!$J:$J,"",Investors!$A:$A,'Investor Exit List'!$A355,Investors!$E:$E,'Investor Exit List'!$C355,Investors!$L:$L,'Investor Exit List'!$B355))</f>
        <v>0</v>
      </c>
      <c r="G355" s="118">
        <v>45450</v>
      </c>
      <c r="H355" s="116" t="b">
        <f>VLOOKUP($C355,Sales!$C:$E,2,FALSE)</f>
        <v>0</v>
      </c>
      <c r="I355" s="116" t="b">
        <f>VLOOKUP($C355,Sales!$C:$E,3,FALSE)</f>
        <v>0</v>
      </c>
      <c r="J355" s="118">
        <f>SUMIFS(Sales!$H:$H,Sales!$C:$C,'Investor Exit List'!$C355)</f>
        <v>45552</v>
      </c>
      <c r="K355" s="118" t="str">
        <f t="shared" si="60"/>
        <v/>
      </c>
      <c r="L355" s="118">
        <f t="shared" si="61"/>
        <v>46180</v>
      </c>
      <c r="M355" s="118">
        <v>45443</v>
      </c>
      <c r="N355" s="119">
        <f t="shared" si="62"/>
        <v>737</v>
      </c>
      <c r="O355" s="119">
        <f t="shared" si="63"/>
        <v>0</v>
      </c>
      <c r="P355" s="117">
        <f t="shared" si="64"/>
        <v>0</v>
      </c>
      <c r="Q355" s="117">
        <f>SUMIFS(Investors!$M:$M,Investors!$O:$O,FALSE,Investors!$P:$P,FALSE,Investors!$K:$K,"&gt;"&amp;'NSST Print'!$B$3,Investors!$I:$I,"&lt;="&amp;'NSST Print'!$B$3,Investors!$A:$A,'Investor Exit List'!$A355,Investors!$E:$E,'Investor Exit List'!$C355,Investors!$L:$L,'Investor Exit List'!$B355)-(SUMIFS(Investors!$M:$M,Investors!$I:$I,"&lt;="&amp;'NSST Print'!$B$3,Investors!$J:$J,"&gt;"&amp;'NSST Print'!$B$3,Investors!$A:$A,'Investor Exit List'!$A355,Investors!$E:$E,'Investor Exit List'!$C355,Investors!$L:$L,'Investor Exit List'!$B355)+SUMIFS(Investors!$M:$M,Investors!$I:$I,"&lt;="&amp;'NSST Print'!$B$3,Investors!$J:$J,"",Investors!$A:$A,'Investor Exit List'!$A355,Investors!$E:$E,'Investor Exit List'!$C355,Investors!$L:$L,'Investor Exit List'!$B355))+SUMIFS(Investors!$S:$S,Investors!$O:$O,FALSE,Investors!$P:$P,FALSE,Investors!$K:$K,"&gt;"&amp;'NSST Print'!$B$3,Investors!$I:$I,"&lt;="&amp;'NSST Print'!$B$3,Investors!$A:$A,'Investor Exit List'!$A355,Investors!$E:$E,'Investor Exit List'!$C355,Investors!$L:$L,'Investor Exit List'!$B355)-(SUMIFS(Investors!$S:$S,Investors!$I:$I,"&lt;="&amp;'NSST Print'!$B$3,Investors!$J:$J,"&gt;"&amp;'NSST Print'!$B$3,Investors!$A:$A,'Investor Exit List'!$A355,Investors!$E:$E,'Investor Exit List'!$C355,Investors!$L:$L,'Investor Exit List'!$B355)+SUMIFS(Investors!$S:$S,Investors!$I:$I,"&lt;="&amp;'NSST Print'!$B$3,Investors!$J:$J,"",Investors!$A:$A,'Investor Exit List'!$A355,Investors!$E:$E,'Investor Exit List'!$C355,Investors!$L:$L,'Investor Exit List'!$B355))</f>
        <v>0</v>
      </c>
      <c r="R355" s="117">
        <f t="shared" si="65"/>
        <v>0</v>
      </c>
      <c r="S355" s="117">
        <f>SUMIFS(Investors!$M:$M,Investors!$O:$O,TRUE,Investors!$A:$A,'Investor Exit List'!$A355,Investors!$E:$E,'Investor Exit List'!$C355,Investors!$L:$L,'Investor Exit List'!$B355)+SUMIFS(Investors!$S:$S,Investors!$O:$O,TRUE,Investors!$A:$A,'Investor Exit List'!$A355,Investors!$E:$E,'Investor Exit List'!$C355,Investors!$L:$L,'Investor Exit List'!$B355)</f>
        <v>0</v>
      </c>
      <c r="T355" s="118" t="str">
        <f t="shared" si="66"/>
        <v/>
      </c>
      <c r="U355" s="116" t="b">
        <v>0</v>
      </c>
      <c r="V355" s="117">
        <f t="shared" si="67"/>
        <v>0</v>
      </c>
      <c r="W355" s="116">
        <v>0</v>
      </c>
      <c r="X355" s="116" t="b">
        <v>0</v>
      </c>
      <c r="Y355" s="119">
        <f>IF(H355=FALSE,VLOOKUP($C355,Sales!$C:$F,4,FALSE),1)</f>
        <v>0</v>
      </c>
      <c r="Z355" s="116" t="str">
        <f t="shared" si="68"/>
        <v>Release</v>
      </c>
      <c r="AA355" s="118">
        <f t="shared" si="69"/>
        <v>0</v>
      </c>
      <c r="AB355" s="118" t="str">
        <f t="shared" si="70"/>
        <v>HVJ402-ZHAY01</v>
      </c>
      <c r="AC355" s="118">
        <f t="shared" si="71"/>
        <v>46180</v>
      </c>
    </row>
    <row r="356" spans="1:29" ht="16" x14ac:dyDescent="0.2">
      <c r="A356" s="116" t="s">
        <v>559</v>
      </c>
      <c r="B356" s="116">
        <v>5</v>
      </c>
      <c r="C356" s="116" t="s">
        <v>744</v>
      </c>
      <c r="D356" s="116" t="s">
        <v>711</v>
      </c>
      <c r="E356" s="116" t="s">
        <v>2164</v>
      </c>
      <c r="F356" s="117">
        <f>SUMIFS(Investors!$M:$M,Investors!$O:$O,FALSE,Investors!$P:$P,FALSE,Investors!$K:$K,"&gt;"&amp;'NSST Print'!$B$3,Investors!$I:$I,"&lt;="&amp;'NSST Print'!$B$3,Investors!$A:$A,'Investor Exit List'!$A356,Investors!$E:$E,'Investor Exit List'!$C356,Investors!$L:$L,'Investor Exit List'!$B356)-(SUMIFS(Investors!$M:$M,Investors!$I:$I,"&lt;="&amp;'NSST Print'!$B$3,Investors!$J:$J,"&gt;"&amp;'NSST Print'!$B$3,Investors!$A:$A,'Investor Exit List'!$A356,Investors!$E:$E,'Investor Exit List'!$C356,Investors!$L:$L,'Investor Exit List'!$B356)+SUMIFS(Investors!$M:$M,Investors!$I:$I,"&lt;="&amp;'NSST Print'!$B$3,Investors!$J:$J,"",Investors!$A:$A,'Investor Exit List'!$A356,Investors!$E:$E,'Investor Exit List'!$C356,Investors!$L:$L,'Investor Exit List'!$B356))</f>
        <v>0</v>
      </c>
      <c r="G356" s="118">
        <v>45450</v>
      </c>
      <c r="H356" s="116" t="b">
        <f>VLOOKUP($C356,Sales!$C:$E,2,FALSE)</f>
        <v>0</v>
      </c>
      <c r="I356" s="116" t="b">
        <f>VLOOKUP($C356,Sales!$C:$E,3,FALSE)</f>
        <v>0</v>
      </c>
      <c r="J356" s="118">
        <f>SUMIFS(Sales!$H:$H,Sales!$C:$C,'Investor Exit List'!$C356)</f>
        <v>45552</v>
      </c>
      <c r="K356" s="118" t="str">
        <f t="shared" si="60"/>
        <v/>
      </c>
      <c r="L356" s="118">
        <f t="shared" si="61"/>
        <v>46180</v>
      </c>
      <c r="M356" s="118">
        <v>45443</v>
      </c>
      <c r="N356" s="119">
        <f t="shared" si="62"/>
        <v>737</v>
      </c>
      <c r="O356" s="119">
        <f t="shared" si="63"/>
        <v>0</v>
      </c>
      <c r="P356" s="117">
        <f t="shared" si="64"/>
        <v>0</v>
      </c>
      <c r="Q356" s="117">
        <f>SUMIFS(Investors!$M:$M,Investors!$O:$O,FALSE,Investors!$P:$P,FALSE,Investors!$K:$K,"&gt;"&amp;'NSST Print'!$B$3,Investors!$I:$I,"&lt;="&amp;'NSST Print'!$B$3,Investors!$A:$A,'Investor Exit List'!$A356,Investors!$E:$E,'Investor Exit List'!$C356,Investors!$L:$L,'Investor Exit List'!$B356)-(SUMIFS(Investors!$M:$M,Investors!$I:$I,"&lt;="&amp;'NSST Print'!$B$3,Investors!$J:$J,"&gt;"&amp;'NSST Print'!$B$3,Investors!$A:$A,'Investor Exit List'!$A356,Investors!$E:$E,'Investor Exit List'!$C356,Investors!$L:$L,'Investor Exit List'!$B356)+SUMIFS(Investors!$M:$M,Investors!$I:$I,"&lt;="&amp;'NSST Print'!$B$3,Investors!$J:$J,"",Investors!$A:$A,'Investor Exit List'!$A356,Investors!$E:$E,'Investor Exit List'!$C356,Investors!$L:$L,'Investor Exit List'!$B356))+SUMIFS(Investors!$S:$S,Investors!$O:$O,FALSE,Investors!$P:$P,FALSE,Investors!$K:$K,"&gt;"&amp;'NSST Print'!$B$3,Investors!$I:$I,"&lt;="&amp;'NSST Print'!$B$3,Investors!$A:$A,'Investor Exit List'!$A356,Investors!$E:$E,'Investor Exit List'!$C356,Investors!$L:$L,'Investor Exit List'!$B356)-(SUMIFS(Investors!$S:$S,Investors!$I:$I,"&lt;="&amp;'NSST Print'!$B$3,Investors!$J:$J,"&gt;"&amp;'NSST Print'!$B$3,Investors!$A:$A,'Investor Exit List'!$A356,Investors!$E:$E,'Investor Exit List'!$C356,Investors!$L:$L,'Investor Exit List'!$B356)+SUMIFS(Investors!$S:$S,Investors!$I:$I,"&lt;="&amp;'NSST Print'!$B$3,Investors!$J:$J,"",Investors!$A:$A,'Investor Exit List'!$A356,Investors!$E:$E,'Investor Exit List'!$C356,Investors!$L:$L,'Investor Exit List'!$B356))</f>
        <v>0</v>
      </c>
      <c r="R356" s="117">
        <f t="shared" si="65"/>
        <v>0</v>
      </c>
      <c r="S356" s="117">
        <f>SUMIFS(Investors!$M:$M,Investors!$O:$O,TRUE,Investors!$A:$A,'Investor Exit List'!$A356,Investors!$E:$E,'Investor Exit List'!$C356,Investors!$L:$L,'Investor Exit List'!$B356)+SUMIFS(Investors!$S:$S,Investors!$O:$O,TRUE,Investors!$A:$A,'Investor Exit List'!$A356,Investors!$E:$E,'Investor Exit List'!$C356,Investors!$L:$L,'Investor Exit List'!$B356)</f>
        <v>0</v>
      </c>
      <c r="T356" s="118" t="str">
        <f t="shared" si="66"/>
        <v/>
      </c>
      <c r="U356" s="116" t="b">
        <v>0</v>
      </c>
      <c r="V356" s="117">
        <f t="shared" si="67"/>
        <v>0</v>
      </c>
      <c r="W356" s="116">
        <v>0</v>
      </c>
      <c r="X356" s="116" t="b">
        <v>0</v>
      </c>
      <c r="Y356" s="119">
        <f>IF(H356=FALSE,VLOOKUP($C356,Sales!$C:$F,4,FALSE),1)</f>
        <v>0</v>
      </c>
      <c r="Z356" s="116" t="str">
        <f t="shared" si="68"/>
        <v>Release</v>
      </c>
      <c r="AA356" s="118">
        <f t="shared" si="69"/>
        <v>0</v>
      </c>
      <c r="AB356" s="118" t="str">
        <f t="shared" si="70"/>
        <v>HVJ402-ZPLA01</v>
      </c>
      <c r="AC356" s="118">
        <f t="shared" si="71"/>
        <v>46180</v>
      </c>
    </row>
    <row r="357" spans="1:29" ht="16" x14ac:dyDescent="0.2">
      <c r="A357" s="116" t="s">
        <v>745</v>
      </c>
      <c r="B357" s="116">
        <v>2</v>
      </c>
      <c r="C357" s="116" t="s">
        <v>744</v>
      </c>
      <c r="D357" s="116" t="s">
        <v>711</v>
      </c>
      <c r="E357" s="116" t="s">
        <v>2205</v>
      </c>
      <c r="F357" s="117">
        <f>SUMIFS(Investors!$M:$M,Investors!$O:$O,FALSE,Investors!$P:$P,FALSE,Investors!$K:$K,"&gt;"&amp;'NSST Print'!$B$3,Investors!$I:$I,"&lt;="&amp;'NSST Print'!$B$3,Investors!$A:$A,'Investor Exit List'!$A357,Investors!$E:$E,'Investor Exit List'!$C357,Investors!$L:$L,'Investor Exit List'!$B357)-(SUMIFS(Investors!$M:$M,Investors!$I:$I,"&lt;="&amp;'NSST Print'!$B$3,Investors!$J:$J,"&gt;"&amp;'NSST Print'!$B$3,Investors!$A:$A,'Investor Exit List'!$A357,Investors!$E:$E,'Investor Exit List'!$C357,Investors!$L:$L,'Investor Exit List'!$B357)+SUMIFS(Investors!$M:$M,Investors!$I:$I,"&lt;="&amp;'NSST Print'!$B$3,Investors!$J:$J,"",Investors!$A:$A,'Investor Exit List'!$A357,Investors!$E:$E,'Investor Exit List'!$C357,Investors!$L:$L,'Investor Exit List'!$B357))</f>
        <v>0</v>
      </c>
      <c r="G357" s="118">
        <v>44811</v>
      </c>
      <c r="H357" s="116" t="b">
        <f>VLOOKUP($C357,Sales!$C:$E,2,FALSE)</f>
        <v>0</v>
      </c>
      <c r="I357" s="116" t="b">
        <f>VLOOKUP($C357,Sales!$C:$E,3,FALSE)</f>
        <v>0</v>
      </c>
      <c r="J357" s="118">
        <f>SUMIFS(Sales!$H:$H,Sales!$C:$C,'Investor Exit List'!$C357)</f>
        <v>45552</v>
      </c>
      <c r="K357" s="118" t="str">
        <f t="shared" si="60"/>
        <v/>
      </c>
      <c r="L357" s="118">
        <f t="shared" si="61"/>
        <v>45541</v>
      </c>
      <c r="M357" s="118">
        <v>45443</v>
      </c>
      <c r="N357" s="119">
        <f t="shared" si="62"/>
        <v>0</v>
      </c>
      <c r="O357" s="119">
        <f t="shared" si="63"/>
        <v>0</v>
      </c>
      <c r="P357" s="117">
        <f t="shared" si="64"/>
        <v>0</v>
      </c>
      <c r="Q357" s="117">
        <f>SUMIFS(Investors!$M:$M,Investors!$O:$O,FALSE,Investors!$P:$P,FALSE,Investors!$K:$K,"&gt;"&amp;'NSST Print'!$B$3,Investors!$I:$I,"&lt;="&amp;'NSST Print'!$B$3,Investors!$A:$A,'Investor Exit List'!$A357,Investors!$E:$E,'Investor Exit List'!$C357,Investors!$L:$L,'Investor Exit List'!$B357)-(SUMIFS(Investors!$M:$M,Investors!$I:$I,"&lt;="&amp;'NSST Print'!$B$3,Investors!$J:$J,"&gt;"&amp;'NSST Print'!$B$3,Investors!$A:$A,'Investor Exit List'!$A357,Investors!$E:$E,'Investor Exit List'!$C357,Investors!$L:$L,'Investor Exit List'!$B357)+SUMIFS(Investors!$M:$M,Investors!$I:$I,"&lt;="&amp;'NSST Print'!$B$3,Investors!$J:$J,"",Investors!$A:$A,'Investor Exit List'!$A357,Investors!$E:$E,'Investor Exit List'!$C357,Investors!$L:$L,'Investor Exit List'!$B357))+SUMIFS(Investors!$S:$S,Investors!$O:$O,FALSE,Investors!$P:$P,FALSE,Investors!$K:$K,"&gt;"&amp;'NSST Print'!$B$3,Investors!$I:$I,"&lt;="&amp;'NSST Print'!$B$3,Investors!$A:$A,'Investor Exit List'!$A357,Investors!$E:$E,'Investor Exit List'!$C357,Investors!$L:$L,'Investor Exit List'!$B357)-(SUMIFS(Investors!$S:$S,Investors!$I:$I,"&lt;="&amp;'NSST Print'!$B$3,Investors!$J:$J,"&gt;"&amp;'NSST Print'!$B$3,Investors!$A:$A,'Investor Exit List'!$A357,Investors!$E:$E,'Investor Exit List'!$C357,Investors!$L:$L,'Investor Exit List'!$B357)+SUMIFS(Investors!$S:$S,Investors!$I:$I,"&lt;="&amp;'NSST Print'!$B$3,Investors!$J:$J,"",Investors!$A:$A,'Investor Exit List'!$A357,Investors!$E:$E,'Investor Exit List'!$C357,Investors!$L:$L,'Investor Exit List'!$B357))</f>
        <v>0</v>
      </c>
      <c r="R357" s="117">
        <f t="shared" si="65"/>
        <v>0</v>
      </c>
      <c r="S357" s="117">
        <f>SUMIFS(Investors!$M:$M,Investors!$O:$O,TRUE,Investors!$A:$A,'Investor Exit List'!$A357,Investors!$E:$E,'Investor Exit List'!$C357,Investors!$L:$L,'Investor Exit List'!$B357)+SUMIFS(Investors!$S:$S,Investors!$O:$O,TRUE,Investors!$A:$A,'Investor Exit List'!$A357,Investors!$E:$E,'Investor Exit List'!$C357,Investors!$L:$L,'Investor Exit List'!$B357)</f>
        <v>1322726.0273972603</v>
      </c>
      <c r="T357" s="118">
        <f t="shared" si="66"/>
        <v>45552</v>
      </c>
      <c r="U357" s="116" t="b">
        <v>1</v>
      </c>
      <c r="V357" s="117">
        <f t="shared" si="67"/>
        <v>0</v>
      </c>
      <c r="W357" s="116">
        <v>0</v>
      </c>
      <c r="X357" s="116" t="b">
        <v>0</v>
      </c>
      <c r="Y357" s="119">
        <f>IF(H357=FALSE,VLOOKUP($C357,Sales!$C:$F,4,FALSE),1)</f>
        <v>0</v>
      </c>
      <c r="Z357" s="116" t="str">
        <f t="shared" si="68"/>
        <v>Release</v>
      </c>
      <c r="AA357" s="118">
        <f t="shared" si="69"/>
        <v>0</v>
      </c>
      <c r="AB357" s="118" t="str">
        <f t="shared" si="70"/>
        <v>HVJ402-ZVIS02</v>
      </c>
      <c r="AC357" s="118">
        <f t="shared" si="71"/>
        <v>45541</v>
      </c>
    </row>
    <row r="358" spans="1:29" ht="16" x14ac:dyDescent="0.2">
      <c r="A358" s="116" t="s">
        <v>542</v>
      </c>
      <c r="B358" s="116">
        <v>5</v>
      </c>
      <c r="C358" s="116" t="s">
        <v>744</v>
      </c>
      <c r="D358" s="116" t="s">
        <v>711</v>
      </c>
      <c r="E358" s="116" t="s">
        <v>2160</v>
      </c>
      <c r="F358" s="117">
        <f>SUMIFS(Investors!$M:$M,Investors!$O:$O,FALSE,Investors!$P:$P,FALSE,Investors!$K:$K,"&gt;"&amp;'NSST Print'!$B$3,Investors!$I:$I,"&lt;="&amp;'NSST Print'!$B$3,Investors!$A:$A,'Investor Exit List'!$A358,Investors!$E:$E,'Investor Exit List'!$C358,Investors!$L:$L,'Investor Exit List'!$B358)-(SUMIFS(Investors!$M:$M,Investors!$I:$I,"&lt;="&amp;'NSST Print'!$B$3,Investors!$J:$J,"&gt;"&amp;'NSST Print'!$B$3,Investors!$A:$A,'Investor Exit List'!$A358,Investors!$E:$E,'Investor Exit List'!$C358,Investors!$L:$L,'Investor Exit List'!$B358)+SUMIFS(Investors!$M:$M,Investors!$I:$I,"&lt;="&amp;'NSST Print'!$B$3,Investors!$J:$J,"",Investors!$A:$A,'Investor Exit List'!$A358,Investors!$E:$E,'Investor Exit List'!$C358,Investors!$L:$L,'Investor Exit List'!$B358))</f>
        <v>0</v>
      </c>
      <c r="G358" s="118">
        <v>45450</v>
      </c>
      <c r="H358" s="116" t="b">
        <f>VLOOKUP($C358,Sales!$C:$E,2,FALSE)</f>
        <v>0</v>
      </c>
      <c r="I358" s="116" t="b">
        <f>VLOOKUP($C358,Sales!$C:$E,3,FALSE)</f>
        <v>0</v>
      </c>
      <c r="J358" s="118">
        <f>SUMIFS(Sales!$H:$H,Sales!$C:$C,'Investor Exit List'!$C358)</f>
        <v>45552</v>
      </c>
      <c r="K358" s="118" t="str">
        <f t="shared" si="60"/>
        <v/>
      </c>
      <c r="L358" s="118">
        <f t="shared" si="61"/>
        <v>46180</v>
      </c>
      <c r="M358" s="118">
        <v>45443</v>
      </c>
      <c r="N358" s="119">
        <f t="shared" si="62"/>
        <v>737</v>
      </c>
      <c r="O358" s="119">
        <f t="shared" si="63"/>
        <v>0</v>
      </c>
      <c r="P358" s="117">
        <f t="shared" si="64"/>
        <v>0</v>
      </c>
      <c r="Q358" s="117">
        <f>SUMIFS(Investors!$M:$M,Investors!$O:$O,FALSE,Investors!$P:$P,FALSE,Investors!$K:$K,"&gt;"&amp;'NSST Print'!$B$3,Investors!$I:$I,"&lt;="&amp;'NSST Print'!$B$3,Investors!$A:$A,'Investor Exit List'!$A358,Investors!$E:$E,'Investor Exit List'!$C358,Investors!$L:$L,'Investor Exit List'!$B358)-(SUMIFS(Investors!$M:$M,Investors!$I:$I,"&lt;="&amp;'NSST Print'!$B$3,Investors!$J:$J,"&gt;"&amp;'NSST Print'!$B$3,Investors!$A:$A,'Investor Exit List'!$A358,Investors!$E:$E,'Investor Exit List'!$C358,Investors!$L:$L,'Investor Exit List'!$B358)+SUMIFS(Investors!$M:$M,Investors!$I:$I,"&lt;="&amp;'NSST Print'!$B$3,Investors!$J:$J,"",Investors!$A:$A,'Investor Exit List'!$A358,Investors!$E:$E,'Investor Exit List'!$C358,Investors!$L:$L,'Investor Exit List'!$B358))+SUMIFS(Investors!$S:$S,Investors!$O:$O,FALSE,Investors!$P:$P,FALSE,Investors!$K:$K,"&gt;"&amp;'NSST Print'!$B$3,Investors!$I:$I,"&lt;="&amp;'NSST Print'!$B$3,Investors!$A:$A,'Investor Exit List'!$A358,Investors!$E:$E,'Investor Exit List'!$C358,Investors!$L:$L,'Investor Exit List'!$B358)-(SUMIFS(Investors!$S:$S,Investors!$I:$I,"&lt;="&amp;'NSST Print'!$B$3,Investors!$J:$J,"&gt;"&amp;'NSST Print'!$B$3,Investors!$A:$A,'Investor Exit List'!$A358,Investors!$E:$E,'Investor Exit List'!$C358,Investors!$L:$L,'Investor Exit List'!$B358)+SUMIFS(Investors!$S:$S,Investors!$I:$I,"&lt;="&amp;'NSST Print'!$B$3,Investors!$J:$J,"",Investors!$A:$A,'Investor Exit List'!$A358,Investors!$E:$E,'Investor Exit List'!$C358,Investors!$L:$L,'Investor Exit List'!$B358))</f>
        <v>0</v>
      </c>
      <c r="R358" s="117">
        <f t="shared" si="65"/>
        <v>0</v>
      </c>
      <c r="S358" s="117">
        <f>SUMIFS(Investors!$M:$M,Investors!$O:$O,TRUE,Investors!$A:$A,'Investor Exit List'!$A358,Investors!$E:$E,'Investor Exit List'!$C358,Investors!$L:$L,'Investor Exit List'!$B358)+SUMIFS(Investors!$S:$S,Investors!$O:$O,TRUE,Investors!$A:$A,'Investor Exit List'!$A358,Investors!$E:$E,'Investor Exit List'!$C358,Investors!$L:$L,'Investor Exit List'!$B358)</f>
        <v>0</v>
      </c>
      <c r="T358" s="118" t="str">
        <f t="shared" si="66"/>
        <v/>
      </c>
      <c r="U358" s="116" t="b">
        <v>0</v>
      </c>
      <c r="V358" s="117">
        <f t="shared" si="67"/>
        <v>0</v>
      </c>
      <c r="W358" s="116">
        <v>0</v>
      </c>
      <c r="X358" s="116" t="b">
        <v>0</v>
      </c>
      <c r="Y358" s="119">
        <f>IF(H358=FALSE,VLOOKUP($C358,Sales!$C:$F,4,FALSE),1)</f>
        <v>0</v>
      </c>
      <c r="Z358" s="116" t="str">
        <f t="shared" si="68"/>
        <v>Release</v>
      </c>
      <c r="AA358" s="118">
        <f t="shared" si="69"/>
        <v>0</v>
      </c>
      <c r="AB358" s="118" t="str">
        <f t="shared" si="70"/>
        <v>HVJ402-ZWEL01</v>
      </c>
      <c r="AC358" s="118">
        <f t="shared" si="71"/>
        <v>46180</v>
      </c>
    </row>
    <row r="359" spans="1:29" ht="16" x14ac:dyDescent="0.2">
      <c r="A359" s="116" t="s">
        <v>740</v>
      </c>
      <c r="B359" s="116">
        <v>2</v>
      </c>
      <c r="C359" s="116" t="s">
        <v>748</v>
      </c>
      <c r="D359" s="116" t="s">
        <v>711</v>
      </c>
      <c r="E359" s="116" t="s">
        <v>2204</v>
      </c>
      <c r="F359" s="117">
        <f>SUMIFS(Investors!$M:$M,Investors!$O:$O,FALSE,Investors!$P:$P,FALSE,Investors!$K:$K,"&gt;"&amp;'NSST Print'!$B$3,Investors!$I:$I,"&lt;="&amp;'NSST Print'!$B$3,Investors!$A:$A,'Investor Exit List'!$A359,Investors!$E:$E,'Investor Exit List'!$C359,Investors!$L:$L,'Investor Exit List'!$B359)-(SUMIFS(Investors!$M:$M,Investors!$I:$I,"&lt;="&amp;'NSST Print'!$B$3,Investors!$J:$J,"&gt;"&amp;'NSST Print'!$B$3,Investors!$A:$A,'Investor Exit List'!$A359,Investors!$E:$E,'Investor Exit List'!$C359,Investors!$L:$L,'Investor Exit List'!$B359)+SUMIFS(Investors!$M:$M,Investors!$I:$I,"&lt;="&amp;'NSST Print'!$B$3,Investors!$J:$J,"",Investors!$A:$A,'Investor Exit List'!$A359,Investors!$E:$E,'Investor Exit List'!$C359,Investors!$L:$L,'Investor Exit List'!$B359))</f>
        <v>500000</v>
      </c>
      <c r="G359" s="118">
        <v>44811</v>
      </c>
      <c r="H359" s="116" t="b">
        <f>VLOOKUP($C359,Sales!$C:$E,2,FALSE)</f>
        <v>0</v>
      </c>
      <c r="I359" s="116" t="b">
        <f>VLOOKUP($C359,Sales!$C:$E,3,FALSE)</f>
        <v>0</v>
      </c>
      <c r="J359" s="118">
        <f>SUMIFS(Sales!$H:$H,Sales!$C:$C,'Investor Exit List'!$C359)</f>
        <v>45552</v>
      </c>
      <c r="K359" s="118" t="str">
        <f t="shared" si="60"/>
        <v/>
      </c>
      <c r="L359" s="118">
        <f t="shared" si="61"/>
        <v>45541</v>
      </c>
      <c r="M359" s="118">
        <v>45443</v>
      </c>
      <c r="N359" s="119">
        <f t="shared" si="62"/>
        <v>98</v>
      </c>
      <c r="O359" s="119">
        <f t="shared" si="63"/>
        <v>98</v>
      </c>
      <c r="P359" s="117">
        <f t="shared" si="64"/>
        <v>0</v>
      </c>
      <c r="Q359" s="117">
        <f>SUMIFS(Investors!$M:$M,Investors!$O:$O,FALSE,Investors!$P:$P,FALSE,Investors!$K:$K,"&gt;"&amp;'NSST Print'!$B$3,Investors!$I:$I,"&lt;="&amp;'NSST Print'!$B$3,Investors!$A:$A,'Investor Exit List'!$A359,Investors!$E:$E,'Investor Exit List'!$C359,Investors!$L:$L,'Investor Exit List'!$B359)-(SUMIFS(Investors!$M:$M,Investors!$I:$I,"&lt;="&amp;'NSST Print'!$B$3,Investors!$J:$J,"&gt;"&amp;'NSST Print'!$B$3,Investors!$A:$A,'Investor Exit List'!$A359,Investors!$E:$E,'Investor Exit List'!$C359,Investors!$L:$L,'Investor Exit List'!$B359)+SUMIFS(Investors!$M:$M,Investors!$I:$I,"&lt;="&amp;'NSST Print'!$B$3,Investors!$J:$J,"",Investors!$A:$A,'Investor Exit List'!$A359,Investors!$E:$E,'Investor Exit List'!$C359,Investors!$L:$L,'Investor Exit List'!$B359))+SUMIFS(Investors!$S:$S,Investors!$O:$O,FALSE,Investors!$P:$P,FALSE,Investors!$K:$K,"&gt;"&amp;'NSST Print'!$B$3,Investors!$I:$I,"&lt;="&amp;'NSST Print'!$B$3,Investors!$A:$A,'Investor Exit List'!$A359,Investors!$E:$E,'Investor Exit List'!$C359,Investors!$L:$L,'Investor Exit List'!$B359)-(SUMIFS(Investors!$S:$S,Investors!$I:$I,"&lt;="&amp;'NSST Print'!$B$3,Investors!$J:$J,"&gt;"&amp;'NSST Print'!$B$3,Investors!$A:$A,'Investor Exit List'!$A359,Investors!$E:$E,'Investor Exit List'!$C359,Investors!$L:$L,'Investor Exit List'!$B359)+SUMIFS(Investors!$S:$S,Investors!$I:$I,"&lt;="&amp;'NSST Print'!$B$3,Investors!$J:$J,"",Investors!$A:$A,'Investor Exit List'!$A359,Investors!$E:$E,'Investor Exit List'!$C359,Investors!$L:$L,'Investor Exit List'!$B359))</f>
        <v>700260.27397260268</v>
      </c>
      <c r="R359" s="117">
        <f t="shared" si="65"/>
        <v>0</v>
      </c>
      <c r="S359" s="117">
        <f>SUMIFS(Investors!$M:$M,Investors!$O:$O,TRUE,Investors!$A:$A,'Investor Exit List'!$A359,Investors!$E:$E,'Investor Exit List'!$C359,Investors!$L:$L,'Investor Exit List'!$B359)+SUMIFS(Investors!$S:$S,Investors!$O:$O,TRUE,Investors!$A:$A,'Investor Exit List'!$A359,Investors!$E:$E,'Investor Exit List'!$C359,Investors!$L:$L,'Investor Exit List'!$B359)</f>
        <v>0</v>
      </c>
      <c r="T359" s="118" t="str">
        <f t="shared" si="66"/>
        <v/>
      </c>
      <c r="U359" s="116" t="b">
        <v>0</v>
      </c>
      <c r="V359" s="117">
        <f t="shared" si="67"/>
        <v>0</v>
      </c>
      <c r="W359" s="116">
        <v>0</v>
      </c>
      <c r="X359" s="116" t="b">
        <v>0</v>
      </c>
      <c r="Y359" s="119">
        <f>IF(H359=FALSE,VLOOKUP($C359,Sales!$C:$F,4,FALSE),1)</f>
        <v>0</v>
      </c>
      <c r="Z359" s="116" t="str">
        <f t="shared" si="68"/>
        <v>Release</v>
      </c>
      <c r="AA359" s="118">
        <f t="shared" si="69"/>
        <v>45528</v>
      </c>
      <c r="AB359" s="118" t="str">
        <f t="shared" si="70"/>
        <v>HVJ403-ZFOU02</v>
      </c>
      <c r="AC359" s="118">
        <f t="shared" si="71"/>
        <v>45541</v>
      </c>
    </row>
    <row r="360" spans="1:29" ht="16" x14ac:dyDescent="0.2">
      <c r="A360" s="116" t="s">
        <v>736</v>
      </c>
      <c r="B360" s="116">
        <v>3</v>
      </c>
      <c r="C360" s="116" t="s">
        <v>748</v>
      </c>
      <c r="D360" s="116" t="s">
        <v>711</v>
      </c>
      <c r="E360" s="116" t="s">
        <v>2203</v>
      </c>
      <c r="F360" s="117">
        <f>SUMIFS(Investors!$M:$M,Investors!$O:$O,FALSE,Investors!$P:$P,FALSE,Investors!$K:$K,"&gt;"&amp;'NSST Print'!$B$3,Investors!$I:$I,"&lt;="&amp;'NSST Print'!$B$3,Investors!$A:$A,'Investor Exit List'!$A360,Investors!$E:$E,'Investor Exit List'!$C360,Investors!$L:$L,'Investor Exit List'!$B360)-(SUMIFS(Investors!$M:$M,Investors!$I:$I,"&lt;="&amp;'NSST Print'!$B$3,Investors!$J:$J,"&gt;"&amp;'NSST Print'!$B$3,Investors!$A:$A,'Investor Exit List'!$A360,Investors!$E:$E,'Investor Exit List'!$C360,Investors!$L:$L,'Investor Exit List'!$B360)+SUMIFS(Investors!$M:$M,Investors!$I:$I,"&lt;="&amp;'NSST Print'!$B$3,Investors!$J:$J,"",Investors!$A:$A,'Investor Exit List'!$A360,Investors!$E:$E,'Investor Exit List'!$C360,Investors!$L:$L,'Investor Exit List'!$B360))</f>
        <v>500000</v>
      </c>
      <c r="G360" s="118">
        <v>44798</v>
      </c>
      <c r="H360" s="116" t="b">
        <f>VLOOKUP($C360,Sales!$C:$E,2,FALSE)</f>
        <v>0</v>
      </c>
      <c r="I360" s="116" t="b">
        <f>VLOOKUP($C360,Sales!$C:$E,3,FALSE)</f>
        <v>0</v>
      </c>
      <c r="J360" s="118">
        <f>SUMIFS(Sales!$H:$H,Sales!$C:$C,'Investor Exit List'!$C360)</f>
        <v>45552</v>
      </c>
      <c r="K360" s="118" t="str">
        <f t="shared" si="60"/>
        <v/>
      </c>
      <c r="L360" s="118">
        <f t="shared" si="61"/>
        <v>45528</v>
      </c>
      <c r="M360" s="118">
        <v>45443</v>
      </c>
      <c r="N360" s="119">
        <f t="shared" si="62"/>
        <v>85</v>
      </c>
      <c r="O360" s="119">
        <f t="shared" si="63"/>
        <v>85</v>
      </c>
      <c r="P360" s="117">
        <f t="shared" si="64"/>
        <v>702921.23287671234</v>
      </c>
      <c r="Q360" s="117">
        <f>SUMIFS(Investors!$M:$M,Investors!$O:$O,FALSE,Investors!$P:$P,FALSE,Investors!$K:$K,"&gt;"&amp;'NSST Print'!$B$3,Investors!$I:$I,"&lt;="&amp;'NSST Print'!$B$3,Investors!$A:$A,'Investor Exit List'!$A360,Investors!$E:$E,'Investor Exit List'!$C360,Investors!$L:$L,'Investor Exit List'!$B360)-(SUMIFS(Investors!$M:$M,Investors!$I:$I,"&lt;="&amp;'NSST Print'!$B$3,Investors!$J:$J,"&gt;"&amp;'NSST Print'!$B$3,Investors!$A:$A,'Investor Exit List'!$A360,Investors!$E:$E,'Investor Exit List'!$C360,Investors!$L:$L,'Investor Exit List'!$B360)+SUMIFS(Investors!$M:$M,Investors!$I:$I,"&lt;="&amp;'NSST Print'!$B$3,Investors!$J:$J,"",Investors!$A:$A,'Investor Exit List'!$A360,Investors!$E:$E,'Investor Exit List'!$C360,Investors!$L:$L,'Investor Exit List'!$B360))+SUMIFS(Investors!$S:$S,Investors!$O:$O,FALSE,Investors!$P:$P,FALSE,Investors!$K:$K,"&gt;"&amp;'NSST Print'!$B$3,Investors!$I:$I,"&lt;="&amp;'NSST Print'!$B$3,Investors!$A:$A,'Investor Exit List'!$A360,Investors!$E:$E,'Investor Exit List'!$C360,Investors!$L:$L,'Investor Exit List'!$B360)-(SUMIFS(Investors!$S:$S,Investors!$I:$I,"&lt;="&amp;'NSST Print'!$B$3,Investors!$J:$J,"&gt;"&amp;'NSST Print'!$B$3,Investors!$A:$A,'Investor Exit List'!$A360,Investors!$E:$E,'Investor Exit List'!$C360,Investors!$L:$L,'Investor Exit List'!$B360)+SUMIFS(Investors!$S:$S,Investors!$I:$I,"&lt;="&amp;'NSST Print'!$B$3,Investors!$J:$J,"",Investors!$A:$A,'Investor Exit List'!$A360,Investors!$E:$E,'Investor Exit List'!$C360,Investors!$L:$L,'Investor Exit List'!$B360))</f>
        <v>702921.23287671234</v>
      </c>
      <c r="R360" s="117">
        <f t="shared" si="65"/>
        <v>0</v>
      </c>
      <c r="S360" s="117">
        <f>SUMIFS(Investors!$M:$M,Investors!$O:$O,TRUE,Investors!$A:$A,'Investor Exit List'!$A360,Investors!$E:$E,'Investor Exit List'!$C360,Investors!$L:$L,'Investor Exit List'!$B360)+SUMIFS(Investors!$S:$S,Investors!$O:$O,TRUE,Investors!$A:$A,'Investor Exit List'!$A360,Investors!$E:$E,'Investor Exit List'!$C360,Investors!$L:$L,'Investor Exit List'!$B360)</f>
        <v>0</v>
      </c>
      <c r="T360" s="118" t="str">
        <f t="shared" si="66"/>
        <v/>
      </c>
      <c r="U360" s="116" t="b">
        <v>0</v>
      </c>
      <c r="V360" s="117">
        <f t="shared" si="67"/>
        <v>0</v>
      </c>
      <c r="W360" s="116">
        <v>0</v>
      </c>
      <c r="X360" s="116" t="b">
        <v>0</v>
      </c>
      <c r="Y360" s="119">
        <f>IF(H360=FALSE,VLOOKUP($C360,Sales!$C:$F,4,FALSE),1)</f>
        <v>0</v>
      </c>
      <c r="Z360" s="116" t="str">
        <f t="shared" si="68"/>
        <v>Release</v>
      </c>
      <c r="AA360" s="118">
        <f t="shared" si="69"/>
        <v>45528</v>
      </c>
      <c r="AB360" s="118" t="str">
        <f t="shared" si="70"/>
        <v>HVJ403-ZVER04</v>
      </c>
      <c r="AC360" s="118">
        <f t="shared" si="71"/>
        <v>45528</v>
      </c>
    </row>
    <row r="361" spans="1:29" ht="16" x14ac:dyDescent="0.2">
      <c r="A361" s="116" t="s">
        <v>52</v>
      </c>
      <c r="B361" s="116">
        <v>14</v>
      </c>
      <c r="C361" s="116" t="s">
        <v>749</v>
      </c>
      <c r="D361" s="116" t="s">
        <v>750</v>
      </c>
      <c r="E361" s="116" t="s">
        <v>2017</v>
      </c>
      <c r="F361" s="117">
        <f>SUMIFS(Investors!$M:$M,Investors!$O:$O,FALSE,Investors!$P:$P,FALSE,Investors!$K:$K,"&gt;"&amp;'NSST Print'!$B$3,Investors!$I:$I,"&lt;="&amp;'NSST Print'!$B$3,Investors!$A:$A,'Investor Exit List'!$A361,Investors!$E:$E,'Investor Exit List'!$C361,Investors!$L:$L,'Investor Exit List'!$B361)-(SUMIFS(Investors!$M:$M,Investors!$I:$I,"&lt;="&amp;'NSST Print'!$B$3,Investors!$J:$J,"&gt;"&amp;'NSST Print'!$B$3,Investors!$A:$A,'Investor Exit List'!$A361,Investors!$E:$E,'Investor Exit List'!$C361,Investors!$L:$L,'Investor Exit List'!$B361)+SUMIFS(Investors!$M:$M,Investors!$I:$I,"&lt;="&amp;'NSST Print'!$B$3,Investors!$J:$J,"",Investors!$A:$A,'Investor Exit List'!$A361,Investors!$E:$E,'Investor Exit List'!$C361,Investors!$L:$L,'Investor Exit List'!$B361))</f>
        <v>150000</v>
      </c>
      <c r="G361" s="118">
        <v>45107</v>
      </c>
      <c r="H361" s="116" t="b">
        <f>VLOOKUP($C361,Sales!$C:$E,2,FALSE)</f>
        <v>0</v>
      </c>
      <c r="I361" s="116" t="b">
        <f>VLOOKUP($C361,Sales!$C:$E,3,FALSE)</f>
        <v>0</v>
      </c>
      <c r="J361" s="118">
        <f>SUMIFS(Sales!$H:$H,Sales!$C:$C,'Investor Exit List'!$C361)</f>
        <v>45625</v>
      </c>
      <c r="K361" s="118" t="str">
        <f t="shared" si="60"/>
        <v/>
      </c>
      <c r="L361" s="118">
        <f t="shared" si="61"/>
        <v>45837</v>
      </c>
      <c r="M361" s="118">
        <v>45443</v>
      </c>
      <c r="N361" s="119">
        <f t="shared" si="62"/>
        <v>394</v>
      </c>
      <c r="O361" s="119">
        <f t="shared" si="63"/>
        <v>0</v>
      </c>
      <c r="P361" s="117">
        <f t="shared" si="64"/>
        <v>0</v>
      </c>
      <c r="Q361" s="117">
        <f>SUMIFS(Investors!$M:$M,Investors!$O:$O,FALSE,Investors!$P:$P,FALSE,Investors!$K:$K,"&gt;"&amp;'NSST Print'!$B$3,Investors!$I:$I,"&lt;="&amp;'NSST Print'!$B$3,Investors!$A:$A,'Investor Exit List'!$A361,Investors!$E:$E,'Investor Exit List'!$C361,Investors!$L:$L,'Investor Exit List'!$B361)-(SUMIFS(Investors!$M:$M,Investors!$I:$I,"&lt;="&amp;'NSST Print'!$B$3,Investors!$J:$J,"&gt;"&amp;'NSST Print'!$B$3,Investors!$A:$A,'Investor Exit List'!$A361,Investors!$E:$E,'Investor Exit List'!$C361,Investors!$L:$L,'Investor Exit List'!$B361)+SUMIFS(Investors!$M:$M,Investors!$I:$I,"&lt;="&amp;'NSST Print'!$B$3,Investors!$J:$J,"",Investors!$A:$A,'Investor Exit List'!$A361,Investors!$E:$E,'Investor Exit List'!$C361,Investors!$L:$L,'Investor Exit List'!$B361))+SUMIFS(Investors!$S:$S,Investors!$O:$O,FALSE,Investors!$P:$P,FALSE,Investors!$K:$K,"&gt;"&amp;'NSST Print'!$B$3,Investors!$I:$I,"&lt;="&amp;'NSST Print'!$B$3,Investors!$A:$A,'Investor Exit List'!$A361,Investors!$E:$E,'Investor Exit List'!$C361,Investors!$L:$L,'Investor Exit List'!$B361)-(SUMIFS(Investors!$S:$S,Investors!$I:$I,"&lt;="&amp;'NSST Print'!$B$3,Investors!$J:$J,"&gt;"&amp;'NSST Print'!$B$3,Investors!$A:$A,'Investor Exit List'!$A361,Investors!$E:$E,'Investor Exit List'!$C361,Investors!$L:$L,'Investor Exit List'!$B361)+SUMIFS(Investors!$S:$S,Investors!$I:$I,"&lt;="&amp;'NSST Print'!$B$3,Investors!$J:$J,"",Investors!$A:$A,'Investor Exit List'!$A361,Investors!$E:$E,'Investor Exit List'!$C361,Investors!$L:$L,'Investor Exit List'!$B361))</f>
        <v>187448.63013698632</v>
      </c>
      <c r="R361" s="117">
        <f t="shared" si="65"/>
        <v>0</v>
      </c>
      <c r="S361" s="117">
        <f>SUMIFS(Investors!$M:$M,Investors!$O:$O,TRUE,Investors!$A:$A,'Investor Exit List'!$A361,Investors!$E:$E,'Investor Exit List'!$C361,Investors!$L:$L,'Investor Exit List'!$B361)+SUMIFS(Investors!$S:$S,Investors!$O:$O,TRUE,Investors!$A:$A,'Investor Exit List'!$A361,Investors!$E:$E,'Investor Exit List'!$C361,Investors!$L:$L,'Investor Exit List'!$B361)</f>
        <v>0</v>
      </c>
      <c r="T361" s="118" t="str">
        <f t="shared" si="66"/>
        <v/>
      </c>
      <c r="U361" s="116" t="b">
        <v>0</v>
      </c>
      <c r="V361" s="117">
        <f t="shared" si="67"/>
        <v>0</v>
      </c>
      <c r="W361" s="116">
        <v>0</v>
      </c>
      <c r="X361" s="116" t="b">
        <v>0</v>
      </c>
      <c r="Y361" s="119">
        <f>IF(H361=FALSE,VLOOKUP($C361,Sales!$C:$F,4,FALSE),1)</f>
        <v>0</v>
      </c>
      <c r="Z361" s="116" t="str">
        <f t="shared" si="68"/>
        <v>Release</v>
      </c>
      <c r="AA361" s="118">
        <f t="shared" si="69"/>
        <v>45639</v>
      </c>
      <c r="AB361" s="118" t="str">
        <f t="shared" si="70"/>
        <v>HVK101-ZCRO01</v>
      </c>
      <c r="AC361" s="118">
        <f t="shared" si="71"/>
        <v>45837</v>
      </c>
    </row>
    <row r="362" spans="1:29" ht="16" x14ac:dyDescent="0.2">
      <c r="A362" s="116" t="s">
        <v>207</v>
      </c>
      <c r="B362" s="116">
        <v>16</v>
      </c>
      <c r="C362" s="116" t="s">
        <v>749</v>
      </c>
      <c r="D362" s="116" t="s">
        <v>750</v>
      </c>
      <c r="E362" s="116" t="s">
        <v>2017</v>
      </c>
      <c r="F362" s="117">
        <f>SUMIFS(Investors!$M:$M,Investors!$O:$O,FALSE,Investors!$P:$P,FALSE,Investors!$K:$K,"&gt;"&amp;'NSST Print'!$B$3,Investors!$I:$I,"&lt;="&amp;'NSST Print'!$B$3,Investors!$A:$A,'Investor Exit List'!$A362,Investors!$E:$E,'Investor Exit List'!$C362,Investors!$L:$L,'Investor Exit List'!$B362)-(SUMIFS(Investors!$M:$M,Investors!$I:$I,"&lt;="&amp;'NSST Print'!$B$3,Investors!$J:$J,"&gt;"&amp;'NSST Print'!$B$3,Investors!$A:$A,'Investor Exit List'!$A362,Investors!$E:$E,'Investor Exit List'!$C362,Investors!$L:$L,'Investor Exit List'!$B362)+SUMIFS(Investors!$M:$M,Investors!$I:$I,"&lt;="&amp;'NSST Print'!$B$3,Investors!$J:$J,"",Investors!$A:$A,'Investor Exit List'!$A362,Investors!$E:$E,'Investor Exit List'!$C362,Investors!$L:$L,'Investor Exit List'!$B362))</f>
        <v>100000</v>
      </c>
      <c r="G362" s="118">
        <v>45107</v>
      </c>
      <c r="H362" s="116" t="b">
        <f>VLOOKUP($C362,Sales!$C:$E,2,FALSE)</f>
        <v>0</v>
      </c>
      <c r="I362" s="116" t="b">
        <f>VLOOKUP($C362,Sales!$C:$E,3,FALSE)</f>
        <v>0</v>
      </c>
      <c r="J362" s="118">
        <f>SUMIFS(Sales!$H:$H,Sales!$C:$C,'Investor Exit List'!$C362)</f>
        <v>45625</v>
      </c>
      <c r="K362" s="118" t="str">
        <f t="shared" si="60"/>
        <v/>
      </c>
      <c r="L362" s="118">
        <f t="shared" si="61"/>
        <v>45837</v>
      </c>
      <c r="M362" s="118">
        <v>45443</v>
      </c>
      <c r="N362" s="119">
        <f t="shared" si="62"/>
        <v>394</v>
      </c>
      <c r="O362" s="119">
        <f t="shared" si="63"/>
        <v>0</v>
      </c>
      <c r="P362" s="117">
        <f t="shared" si="64"/>
        <v>0</v>
      </c>
      <c r="Q362" s="117">
        <f>SUMIFS(Investors!$M:$M,Investors!$O:$O,FALSE,Investors!$P:$P,FALSE,Investors!$K:$K,"&gt;"&amp;'NSST Print'!$B$3,Investors!$I:$I,"&lt;="&amp;'NSST Print'!$B$3,Investors!$A:$A,'Investor Exit List'!$A362,Investors!$E:$E,'Investor Exit List'!$C362,Investors!$L:$L,'Investor Exit List'!$B362)-(SUMIFS(Investors!$M:$M,Investors!$I:$I,"&lt;="&amp;'NSST Print'!$B$3,Investors!$J:$J,"&gt;"&amp;'NSST Print'!$B$3,Investors!$A:$A,'Investor Exit List'!$A362,Investors!$E:$E,'Investor Exit List'!$C362,Investors!$L:$L,'Investor Exit List'!$B362)+SUMIFS(Investors!$M:$M,Investors!$I:$I,"&lt;="&amp;'NSST Print'!$B$3,Investors!$J:$J,"",Investors!$A:$A,'Investor Exit List'!$A362,Investors!$E:$E,'Investor Exit List'!$C362,Investors!$L:$L,'Investor Exit List'!$B362))+SUMIFS(Investors!$S:$S,Investors!$O:$O,FALSE,Investors!$P:$P,FALSE,Investors!$K:$K,"&gt;"&amp;'NSST Print'!$B$3,Investors!$I:$I,"&lt;="&amp;'NSST Print'!$B$3,Investors!$A:$A,'Investor Exit List'!$A362,Investors!$E:$E,'Investor Exit List'!$C362,Investors!$L:$L,'Investor Exit List'!$B362)-(SUMIFS(Investors!$S:$S,Investors!$I:$I,"&lt;="&amp;'NSST Print'!$B$3,Investors!$J:$J,"&gt;"&amp;'NSST Print'!$B$3,Investors!$A:$A,'Investor Exit List'!$A362,Investors!$E:$E,'Investor Exit List'!$C362,Investors!$L:$L,'Investor Exit List'!$B362)+SUMIFS(Investors!$S:$S,Investors!$I:$I,"&lt;="&amp;'NSST Print'!$B$3,Investors!$J:$J,"",Investors!$A:$A,'Investor Exit List'!$A362,Investors!$E:$E,'Investor Exit List'!$C362,Investors!$L:$L,'Investor Exit List'!$B362))</f>
        <v>124691.7808219178</v>
      </c>
      <c r="R362" s="117">
        <f t="shared" si="65"/>
        <v>0</v>
      </c>
      <c r="S362" s="117">
        <f>SUMIFS(Investors!$M:$M,Investors!$O:$O,TRUE,Investors!$A:$A,'Investor Exit List'!$A362,Investors!$E:$E,'Investor Exit List'!$C362,Investors!$L:$L,'Investor Exit List'!$B362)+SUMIFS(Investors!$S:$S,Investors!$O:$O,TRUE,Investors!$A:$A,'Investor Exit List'!$A362,Investors!$E:$E,'Investor Exit List'!$C362,Investors!$L:$L,'Investor Exit List'!$B362)</f>
        <v>0</v>
      </c>
      <c r="T362" s="118" t="str">
        <f t="shared" si="66"/>
        <v/>
      </c>
      <c r="U362" s="116" t="b">
        <v>0</v>
      </c>
      <c r="V362" s="117">
        <f t="shared" si="67"/>
        <v>0</v>
      </c>
      <c r="W362" s="116">
        <v>0</v>
      </c>
      <c r="X362" s="116" t="b">
        <v>0</v>
      </c>
      <c r="Y362" s="119">
        <f>IF(H362=FALSE,VLOOKUP($C362,Sales!$C:$F,4,FALSE),1)</f>
        <v>0</v>
      </c>
      <c r="Z362" s="116" t="str">
        <f t="shared" si="68"/>
        <v>Release</v>
      </c>
      <c r="AA362" s="118">
        <f t="shared" si="69"/>
        <v>45639</v>
      </c>
      <c r="AB362" s="118" t="str">
        <f t="shared" si="70"/>
        <v>HVK101-ZINT01</v>
      </c>
      <c r="AC362" s="118">
        <f t="shared" si="71"/>
        <v>45837</v>
      </c>
    </row>
    <row r="363" spans="1:29" ht="16" x14ac:dyDescent="0.2">
      <c r="A363" s="116" t="s">
        <v>288</v>
      </c>
      <c r="B363" s="116">
        <v>2</v>
      </c>
      <c r="C363" s="116" t="s">
        <v>749</v>
      </c>
      <c r="D363" s="116" t="s">
        <v>750</v>
      </c>
      <c r="E363" s="116" t="s">
        <v>2089</v>
      </c>
      <c r="F363" s="117">
        <f>SUMIFS(Investors!$M:$M,Investors!$O:$O,FALSE,Investors!$P:$P,FALSE,Investors!$K:$K,"&gt;"&amp;'NSST Print'!$B$3,Investors!$I:$I,"&lt;="&amp;'NSST Print'!$B$3,Investors!$A:$A,'Investor Exit List'!$A363,Investors!$E:$E,'Investor Exit List'!$C363,Investors!$L:$L,'Investor Exit List'!$B363)-(SUMIFS(Investors!$M:$M,Investors!$I:$I,"&lt;="&amp;'NSST Print'!$B$3,Investors!$J:$J,"&gt;"&amp;'NSST Print'!$B$3,Investors!$A:$A,'Investor Exit List'!$A363,Investors!$E:$E,'Investor Exit List'!$C363,Investors!$L:$L,'Investor Exit List'!$B363)+SUMIFS(Investors!$M:$M,Investors!$I:$I,"&lt;="&amp;'NSST Print'!$B$3,Investors!$J:$J,"",Investors!$A:$A,'Investor Exit List'!$A363,Investors!$E:$E,'Investor Exit List'!$C363,Investors!$L:$L,'Investor Exit List'!$B363))</f>
        <v>500000</v>
      </c>
      <c r="G363" s="118">
        <v>45016</v>
      </c>
      <c r="H363" s="116" t="b">
        <f>VLOOKUP($C363,Sales!$C:$E,2,FALSE)</f>
        <v>0</v>
      </c>
      <c r="I363" s="116" t="b">
        <f>VLOOKUP($C363,Sales!$C:$E,3,FALSE)</f>
        <v>0</v>
      </c>
      <c r="J363" s="118">
        <f>SUMIFS(Sales!$H:$H,Sales!$C:$C,'Investor Exit List'!$C363)</f>
        <v>45625</v>
      </c>
      <c r="K363" s="118" t="str">
        <f t="shared" si="60"/>
        <v/>
      </c>
      <c r="L363" s="118">
        <f t="shared" si="61"/>
        <v>45746</v>
      </c>
      <c r="M363" s="118">
        <v>45443</v>
      </c>
      <c r="N363" s="119">
        <f t="shared" si="62"/>
        <v>303</v>
      </c>
      <c r="O363" s="119">
        <f t="shared" si="63"/>
        <v>0</v>
      </c>
      <c r="P363" s="117">
        <f t="shared" si="64"/>
        <v>0</v>
      </c>
      <c r="Q363" s="117">
        <f>SUMIFS(Investors!$M:$M,Investors!$O:$O,FALSE,Investors!$P:$P,FALSE,Investors!$K:$K,"&gt;"&amp;'NSST Print'!$B$3,Investors!$I:$I,"&lt;="&amp;'NSST Print'!$B$3,Investors!$A:$A,'Investor Exit List'!$A363,Investors!$E:$E,'Investor Exit List'!$C363,Investors!$L:$L,'Investor Exit List'!$B363)-(SUMIFS(Investors!$M:$M,Investors!$I:$I,"&lt;="&amp;'NSST Print'!$B$3,Investors!$J:$J,"&gt;"&amp;'NSST Print'!$B$3,Investors!$A:$A,'Investor Exit List'!$A363,Investors!$E:$E,'Investor Exit List'!$C363,Investors!$L:$L,'Investor Exit List'!$B363)+SUMIFS(Investors!$M:$M,Investors!$I:$I,"&lt;="&amp;'NSST Print'!$B$3,Investors!$J:$J,"",Investors!$A:$A,'Investor Exit List'!$A363,Investors!$E:$E,'Investor Exit List'!$C363,Investors!$L:$L,'Investor Exit List'!$B363))+SUMIFS(Investors!$S:$S,Investors!$O:$O,FALSE,Investors!$P:$P,FALSE,Investors!$K:$K,"&gt;"&amp;'NSST Print'!$B$3,Investors!$I:$I,"&lt;="&amp;'NSST Print'!$B$3,Investors!$A:$A,'Investor Exit List'!$A363,Investors!$E:$E,'Investor Exit List'!$C363,Investors!$L:$L,'Investor Exit List'!$B363)-(SUMIFS(Investors!$S:$S,Investors!$I:$I,"&lt;="&amp;'NSST Print'!$B$3,Investors!$J:$J,"&gt;"&amp;'NSST Print'!$B$3,Investors!$A:$A,'Investor Exit List'!$A363,Investors!$E:$E,'Investor Exit List'!$C363,Investors!$L:$L,'Investor Exit List'!$B363)+SUMIFS(Investors!$S:$S,Investors!$I:$I,"&lt;="&amp;'NSST Print'!$B$3,Investors!$J:$J,"",Investors!$A:$A,'Investor Exit List'!$A363,Investors!$E:$E,'Investor Exit List'!$C363,Investors!$L:$L,'Investor Exit List'!$B363))</f>
        <v>626784.24657534249</v>
      </c>
      <c r="R363" s="117">
        <f t="shared" si="65"/>
        <v>0</v>
      </c>
      <c r="S363" s="117">
        <f>SUMIFS(Investors!$M:$M,Investors!$O:$O,TRUE,Investors!$A:$A,'Investor Exit List'!$A363,Investors!$E:$E,'Investor Exit List'!$C363,Investors!$L:$L,'Investor Exit List'!$B363)+SUMIFS(Investors!$S:$S,Investors!$O:$O,TRUE,Investors!$A:$A,'Investor Exit List'!$A363,Investors!$E:$E,'Investor Exit List'!$C363,Investors!$L:$L,'Investor Exit List'!$B363)</f>
        <v>0</v>
      </c>
      <c r="T363" s="118" t="str">
        <f t="shared" si="66"/>
        <v/>
      </c>
      <c r="U363" s="116" t="b">
        <v>0</v>
      </c>
      <c r="V363" s="117">
        <f t="shared" si="67"/>
        <v>0</v>
      </c>
      <c r="W363" s="116">
        <v>0</v>
      </c>
      <c r="X363" s="116" t="b">
        <v>0</v>
      </c>
      <c r="Y363" s="119">
        <f>IF(H363=FALSE,VLOOKUP($C363,Sales!$C:$F,4,FALSE),1)</f>
        <v>0</v>
      </c>
      <c r="Z363" s="116" t="str">
        <f t="shared" si="68"/>
        <v>Release</v>
      </c>
      <c r="AA363" s="118">
        <f t="shared" si="69"/>
        <v>45639</v>
      </c>
      <c r="AB363" s="118" t="str">
        <f t="shared" si="70"/>
        <v>HVK101-ZMIN01</v>
      </c>
      <c r="AC363" s="118">
        <f t="shared" si="71"/>
        <v>45746</v>
      </c>
    </row>
    <row r="364" spans="1:29" ht="16" x14ac:dyDescent="0.2">
      <c r="A364" s="116" t="s">
        <v>419</v>
      </c>
      <c r="B364" s="116">
        <v>8</v>
      </c>
      <c r="C364" s="116" t="s">
        <v>749</v>
      </c>
      <c r="D364" s="116" t="s">
        <v>750</v>
      </c>
      <c r="E364" s="116" t="s">
        <v>2123</v>
      </c>
      <c r="F364" s="117">
        <f>SUMIFS(Investors!$M:$M,Investors!$O:$O,FALSE,Investors!$P:$P,FALSE,Investors!$K:$K,"&gt;"&amp;'NSST Print'!$B$3,Investors!$I:$I,"&lt;="&amp;'NSST Print'!$B$3,Investors!$A:$A,'Investor Exit List'!$A364,Investors!$E:$E,'Investor Exit List'!$C364,Investors!$L:$L,'Investor Exit List'!$B364)-(SUMIFS(Investors!$M:$M,Investors!$I:$I,"&lt;="&amp;'NSST Print'!$B$3,Investors!$J:$J,"&gt;"&amp;'NSST Print'!$B$3,Investors!$A:$A,'Investor Exit List'!$A364,Investors!$E:$E,'Investor Exit List'!$C364,Investors!$L:$L,'Investor Exit List'!$B364)+SUMIFS(Investors!$M:$M,Investors!$I:$I,"&lt;="&amp;'NSST Print'!$B$3,Investors!$J:$J,"",Investors!$A:$A,'Investor Exit List'!$A364,Investors!$E:$E,'Investor Exit List'!$C364,Investors!$L:$L,'Investor Exit List'!$B364))</f>
        <v>288000</v>
      </c>
      <c r="G364" s="118">
        <v>44909</v>
      </c>
      <c r="H364" s="116" t="b">
        <f>VLOOKUP($C364,Sales!$C:$E,2,FALSE)</f>
        <v>0</v>
      </c>
      <c r="I364" s="116" t="b">
        <f>VLOOKUP($C364,Sales!$C:$E,3,FALSE)</f>
        <v>0</v>
      </c>
      <c r="J364" s="118">
        <f>SUMIFS(Sales!$H:$H,Sales!$C:$C,'Investor Exit List'!$C364)</f>
        <v>45625</v>
      </c>
      <c r="K364" s="118" t="str">
        <f t="shared" si="60"/>
        <v/>
      </c>
      <c r="L364" s="118">
        <f t="shared" si="61"/>
        <v>45639</v>
      </c>
      <c r="M364" s="118">
        <v>45443</v>
      </c>
      <c r="N364" s="119">
        <f t="shared" si="62"/>
        <v>196</v>
      </c>
      <c r="O364" s="119">
        <f t="shared" si="63"/>
        <v>0</v>
      </c>
      <c r="P364" s="117">
        <f t="shared" si="64"/>
        <v>0</v>
      </c>
      <c r="Q364" s="117">
        <f>SUMIFS(Investors!$M:$M,Investors!$O:$O,FALSE,Investors!$P:$P,FALSE,Investors!$K:$K,"&gt;"&amp;'NSST Print'!$B$3,Investors!$I:$I,"&lt;="&amp;'NSST Print'!$B$3,Investors!$A:$A,'Investor Exit List'!$A364,Investors!$E:$E,'Investor Exit List'!$C364,Investors!$L:$L,'Investor Exit List'!$B364)-(SUMIFS(Investors!$M:$M,Investors!$I:$I,"&lt;="&amp;'NSST Print'!$B$3,Investors!$J:$J,"&gt;"&amp;'NSST Print'!$B$3,Investors!$A:$A,'Investor Exit List'!$A364,Investors!$E:$E,'Investor Exit List'!$C364,Investors!$L:$L,'Investor Exit List'!$B364)+SUMIFS(Investors!$M:$M,Investors!$I:$I,"&lt;="&amp;'NSST Print'!$B$3,Investors!$J:$J,"",Investors!$A:$A,'Investor Exit List'!$A364,Investors!$E:$E,'Investor Exit List'!$C364,Investors!$L:$L,'Investor Exit List'!$B364))+SUMIFS(Investors!$S:$S,Investors!$O:$O,FALSE,Investors!$P:$P,FALSE,Investors!$K:$K,"&gt;"&amp;'NSST Print'!$B$3,Investors!$I:$I,"&lt;="&amp;'NSST Print'!$B$3,Investors!$A:$A,'Investor Exit List'!$A364,Investors!$E:$E,'Investor Exit List'!$C364,Investors!$L:$L,'Investor Exit List'!$B364)-(SUMIFS(Investors!$S:$S,Investors!$I:$I,"&lt;="&amp;'NSST Print'!$B$3,Investors!$J:$J,"&gt;"&amp;'NSST Print'!$B$3,Investors!$A:$A,'Investor Exit List'!$A364,Investors!$E:$E,'Investor Exit List'!$C364,Investors!$L:$L,'Investor Exit List'!$B364)+SUMIFS(Investors!$S:$S,Investors!$I:$I,"&lt;="&amp;'NSST Print'!$B$3,Investors!$J:$J,"",Investors!$A:$A,'Investor Exit List'!$A364,Investors!$E:$E,'Investor Exit List'!$C364,Investors!$L:$L,'Investor Exit List'!$B364))</f>
        <v>381110.79452054796</v>
      </c>
      <c r="R364" s="117">
        <f t="shared" si="65"/>
        <v>0</v>
      </c>
      <c r="S364" s="117">
        <f>SUMIFS(Investors!$M:$M,Investors!$O:$O,TRUE,Investors!$A:$A,'Investor Exit List'!$A364,Investors!$E:$E,'Investor Exit List'!$C364,Investors!$L:$L,'Investor Exit List'!$B364)+SUMIFS(Investors!$S:$S,Investors!$O:$O,TRUE,Investors!$A:$A,'Investor Exit List'!$A364,Investors!$E:$E,'Investor Exit List'!$C364,Investors!$L:$L,'Investor Exit List'!$B364)</f>
        <v>0</v>
      </c>
      <c r="T364" s="118" t="str">
        <f t="shared" si="66"/>
        <v/>
      </c>
      <c r="U364" s="116" t="b">
        <v>0</v>
      </c>
      <c r="V364" s="117">
        <f t="shared" si="67"/>
        <v>0</v>
      </c>
      <c r="W364" s="116">
        <v>0</v>
      </c>
      <c r="X364" s="116" t="b">
        <v>0</v>
      </c>
      <c r="Y364" s="119">
        <f>IF(H364=FALSE,VLOOKUP($C364,Sales!$C:$F,4,FALSE),1)</f>
        <v>0</v>
      </c>
      <c r="Z364" s="116" t="str">
        <f t="shared" si="68"/>
        <v>Release</v>
      </c>
      <c r="AA364" s="118">
        <f t="shared" si="69"/>
        <v>45639</v>
      </c>
      <c r="AB364" s="118" t="str">
        <f t="shared" si="70"/>
        <v>HVK101-ZRIT01</v>
      </c>
      <c r="AC364" s="118">
        <f t="shared" si="71"/>
        <v>45639</v>
      </c>
    </row>
    <row r="365" spans="1:29" ht="16" x14ac:dyDescent="0.2">
      <c r="A365" s="116" t="s">
        <v>485</v>
      </c>
      <c r="B365" s="116">
        <v>5</v>
      </c>
      <c r="C365" s="116" t="s">
        <v>751</v>
      </c>
      <c r="D365" s="116" t="s">
        <v>750</v>
      </c>
      <c r="E365" s="116" t="s">
        <v>2143</v>
      </c>
      <c r="F365" s="117">
        <f>SUMIFS(Investors!$M:$M,Investors!$O:$O,FALSE,Investors!$P:$P,FALSE,Investors!$K:$K,"&gt;"&amp;'NSST Print'!$B$3,Investors!$I:$I,"&lt;="&amp;'NSST Print'!$B$3,Investors!$A:$A,'Investor Exit List'!$A365,Investors!$E:$E,'Investor Exit List'!$C365,Investors!$L:$L,'Investor Exit List'!$B365)-(SUMIFS(Investors!$M:$M,Investors!$I:$I,"&lt;="&amp;'NSST Print'!$B$3,Investors!$J:$J,"&gt;"&amp;'NSST Print'!$B$3,Investors!$A:$A,'Investor Exit List'!$A365,Investors!$E:$E,'Investor Exit List'!$C365,Investors!$L:$L,'Investor Exit List'!$B365)+SUMIFS(Investors!$M:$M,Investors!$I:$I,"&lt;="&amp;'NSST Print'!$B$3,Investors!$J:$J,"",Investors!$A:$A,'Investor Exit List'!$A365,Investors!$E:$E,'Investor Exit List'!$C365,Investors!$L:$L,'Investor Exit List'!$B365))</f>
        <v>1100000</v>
      </c>
      <c r="G365" s="118">
        <v>44909</v>
      </c>
      <c r="H365" s="116" t="b">
        <f>VLOOKUP($C365,Sales!$C:$E,2,FALSE)</f>
        <v>0</v>
      </c>
      <c r="I365" s="116" t="b">
        <f>VLOOKUP($C365,Sales!$C:$E,3,FALSE)</f>
        <v>0</v>
      </c>
      <c r="J365" s="118">
        <f>SUMIFS(Sales!$H:$H,Sales!$C:$C,'Investor Exit List'!$C365)</f>
        <v>45625</v>
      </c>
      <c r="K365" s="118" t="str">
        <f t="shared" si="60"/>
        <v/>
      </c>
      <c r="L365" s="118">
        <f t="shared" si="61"/>
        <v>45639</v>
      </c>
      <c r="M365" s="118">
        <v>45443</v>
      </c>
      <c r="N365" s="119">
        <f t="shared" si="62"/>
        <v>196</v>
      </c>
      <c r="O365" s="119">
        <f t="shared" si="63"/>
        <v>0</v>
      </c>
      <c r="P365" s="117">
        <f t="shared" si="64"/>
        <v>0</v>
      </c>
      <c r="Q365" s="117">
        <f>SUMIFS(Investors!$M:$M,Investors!$O:$O,FALSE,Investors!$P:$P,FALSE,Investors!$K:$K,"&gt;"&amp;'NSST Print'!$B$3,Investors!$I:$I,"&lt;="&amp;'NSST Print'!$B$3,Investors!$A:$A,'Investor Exit List'!$A365,Investors!$E:$E,'Investor Exit List'!$C365,Investors!$L:$L,'Investor Exit List'!$B365)-(SUMIFS(Investors!$M:$M,Investors!$I:$I,"&lt;="&amp;'NSST Print'!$B$3,Investors!$J:$J,"&gt;"&amp;'NSST Print'!$B$3,Investors!$A:$A,'Investor Exit List'!$A365,Investors!$E:$E,'Investor Exit List'!$C365,Investors!$L:$L,'Investor Exit List'!$B365)+SUMIFS(Investors!$M:$M,Investors!$I:$I,"&lt;="&amp;'NSST Print'!$B$3,Investors!$J:$J,"",Investors!$A:$A,'Investor Exit List'!$A365,Investors!$E:$E,'Investor Exit List'!$C365,Investors!$L:$L,'Investor Exit List'!$B365))+SUMIFS(Investors!$S:$S,Investors!$O:$O,FALSE,Investors!$P:$P,FALSE,Investors!$K:$K,"&gt;"&amp;'NSST Print'!$B$3,Investors!$I:$I,"&lt;="&amp;'NSST Print'!$B$3,Investors!$A:$A,'Investor Exit List'!$A365,Investors!$E:$E,'Investor Exit List'!$C365,Investors!$L:$L,'Investor Exit List'!$B365)-(SUMIFS(Investors!$S:$S,Investors!$I:$I,"&lt;="&amp;'NSST Print'!$B$3,Investors!$J:$J,"&gt;"&amp;'NSST Print'!$B$3,Investors!$A:$A,'Investor Exit List'!$A365,Investors!$E:$E,'Investor Exit List'!$C365,Investors!$L:$L,'Investor Exit List'!$B365)+SUMIFS(Investors!$S:$S,Investors!$I:$I,"&lt;="&amp;'NSST Print'!$B$3,Investors!$J:$J,"",Investors!$A:$A,'Investor Exit List'!$A365,Investors!$E:$E,'Investor Exit List'!$C365,Investors!$L:$L,'Investor Exit List'!$B365))</f>
        <v>1457530.1369863013</v>
      </c>
      <c r="R365" s="117">
        <f t="shared" si="65"/>
        <v>0</v>
      </c>
      <c r="S365" s="117">
        <f>SUMIFS(Investors!$M:$M,Investors!$O:$O,TRUE,Investors!$A:$A,'Investor Exit List'!$A365,Investors!$E:$E,'Investor Exit List'!$C365,Investors!$L:$L,'Investor Exit List'!$B365)+SUMIFS(Investors!$S:$S,Investors!$O:$O,TRUE,Investors!$A:$A,'Investor Exit List'!$A365,Investors!$E:$E,'Investor Exit List'!$C365,Investors!$L:$L,'Investor Exit List'!$B365)</f>
        <v>0</v>
      </c>
      <c r="T365" s="118" t="str">
        <f t="shared" si="66"/>
        <v/>
      </c>
      <c r="U365" s="116" t="b">
        <v>0</v>
      </c>
      <c r="V365" s="117">
        <f t="shared" si="67"/>
        <v>0</v>
      </c>
      <c r="W365" s="116">
        <v>0</v>
      </c>
      <c r="X365" s="116" t="b">
        <v>0</v>
      </c>
      <c r="Y365" s="119">
        <f>IF(H365=FALSE,VLOOKUP($C365,Sales!$C:$F,4,FALSE),1)</f>
        <v>0</v>
      </c>
      <c r="Z365" s="116" t="str">
        <f t="shared" si="68"/>
        <v>Release</v>
      </c>
      <c r="AA365" s="118">
        <f t="shared" si="69"/>
        <v>45639</v>
      </c>
      <c r="AB365" s="118" t="str">
        <f t="shared" si="70"/>
        <v>HVK102-ZVAN05</v>
      </c>
      <c r="AC365" s="118">
        <f t="shared" si="71"/>
        <v>45639</v>
      </c>
    </row>
    <row r="366" spans="1:29" ht="16" x14ac:dyDescent="0.2">
      <c r="A366" s="116" t="s">
        <v>52</v>
      </c>
      <c r="B366" s="116">
        <v>7</v>
      </c>
      <c r="C366" s="116" t="s">
        <v>752</v>
      </c>
      <c r="D366" s="116" t="s">
        <v>750</v>
      </c>
      <c r="E366" s="116" t="s">
        <v>2017</v>
      </c>
      <c r="F366" s="117">
        <f>SUMIFS(Investors!$M:$M,Investors!$O:$O,FALSE,Investors!$P:$P,FALSE,Investors!$K:$K,"&gt;"&amp;'NSST Print'!$B$3,Investors!$I:$I,"&lt;="&amp;'NSST Print'!$B$3,Investors!$A:$A,'Investor Exit List'!$A366,Investors!$E:$E,'Investor Exit List'!$C366,Investors!$L:$L,'Investor Exit List'!$B366)-(SUMIFS(Investors!$M:$M,Investors!$I:$I,"&lt;="&amp;'NSST Print'!$B$3,Investors!$J:$J,"&gt;"&amp;'NSST Print'!$B$3,Investors!$A:$A,'Investor Exit List'!$A366,Investors!$E:$E,'Investor Exit List'!$C366,Investors!$L:$L,'Investor Exit List'!$B366)+SUMIFS(Investors!$M:$M,Investors!$I:$I,"&lt;="&amp;'NSST Print'!$B$3,Investors!$J:$J,"",Investors!$A:$A,'Investor Exit List'!$A366,Investors!$E:$E,'Investor Exit List'!$C366,Investors!$L:$L,'Investor Exit List'!$B366))</f>
        <v>110000</v>
      </c>
      <c r="G366" s="118">
        <v>44967</v>
      </c>
      <c r="H366" s="116" t="b">
        <f>VLOOKUP($C366,Sales!$C:$E,2,FALSE)</f>
        <v>0</v>
      </c>
      <c r="I366" s="116" t="b">
        <f>VLOOKUP($C366,Sales!$C:$E,3,FALSE)</f>
        <v>0</v>
      </c>
      <c r="J366" s="118">
        <f>SUMIFS(Sales!$H:$H,Sales!$C:$C,'Investor Exit List'!$C366)</f>
        <v>45625</v>
      </c>
      <c r="K366" s="118" t="str">
        <f t="shared" si="60"/>
        <v/>
      </c>
      <c r="L366" s="118">
        <f t="shared" si="61"/>
        <v>45697</v>
      </c>
      <c r="M366" s="118">
        <v>45443</v>
      </c>
      <c r="N366" s="119">
        <f t="shared" si="62"/>
        <v>254</v>
      </c>
      <c r="O366" s="119">
        <f t="shared" si="63"/>
        <v>0</v>
      </c>
      <c r="P366" s="117">
        <f t="shared" si="64"/>
        <v>0</v>
      </c>
      <c r="Q366" s="117">
        <f>SUMIFS(Investors!$M:$M,Investors!$O:$O,FALSE,Investors!$P:$P,FALSE,Investors!$K:$K,"&gt;"&amp;'NSST Print'!$B$3,Investors!$I:$I,"&lt;="&amp;'NSST Print'!$B$3,Investors!$A:$A,'Investor Exit List'!$A366,Investors!$E:$E,'Investor Exit List'!$C366,Investors!$L:$L,'Investor Exit List'!$B366)-(SUMIFS(Investors!$M:$M,Investors!$I:$I,"&lt;="&amp;'NSST Print'!$B$3,Investors!$J:$J,"&gt;"&amp;'NSST Print'!$B$3,Investors!$A:$A,'Investor Exit List'!$A366,Investors!$E:$E,'Investor Exit List'!$C366,Investors!$L:$L,'Investor Exit List'!$B366)+SUMIFS(Investors!$M:$M,Investors!$I:$I,"&lt;="&amp;'NSST Print'!$B$3,Investors!$J:$J,"",Investors!$A:$A,'Investor Exit List'!$A366,Investors!$E:$E,'Investor Exit List'!$C366,Investors!$L:$L,'Investor Exit List'!$B366))+SUMIFS(Investors!$S:$S,Investors!$O:$O,FALSE,Investors!$P:$P,FALSE,Investors!$K:$K,"&gt;"&amp;'NSST Print'!$B$3,Investors!$I:$I,"&lt;="&amp;'NSST Print'!$B$3,Investors!$A:$A,'Investor Exit List'!$A366,Investors!$E:$E,'Investor Exit List'!$C366,Investors!$L:$L,'Investor Exit List'!$B366)-(SUMIFS(Investors!$S:$S,Investors!$I:$I,"&lt;="&amp;'NSST Print'!$B$3,Investors!$J:$J,"&gt;"&amp;'NSST Print'!$B$3,Investors!$A:$A,'Investor Exit List'!$A366,Investors!$E:$E,'Investor Exit List'!$C366,Investors!$L:$L,'Investor Exit List'!$B366)+SUMIFS(Investors!$S:$S,Investors!$I:$I,"&lt;="&amp;'NSST Print'!$B$3,Investors!$J:$J,"",Investors!$A:$A,'Investor Exit List'!$A366,Investors!$E:$E,'Investor Exit List'!$C366,Investors!$L:$L,'Investor Exit List'!$B366))</f>
        <v>144139.93150684933</v>
      </c>
      <c r="R366" s="117">
        <f t="shared" si="65"/>
        <v>0</v>
      </c>
      <c r="S366" s="117">
        <f>SUMIFS(Investors!$M:$M,Investors!$O:$O,TRUE,Investors!$A:$A,'Investor Exit List'!$A366,Investors!$E:$E,'Investor Exit List'!$C366,Investors!$L:$L,'Investor Exit List'!$B366)+SUMIFS(Investors!$S:$S,Investors!$O:$O,TRUE,Investors!$A:$A,'Investor Exit List'!$A366,Investors!$E:$E,'Investor Exit List'!$C366,Investors!$L:$L,'Investor Exit List'!$B366)</f>
        <v>0</v>
      </c>
      <c r="T366" s="118" t="str">
        <f t="shared" si="66"/>
        <v/>
      </c>
      <c r="U366" s="116" t="b">
        <v>0</v>
      </c>
      <c r="V366" s="117">
        <f t="shared" si="67"/>
        <v>0</v>
      </c>
      <c r="W366" s="116">
        <v>0</v>
      </c>
      <c r="X366" s="116" t="b">
        <v>0</v>
      </c>
      <c r="Y366" s="119">
        <f>IF(H366=FALSE,VLOOKUP($C366,Sales!$C:$F,4,FALSE),1)</f>
        <v>0</v>
      </c>
      <c r="Z366" s="116" t="str">
        <f t="shared" si="68"/>
        <v>Release</v>
      </c>
      <c r="AA366" s="118">
        <f t="shared" si="69"/>
        <v>45646</v>
      </c>
      <c r="AB366" s="118" t="str">
        <f t="shared" si="70"/>
        <v>HVK103-ZCRO01</v>
      </c>
      <c r="AC366" s="118">
        <f t="shared" si="71"/>
        <v>45697</v>
      </c>
    </row>
    <row r="367" spans="1:29" ht="16" x14ac:dyDescent="0.2">
      <c r="A367" s="116" t="s">
        <v>82</v>
      </c>
      <c r="B367" s="116">
        <v>3</v>
      </c>
      <c r="C367" s="116" t="s">
        <v>752</v>
      </c>
      <c r="D367" s="116" t="s">
        <v>750</v>
      </c>
      <c r="E367" s="116" t="s">
        <v>2026</v>
      </c>
      <c r="F367" s="117">
        <f>SUMIFS(Investors!$M:$M,Investors!$O:$O,FALSE,Investors!$P:$P,FALSE,Investors!$K:$K,"&gt;"&amp;'NSST Print'!$B$3,Investors!$I:$I,"&lt;="&amp;'NSST Print'!$B$3,Investors!$A:$A,'Investor Exit List'!$A367,Investors!$E:$E,'Investor Exit List'!$C367,Investors!$L:$L,'Investor Exit List'!$B367)-(SUMIFS(Investors!$M:$M,Investors!$I:$I,"&lt;="&amp;'NSST Print'!$B$3,Investors!$J:$J,"&gt;"&amp;'NSST Print'!$B$3,Investors!$A:$A,'Investor Exit List'!$A367,Investors!$E:$E,'Investor Exit List'!$C367,Investors!$L:$L,'Investor Exit List'!$B367)+SUMIFS(Investors!$M:$M,Investors!$I:$I,"&lt;="&amp;'NSST Print'!$B$3,Investors!$J:$J,"",Investors!$A:$A,'Investor Exit List'!$A367,Investors!$E:$E,'Investor Exit List'!$C367,Investors!$L:$L,'Investor Exit List'!$B367))</f>
        <v>423120.71</v>
      </c>
      <c r="G367" s="118">
        <v>44916</v>
      </c>
      <c r="H367" s="116" t="b">
        <f>VLOOKUP($C367,Sales!$C:$E,2,FALSE)</f>
        <v>0</v>
      </c>
      <c r="I367" s="116" t="b">
        <f>VLOOKUP($C367,Sales!$C:$E,3,FALSE)</f>
        <v>0</v>
      </c>
      <c r="J367" s="118">
        <f>SUMIFS(Sales!$H:$H,Sales!$C:$C,'Investor Exit List'!$C367)</f>
        <v>45625</v>
      </c>
      <c r="K367" s="118" t="str">
        <f t="shared" si="60"/>
        <v/>
      </c>
      <c r="L367" s="118">
        <f t="shared" si="61"/>
        <v>45646</v>
      </c>
      <c r="M367" s="118">
        <v>45443</v>
      </c>
      <c r="N367" s="119">
        <f t="shared" si="62"/>
        <v>203</v>
      </c>
      <c r="O367" s="119">
        <f t="shared" si="63"/>
        <v>0</v>
      </c>
      <c r="P367" s="117">
        <f t="shared" si="64"/>
        <v>0</v>
      </c>
      <c r="Q367" s="117">
        <f>SUMIFS(Investors!$M:$M,Investors!$O:$O,FALSE,Investors!$P:$P,FALSE,Investors!$K:$K,"&gt;"&amp;'NSST Print'!$B$3,Investors!$I:$I,"&lt;="&amp;'NSST Print'!$B$3,Investors!$A:$A,'Investor Exit List'!$A367,Investors!$E:$E,'Investor Exit List'!$C367,Investors!$L:$L,'Investor Exit List'!$B367)-(SUMIFS(Investors!$M:$M,Investors!$I:$I,"&lt;="&amp;'NSST Print'!$B$3,Investors!$J:$J,"&gt;"&amp;'NSST Print'!$B$3,Investors!$A:$A,'Investor Exit List'!$A367,Investors!$E:$E,'Investor Exit List'!$C367,Investors!$L:$L,'Investor Exit List'!$B367)+SUMIFS(Investors!$M:$M,Investors!$I:$I,"&lt;="&amp;'NSST Print'!$B$3,Investors!$J:$J,"",Investors!$A:$A,'Investor Exit List'!$A367,Investors!$E:$E,'Investor Exit List'!$C367,Investors!$L:$L,'Investor Exit List'!$B367))+SUMIFS(Investors!$S:$S,Investors!$O:$O,FALSE,Investors!$P:$P,FALSE,Investors!$K:$K,"&gt;"&amp;'NSST Print'!$B$3,Investors!$I:$I,"&lt;="&amp;'NSST Print'!$B$3,Investors!$A:$A,'Investor Exit List'!$A367,Investors!$E:$E,'Investor Exit List'!$C367,Investors!$L:$L,'Investor Exit List'!$B367)-(SUMIFS(Investors!$S:$S,Investors!$I:$I,"&lt;="&amp;'NSST Print'!$B$3,Investors!$J:$J,"&gt;"&amp;'NSST Print'!$B$3,Investors!$A:$A,'Investor Exit List'!$A367,Investors!$E:$E,'Investor Exit List'!$C367,Investors!$L:$L,'Investor Exit List'!$B367)+SUMIFS(Investors!$S:$S,Investors!$I:$I,"&lt;="&amp;'NSST Print'!$B$3,Investors!$J:$J,"",Investors!$A:$A,'Investor Exit List'!$A367,Investors!$E:$E,'Investor Exit List'!$C367,Investors!$L:$L,'Investor Exit List'!$B367))</f>
        <v>529494.9953462329</v>
      </c>
      <c r="R367" s="117">
        <f t="shared" si="65"/>
        <v>0</v>
      </c>
      <c r="S367" s="117">
        <f>SUMIFS(Investors!$M:$M,Investors!$O:$O,TRUE,Investors!$A:$A,'Investor Exit List'!$A367,Investors!$E:$E,'Investor Exit List'!$C367,Investors!$L:$L,'Investor Exit List'!$B367)+SUMIFS(Investors!$S:$S,Investors!$O:$O,TRUE,Investors!$A:$A,'Investor Exit List'!$A367,Investors!$E:$E,'Investor Exit List'!$C367,Investors!$L:$L,'Investor Exit List'!$B367)</f>
        <v>0</v>
      </c>
      <c r="T367" s="118" t="str">
        <f t="shared" si="66"/>
        <v/>
      </c>
      <c r="U367" s="116" t="b">
        <v>0</v>
      </c>
      <c r="V367" s="117">
        <f t="shared" si="67"/>
        <v>0</v>
      </c>
      <c r="W367" s="116">
        <v>0</v>
      </c>
      <c r="X367" s="116" t="b">
        <v>0</v>
      </c>
      <c r="Y367" s="119">
        <f>IF(H367=FALSE,VLOOKUP($C367,Sales!$C:$F,4,FALSE),1)</f>
        <v>0</v>
      </c>
      <c r="Z367" s="116" t="str">
        <f t="shared" si="68"/>
        <v>Release</v>
      </c>
      <c r="AA367" s="118">
        <f t="shared" si="69"/>
        <v>45646</v>
      </c>
      <c r="AB367" s="118" t="str">
        <f t="shared" si="70"/>
        <v>HVK103-ZDAM01</v>
      </c>
      <c r="AC367" s="118">
        <f t="shared" si="71"/>
        <v>45646</v>
      </c>
    </row>
    <row r="368" spans="1:29" ht="16" x14ac:dyDescent="0.2">
      <c r="A368" s="116" t="s">
        <v>34</v>
      </c>
      <c r="B368" s="116">
        <v>2</v>
      </c>
      <c r="C368" s="116" t="s">
        <v>752</v>
      </c>
      <c r="D368" s="116" t="s">
        <v>750</v>
      </c>
      <c r="E368" s="116" t="s">
        <v>2012</v>
      </c>
      <c r="F368" s="117">
        <f>SUMIFS(Investors!$M:$M,Investors!$O:$O,FALSE,Investors!$P:$P,FALSE,Investors!$K:$K,"&gt;"&amp;'NSST Print'!$B$3,Investors!$I:$I,"&lt;="&amp;'NSST Print'!$B$3,Investors!$A:$A,'Investor Exit List'!$A368,Investors!$E:$E,'Investor Exit List'!$C368,Investors!$L:$L,'Investor Exit List'!$B368)-(SUMIFS(Investors!$M:$M,Investors!$I:$I,"&lt;="&amp;'NSST Print'!$B$3,Investors!$J:$J,"&gt;"&amp;'NSST Print'!$B$3,Investors!$A:$A,'Investor Exit List'!$A368,Investors!$E:$E,'Investor Exit List'!$C368,Investors!$L:$L,'Investor Exit List'!$B368)+SUMIFS(Investors!$M:$M,Investors!$I:$I,"&lt;="&amp;'NSST Print'!$B$3,Investors!$J:$J,"",Investors!$A:$A,'Investor Exit List'!$A368,Investors!$E:$E,'Investor Exit List'!$C368,Investors!$L:$L,'Investor Exit List'!$B368))</f>
        <v>200000</v>
      </c>
      <c r="G368" s="118">
        <v>44916</v>
      </c>
      <c r="H368" s="116" t="b">
        <f>VLOOKUP($C368,Sales!$C:$E,2,FALSE)</f>
        <v>0</v>
      </c>
      <c r="I368" s="116" t="b">
        <f>VLOOKUP($C368,Sales!$C:$E,3,FALSE)</f>
        <v>0</v>
      </c>
      <c r="J368" s="118">
        <f>SUMIFS(Sales!$H:$H,Sales!$C:$C,'Investor Exit List'!$C368)</f>
        <v>45625</v>
      </c>
      <c r="K368" s="118" t="str">
        <f t="shared" si="60"/>
        <v/>
      </c>
      <c r="L368" s="118">
        <f t="shared" si="61"/>
        <v>45646</v>
      </c>
      <c r="M368" s="118">
        <v>45443</v>
      </c>
      <c r="N368" s="119">
        <f t="shared" si="62"/>
        <v>203</v>
      </c>
      <c r="O368" s="119">
        <f t="shared" si="63"/>
        <v>0</v>
      </c>
      <c r="P368" s="117">
        <f t="shared" si="64"/>
        <v>0</v>
      </c>
      <c r="Q368" s="117">
        <f>SUMIFS(Investors!$M:$M,Investors!$O:$O,FALSE,Investors!$P:$P,FALSE,Investors!$K:$K,"&gt;"&amp;'NSST Print'!$B$3,Investors!$I:$I,"&lt;="&amp;'NSST Print'!$B$3,Investors!$A:$A,'Investor Exit List'!$A368,Investors!$E:$E,'Investor Exit List'!$C368,Investors!$L:$L,'Investor Exit List'!$B368)-(SUMIFS(Investors!$M:$M,Investors!$I:$I,"&lt;="&amp;'NSST Print'!$B$3,Investors!$J:$J,"&gt;"&amp;'NSST Print'!$B$3,Investors!$A:$A,'Investor Exit List'!$A368,Investors!$E:$E,'Investor Exit List'!$C368,Investors!$L:$L,'Investor Exit List'!$B368)+SUMIFS(Investors!$M:$M,Investors!$I:$I,"&lt;="&amp;'NSST Print'!$B$3,Investors!$J:$J,"",Investors!$A:$A,'Investor Exit List'!$A368,Investors!$E:$E,'Investor Exit List'!$C368,Investors!$L:$L,'Investor Exit List'!$B368))+SUMIFS(Investors!$S:$S,Investors!$O:$O,FALSE,Investors!$P:$P,FALSE,Investors!$K:$K,"&gt;"&amp;'NSST Print'!$B$3,Investors!$I:$I,"&lt;="&amp;'NSST Print'!$B$3,Investors!$A:$A,'Investor Exit List'!$A368,Investors!$E:$E,'Investor Exit List'!$C368,Investors!$L:$L,'Investor Exit List'!$B368)-(SUMIFS(Investors!$S:$S,Investors!$I:$I,"&lt;="&amp;'NSST Print'!$B$3,Investors!$J:$J,"&gt;"&amp;'NSST Print'!$B$3,Investors!$A:$A,'Investor Exit List'!$A368,Investors!$E:$E,'Investor Exit List'!$C368,Investors!$L:$L,'Investor Exit List'!$B368)+SUMIFS(Investors!$S:$S,Investors!$I:$I,"&lt;="&amp;'NSST Print'!$B$3,Investors!$J:$J,"",Investors!$A:$A,'Investor Exit List'!$A368,Investors!$E:$E,'Investor Exit List'!$C368,Investors!$L:$L,'Investor Exit List'!$B368))</f>
        <v>250280.82191780821</v>
      </c>
      <c r="R368" s="117">
        <f t="shared" si="65"/>
        <v>0</v>
      </c>
      <c r="S368" s="117">
        <f>SUMIFS(Investors!$M:$M,Investors!$O:$O,TRUE,Investors!$A:$A,'Investor Exit List'!$A368,Investors!$E:$E,'Investor Exit List'!$C368,Investors!$L:$L,'Investor Exit List'!$B368)+SUMIFS(Investors!$S:$S,Investors!$O:$O,TRUE,Investors!$A:$A,'Investor Exit List'!$A368,Investors!$E:$E,'Investor Exit List'!$C368,Investors!$L:$L,'Investor Exit List'!$B368)</f>
        <v>0</v>
      </c>
      <c r="T368" s="118" t="str">
        <f t="shared" si="66"/>
        <v/>
      </c>
      <c r="U368" s="116" t="b">
        <v>0</v>
      </c>
      <c r="V368" s="117">
        <f t="shared" si="67"/>
        <v>0</v>
      </c>
      <c r="W368" s="116">
        <v>0</v>
      </c>
      <c r="X368" s="116" t="b">
        <v>0</v>
      </c>
      <c r="Y368" s="119">
        <f>IF(H368=FALSE,VLOOKUP($C368,Sales!$C:$F,4,FALSE),1)</f>
        <v>0</v>
      </c>
      <c r="Z368" s="116" t="str">
        <f t="shared" si="68"/>
        <v>Release</v>
      </c>
      <c r="AA368" s="118">
        <f t="shared" si="69"/>
        <v>45646</v>
      </c>
      <c r="AB368" s="118" t="str">
        <f t="shared" si="70"/>
        <v>HVK103-ZELE01</v>
      </c>
      <c r="AC368" s="118">
        <f t="shared" si="71"/>
        <v>45646</v>
      </c>
    </row>
    <row r="369" spans="1:29" ht="16" x14ac:dyDescent="0.2">
      <c r="A369" s="116" t="s">
        <v>69</v>
      </c>
      <c r="B369" s="116">
        <v>5</v>
      </c>
      <c r="C369" s="116" t="s">
        <v>752</v>
      </c>
      <c r="D369" s="116" t="s">
        <v>750</v>
      </c>
      <c r="E369" s="116" t="s">
        <v>2022</v>
      </c>
      <c r="F369" s="117">
        <f>SUMIFS(Investors!$M:$M,Investors!$O:$O,FALSE,Investors!$P:$P,FALSE,Investors!$K:$K,"&gt;"&amp;'NSST Print'!$B$3,Investors!$I:$I,"&lt;="&amp;'NSST Print'!$B$3,Investors!$A:$A,'Investor Exit List'!$A369,Investors!$E:$E,'Investor Exit List'!$C369,Investors!$L:$L,'Investor Exit List'!$B369)-(SUMIFS(Investors!$M:$M,Investors!$I:$I,"&lt;="&amp;'NSST Print'!$B$3,Investors!$J:$J,"&gt;"&amp;'NSST Print'!$B$3,Investors!$A:$A,'Investor Exit List'!$A369,Investors!$E:$E,'Investor Exit List'!$C369,Investors!$L:$L,'Investor Exit List'!$B369)+SUMIFS(Investors!$M:$M,Investors!$I:$I,"&lt;="&amp;'NSST Print'!$B$3,Investors!$J:$J,"",Investors!$A:$A,'Investor Exit List'!$A369,Investors!$E:$E,'Investor Exit List'!$C369,Investors!$L:$L,'Investor Exit List'!$B369))</f>
        <v>110000</v>
      </c>
      <c r="G369" s="118">
        <v>44967</v>
      </c>
      <c r="H369" s="116" t="b">
        <f>VLOOKUP($C369,Sales!$C:$E,2,FALSE)</f>
        <v>0</v>
      </c>
      <c r="I369" s="116" t="b">
        <f>VLOOKUP($C369,Sales!$C:$E,3,FALSE)</f>
        <v>0</v>
      </c>
      <c r="J369" s="118">
        <f>SUMIFS(Sales!$H:$H,Sales!$C:$C,'Investor Exit List'!$C369)</f>
        <v>45625</v>
      </c>
      <c r="K369" s="118" t="str">
        <f t="shared" si="60"/>
        <v/>
      </c>
      <c r="L369" s="118">
        <f t="shared" si="61"/>
        <v>45697</v>
      </c>
      <c r="M369" s="118">
        <v>45443</v>
      </c>
      <c r="N369" s="119">
        <f t="shared" si="62"/>
        <v>254</v>
      </c>
      <c r="O369" s="119">
        <f t="shared" si="63"/>
        <v>0</v>
      </c>
      <c r="P369" s="117">
        <f t="shared" si="64"/>
        <v>0</v>
      </c>
      <c r="Q369" s="117">
        <f>SUMIFS(Investors!$M:$M,Investors!$O:$O,FALSE,Investors!$P:$P,FALSE,Investors!$K:$K,"&gt;"&amp;'NSST Print'!$B$3,Investors!$I:$I,"&lt;="&amp;'NSST Print'!$B$3,Investors!$A:$A,'Investor Exit List'!$A369,Investors!$E:$E,'Investor Exit List'!$C369,Investors!$L:$L,'Investor Exit List'!$B369)-(SUMIFS(Investors!$M:$M,Investors!$I:$I,"&lt;="&amp;'NSST Print'!$B$3,Investors!$J:$J,"&gt;"&amp;'NSST Print'!$B$3,Investors!$A:$A,'Investor Exit List'!$A369,Investors!$E:$E,'Investor Exit List'!$C369,Investors!$L:$L,'Investor Exit List'!$B369)+SUMIFS(Investors!$M:$M,Investors!$I:$I,"&lt;="&amp;'NSST Print'!$B$3,Investors!$J:$J,"",Investors!$A:$A,'Investor Exit List'!$A369,Investors!$E:$E,'Investor Exit List'!$C369,Investors!$L:$L,'Investor Exit List'!$B369))+SUMIFS(Investors!$S:$S,Investors!$O:$O,FALSE,Investors!$P:$P,FALSE,Investors!$K:$K,"&gt;"&amp;'NSST Print'!$B$3,Investors!$I:$I,"&lt;="&amp;'NSST Print'!$B$3,Investors!$A:$A,'Investor Exit List'!$A369,Investors!$E:$E,'Investor Exit List'!$C369,Investors!$L:$L,'Investor Exit List'!$B369)-(SUMIFS(Investors!$S:$S,Investors!$I:$I,"&lt;="&amp;'NSST Print'!$B$3,Investors!$J:$J,"&gt;"&amp;'NSST Print'!$B$3,Investors!$A:$A,'Investor Exit List'!$A369,Investors!$E:$E,'Investor Exit List'!$C369,Investors!$L:$L,'Investor Exit List'!$B369)+SUMIFS(Investors!$S:$S,Investors!$I:$I,"&lt;="&amp;'NSST Print'!$B$3,Investors!$J:$J,"",Investors!$A:$A,'Investor Exit List'!$A369,Investors!$E:$E,'Investor Exit List'!$C369,Investors!$L:$L,'Investor Exit List'!$B369))</f>
        <v>144139.93150684933</v>
      </c>
      <c r="R369" s="117">
        <f t="shared" si="65"/>
        <v>0</v>
      </c>
      <c r="S369" s="117">
        <f>SUMIFS(Investors!$M:$M,Investors!$O:$O,TRUE,Investors!$A:$A,'Investor Exit List'!$A369,Investors!$E:$E,'Investor Exit List'!$C369,Investors!$L:$L,'Investor Exit List'!$B369)+SUMIFS(Investors!$S:$S,Investors!$O:$O,TRUE,Investors!$A:$A,'Investor Exit List'!$A369,Investors!$E:$E,'Investor Exit List'!$C369,Investors!$L:$L,'Investor Exit List'!$B369)</f>
        <v>0</v>
      </c>
      <c r="T369" s="118" t="str">
        <f t="shared" si="66"/>
        <v/>
      </c>
      <c r="U369" s="116" t="b">
        <v>0</v>
      </c>
      <c r="V369" s="117">
        <f t="shared" si="67"/>
        <v>0</v>
      </c>
      <c r="W369" s="116">
        <v>0</v>
      </c>
      <c r="X369" s="116" t="b">
        <v>0</v>
      </c>
      <c r="Y369" s="119">
        <f>IF(H369=FALSE,VLOOKUP($C369,Sales!$C:$F,4,FALSE),1)</f>
        <v>0</v>
      </c>
      <c r="Z369" s="116" t="str">
        <f t="shared" si="68"/>
        <v>Release</v>
      </c>
      <c r="AA369" s="118">
        <f t="shared" si="69"/>
        <v>45646</v>
      </c>
      <c r="AB369" s="118" t="str">
        <f t="shared" si="70"/>
        <v>HVK103-ZJOH01</v>
      </c>
      <c r="AC369" s="118">
        <f t="shared" si="71"/>
        <v>45697</v>
      </c>
    </row>
    <row r="370" spans="1:29" ht="16" x14ac:dyDescent="0.2">
      <c r="A370" s="116" t="s">
        <v>419</v>
      </c>
      <c r="B370" s="116">
        <v>15</v>
      </c>
      <c r="C370" s="116" t="s">
        <v>752</v>
      </c>
      <c r="D370" s="116" t="s">
        <v>750</v>
      </c>
      <c r="E370" s="116" t="s">
        <v>2123</v>
      </c>
      <c r="F370" s="117">
        <f>SUMIFS(Investors!$M:$M,Investors!$O:$O,FALSE,Investors!$P:$P,FALSE,Investors!$K:$K,"&gt;"&amp;'NSST Print'!$B$3,Investors!$I:$I,"&lt;="&amp;'NSST Print'!$B$3,Investors!$A:$A,'Investor Exit List'!$A370,Investors!$E:$E,'Investor Exit List'!$C370,Investors!$L:$L,'Investor Exit List'!$B370)-(SUMIFS(Investors!$M:$M,Investors!$I:$I,"&lt;="&amp;'NSST Print'!$B$3,Investors!$J:$J,"&gt;"&amp;'NSST Print'!$B$3,Investors!$A:$A,'Investor Exit List'!$A370,Investors!$E:$E,'Investor Exit List'!$C370,Investors!$L:$L,'Investor Exit List'!$B370)+SUMIFS(Investors!$M:$M,Investors!$I:$I,"&lt;="&amp;'NSST Print'!$B$3,Investors!$J:$J,"",Investors!$A:$A,'Investor Exit List'!$A370,Investors!$E:$E,'Investor Exit List'!$C370,Investors!$L:$L,'Investor Exit List'!$B370))</f>
        <v>248756.16</v>
      </c>
      <c r="G370" s="118">
        <v>45129</v>
      </c>
      <c r="H370" s="116" t="b">
        <f>VLOOKUP($C370,Sales!$C:$E,2,FALSE)</f>
        <v>0</v>
      </c>
      <c r="I370" s="116" t="b">
        <f>VLOOKUP($C370,Sales!$C:$E,3,FALSE)</f>
        <v>0</v>
      </c>
      <c r="J370" s="118">
        <f>SUMIFS(Sales!$H:$H,Sales!$C:$C,'Investor Exit List'!$C370)</f>
        <v>45625</v>
      </c>
      <c r="K370" s="118" t="str">
        <f t="shared" si="60"/>
        <v/>
      </c>
      <c r="L370" s="118">
        <f t="shared" si="61"/>
        <v>45859</v>
      </c>
      <c r="M370" s="118">
        <v>45443</v>
      </c>
      <c r="N370" s="119">
        <f t="shared" si="62"/>
        <v>416</v>
      </c>
      <c r="O370" s="119">
        <f t="shared" si="63"/>
        <v>0</v>
      </c>
      <c r="P370" s="117">
        <f t="shared" si="64"/>
        <v>0</v>
      </c>
      <c r="Q370" s="117">
        <f>SUMIFS(Investors!$M:$M,Investors!$O:$O,FALSE,Investors!$P:$P,FALSE,Investors!$K:$K,"&gt;"&amp;'NSST Print'!$B$3,Investors!$I:$I,"&lt;="&amp;'NSST Print'!$B$3,Investors!$A:$A,'Investor Exit List'!$A370,Investors!$E:$E,'Investor Exit List'!$C370,Investors!$L:$L,'Investor Exit List'!$B370)-(SUMIFS(Investors!$M:$M,Investors!$I:$I,"&lt;="&amp;'NSST Print'!$B$3,Investors!$J:$J,"&gt;"&amp;'NSST Print'!$B$3,Investors!$A:$A,'Investor Exit List'!$A370,Investors!$E:$E,'Investor Exit List'!$C370,Investors!$L:$L,'Investor Exit List'!$B370)+SUMIFS(Investors!$M:$M,Investors!$I:$I,"&lt;="&amp;'NSST Print'!$B$3,Investors!$J:$J,"",Investors!$A:$A,'Investor Exit List'!$A370,Investors!$E:$E,'Investor Exit List'!$C370,Investors!$L:$L,'Investor Exit List'!$B370))+SUMIFS(Investors!$S:$S,Investors!$O:$O,FALSE,Investors!$P:$P,FALSE,Investors!$K:$K,"&gt;"&amp;'NSST Print'!$B$3,Investors!$I:$I,"&lt;="&amp;'NSST Print'!$B$3,Investors!$A:$A,'Investor Exit List'!$A370,Investors!$E:$E,'Investor Exit List'!$C370,Investors!$L:$L,'Investor Exit List'!$B370)-(SUMIFS(Investors!$S:$S,Investors!$I:$I,"&lt;="&amp;'NSST Print'!$B$3,Investors!$J:$J,"&gt;"&amp;'NSST Print'!$B$3,Investors!$A:$A,'Investor Exit List'!$A370,Investors!$E:$E,'Investor Exit List'!$C370,Investors!$L:$L,'Investor Exit List'!$B370)+SUMIFS(Investors!$S:$S,Investors!$I:$I,"&lt;="&amp;'NSST Print'!$B$3,Investors!$J:$J,"",Investors!$A:$A,'Investor Exit List'!$A370,Investors!$E:$E,'Investor Exit List'!$C370,Investors!$L:$L,'Investor Exit List'!$B370))</f>
        <v>309156.20021917805</v>
      </c>
      <c r="R370" s="117">
        <f t="shared" si="65"/>
        <v>0</v>
      </c>
      <c r="S370" s="117">
        <f>SUMIFS(Investors!$M:$M,Investors!$O:$O,TRUE,Investors!$A:$A,'Investor Exit List'!$A370,Investors!$E:$E,'Investor Exit List'!$C370,Investors!$L:$L,'Investor Exit List'!$B370)+SUMIFS(Investors!$S:$S,Investors!$O:$O,TRUE,Investors!$A:$A,'Investor Exit List'!$A370,Investors!$E:$E,'Investor Exit List'!$C370,Investors!$L:$L,'Investor Exit List'!$B370)</f>
        <v>0</v>
      </c>
      <c r="T370" s="118" t="str">
        <f t="shared" si="66"/>
        <v/>
      </c>
      <c r="U370" s="116" t="b">
        <v>0</v>
      </c>
      <c r="V370" s="117">
        <f t="shared" si="67"/>
        <v>0</v>
      </c>
      <c r="W370" s="116">
        <v>0</v>
      </c>
      <c r="X370" s="116" t="b">
        <v>0</v>
      </c>
      <c r="Y370" s="119">
        <f>IF(H370=FALSE,VLOOKUP($C370,Sales!$C:$F,4,FALSE),1)</f>
        <v>0</v>
      </c>
      <c r="Z370" s="116" t="str">
        <f t="shared" si="68"/>
        <v>Release</v>
      </c>
      <c r="AA370" s="118">
        <f t="shared" si="69"/>
        <v>45646</v>
      </c>
      <c r="AB370" s="118" t="str">
        <f t="shared" si="70"/>
        <v>HVK103-ZRIT01</v>
      </c>
      <c r="AC370" s="118">
        <f t="shared" si="71"/>
        <v>45859</v>
      </c>
    </row>
    <row r="371" spans="1:29" ht="16" x14ac:dyDescent="0.2">
      <c r="A371" s="116" t="s">
        <v>207</v>
      </c>
      <c r="B371" s="116">
        <v>10</v>
      </c>
      <c r="C371" s="116" t="s">
        <v>753</v>
      </c>
      <c r="D371" s="116" t="s">
        <v>750</v>
      </c>
      <c r="E371" s="116" t="s">
        <v>2017</v>
      </c>
      <c r="F371" s="117">
        <f>SUMIFS(Investors!$M:$M,Investors!$O:$O,FALSE,Investors!$P:$P,FALSE,Investors!$K:$K,"&gt;"&amp;'NSST Print'!$B$3,Investors!$I:$I,"&lt;="&amp;'NSST Print'!$B$3,Investors!$A:$A,'Investor Exit List'!$A371,Investors!$E:$E,'Investor Exit List'!$C371,Investors!$L:$L,'Investor Exit List'!$B371)-(SUMIFS(Investors!$M:$M,Investors!$I:$I,"&lt;="&amp;'NSST Print'!$B$3,Investors!$J:$J,"&gt;"&amp;'NSST Print'!$B$3,Investors!$A:$A,'Investor Exit List'!$A371,Investors!$E:$E,'Investor Exit List'!$C371,Investors!$L:$L,'Investor Exit List'!$B371)+SUMIFS(Investors!$M:$M,Investors!$I:$I,"&lt;="&amp;'NSST Print'!$B$3,Investors!$J:$J,"",Investors!$A:$A,'Investor Exit List'!$A371,Investors!$E:$E,'Investor Exit List'!$C371,Investors!$L:$L,'Investor Exit List'!$B371))</f>
        <v>100000</v>
      </c>
      <c r="G371" s="118">
        <v>44980</v>
      </c>
      <c r="H371" s="116" t="b">
        <f>VLOOKUP($C371,Sales!$C:$E,2,FALSE)</f>
        <v>0</v>
      </c>
      <c r="I371" s="116" t="b">
        <f>VLOOKUP($C371,Sales!$C:$E,3,FALSE)</f>
        <v>0</v>
      </c>
      <c r="J371" s="118">
        <f>SUMIFS(Sales!$H:$H,Sales!$C:$C,'Investor Exit List'!$C371)</f>
        <v>45625</v>
      </c>
      <c r="K371" s="118" t="str">
        <f t="shared" si="60"/>
        <v/>
      </c>
      <c r="L371" s="118">
        <f t="shared" si="61"/>
        <v>45710</v>
      </c>
      <c r="M371" s="118">
        <v>45443</v>
      </c>
      <c r="N371" s="119">
        <f t="shared" si="62"/>
        <v>267</v>
      </c>
      <c r="O371" s="119">
        <f t="shared" si="63"/>
        <v>0</v>
      </c>
      <c r="P371" s="117">
        <f t="shared" si="64"/>
        <v>0</v>
      </c>
      <c r="Q371" s="117">
        <f>SUMIFS(Investors!$M:$M,Investors!$O:$O,FALSE,Investors!$P:$P,FALSE,Investors!$K:$K,"&gt;"&amp;'NSST Print'!$B$3,Investors!$I:$I,"&lt;="&amp;'NSST Print'!$B$3,Investors!$A:$A,'Investor Exit List'!$A371,Investors!$E:$E,'Investor Exit List'!$C371,Investors!$L:$L,'Investor Exit List'!$B371)-(SUMIFS(Investors!$M:$M,Investors!$I:$I,"&lt;="&amp;'NSST Print'!$B$3,Investors!$J:$J,"&gt;"&amp;'NSST Print'!$B$3,Investors!$A:$A,'Investor Exit List'!$A371,Investors!$E:$E,'Investor Exit List'!$C371,Investors!$L:$L,'Investor Exit List'!$B371)+SUMIFS(Investors!$M:$M,Investors!$I:$I,"&lt;="&amp;'NSST Print'!$B$3,Investors!$J:$J,"",Investors!$A:$A,'Investor Exit List'!$A371,Investors!$E:$E,'Investor Exit List'!$C371,Investors!$L:$L,'Investor Exit List'!$B371))+SUMIFS(Investors!$S:$S,Investors!$O:$O,FALSE,Investors!$P:$P,FALSE,Investors!$K:$K,"&gt;"&amp;'NSST Print'!$B$3,Investors!$I:$I,"&lt;="&amp;'NSST Print'!$B$3,Investors!$A:$A,'Investor Exit List'!$A371,Investors!$E:$E,'Investor Exit List'!$C371,Investors!$L:$L,'Investor Exit List'!$B371)-(SUMIFS(Investors!$S:$S,Investors!$I:$I,"&lt;="&amp;'NSST Print'!$B$3,Investors!$J:$J,"&gt;"&amp;'NSST Print'!$B$3,Investors!$A:$A,'Investor Exit List'!$A371,Investors!$E:$E,'Investor Exit List'!$C371,Investors!$L:$L,'Investor Exit List'!$B371)+SUMIFS(Investors!$S:$S,Investors!$I:$I,"&lt;="&amp;'NSST Print'!$B$3,Investors!$J:$J,"",Investors!$A:$A,'Investor Exit List'!$A371,Investors!$E:$E,'Investor Exit List'!$C371,Investors!$L:$L,'Investor Exit List'!$B371))</f>
        <v>130591.09589041096</v>
      </c>
      <c r="R371" s="117">
        <f t="shared" si="65"/>
        <v>0</v>
      </c>
      <c r="S371" s="117">
        <f>SUMIFS(Investors!$M:$M,Investors!$O:$O,TRUE,Investors!$A:$A,'Investor Exit List'!$A371,Investors!$E:$E,'Investor Exit List'!$C371,Investors!$L:$L,'Investor Exit List'!$B371)+SUMIFS(Investors!$S:$S,Investors!$O:$O,TRUE,Investors!$A:$A,'Investor Exit List'!$A371,Investors!$E:$E,'Investor Exit List'!$C371,Investors!$L:$L,'Investor Exit List'!$B371)</f>
        <v>0</v>
      </c>
      <c r="T371" s="118" t="str">
        <f t="shared" si="66"/>
        <v/>
      </c>
      <c r="U371" s="116" t="b">
        <v>0</v>
      </c>
      <c r="V371" s="117">
        <f t="shared" si="67"/>
        <v>0</v>
      </c>
      <c r="W371" s="116">
        <v>0</v>
      </c>
      <c r="X371" s="116" t="b">
        <v>0</v>
      </c>
      <c r="Y371" s="119">
        <f>IF(H371=FALSE,VLOOKUP($C371,Sales!$C:$F,4,FALSE),1)</f>
        <v>0</v>
      </c>
      <c r="Z371" s="116" t="str">
        <f t="shared" si="68"/>
        <v>Release</v>
      </c>
      <c r="AA371" s="118">
        <f t="shared" si="69"/>
        <v>45710</v>
      </c>
      <c r="AB371" s="118" t="str">
        <f t="shared" si="70"/>
        <v>HVK104-ZINT01</v>
      </c>
      <c r="AC371" s="118">
        <f t="shared" si="71"/>
        <v>45710</v>
      </c>
    </row>
    <row r="372" spans="1:29" ht="16" x14ac:dyDescent="0.2">
      <c r="A372" s="116" t="s">
        <v>663</v>
      </c>
      <c r="B372" s="116">
        <v>4</v>
      </c>
      <c r="C372" s="116" t="s">
        <v>753</v>
      </c>
      <c r="D372" s="116" t="s">
        <v>750</v>
      </c>
      <c r="E372" s="116" t="s">
        <v>2188</v>
      </c>
      <c r="F372" s="117">
        <f>SUMIFS(Investors!$M:$M,Investors!$O:$O,FALSE,Investors!$P:$P,FALSE,Investors!$K:$K,"&gt;"&amp;'NSST Print'!$B$3,Investors!$I:$I,"&lt;="&amp;'NSST Print'!$B$3,Investors!$A:$A,'Investor Exit List'!$A372,Investors!$E:$E,'Investor Exit List'!$C372,Investors!$L:$L,'Investor Exit List'!$B372)-(SUMIFS(Investors!$M:$M,Investors!$I:$I,"&lt;="&amp;'NSST Print'!$B$3,Investors!$J:$J,"&gt;"&amp;'NSST Print'!$B$3,Investors!$A:$A,'Investor Exit List'!$A372,Investors!$E:$E,'Investor Exit List'!$C372,Investors!$L:$L,'Investor Exit List'!$B372)+SUMIFS(Investors!$M:$M,Investors!$I:$I,"&lt;="&amp;'NSST Print'!$B$3,Investors!$J:$J,"",Investors!$A:$A,'Investor Exit List'!$A372,Investors!$E:$E,'Investor Exit List'!$C372,Investors!$L:$L,'Investor Exit List'!$B372))</f>
        <v>1000000</v>
      </c>
      <c r="G372" s="118">
        <v>45044</v>
      </c>
      <c r="H372" s="116" t="b">
        <f>VLOOKUP($C372,Sales!$C:$E,2,FALSE)</f>
        <v>0</v>
      </c>
      <c r="I372" s="116" t="b">
        <f>VLOOKUP($C372,Sales!$C:$E,3,FALSE)</f>
        <v>0</v>
      </c>
      <c r="J372" s="118">
        <f>SUMIFS(Sales!$H:$H,Sales!$C:$C,'Investor Exit List'!$C372)</f>
        <v>45625</v>
      </c>
      <c r="K372" s="118" t="str">
        <f t="shared" si="60"/>
        <v/>
      </c>
      <c r="L372" s="118">
        <f t="shared" si="61"/>
        <v>45774</v>
      </c>
      <c r="M372" s="118">
        <v>45443</v>
      </c>
      <c r="N372" s="119">
        <f t="shared" si="62"/>
        <v>331</v>
      </c>
      <c r="O372" s="119">
        <f t="shared" si="63"/>
        <v>0</v>
      </c>
      <c r="P372" s="117">
        <f t="shared" si="64"/>
        <v>0</v>
      </c>
      <c r="Q372" s="117">
        <f>SUMIFS(Investors!$M:$M,Investors!$O:$O,FALSE,Investors!$P:$P,FALSE,Investors!$K:$K,"&gt;"&amp;'NSST Print'!$B$3,Investors!$I:$I,"&lt;="&amp;'NSST Print'!$B$3,Investors!$A:$A,'Investor Exit List'!$A372,Investors!$E:$E,'Investor Exit List'!$C372,Investors!$L:$L,'Investor Exit List'!$B372)-(SUMIFS(Investors!$M:$M,Investors!$I:$I,"&lt;="&amp;'NSST Print'!$B$3,Investors!$J:$J,"&gt;"&amp;'NSST Print'!$B$3,Investors!$A:$A,'Investor Exit List'!$A372,Investors!$E:$E,'Investor Exit List'!$C372,Investors!$L:$L,'Investor Exit List'!$B372)+SUMIFS(Investors!$M:$M,Investors!$I:$I,"&lt;="&amp;'NSST Print'!$B$3,Investors!$J:$J,"",Investors!$A:$A,'Investor Exit List'!$A372,Investors!$E:$E,'Investor Exit List'!$C372,Investors!$L:$L,'Investor Exit List'!$B372))+SUMIFS(Investors!$S:$S,Investors!$O:$O,FALSE,Investors!$P:$P,FALSE,Investors!$K:$K,"&gt;"&amp;'NSST Print'!$B$3,Investors!$I:$I,"&lt;="&amp;'NSST Print'!$B$3,Investors!$A:$A,'Investor Exit List'!$A372,Investors!$E:$E,'Investor Exit List'!$C372,Investors!$L:$L,'Investor Exit List'!$B372)-(SUMIFS(Investors!$S:$S,Investors!$I:$I,"&lt;="&amp;'NSST Print'!$B$3,Investors!$J:$J,"&gt;"&amp;'NSST Print'!$B$3,Investors!$A:$A,'Investor Exit List'!$A372,Investors!$E:$E,'Investor Exit List'!$C372,Investors!$L:$L,'Investor Exit List'!$B372)+SUMIFS(Investors!$S:$S,Investors!$I:$I,"&lt;="&amp;'NSST Print'!$B$3,Investors!$J:$J,"",Investors!$A:$A,'Investor Exit List'!$A372,Investors!$E:$E,'Investor Exit List'!$C372,Investors!$L:$L,'Investor Exit List'!$B372))</f>
        <v>1278630.1369863015</v>
      </c>
      <c r="R372" s="117">
        <f t="shared" si="65"/>
        <v>0</v>
      </c>
      <c r="S372" s="117">
        <f>SUMIFS(Investors!$M:$M,Investors!$O:$O,TRUE,Investors!$A:$A,'Investor Exit List'!$A372,Investors!$E:$E,'Investor Exit List'!$C372,Investors!$L:$L,'Investor Exit List'!$B372)+SUMIFS(Investors!$S:$S,Investors!$O:$O,TRUE,Investors!$A:$A,'Investor Exit List'!$A372,Investors!$E:$E,'Investor Exit List'!$C372,Investors!$L:$L,'Investor Exit List'!$B372)</f>
        <v>0</v>
      </c>
      <c r="T372" s="118" t="str">
        <f t="shared" si="66"/>
        <v/>
      </c>
      <c r="U372" s="116" t="b">
        <v>0</v>
      </c>
      <c r="V372" s="117">
        <f t="shared" si="67"/>
        <v>0</v>
      </c>
      <c r="W372" s="116">
        <v>0</v>
      </c>
      <c r="X372" s="116" t="b">
        <v>0</v>
      </c>
      <c r="Y372" s="119">
        <f>IF(H372=FALSE,VLOOKUP($C372,Sales!$C:$F,4,FALSE),1)</f>
        <v>0</v>
      </c>
      <c r="Z372" s="116" t="str">
        <f t="shared" si="68"/>
        <v>Release</v>
      </c>
      <c r="AA372" s="118">
        <f t="shared" si="69"/>
        <v>45710</v>
      </c>
      <c r="AB372" s="118" t="str">
        <f t="shared" si="70"/>
        <v>HVK104-ZNIE01</v>
      </c>
      <c r="AC372" s="118">
        <f t="shared" si="71"/>
        <v>45774</v>
      </c>
    </row>
    <row r="373" spans="1:29" ht="16" x14ac:dyDescent="0.2">
      <c r="A373" s="116" t="s">
        <v>133</v>
      </c>
      <c r="B373" s="116">
        <v>2</v>
      </c>
      <c r="C373" s="116" t="s">
        <v>754</v>
      </c>
      <c r="D373" s="116" t="s">
        <v>750</v>
      </c>
      <c r="E373" s="116" t="s">
        <v>2042</v>
      </c>
      <c r="F373" s="117">
        <f>SUMIFS(Investors!$M:$M,Investors!$O:$O,FALSE,Investors!$P:$P,FALSE,Investors!$K:$K,"&gt;"&amp;'NSST Print'!$B$3,Investors!$I:$I,"&lt;="&amp;'NSST Print'!$B$3,Investors!$A:$A,'Investor Exit List'!$A373,Investors!$E:$E,'Investor Exit List'!$C373,Investors!$L:$L,'Investor Exit List'!$B373)-(SUMIFS(Investors!$M:$M,Investors!$I:$I,"&lt;="&amp;'NSST Print'!$B$3,Investors!$J:$J,"&gt;"&amp;'NSST Print'!$B$3,Investors!$A:$A,'Investor Exit List'!$A373,Investors!$E:$E,'Investor Exit List'!$C373,Investors!$L:$L,'Investor Exit List'!$B373)+SUMIFS(Investors!$M:$M,Investors!$I:$I,"&lt;="&amp;'NSST Print'!$B$3,Investors!$J:$J,"",Investors!$A:$A,'Investor Exit List'!$A373,Investors!$E:$E,'Investor Exit List'!$C373,Investors!$L:$L,'Investor Exit List'!$B373))</f>
        <v>1000000</v>
      </c>
      <c r="G373" s="118">
        <v>44960</v>
      </c>
      <c r="H373" s="116" t="b">
        <f>VLOOKUP($C373,Sales!$C:$E,2,FALSE)</f>
        <v>0</v>
      </c>
      <c r="I373" s="116" t="b">
        <f>VLOOKUP($C373,Sales!$C:$E,3,FALSE)</f>
        <v>0</v>
      </c>
      <c r="J373" s="118">
        <f>SUMIFS(Sales!$H:$H,Sales!$C:$C,'Investor Exit List'!$C373)</f>
        <v>45625</v>
      </c>
      <c r="K373" s="118" t="str">
        <f t="shared" si="60"/>
        <v/>
      </c>
      <c r="L373" s="118">
        <f t="shared" si="61"/>
        <v>45690</v>
      </c>
      <c r="M373" s="118">
        <v>45443</v>
      </c>
      <c r="N373" s="119">
        <f t="shared" si="62"/>
        <v>247</v>
      </c>
      <c r="O373" s="119">
        <f t="shared" si="63"/>
        <v>0</v>
      </c>
      <c r="P373" s="117">
        <f t="shared" si="64"/>
        <v>0</v>
      </c>
      <c r="Q373" s="117">
        <f>SUMIFS(Investors!$M:$M,Investors!$O:$O,FALSE,Investors!$P:$P,FALSE,Investors!$K:$K,"&gt;"&amp;'NSST Print'!$B$3,Investors!$I:$I,"&lt;="&amp;'NSST Print'!$B$3,Investors!$A:$A,'Investor Exit List'!$A373,Investors!$E:$E,'Investor Exit List'!$C373,Investors!$L:$L,'Investor Exit List'!$B373)-(SUMIFS(Investors!$M:$M,Investors!$I:$I,"&lt;="&amp;'NSST Print'!$B$3,Investors!$J:$J,"&gt;"&amp;'NSST Print'!$B$3,Investors!$A:$A,'Investor Exit List'!$A373,Investors!$E:$E,'Investor Exit List'!$C373,Investors!$L:$L,'Investor Exit List'!$B373)+SUMIFS(Investors!$M:$M,Investors!$I:$I,"&lt;="&amp;'NSST Print'!$B$3,Investors!$J:$J,"",Investors!$A:$A,'Investor Exit List'!$A373,Investors!$E:$E,'Investor Exit List'!$C373,Investors!$L:$L,'Investor Exit List'!$B373))+SUMIFS(Investors!$S:$S,Investors!$O:$O,FALSE,Investors!$P:$P,FALSE,Investors!$K:$K,"&gt;"&amp;'NSST Print'!$B$3,Investors!$I:$I,"&lt;="&amp;'NSST Print'!$B$3,Investors!$A:$A,'Investor Exit List'!$A373,Investors!$E:$E,'Investor Exit List'!$C373,Investors!$L:$L,'Investor Exit List'!$B373)-(SUMIFS(Investors!$S:$S,Investors!$I:$I,"&lt;="&amp;'NSST Print'!$B$3,Investors!$J:$J,"&gt;"&amp;'NSST Print'!$B$3,Investors!$A:$A,'Investor Exit List'!$A373,Investors!$E:$E,'Investor Exit List'!$C373,Investors!$L:$L,'Investor Exit List'!$B373)+SUMIFS(Investors!$S:$S,Investors!$I:$I,"&lt;="&amp;'NSST Print'!$B$3,Investors!$J:$J,"",Investors!$A:$A,'Investor Exit List'!$A373,Investors!$E:$E,'Investor Exit List'!$C373,Investors!$L:$L,'Investor Exit List'!$B373))</f>
        <v>1304767.1232876712</v>
      </c>
      <c r="R373" s="117">
        <f t="shared" si="65"/>
        <v>0</v>
      </c>
      <c r="S373" s="117">
        <f>SUMIFS(Investors!$M:$M,Investors!$O:$O,TRUE,Investors!$A:$A,'Investor Exit List'!$A373,Investors!$E:$E,'Investor Exit List'!$C373,Investors!$L:$L,'Investor Exit List'!$B373)+SUMIFS(Investors!$S:$S,Investors!$O:$O,TRUE,Investors!$A:$A,'Investor Exit List'!$A373,Investors!$E:$E,'Investor Exit List'!$C373,Investors!$L:$L,'Investor Exit List'!$B373)</f>
        <v>0</v>
      </c>
      <c r="T373" s="118" t="str">
        <f t="shared" si="66"/>
        <v/>
      </c>
      <c r="U373" s="116" t="b">
        <v>0</v>
      </c>
      <c r="V373" s="117">
        <f t="shared" si="67"/>
        <v>0</v>
      </c>
      <c r="W373" s="116">
        <v>0</v>
      </c>
      <c r="X373" s="116" t="b">
        <v>0</v>
      </c>
      <c r="Y373" s="119">
        <f>IF(H373=FALSE,VLOOKUP($C373,Sales!$C:$F,4,FALSE),1)</f>
        <v>0</v>
      </c>
      <c r="Z373" s="116" t="str">
        <f t="shared" si="68"/>
        <v>Release</v>
      </c>
      <c r="AA373" s="118">
        <f t="shared" si="69"/>
        <v>45646</v>
      </c>
      <c r="AB373" s="118" t="str">
        <f t="shared" si="70"/>
        <v>HVK105-ZBOH01</v>
      </c>
      <c r="AC373" s="118">
        <f t="shared" si="71"/>
        <v>45690</v>
      </c>
    </row>
    <row r="374" spans="1:29" ht="16" x14ac:dyDescent="0.2">
      <c r="A374" s="116" t="s">
        <v>52</v>
      </c>
      <c r="B374" s="116">
        <v>6</v>
      </c>
      <c r="C374" s="116" t="s">
        <v>754</v>
      </c>
      <c r="D374" s="116" t="s">
        <v>750</v>
      </c>
      <c r="E374" s="116" t="s">
        <v>2017</v>
      </c>
      <c r="F374" s="117">
        <f>SUMIFS(Investors!$M:$M,Investors!$O:$O,FALSE,Investors!$P:$P,FALSE,Investors!$K:$K,"&gt;"&amp;'NSST Print'!$B$3,Investors!$I:$I,"&lt;="&amp;'NSST Print'!$B$3,Investors!$A:$A,'Investor Exit List'!$A374,Investors!$E:$E,'Investor Exit List'!$C374,Investors!$L:$L,'Investor Exit List'!$B374)-(SUMIFS(Investors!$M:$M,Investors!$I:$I,"&lt;="&amp;'NSST Print'!$B$3,Investors!$J:$J,"&gt;"&amp;'NSST Print'!$B$3,Investors!$A:$A,'Investor Exit List'!$A374,Investors!$E:$E,'Investor Exit List'!$C374,Investors!$L:$L,'Investor Exit List'!$B374)+SUMIFS(Investors!$M:$M,Investors!$I:$I,"&lt;="&amp;'NSST Print'!$B$3,Investors!$J:$J,"",Investors!$A:$A,'Investor Exit List'!$A374,Investors!$E:$E,'Investor Exit List'!$C374,Investors!$L:$L,'Investor Exit List'!$B374))</f>
        <v>120000</v>
      </c>
      <c r="G374" s="118">
        <v>44916</v>
      </c>
      <c r="H374" s="116" t="b">
        <f>VLOOKUP($C374,Sales!$C:$E,2,FALSE)</f>
        <v>0</v>
      </c>
      <c r="I374" s="116" t="b">
        <f>VLOOKUP($C374,Sales!$C:$E,3,FALSE)</f>
        <v>0</v>
      </c>
      <c r="J374" s="118">
        <f>SUMIFS(Sales!$H:$H,Sales!$C:$C,'Investor Exit List'!$C374)</f>
        <v>45625</v>
      </c>
      <c r="K374" s="118" t="str">
        <f t="shared" si="60"/>
        <v/>
      </c>
      <c r="L374" s="118">
        <f t="shared" si="61"/>
        <v>45646</v>
      </c>
      <c r="M374" s="118">
        <v>45443</v>
      </c>
      <c r="N374" s="119">
        <f t="shared" si="62"/>
        <v>203</v>
      </c>
      <c r="O374" s="119">
        <f t="shared" si="63"/>
        <v>0</v>
      </c>
      <c r="P374" s="117">
        <f t="shared" si="64"/>
        <v>0</v>
      </c>
      <c r="Q374" s="117">
        <f>SUMIFS(Investors!$M:$M,Investors!$O:$O,FALSE,Investors!$P:$P,FALSE,Investors!$K:$K,"&gt;"&amp;'NSST Print'!$B$3,Investors!$I:$I,"&lt;="&amp;'NSST Print'!$B$3,Investors!$A:$A,'Investor Exit List'!$A374,Investors!$E:$E,'Investor Exit List'!$C374,Investors!$L:$L,'Investor Exit List'!$B374)-(SUMIFS(Investors!$M:$M,Investors!$I:$I,"&lt;="&amp;'NSST Print'!$B$3,Investors!$J:$J,"&gt;"&amp;'NSST Print'!$B$3,Investors!$A:$A,'Investor Exit List'!$A374,Investors!$E:$E,'Investor Exit List'!$C374,Investors!$L:$L,'Investor Exit List'!$B374)+SUMIFS(Investors!$M:$M,Investors!$I:$I,"&lt;="&amp;'NSST Print'!$B$3,Investors!$J:$J,"",Investors!$A:$A,'Investor Exit List'!$A374,Investors!$E:$E,'Investor Exit List'!$C374,Investors!$L:$L,'Investor Exit List'!$B374))+SUMIFS(Investors!$S:$S,Investors!$O:$O,FALSE,Investors!$P:$P,FALSE,Investors!$K:$K,"&gt;"&amp;'NSST Print'!$B$3,Investors!$I:$I,"&lt;="&amp;'NSST Print'!$B$3,Investors!$A:$A,'Investor Exit List'!$A374,Investors!$E:$E,'Investor Exit List'!$C374,Investors!$L:$L,'Investor Exit List'!$B374)-(SUMIFS(Investors!$S:$S,Investors!$I:$I,"&lt;="&amp;'NSST Print'!$B$3,Investors!$J:$J,"&gt;"&amp;'NSST Print'!$B$3,Investors!$A:$A,'Investor Exit List'!$A374,Investors!$E:$E,'Investor Exit List'!$C374,Investors!$L:$L,'Investor Exit List'!$B374)+SUMIFS(Investors!$S:$S,Investors!$I:$I,"&lt;="&amp;'NSST Print'!$B$3,Investors!$J:$J,"",Investors!$A:$A,'Investor Exit List'!$A374,Investors!$E:$E,'Investor Exit List'!$C374,Investors!$L:$L,'Investor Exit List'!$B374))</f>
        <v>157795.0684931507</v>
      </c>
      <c r="R374" s="117">
        <f t="shared" si="65"/>
        <v>0</v>
      </c>
      <c r="S374" s="117">
        <f>SUMIFS(Investors!$M:$M,Investors!$O:$O,TRUE,Investors!$A:$A,'Investor Exit List'!$A374,Investors!$E:$E,'Investor Exit List'!$C374,Investors!$L:$L,'Investor Exit List'!$B374)+SUMIFS(Investors!$S:$S,Investors!$O:$O,TRUE,Investors!$A:$A,'Investor Exit List'!$A374,Investors!$E:$E,'Investor Exit List'!$C374,Investors!$L:$L,'Investor Exit List'!$B374)</f>
        <v>0</v>
      </c>
      <c r="T374" s="118" t="str">
        <f t="shared" si="66"/>
        <v/>
      </c>
      <c r="U374" s="116" t="b">
        <v>0</v>
      </c>
      <c r="V374" s="117">
        <f t="shared" si="67"/>
        <v>0</v>
      </c>
      <c r="W374" s="116">
        <v>0</v>
      </c>
      <c r="X374" s="116" t="b">
        <v>0</v>
      </c>
      <c r="Y374" s="119">
        <f>IF(H374=FALSE,VLOOKUP($C374,Sales!$C:$F,4,FALSE),1)</f>
        <v>0</v>
      </c>
      <c r="Z374" s="116" t="str">
        <f t="shared" si="68"/>
        <v>Release</v>
      </c>
      <c r="AA374" s="118">
        <f t="shared" si="69"/>
        <v>45646</v>
      </c>
      <c r="AB374" s="118" t="str">
        <f t="shared" si="70"/>
        <v>HVK105-ZCRO01</v>
      </c>
      <c r="AC374" s="118">
        <f t="shared" si="71"/>
        <v>45646</v>
      </c>
    </row>
    <row r="375" spans="1:29" ht="16" x14ac:dyDescent="0.2">
      <c r="A375" s="116" t="s">
        <v>533</v>
      </c>
      <c r="B375" s="116">
        <v>0</v>
      </c>
      <c r="C375" s="116" t="s">
        <v>755</v>
      </c>
      <c r="D375" s="116" t="s">
        <v>750</v>
      </c>
      <c r="E375" s="116" t="s">
        <v>2157</v>
      </c>
      <c r="F375" s="117">
        <f>SUMIFS(Investors!$M:$M,Investors!$O:$O,FALSE,Investors!$P:$P,FALSE,Investors!$K:$K,"&gt;"&amp;'NSST Print'!$B$3,Investors!$I:$I,"&lt;="&amp;'NSST Print'!$B$3,Investors!$A:$A,'Investor Exit List'!$A375,Investors!$E:$E,'Investor Exit List'!$C375,Investors!$L:$L,'Investor Exit List'!$B375)-(SUMIFS(Investors!$M:$M,Investors!$I:$I,"&lt;="&amp;'NSST Print'!$B$3,Investors!$J:$J,"&gt;"&amp;'NSST Print'!$B$3,Investors!$A:$A,'Investor Exit List'!$A375,Investors!$E:$E,'Investor Exit List'!$C375,Investors!$L:$L,'Investor Exit List'!$B375)+SUMIFS(Investors!$M:$M,Investors!$I:$I,"&lt;="&amp;'NSST Print'!$B$3,Investors!$J:$J,"",Investors!$A:$A,'Investor Exit List'!$A375,Investors!$E:$E,'Investor Exit List'!$C375,Investors!$L:$L,'Investor Exit List'!$B375))</f>
        <v>0</v>
      </c>
      <c r="G375" s="118"/>
      <c r="H375" s="116" t="b">
        <f>VLOOKUP($C375,Sales!$C:$E,2,FALSE)</f>
        <v>0</v>
      </c>
      <c r="I375" s="116" t="b">
        <f>VLOOKUP($C375,Sales!$C:$E,3,FALSE)</f>
        <v>0</v>
      </c>
      <c r="J375" s="118">
        <f>SUMIFS(Sales!$H:$H,Sales!$C:$C,'Investor Exit List'!$C375)</f>
        <v>45625</v>
      </c>
      <c r="K375" s="118" t="str">
        <f t="shared" si="60"/>
        <v/>
      </c>
      <c r="L375" s="118">
        <f t="shared" si="61"/>
        <v>730</v>
      </c>
      <c r="M375" s="118">
        <v>45443</v>
      </c>
      <c r="N375" s="119">
        <f t="shared" si="62"/>
        <v>0</v>
      </c>
      <c r="O375" s="119">
        <f t="shared" si="63"/>
        <v>0</v>
      </c>
      <c r="P375" s="117">
        <f t="shared" si="64"/>
        <v>0</v>
      </c>
      <c r="Q375" s="117">
        <f>SUMIFS(Investors!$M:$M,Investors!$O:$O,FALSE,Investors!$P:$P,FALSE,Investors!$K:$K,"&gt;"&amp;'NSST Print'!$B$3,Investors!$I:$I,"&lt;="&amp;'NSST Print'!$B$3,Investors!$A:$A,'Investor Exit List'!$A375,Investors!$E:$E,'Investor Exit List'!$C375,Investors!$L:$L,'Investor Exit List'!$B375)-(SUMIFS(Investors!$M:$M,Investors!$I:$I,"&lt;="&amp;'NSST Print'!$B$3,Investors!$J:$J,"&gt;"&amp;'NSST Print'!$B$3,Investors!$A:$A,'Investor Exit List'!$A375,Investors!$E:$E,'Investor Exit List'!$C375,Investors!$L:$L,'Investor Exit List'!$B375)+SUMIFS(Investors!$M:$M,Investors!$I:$I,"&lt;="&amp;'NSST Print'!$B$3,Investors!$J:$J,"",Investors!$A:$A,'Investor Exit List'!$A375,Investors!$E:$E,'Investor Exit List'!$C375,Investors!$L:$L,'Investor Exit List'!$B375))+SUMIFS(Investors!$S:$S,Investors!$O:$O,FALSE,Investors!$P:$P,FALSE,Investors!$K:$K,"&gt;"&amp;'NSST Print'!$B$3,Investors!$I:$I,"&lt;="&amp;'NSST Print'!$B$3,Investors!$A:$A,'Investor Exit List'!$A375,Investors!$E:$E,'Investor Exit List'!$C375,Investors!$L:$L,'Investor Exit List'!$B375)-(SUMIFS(Investors!$S:$S,Investors!$I:$I,"&lt;="&amp;'NSST Print'!$B$3,Investors!$J:$J,"&gt;"&amp;'NSST Print'!$B$3,Investors!$A:$A,'Investor Exit List'!$A375,Investors!$E:$E,'Investor Exit List'!$C375,Investors!$L:$L,'Investor Exit List'!$B375)+SUMIFS(Investors!$S:$S,Investors!$I:$I,"&lt;="&amp;'NSST Print'!$B$3,Investors!$J:$J,"",Investors!$A:$A,'Investor Exit List'!$A375,Investors!$E:$E,'Investor Exit List'!$C375,Investors!$L:$L,'Investor Exit List'!$B375))</f>
        <v>0</v>
      </c>
      <c r="R375" s="117">
        <f t="shared" si="65"/>
        <v>0</v>
      </c>
      <c r="S375" s="117">
        <f>SUMIFS(Investors!$M:$M,Investors!$O:$O,TRUE,Investors!$A:$A,'Investor Exit List'!$A375,Investors!$E:$E,'Investor Exit List'!$C375,Investors!$L:$L,'Investor Exit List'!$B375)+SUMIFS(Investors!$S:$S,Investors!$O:$O,TRUE,Investors!$A:$A,'Investor Exit List'!$A375,Investors!$E:$E,'Investor Exit List'!$C375,Investors!$L:$L,'Investor Exit List'!$B375)</f>
        <v>0</v>
      </c>
      <c r="T375" s="118" t="str">
        <f t="shared" si="66"/>
        <v/>
      </c>
      <c r="U375" s="116" t="b">
        <v>0</v>
      </c>
      <c r="V375" s="117">
        <f t="shared" si="67"/>
        <v>0</v>
      </c>
      <c r="W375" s="116">
        <v>0</v>
      </c>
      <c r="X375" s="116" t="b">
        <v>1</v>
      </c>
      <c r="Y375" s="119">
        <f>IF(H375=FALSE,VLOOKUP($C375,Sales!$C:$F,4,FALSE),1)</f>
        <v>0</v>
      </c>
      <c r="Z375" s="116" t="str">
        <f t="shared" si="68"/>
        <v>Release</v>
      </c>
      <c r="AA375" s="118">
        <f t="shared" si="69"/>
        <v>0</v>
      </c>
      <c r="AB375" s="118" t="str">
        <f t="shared" si="70"/>
        <v>HVK106-ZHAR01</v>
      </c>
      <c r="AC375" s="118">
        <f t="shared" si="71"/>
        <v>730</v>
      </c>
    </row>
    <row r="376" spans="1:29" ht="16" x14ac:dyDescent="0.2">
      <c r="A376" s="116" t="s">
        <v>554</v>
      </c>
      <c r="B376" s="116">
        <v>0</v>
      </c>
      <c r="C376" s="116" t="s">
        <v>755</v>
      </c>
      <c r="D376" s="116" t="s">
        <v>750</v>
      </c>
      <c r="E376" s="116" t="s">
        <v>2163</v>
      </c>
      <c r="F376" s="117">
        <f>SUMIFS(Investors!$M:$M,Investors!$O:$O,FALSE,Investors!$P:$P,FALSE,Investors!$K:$K,"&gt;"&amp;'NSST Print'!$B$3,Investors!$I:$I,"&lt;="&amp;'NSST Print'!$B$3,Investors!$A:$A,'Investor Exit List'!$A376,Investors!$E:$E,'Investor Exit List'!$C376,Investors!$L:$L,'Investor Exit List'!$B376)-(SUMIFS(Investors!$M:$M,Investors!$I:$I,"&lt;="&amp;'NSST Print'!$B$3,Investors!$J:$J,"&gt;"&amp;'NSST Print'!$B$3,Investors!$A:$A,'Investor Exit List'!$A376,Investors!$E:$E,'Investor Exit List'!$C376,Investors!$L:$L,'Investor Exit List'!$B376)+SUMIFS(Investors!$M:$M,Investors!$I:$I,"&lt;="&amp;'NSST Print'!$B$3,Investors!$J:$J,"",Investors!$A:$A,'Investor Exit List'!$A376,Investors!$E:$E,'Investor Exit List'!$C376,Investors!$L:$L,'Investor Exit List'!$B376))</f>
        <v>0</v>
      </c>
      <c r="G376" s="118"/>
      <c r="H376" s="116" t="b">
        <f>VLOOKUP($C376,Sales!$C:$E,2,FALSE)</f>
        <v>0</v>
      </c>
      <c r="I376" s="116" t="b">
        <f>VLOOKUP($C376,Sales!$C:$E,3,FALSE)</f>
        <v>0</v>
      </c>
      <c r="J376" s="118">
        <f>SUMIFS(Sales!$H:$H,Sales!$C:$C,'Investor Exit List'!$C376)</f>
        <v>45625</v>
      </c>
      <c r="K376" s="118" t="str">
        <f t="shared" si="60"/>
        <v/>
      </c>
      <c r="L376" s="118">
        <f t="shared" si="61"/>
        <v>730</v>
      </c>
      <c r="M376" s="118">
        <v>45443</v>
      </c>
      <c r="N376" s="119">
        <f t="shared" si="62"/>
        <v>0</v>
      </c>
      <c r="O376" s="119">
        <f t="shared" si="63"/>
        <v>0</v>
      </c>
      <c r="P376" s="117">
        <f t="shared" si="64"/>
        <v>0</v>
      </c>
      <c r="Q376" s="117">
        <f>SUMIFS(Investors!$M:$M,Investors!$O:$O,FALSE,Investors!$P:$P,FALSE,Investors!$K:$K,"&gt;"&amp;'NSST Print'!$B$3,Investors!$I:$I,"&lt;="&amp;'NSST Print'!$B$3,Investors!$A:$A,'Investor Exit List'!$A376,Investors!$E:$E,'Investor Exit List'!$C376,Investors!$L:$L,'Investor Exit List'!$B376)-(SUMIFS(Investors!$M:$M,Investors!$I:$I,"&lt;="&amp;'NSST Print'!$B$3,Investors!$J:$J,"&gt;"&amp;'NSST Print'!$B$3,Investors!$A:$A,'Investor Exit List'!$A376,Investors!$E:$E,'Investor Exit List'!$C376,Investors!$L:$L,'Investor Exit List'!$B376)+SUMIFS(Investors!$M:$M,Investors!$I:$I,"&lt;="&amp;'NSST Print'!$B$3,Investors!$J:$J,"",Investors!$A:$A,'Investor Exit List'!$A376,Investors!$E:$E,'Investor Exit List'!$C376,Investors!$L:$L,'Investor Exit List'!$B376))+SUMIFS(Investors!$S:$S,Investors!$O:$O,FALSE,Investors!$P:$P,FALSE,Investors!$K:$K,"&gt;"&amp;'NSST Print'!$B$3,Investors!$I:$I,"&lt;="&amp;'NSST Print'!$B$3,Investors!$A:$A,'Investor Exit List'!$A376,Investors!$E:$E,'Investor Exit List'!$C376,Investors!$L:$L,'Investor Exit List'!$B376)-(SUMIFS(Investors!$S:$S,Investors!$I:$I,"&lt;="&amp;'NSST Print'!$B$3,Investors!$J:$J,"&gt;"&amp;'NSST Print'!$B$3,Investors!$A:$A,'Investor Exit List'!$A376,Investors!$E:$E,'Investor Exit List'!$C376,Investors!$L:$L,'Investor Exit List'!$B376)+SUMIFS(Investors!$S:$S,Investors!$I:$I,"&lt;="&amp;'NSST Print'!$B$3,Investors!$J:$J,"",Investors!$A:$A,'Investor Exit List'!$A376,Investors!$E:$E,'Investor Exit List'!$C376,Investors!$L:$L,'Investor Exit List'!$B376))</f>
        <v>0</v>
      </c>
      <c r="R376" s="117">
        <f t="shared" si="65"/>
        <v>0</v>
      </c>
      <c r="S376" s="117">
        <f>SUMIFS(Investors!$M:$M,Investors!$O:$O,TRUE,Investors!$A:$A,'Investor Exit List'!$A376,Investors!$E:$E,'Investor Exit List'!$C376,Investors!$L:$L,'Investor Exit List'!$B376)+SUMIFS(Investors!$S:$S,Investors!$O:$O,TRUE,Investors!$A:$A,'Investor Exit List'!$A376,Investors!$E:$E,'Investor Exit List'!$C376,Investors!$L:$L,'Investor Exit List'!$B376)</f>
        <v>0</v>
      </c>
      <c r="T376" s="118" t="str">
        <f t="shared" si="66"/>
        <v/>
      </c>
      <c r="U376" s="116" t="b">
        <v>0</v>
      </c>
      <c r="V376" s="117">
        <f t="shared" si="67"/>
        <v>0</v>
      </c>
      <c r="W376" s="116">
        <v>0</v>
      </c>
      <c r="X376" s="116" t="b">
        <v>1</v>
      </c>
      <c r="Y376" s="119">
        <f>IF(H376=FALSE,VLOOKUP($C376,Sales!$C:$F,4,FALSE),1)</f>
        <v>0</v>
      </c>
      <c r="Z376" s="116" t="str">
        <f t="shared" si="68"/>
        <v>Release</v>
      </c>
      <c r="AA376" s="118">
        <f t="shared" si="69"/>
        <v>0</v>
      </c>
      <c r="AB376" s="118" t="str">
        <f t="shared" si="70"/>
        <v>HVK106-ZHAY01</v>
      </c>
      <c r="AC376" s="118">
        <f t="shared" si="71"/>
        <v>730</v>
      </c>
    </row>
    <row r="377" spans="1:29" ht="16" x14ac:dyDescent="0.2">
      <c r="A377" s="116" t="s">
        <v>30</v>
      </c>
      <c r="B377" s="116">
        <v>3</v>
      </c>
      <c r="C377" s="116" t="s">
        <v>755</v>
      </c>
      <c r="D377" s="116" t="s">
        <v>750</v>
      </c>
      <c r="E377" s="116" t="s">
        <v>2011</v>
      </c>
      <c r="F377" s="117">
        <f>SUMIFS(Investors!$M:$M,Investors!$O:$O,FALSE,Investors!$P:$P,FALSE,Investors!$K:$K,"&gt;"&amp;'NSST Print'!$B$3,Investors!$I:$I,"&lt;="&amp;'NSST Print'!$B$3,Investors!$A:$A,'Investor Exit List'!$A377,Investors!$E:$E,'Investor Exit List'!$C377,Investors!$L:$L,'Investor Exit List'!$B377)-(SUMIFS(Investors!$M:$M,Investors!$I:$I,"&lt;="&amp;'NSST Print'!$B$3,Investors!$J:$J,"&gt;"&amp;'NSST Print'!$B$3,Investors!$A:$A,'Investor Exit List'!$A377,Investors!$E:$E,'Investor Exit List'!$C377,Investors!$L:$L,'Investor Exit List'!$B377)+SUMIFS(Investors!$M:$M,Investors!$I:$I,"&lt;="&amp;'NSST Print'!$B$3,Investors!$J:$J,"",Investors!$A:$A,'Investor Exit List'!$A377,Investors!$E:$E,'Investor Exit List'!$C377,Investors!$L:$L,'Investor Exit List'!$B377))</f>
        <v>0</v>
      </c>
      <c r="G377" s="118">
        <v>44916</v>
      </c>
      <c r="H377" s="116" t="b">
        <f>VLOOKUP($C377,Sales!$C:$E,2,FALSE)</f>
        <v>0</v>
      </c>
      <c r="I377" s="116" t="b">
        <f>VLOOKUP($C377,Sales!$C:$E,3,FALSE)</f>
        <v>0</v>
      </c>
      <c r="J377" s="118">
        <f>SUMIFS(Sales!$H:$H,Sales!$C:$C,'Investor Exit List'!$C377)</f>
        <v>45625</v>
      </c>
      <c r="K377" s="118" t="str">
        <f t="shared" si="60"/>
        <v/>
      </c>
      <c r="L377" s="118">
        <f t="shared" si="61"/>
        <v>45646</v>
      </c>
      <c r="M377" s="118">
        <v>45443</v>
      </c>
      <c r="N377" s="119">
        <f t="shared" si="62"/>
        <v>0</v>
      </c>
      <c r="O377" s="119">
        <f t="shared" si="63"/>
        <v>0</v>
      </c>
      <c r="P377" s="117">
        <f t="shared" si="64"/>
        <v>0</v>
      </c>
      <c r="Q377" s="117">
        <f>SUMIFS(Investors!$M:$M,Investors!$O:$O,FALSE,Investors!$P:$P,FALSE,Investors!$K:$K,"&gt;"&amp;'NSST Print'!$B$3,Investors!$I:$I,"&lt;="&amp;'NSST Print'!$B$3,Investors!$A:$A,'Investor Exit List'!$A377,Investors!$E:$E,'Investor Exit List'!$C377,Investors!$L:$L,'Investor Exit List'!$B377)-(SUMIFS(Investors!$M:$M,Investors!$I:$I,"&lt;="&amp;'NSST Print'!$B$3,Investors!$J:$J,"&gt;"&amp;'NSST Print'!$B$3,Investors!$A:$A,'Investor Exit List'!$A377,Investors!$E:$E,'Investor Exit List'!$C377,Investors!$L:$L,'Investor Exit List'!$B377)+SUMIFS(Investors!$M:$M,Investors!$I:$I,"&lt;="&amp;'NSST Print'!$B$3,Investors!$J:$J,"",Investors!$A:$A,'Investor Exit List'!$A377,Investors!$E:$E,'Investor Exit List'!$C377,Investors!$L:$L,'Investor Exit List'!$B377))+SUMIFS(Investors!$S:$S,Investors!$O:$O,FALSE,Investors!$P:$P,FALSE,Investors!$K:$K,"&gt;"&amp;'NSST Print'!$B$3,Investors!$I:$I,"&lt;="&amp;'NSST Print'!$B$3,Investors!$A:$A,'Investor Exit List'!$A377,Investors!$E:$E,'Investor Exit List'!$C377,Investors!$L:$L,'Investor Exit List'!$B377)-(SUMIFS(Investors!$S:$S,Investors!$I:$I,"&lt;="&amp;'NSST Print'!$B$3,Investors!$J:$J,"&gt;"&amp;'NSST Print'!$B$3,Investors!$A:$A,'Investor Exit List'!$A377,Investors!$E:$E,'Investor Exit List'!$C377,Investors!$L:$L,'Investor Exit List'!$B377)+SUMIFS(Investors!$S:$S,Investors!$I:$I,"&lt;="&amp;'NSST Print'!$B$3,Investors!$J:$J,"",Investors!$A:$A,'Investor Exit List'!$A377,Investors!$E:$E,'Investor Exit List'!$C377,Investors!$L:$L,'Investor Exit List'!$B377))</f>
        <v>0</v>
      </c>
      <c r="R377" s="117">
        <f t="shared" si="65"/>
        <v>0</v>
      </c>
      <c r="S377" s="117">
        <f>SUMIFS(Investors!$M:$M,Investors!$O:$O,TRUE,Investors!$A:$A,'Investor Exit List'!$A377,Investors!$E:$E,'Investor Exit List'!$C377,Investors!$L:$L,'Investor Exit List'!$B377)+SUMIFS(Investors!$S:$S,Investors!$O:$O,TRUE,Investors!$A:$A,'Investor Exit List'!$A377,Investors!$E:$E,'Investor Exit List'!$C377,Investors!$L:$L,'Investor Exit List'!$B377)</f>
        <v>1404386.1215389725</v>
      </c>
      <c r="T377" s="118">
        <f t="shared" si="66"/>
        <v>45625</v>
      </c>
      <c r="U377" s="116" t="b">
        <v>1</v>
      </c>
      <c r="V377" s="117">
        <f t="shared" si="67"/>
        <v>0</v>
      </c>
      <c r="W377" s="116">
        <v>0</v>
      </c>
      <c r="X377" s="116" t="b">
        <v>0</v>
      </c>
      <c r="Y377" s="119">
        <f>IF(H377=FALSE,VLOOKUP($C377,Sales!$C:$F,4,FALSE),1)</f>
        <v>0</v>
      </c>
      <c r="Z377" s="116" t="str">
        <f t="shared" si="68"/>
        <v>Release</v>
      </c>
      <c r="AA377" s="118">
        <f t="shared" si="69"/>
        <v>0</v>
      </c>
      <c r="AB377" s="118" t="str">
        <f t="shared" si="70"/>
        <v>HVK106-ZZYL03</v>
      </c>
      <c r="AC377" s="118">
        <f t="shared" si="71"/>
        <v>45646</v>
      </c>
    </row>
    <row r="378" spans="1:29" ht="16" x14ac:dyDescent="0.2">
      <c r="A378" s="116" t="s">
        <v>485</v>
      </c>
      <c r="B378" s="116">
        <v>6</v>
      </c>
      <c r="C378" s="116" t="s">
        <v>756</v>
      </c>
      <c r="D378" s="116" t="s">
        <v>750</v>
      </c>
      <c r="E378" s="116" t="s">
        <v>2143</v>
      </c>
      <c r="F378" s="117">
        <f>SUMIFS(Investors!$M:$M,Investors!$O:$O,FALSE,Investors!$P:$P,FALSE,Investors!$K:$K,"&gt;"&amp;'NSST Print'!$B$3,Investors!$I:$I,"&lt;="&amp;'NSST Print'!$B$3,Investors!$A:$A,'Investor Exit List'!$A378,Investors!$E:$E,'Investor Exit List'!$C378,Investors!$L:$L,'Investor Exit List'!$B378)-(SUMIFS(Investors!$M:$M,Investors!$I:$I,"&lt;="&amp;'NSST Print'!$B$3,Investors!$J:$J,"&gt;"&amp;'NSST Print'!$B$3,Investors!$A:$A,'Investor Exit List'!$A378,Investors!$E:$E,'Investor Exit List'!$C378,Investors!$L:$L,'Investor Exit List'!$B378)+SUMIFS(Investors!$M:$M,Investors!$I:$I,"&lt;="&amp;'NSST Print'!$B$3,Investors!$J:$J,"",Investors!$A:$A,'Investor Exit List'!$A378,Investors!$E:$E,'Investor Exit List'!$C378,Investors!$L:$L,'Investor Exit List'!$B378))</f>
        <v>1100000</v>
      </c>
      <c r="G378" s="118">
        <v>44916</v>
      </c>
      <c r="H378" s="116" t="b">
        <f>VLOOKUP($C378,Sales!$C:$E,2,FALSE)</f>
        <v>0</v>
      </c>
      <c r="I378" s="116" t="b">
        <f>VLOOKUP($C378,Sales!$C:$E,3,FALSE)</f>
        <v>0</v>
      </c>
      <c r="J378" s="118">
        <f>SUMIFS(Sales!$H:$H,Sales!$C:$C,'Investor Exit List'!$C378)</f>
        <v>45625</v>
      </c>
      <c r="K378" s="118" t="str">
        <f t="shared" si="60"/>
        <v/>
      </c>
      <c r="L378" s="118">
        <f t="shared" si="61"/>
        <v>45646</v>
      </c>
      <c r="M378" s="118">
        <v>45443</v>
      </c>
      <c r="N378" s="119">
        <f t="shared" si="62"/>
        <v>203</v>
      </c>
      <c r="O378" s="119">
        <f t="shared" si="63"/>
        <v>0</v>
      </c>
      <c r="P378" s="117">
        <f t="shared" si="64"/>
        <v>0</v>
      </c>
      <c r="Q378" s="117">
        <f>SUMIFS(Investors!$M:$M,Investors!$O:$O,FALSE,Investors!$P:$P,FALSE,Investors!$K:$K,"&gt;"&amp;'NSST Print'!$B$3,Investors!$I:$I,"&lt;="&amp;'NSST Print'!$B$3,Investors!$A:$A,'Investor Exit List'!$A378,Investors!$E:$E,'Investor Exit List'!$C378,Investors!$L:$L,'Investor Exit List'!$B378)-(SUMIFS(Investors!$M:$M,Investors!$I:$I,"&lt;="&amp;'NSST Print'!$B$3,Investors!$J:$J,"&gt;"&amp;'NSST Print'!$B$3,Investors!$A:$A,'Investor Exit List'!$A378,Investors!$E:$E,'Investor Exit List'!$C378,Investors!$L:$L,'Investor Exit List'!$B378)+SUMIFS(Investors!$M:$M,Investors!$I:$I,"&lt;="&amp;'NSST Print'!$B$3,Investors!$J:$J,"",Investors!$A:$A,'Investor Exit List'!$A378,Investors!$E:$E,'Investor Exit List'!$C378,Investors!$L:$L,'Investor Exit List'!$B378))+SUMIFS(Investors!$S:$S,Investors!$O:$O,FALSE,Investors!$P:$P,FALSE,Investors!$K:$K,"&gt;"&amp;'NSST Print'!$B$3,Investors!$I:$I,"&lt;="&amp;'NSST Print'!$B$3,Investors!$A:$A,'Investor Exit List'!$A378,Investors!$E:$E,'Investor Exit List'!$C378,Investors!$L:$L,'Investor Exit List'!$B378)-(SUMIFS(Investors!$S:$S,Investors!$I:$I,"&lt;="&amp;'NSST Print'!$B$3,Investors!$J:$J,"&gt;"&amp;'NSST Print'!$B$3,Investors!$A:$A,'Investor Exit List'!$A378,Investors!$E:$E,'Investor Exit List'!$C378,Investors!$L:$L,'Investor Exit List'!$B378)+SUMIFS(Investors!$S:$S,Investors!$I:$I,"&lt;="&amp;'NSST Print'!$B$3,Investors!$J:$J,"",Investors!$A:$A,'Investor Exit List'!$A378,Investors!$E:$E,'Investor Exit List'!$C378,Investors!$L:$L,'Investor Exit List'!$B378))</f>
        <v>1467723.9726027399</v>
      </c>
      <c r="R378" s="117">
        <f t="shared" si="65"/>
        <v>0</v>
      </c>
      <c r="S378" s="117">
        <f>SUMIFS(Investors!$M:$M,Investors!$O:$O,TRUE,Investors!$A:$A,'Investor Exit List'!$A378,Investors!$E:$E,'Investor Exit List'!$C378,Investors!$L:$L,'Investor Exit List'!$B378)+SUMIFS(Investors!$S:$S,Investors!$O:$O,TRUE,Investors!$A:$A,'Investor Exit List'!$A378,Investors!$E:$E,'Investor Exit List'!$C378,Investors!$L:$L,'Investor Exit List'!$B378)</f>
        <v>0</v>
      </c>
      <c r="T378" s="118" t="str">
        <f t="shared" si="66"/>
        <v/>
      </c>
      <c r="U378" s="116" t="b">
        <v>0</v>
      </c>
      <c r="V378" s="117">
        <f t="shared" si="67"/>
        <v>0</v>
      </c>
      <c r="W378" s="116">
        <v>0</v>
      </c>
      <c r="X378" s="116" t="b">
        <v>0</v>
      </c>
      <c r="Y378" s="119">
        <f>IF(H378=FALSE,VLOOKUP($C378,Sales!$C:$F,4,FALSE),1)</f>
        <v>0</v>
      </c>
      <c r="Z378" s="116" t="str">
        <f t="shared" si="68"/>
        <v>Release</v>
      </c>
      <c r="AA378" s="118">
        <f t="shared" si="69"/>
        <v>45646</v>
      </c>
      <c r="AB378" s="118" t="str">
        <f t="shared" si="70"/>
        <v>HVK201-ZVAN05</v>
      </c>
      <c r="AC378" s="118">
        <f t="shared" si="71"/>
        <v>45646</v>
      </c>
    </row>
    <row r="379" spans="1:29" ht="16" x14ac:dyDescent="0.2">
      <c r="A379" s="116" t="s">
        <v>48</v>
      </c>
      <c r="B379" s="116">
        <v>3</v>
      </c>
      <c r="C379" s="116" t="s">
        <v>757</v>
      </c>
      <c r="D379" s="116" t="s">
        <v>750</v>
      </c>
      <c r="E379" s="116" t="s">
        <v>2016</v>
      </c>
      <c r="F379" s="117">
        <f>SUMIFS(Investors!$M:$M,Investors!$O:$O,FALSE,Investors!$P:$P,FALSE,Investors!$K:$K,"&gt;"&amp;'NSST Print'!$B$3,Investors!$I:$I,"&lt;="&amp;'NSST Print'!$B$3,Investors!$A:$A,'Investor Exit List'!$A379,Investors!$E:$E,'Investor Exit List'!$C379,Investors!$L:$L,'Investor Exit List'!$B379)-(SUMIFS(Investors!$M:$M,Investors!$I:$I,"&lt;="&amp;'NSST Print'!$B$3,Investors!$J:$J,"&gt;"&amp;'NSST Print'!$B$3,Investors!$A:$A,'Investor Exit List'!$A379,Investors!$E:$E,'Investor Exit List'!$C379,Investors!$L:$L,'Investor Exit List'!$B379)+SUMIFS(Investors!$M:$M,Investors!$I:$I,"&lt;="&amp;'NSST Print'!$B$3,Investors!$J:$J,"",Investors!$A:$A,'Investor Exit List'!$A379,Investors!$E:$E,'Investor Exit List'!$C379,Investors!$L:$L,'Investor Exit List'!$B379))</f>
        <v>100000</v>
      </c>
      <c r="G379" s="118">
        <v>44916</v>
      </c>
      <c r="H379" s="116" t="b">
        <f>VLOOKUP($C379,Sales!$C:$E,2,FALSE)</f>
        <v>0</v>
      </c>
      <c r="I379" s="116" t="b">
        <f>VLOOKUP($C379,Sales!$C:$E,3,FALSE)</f>
        <v>0</v>
      </c>
      <c r="J379" s="118">
        <f>SUMIFS(Sales!$H:$H,Sales!$C:$C,'Investor Exit List'!$C379)</f>
        <v>45625</v>
      </c>
      <c r="K379" s="118" t="str">
        <f t="shared" si="60"/>
        <v/>
      </c>
      <c r="L379" s="118">
        <f t="shared" si="61"/>
        <v>45646</v>
      </c>
      <c r="M379" s="118">
        <v>45443</v>
      </c>
      <c r="N379" s="119">
        <f t="shared" si="62"/>
        <v>203</v>
      </c>
      <c r="O379" s="119">
        <f t="shared" si="63"/>
        <v>0</v>
      </c>
      <c r="P379" s="117">
        <f t="shared" si="64"/>
        <v>0</v>
      </c>
      <c r="Q379" s="117">
        <f>SUMIFS(Investors!$M:$M,Investors!$O:$O,FALSE,Investors!$P:$P,FALSE,Investors!$K:$K,"&gt;"&amp;'NSST Print'!$B$3,Investors!$I:$I,"&lt;="&amp;'NSST Print'!$B$3,Investors!$A:$A,'Investor Exit List'!$A379,Investors!$E:$E,'Investor Exit List'!$C379,Investors!$L:$L,'Investor Exit List'!$B379)-(SUMIFS(Investors!$M:$M,Investors!$I:$I,"&lt;="&amp;'NSST Print'!$B$3,Investors!$J:$J,"&gt;"&amp;'NSST Print'!$B$3,Investors!$A:$A,'Investor Exit List'!$A379,Investors!$E:$E,'Investor Exit List'!$C379,Investors!$L:$L,'Investor Exit List'!$B379)+SUMIFS(Investors!$M:$M,Investors!$I:$I,"&lt;="&amp;'NSST Print'!$B$3,Investors!$J:$J,"",Investors!$A:$A,'Investor Exit List'!$A379,Investors!$E:$E,'Investor Exit List'!$C379,Investors!$L:$L,'Investor Exit List'!$B379))+SUMIFS(Investors!$S:$S,Investors!$O:$O,FALSE,Investors!$P:$P,FALSE,Investors!$K:$K,"&gt;"&amp;'NSST Print'!$B$3,Investors!$I:$I,"&lt;="&amp;'NSST Print'!$B$3,Investors!$A:$A,'Investor Exit List'!$A379,Investors!$E:$E,'Investor Exit List'!$C379,Investors!$L:$L,'Investor Exit List'!$B379)-(SUMIFS(Investors!$S:$S,Investors!$I:$I,"&lt;="&amp;'NSST Print'!$B$3,Investors!$J:$J,"&gt;"&amp;'NSST Print'!$B$3,Investors!$A:$A,'Investor Exit List'!$A379,Investors!$E:$E,'Investor Exit List'!$C379,Investors!$L:$L,'Investor Exit List'!$B379)+SUMIFS(Investors!$S:$S,Investors!$I:$I,"&lt;="&amp;'NSST Print'!$B$3,Investors!$J:$J,"",Investors!$A:$A,'Investor Exit List'!$A379,Investors!$E:$E,'Investor Exit List'!$C379,Investors!$L:$L,'Investor Exit List'!$B379))</f>
        <v>125569.17808219178</v>
      </c>
      <c r="R379" s="117">
        <f t="shared" si="65"/>
        <v>0</v>
      </c>
      <c r="S379" s="117">
        <f>SUMIFS(Investors!$M:$M,Investors!$O:$O,TRUE,Investors!$A:$A,'Investor Exit List'!$A379,Investors!$E:$E,'Investor Exit List'!$C379,Investors!$L:$L,'Investor Exit List'!$B379)+SUMIFS(Investors!$S:$S,Investors!$O:$O,TRUE,Investors!$A:$A,'Investor Exit List'!$A379,Investors!$E:$E,'Investor Exit List'!$C379,Investors!$L:$L,'Investor Exit List'!$B379)</f>
        <v>0</v>
      </c>
      <c r="T379" s="118" t="str">
        <f t="shared" si="66"/>
        <v/>
      </c>
      <c r="U379" s="116" t="b">
        <v>0</v>
      </c>
      <c r="V379" s="117">
        <f t="shared" si="67"/>
        <v>0</v>
      </c>
      <c r="W379" s="116">
        <v>0</v>
      </c>
      <c r="X379" s="116" t="b">
        <v>0</v>
      </c>
      <c r="Y379" s="119">
        <f>IF(H379=FALSE,VLOOKUP($C379,Sales!$C:$F,4,FALSE),1)</f>
        <v>0</v>
      </c>
      <c r="Z379" s="116" t="str">
        <f t="shared" si="68"/>
        <v>Release</v>
      </c>
      <c r="AA379" s="118">
        <f t="shared" si="69"/>
        <v>45646</v>
      </c>
      <c r="AB379" s="118" t="str">
        <f t="shared" si="70"/>
        <v>HVK202-ZBLO01</v>
      </c>
      <c r="AC379" s="118">
        <f t="shared" si="71"/>
        <v>45646</v>
      </c>
    </row>
    <row r="380" spans="1:29" ht="16" x14ac:dyDescent="0.2">
      <c r="A380" s="116" t="s">
        <v>55</v>
      </c>
      <c r="B380" s="116">
        <v>2</v>
      </c>
      <c r="C380" s="116" t="s">
        <v>757</v>
      </c>
      <c r="D380" s="116" t="s">
        <v>750</v>
      </c>
      <c r="E380" s="116" t="s">
        <v>2018</v>
      </c>
      <c r="F380" s="117">
        <f>SUMIFS(Investors!$M:$M,Investors!$O:$O,FALSE,Investors!$P:$P,FALSE,Investors!$K:$K,"&gt;"&amp;'NSST Print'!$B$3,Investors!$I:$I,"&lt;="&amp;'NSST Print'!$B$3,Investors!$A:$A,'Investor Exit List'!$A380,Investors!$E:$E,'Investor Exit List'!$C380,Investors!$L:$L,'Investor Exit List'!$B380)-(SUMIFS(Investors!$M:$M,Investors!$I:$I,"&lt;="&amp;'NSST Print'!$B$3,Investors!$J:$J,"&gt;"&amp;'NSST Print'!$B$3,Investors!$A:$A,'Investor Exit List'!$A380,Investors!$E:$E,'Investor Exit List'!$C380,Investors!$L:$L,'Investor Exit List'!$B380)+SUMIFS(Investors!$M:$M,Investors!$I:$I,"&lt;="&amp;'NSST Print'!$B$3,Investors!$J:$J,"",Investors!$A:$A,'Investor Exit List'!$A380,Investors!$E:$E,'Investor Exit List'!$C380,Investors!$L:$L,'Investor Exit List'!$B380))</f>
        <v>112707.53</v>
      </c>
      <c r="G380" s="118">
        <v>44916</v>
      </c>
      <c r="H380" s="116" t="b">
        <f>VLOOKUP($C380,Sales!$C:$E,2,FALSE)</f>
        <v>0</v>
      </c>
      <c r="I380" s="116" t="b">
        <f>VLOOKUP($C380,Sales!$C:$E,3,FALSE)</f>
        <v>0</v>
      </c>
      <c r="J380" s="118">
        <f>SUMIFS(Sales!$H:$H,Sales!$C:$C,'Investor Exit List'!$C380)</f>
        <v>45625</v>
      </c>
      <c r="K380" s="118" t="str">
        <f t="shared" si="60"/>
        <v/>
      </c>
      <c r="L380" s="118">
        <f t="shared" si="61"/>
        <v>45646</v>
      </c>
      <c r="M380" s="118">
        <v>45443</v>
      </c>
      <c r="N380" s="119">
        <f t="shared" si="62"/>
        <v>203</v>
      </c>
      <c r="O380" s="119">
        <f t="shared" si="63"/>
        <v>0</v>
      </c>
      <c r="P380" s="117">
        <f t="shared" si="64"/>
        <v>0</v>
      </c>
      <c r="Q380" s="117">
        <f>SUMIFS(Investors!$M:$M,Investors!$O:$O,FALSE,Investors!$P:$P,FALSE,Investors!$K:$K,"&gt;"&amp;'NSST Print'!$B$3,Investors!$I:$I,"&lt;="&amp;'NSST Print'!$B$3,Investors!$A:$A,'Investor Exit List'!$A380,Investors!$E:$E,'Investor Exit List'!$C380,Investors!$L:$L,'Investor Exit List'!$B380)-(SUMIFS(Investors!$M:$M,Investors!$I:$I,"&lt;="&amp;'NSST Print'!$B$3,Investors!$J:$J,"&gt;"&amp;'NSST Print'!$B$3,Investors!$A:$A,'Investor Exit List'!$A380,Investors!$E:$E,'Investor Exit List'!$C380,Investors!$L:$L,'Investor Exit List'!$B380)+SUMIFS(Investors!$M:$M,Investors!$I:$I,"&lt;="&amp;'NSST Print'!$B$3,Investors!$J:$J,"",Investors!$A:$A,'Investor Exit List'!$A380,Investors!$E:$E,'Investor Exit List'!$C380,Investors!$L:$L,'Investor Exit List'!$B380))+SUMIFS(Investors!$S:$S,Investors!$O:$O,FALSE,Investors!$P:$P,FALSE,Investors!$K:$K,"&gt;"&amp;'NSST Print'!$B$3,Investors!$I:$I,"&lt;="&amp;'NSST Print'!$B$3,Investors!$A:$A,'Investor Exit List'!$A380,Investors!$E:$E,'Investor Exit List'!$C380,Investors!$L:$L,'Investor Exit List'!$B380)-(SUMIFS(Investors!$S:$S,Investors!$I:$I,"&lt;="&amp;'NSST Print'!$B$3,Investors!$J:$J,"&gt;"&amp;'NSST Print'!$B$3,Investors!$A:$A,'Investor Exit List'!$A380,Investors!$E:$E,'Investor Exit List'!$C380,Investors!$L:$L,'Investor Exit List'!$B380)+SUMIFS(Investors!$S:$S,Investors!$I:$I,"&lt;="&amp;'NSST Print'!$B$3,Investors!$J:$J,"",Investors!$A:$A,'Investor Exit List'!$A380,Investors!$E:$E,'Investor Exit List'!$C380,Investors!$L:$L,'Investor Exit List'!$B380))</f>
        <v>141525.91905773972</v>
      </c>
      <c r="R380" s="117">
        <f t="shared" si="65"/>
        <v>0</v>
      </c>
      <c r="S380" s="117">
        <f>SUMIFS(Investors!$M:$M,Investors!$O:$O,TRUE,Investors!$A:$A,'Investor Exit List'!$A380,Investors!$E:$E,'Investor Exit List'!$C380,Investors!$L:$L,'Investor Exit List'!$B380)+SUMIFS(Investors!$S:$S,Investors!$O:$O,TRUE,Investors!$A:$A,'Investor Exit List'!$A380,Investors!$E:$E,'Investor Exit List'!$C380,Investors!$L:$L,'Investor Exit List'!$B380)</f>
        <v>0</v>
      </c>
      <c r="T380" s="118" t="str">
        <f t="shared" si="66"/>
        <v/>
      </c>
      <c r="U380" s="116" t="b">
        <v>0</v>
      </c>
      <c r="V380" s="117">
        <f t="shared" si="67"/>
        <v>0</v>
      </c>
      <c r="W380" s="116">
        <v>0</v>
      </c>
      <c r="X380" s="116" t="b">
        <v>0</v>
      </c>
      <c r="Y380" s="119">
        <f>IF(H380=FALSE,VLOOKUP($C380,Sales!$C:$F,4,FALSE),1)</f>
        <v>0</v>
      </c>
      <c r="Z380" s="116" t="str">
        <f t="shared" si="68"/>
        <v>Release</v>
      </c>
      <c r="AA380" s="118">
        <f t="shared" si="69"/>
        <v>45646</v>
      </c>
      <c r="AB380" s="118" t="str">
        <f t="shared" si="70"/>
        <v>HVK202-ZLAB02</v>
      </c>
      <c r="AC380" s="118">
        <f t="shared" si="71"/>
        <v>45646</v>
      </c>
    </row>
    <row r="381" spans="1:29" ht="16" x14ac:dyDescent="0.2">
      <c r="A381" s="116" t="s">
        <v>59</v>
      </c>
      <c r="B381" s="116">
        <v>23</v>
      </c>
      <c r="C381" s="116" t="s">
        <v>757</v>
      </c>
      <c r="D381" s="116" t="s">
        <v>750</v>
      </c>
      <c r="E381" s="116" t="s">
        <v>2019</v>
      </c>
      <c r="F381" s="117">
        <f>SUMIFS(Investors!$M:$M,Investors!$O:$O,FALSE,Investors!$P:$P,FALSE,Investors!$K:$K,"&gt;"&amp;'NSST Print'!$B$3,Investors!$I:$I,"&lt;="&amp;'NSST Print'!$B$3,Investors!$A:$A,'Investor Exit List'!$A381,Investors!$E:$E,'Investor Exit List'!$C381,Investors!$L:$L,'Investor Exit List'!$B381)-(SUMIFS(Investors!$M:$M,Investors!$I:$I,"&lt;="&amp;'NSST Print'!$B$3,Investors!$J:$J,"&gt;"&amp;'NSST Print'!$B$3,Investors!$A:$A,'Investor Exit List'!$A381,Investors!$E:$E,'Investor Exit List'!$C381,Investors!$L:$L,'Investor Exit List'!$B381)+SUMIFS(Investors!$M:$M,Investors!$I:$I,"&lt;="&amp;'NSST Print'!$B$3,Investors!$J:$J,"",Investors!$A:$A,'Investor Exit List'!$A381,Investors!$E:$E,'Investor Exit List'!$C381,Investors!$L:$L,'Investor Exit List'!$B381))</f>
        <v>126300</v>
      </c>
      <c r="G381" s="118">
        <v>44967</v>
      </c>
      <c r="H381" s="116" t="b">
        <f>VLOOKUP($C381,Sales!$C:$E,2,FALSE)</f>
        <v>0</v>
      </c>
      <c r="I381" s="116" t="b">
        <f>VLOOKUP($C381,Sales!$C:$E,3,FALSE)</f>
        <v>0</v>
      </c>
      <c r="J381" s="118">
        <f>SUMIFS(Sales!$H:$H,Sales!$C:$C,'Investor Exit List'!$C381)</f>
        <v>45625</v>
      </c>
      <c r="K381" s="118" t="str">
        <f t="shared" si="60"/>
        <v/>
      </c>
      <c r="L381" s="118">
        <f t="shared" si="61"/>
        <v>45697</v>
      </c>
      <c r="M381" s="118">
        <v>45443</v>
      </c>
      <c r="N381" s="119">
        <f t="shared" si="62"/>
        <v>254</v>
      </c>
      <c r="O381" s="119">
        <f t="shared" si="63"/>
        <v>0</v>
      </c>
      <c r="P381" s="117">
        <f t="shared" si="64"/>
        <v>0</v>
      </c>
      <c r="Q381" s="117">
        <f>SUMIFS(Investors!$M:$M,Investors!$O:$O,FALSE,Investors!$P:$P,FALSE,Investors!$K:$K,"&gt;"&amp;'NSST Print'!$B$3,Investors!$I:$I,"&lt;="&amp;'NSST Print'!$B$3,Investors!$A:$A,'Investor Exit List'!$A381,Investors!$E:$E,'Investor Exit List'!$C381,Investors!$L:$L,'Investor Exit List'!$B381)-(SUMIFS(Investors!$M:$M,Investors!$I:$I,"&lt;="&amp;'NSST Print'!$B$3,Investors!$J:$J,"&gt;"&amp;'NSST Print'!$B$3,Investors!$A:$A,'Investor Exit List'!$A381,Investors!$E:$E,'Investor Exit List'!$C381,Investors!$L:$L,'Investor Exit List'!$B381)+SUMIFS(Investors!$M:$M,Investors!$I:$I,"&lt;="&amp;'NSST Print'!$B$3,Investors!$J:$J,"",Investors!$A:$A,'Investor Exit List'!$A381,Investors!$E:$E,'Investor Exit List'!$C381,Investors!$L:$L,'Investor Exit List'!$B381))+SUMIFS(Investors!$S:$S,Investors!$O:$O,FALSE,Investors!$P:$P,FALSE,Investors!$K:$K,"&gt;"&amp;'NSST Print'!$B$3,Investors!$I:$I,"&lt;="&amp;'NSST Print'!$B$3,Investors!$A:$A,'Investor Exit List'!$A381,Investors!$E:$E,'Investor Exit List'!$C381,Investors!$L:$L,'Investor Exit List'!$B381)-(SUMIFS(Investors!$S:$S,Investors!$I:$I,"&lt;="&amp;'NSST Print'!$B$3,Investors!$J:$J,"&gt;"&amp;'NSST Print'!$B$3,Investors!$A:$A,'Investor Exit List'!$A381,Investors!$E:$E,'Investor Exit List'!$C381,Investors!$L:$L,'Investor Exit List'!$B381)+SUMIFS(Investors!$S:$S,Investors!$I:$I,"&lt;="&amp;'NSST Print'!$B$3,Investors!$J:$J,"",Investors!$A:$A,'Investor Exit List'!$A381,Investors!$E:$E,'Investor Exit List'!$C381,Investors!$L:$L,'Investor Exit List'!$B381))</f>
        <v>165934.84315068493</v>
      </c>
      <c r="R381" s="117">
        <f t="shared" si="65"/>
        <v>0</v>
      </c>
      <c r="S381" s="117">
        <f>SUMIFS(Investors!$M:$M,Investors!$O:$O,TRUE,Investors!$A:$A,'Investor Exit List'!$A381,Investors!$E:$E,'Investor Exit List'!$C381,Investors!$L:$L,'Investor Exit List'!$B381)+SUMIFS(Investors!$S:$S,Investors!$O:$O,TRUE,Investors!$A:$A,'Investor Exit List'!$A381,Investors!$E:$E,'Investor Exit List'!$C381,Investors!$L:$L,'Investor Exit List'!$B381)</f>
        <v>0</v>
      </c>
      <c r="T381" s="118" t="str">
        <f t="shared" si="66"/>
        <v/>
      </c>
      <c r="U381" s="116" t="b">
        <v>0</v>
      </c>
      <c r="V381" s="117">
        <f t="shared" si="67"/>
        <v>0</v>
      </c>
      <c r="W381" s="116">
        <v>0</v>
      </c>
      <c r="X381" s="116" t="b">
        <v>0</v>
      </c>
      <c r="Y381" s="119">
        <f>IF(H381=FALSE,VLOOKUP($C381,Sales!$C:$F,4,FALSE),1)</f>
        <v>0</v>
      </c>
      <c r="Z381" s="116" t="str">
        <f t="shared" si="68"/>
        <v>Release</v>
      </c>
      <c r="AA381" s="118">
        <f t="shared" si="69"/>
        <v>45646</v>
      </c>
      <c r="AB381" s="118" t="str">
        <f t="shared" si="70"/>
        <v>HVK202-ZRAN01</v>
      </c>
      <c r="AC381" s="118">
        <f t="shared" si="71"/>
        <v>45697</v>
      </c>
    </row>
    <row r="382" spans="1:29" ht="16" x14ac:dyDescent="0.2">
      <c r="A382" s="116" t="s">
        <v>142</v>
      </c>
      <c r="B382" s="116">
        <v>5</v>
      </c>
      <c r="C382" s="116" t="s">
        <v>757</v>
      </c>
      <c r="D382" s="116" t="s">
        <v>750</v>
      </c>
      <c r="E382" s="116" t="s">
        <v>2045</v>
      </c>
      <c r="F382" s="117">
        <f>SUMIFS(Investors!$M:$M,Investors!$O:$O,FALSE,Investors!$P:$P,FALSE,Investors!$K:$K,"&gt;"&amp;'NSST Print'!$B$3,Investors!$I:$I,"&lt;="&amp;'NSST Print'!$B$3,Investors!$A:$A,'Investor Exit List'!$A382,Investors!$E:$E,'Investor Exit List'!$C382,Investors!$L:$L,'Investor Exit List'!$B382)-(SUMIFS(Investors!$M:$M,Investors!$I:$I,"&lt;="&amp;'NSST Print'!$B$3,Investors!$J:$J,"&gt;"&amp;'NSST Print'!$B$3,Investors!$A:$A,'Investor Exit List'!$A382,Investors!$E:$E,'Investor Exit List'!$C382,Investors!$L:$L,'Investor Exit List'!$B382)+SUMIFS(Investors!$M:$M,Investors!$I:$I,"&lt;="&amp;'NSST Print'!$B$3,Investors!$J:$J,"",Investors!$A:$A,'Investor Exit List'!$A382,Investors!$E:$E,'Investor Exit List'!$C382,Investors!$L:$L,'Investor Exit List'!$B382))</f>
        <v>65218.15</v>
      </c>
      <c r="G382" s="118">
        <v>44986</v>
      </c>
      <c r="H382" s="116" t="b">
        <f>VLOOKUP($C382,Sales!$C:$E,2,FALSE)</f>
        <v>0</v>
      </c>
      <c r="I382" s="116" t="b">
        <f>VLOOKUP($C382,Sales!$C:$E,3,FALSE)</f>
        <v>0</v>
      </c>
      <c r="J382" s="118">
        <f>SUMIFS(Sales!$H:$H,Sales!$C:$C,'Investor Exit List'!$C382)</f>
        <v>45625</v>
      </c>
      <c r="K382" s="118" t="str">
        <f t="shared" si="60"/>
        <v/>
      </c>
      <c r="L382" s="118">
        <f t="shared" si="61"/>
        <v>45716</v>
      </c>
      <c r="M382" s="118">
        <v>45443</v>
      </c>
      <c r="N382" s="119">
        <f t="shared" si="62"/>
        <v>273</v>
      </c>
      <c r="O382" s="119">
        <f t="shared" si="63"/>
        <v>0</v>
      </c>
      <c r="P382" s="117">
        <f t="shared" si="64"/>
        <v>0</v>
      </c>
      <c r="Q382" s="117">
        <f>SUMIFS(Investors!$M:$M,Investors!$O:$O,FALSE,Investors!$P:$P,FALSE,Investors!$K:$K,"&gt;"&amp;'NSST Print'!$B$3,Investors!$I:$I,"&lt;="&amp;'NSST Print'!$B$3,Investors!$A:$A,'Investor Exit List'!$A382,Investors!$E:$E,'Investor Exit List'!$C382,Investors!$L:$L,'Investor Exit List'!$B382)-(SUMIFS(Investors!$M:$M,Investors!$I:$I,"&lt;="&amp;'NSST Print'!$B$3,Investors!$J:$J,"&gt;"&amp;'NSST Print'!$B$3,Investors!$A:$A,'Investor Exit List'!$A382,Investors!$E:$E,'Investor Exit List'!$C382,Investors!$L:$L,'Investor Exit List'!$B382)+SUMIFS(Investors!$M:$M,Investors!$I:$I,"&lt;="&amp;'NSST Print'!$B$3,Investors!$J:$J,"",Investors!$A:$A,'Investor Exit List'!$A382,Investors!$E:$E,'Investor Exit List'!$C382,Investors!$L:$L,'Investor Exit List'!$B382))+SUMIFS(Investors!$S:$S,Investors!$O:$O,FALSE,Investors!$P:$P,FALSE,Investors!$K:$K,"&gt;"&amp;'NSST Print'!$B$3,Investors!$I:$I,"&lt;="&amp;'NSST Print'!$B$3,Investors!$A:$A,'Investor Exit List'!$A382,Investors!$E:$E,'Investor Exit List'!$C382,Investors!$L:$L,'Investor Exit List'!$B382)-(SUMIFS(Investors!$S:$S,Investors!$I:$I,"&lt;="&amp;'NSST Print'!$B$3,Investors!$J:$J,"&gt;"&amp;'NSST Print'!$B$3,Investors!$A:$A,'Investor Exit List'!$A382,Investors!$E:$E,'Investor Exit List'!$C382,Investors!$L:$L,'Investor Exit List'!$B382)+SUMIFS(Investors!$S:$S,Investors!$I:$I,"&lt;="&amp;'NSST Print'!$B$3,Investors!$J:$J,"",Investors!$A:$A,'Investor Exit List'!$A382,Investors!$E:$E,'Investor Exit List'!$C382,Investors!$L:$L,'Investor Exit List'!$B382))</f>
        <v>81235.906319863017</v>
      </c>
      <c r="R382" s="117">
        <f t="shared" si="65"/>
        <v>0</v>
      </c>
      <c r="S382" s="117">
        <f>SUMIFS(Investors!$M:$M,Investors!$O:$O,TRUE,Investors!$A:$A,'Investor Exit List'!$A382,Investors!$E:$E,'Investor Exit List'!$C382,Investors!$L:$L,'Investor Exit List'!$B382)+SUMIFS(Investors!$S:$S,Investors!$O:$O,TRUE,Investors!$A:$A,'Investor Exit List'!$A382,Investors!$E:$E,'Investor Exit List'!$C382,Investors!$L:$L,'Investor Exit List'!$B382)</f>
        <v>0</v>
      </c>
      <c r="T382" s="118" t="str">
        <f t="shared" si="66"/>
        <v/>
      </c>
      <c r="U382" s="116" t="b">
        <v>0</v>
      </c>
      <c r="V382" s="117">
        <f t="shared" si="67"/>
        <v>0</v>
      </c>
      <c r="W382" s="116">
        <v>0</v>
      </c>
      <c r="X382" s="116" t="b">
        <v>0</v>
      </c>
      <c r="Y382" s="119">
        <f>IF(H382=FALSE,VLOOKUP($C382,Sales!$C:$F,4,FALSE),1)</f>
        <v>0</v>
      </c>
      <c r="Z382" s="116" t="str">
        <f t="shared" si="68"/>
        <v>Release</v>
      </c>
      <c r="AA382" s="118">
        <f t="shared" si="69"/>
        <v>45646</v>
      </c>
      <c r="AB382" s="118" t="str">
        <f t="shared" si="70"/>
        <v>HVK202-ZVDM01</v>
      </c>
      <c r="AC382" s="118">
        <f t="shared" si="71"/>
        <v>45716</v>
      </c>
    </row>
    <row r="383" spans="1:29" ht="16" x14ac:dyDescent="0.2">
      <c r="A383" s="116" t="s">
        <v>30</v>
      </c>
      <c r="B383" s="116">
        <v>4</v>
      </c>
      <c r="C383" s="116" t="s">
        <v>757</v>
      </c>
      <c r="D383" s="116" t="s">
        <v>750</v>
      </c>
      <c r="E383" s="116" t="s">
        <v>2011</v>
      </c>
      <c r="F383" s="117">
        <f>SUMIFS(Investors!$M:$M,Investors!$O:$O,FALSE,Investors!$P:$P,FALSE,Investors!$K:$K,"&gt;"&amp;'NSST Print'!$B$3,Investors!$I:$I,"&lt;="&amp;'NSST Print'!$B$3,Investors!$A:$A,'Investor Exit List'!$A383,Investors!$E:$E,'Investor Exit List'!$C383,Investors!$L:$L,'Investor Exit List'!$B383)-(SUMIFS(Investors!$M:$M,Investors!$I:$I,"&lt;="&amp;'NSST Print'!$B$3,Investors!$J:$J,"&gt;"&amp;'NSST Print'!$B$3,Investors!$A:$A,'Investor Exit List'!$A383,Investors!$E:$E,'Investor Exit List'!$C383,Investors!$L:$L,'Investor Exit List'!$B383)+SUMIFS(Investors!$M:$M,Investors!$I:$I,"&lt;="&amp;'NSST Print'!$B$3,Investors!$J:$J,"",Investors!$A:$A,'Investor Exit List'!$A383,Investors!$E:$E,'Investor Exit List'!$C383,Investors!$L:$L,'Investor Exit List'!$B383))</f>
        <v>608441.78</v>
      </c>
      <c r="G383" s="118">
        <v>45016</v>
      </c>
      <c r="H383" s="116" t="b">
        <f>VLOOKUP($C383,Sales!$C:$E,2,FALSE)</f>
        <v>0</v>
      </c>
      <c r="I383" s="116" t="b">
        <f>VLOOKUP($C383,Sales!$C:$E,3,FALSE)</f>
        <v>0</v>
      </c>
      <c r="J383" s="118">
        <f>SUMIFS(Sales!$H:$H,Sales!$C:$C,'Investor Exit List'!$C383)</f>
        <v>45625</v>
      </c>
      <c r="K383" s="118" t="str">
        <f t="shared" si="60"/>
        <v/>
      </c>
      <c r="L383" s="118">
        <f t="shared" si="61"/>
        <v>45746</v>
      </c>
      <c r="M383" s="118">
        <v>45443</v>
      </c>
      <c r="N383" s="119">
        <f t="shared" si="62"/>
        <v>303</v>
      </c>
      <c r="O383" s="119">
        <f t="shared" si="63"/>
        <v>0</v>
      </c>
      <c r="P383" s="117">
        <f t="shared" si="64"/>
        <v>0</v>
      </c>
      <c r="Q383" s="117">
        <f>SUMIFS(Investors!$M:$M,Investors!$O:$O,FALSE,Investors!$P:$P,FALSE,Investors!$K:$K,"&gt;"&amp;'NSST Print'!$B$3,Investors!$I:$I,"&lt;="&amp;'NSST Print'!$B$3,Investors!$A:$A,'Investor Exit List'!$A383,Investors!$E:$E,'Investor Exit List'!$C383,Investors!$L:$L,'Investor Exit List'!$B383)-(SUMIFS(Investors!$M:$M,Investors!$I:$I,"&lt;="&amp;'NSST Print'!$B$3,Investors!$J:$J,"&gt;"&amp;'NSST Print'!$B$3,Investors!$A:$A,'Investor Exit List'!$A383,Investors!$E:$E,'Investor Exit List'!$C383,Investors!$L:$L,'Investor Exit List'!$B383)+SUMIFS(Investors!$M:$M,Investors!$I:$I,"&lt;="&amp;'NSST Print'!$B$3,Investors!$J:$J,"",Investors!$A:$A,'Investor Exit List'!$A383,Investors!$E:$E,'Investor Exit List'!$C383,Investors!$L:$L,'Investor Exit List'!$B383))+SUMIFS(Investors!$S:$S,Investors!$O:$O,FALSE,Investors!$P:$P,FALSE,Investors!$K:$K,"&gt;"&amp;'NSST Print'!$B$3,Investors!$I:$I,"&lt;="&amp;'NSST Print'!$B$3,Investors!$A:$A,'Investor Exit List'!$A383,Investors!$E:$E,'Investor Exit List'!$C383,Investors!$L:$L,'Investor Exit List'!$B383)-(SUMIFS(Investors!$S:$S,Investors!$I:$I,"&lt;="&amp;'NSST Print'!$B$3,Investors!$J:$J,"&gt;"&amp;'NSST Print'!$B$3,Investors!$A:$A,'Investor Exit List'!$A383,Investors!$E:$E,'Investor Exit List'!$C383,Investors!$L:$L,'Investor Exit List'!$B383)+SUMIFS(Investors!$S:$S,Investors!$I:$I,"&lt;="&amp;'NSST Print'!$B$3,Investors!$J:$J,"",Investors!$A:$A,'Investor Exit List'!$A383,Investors!$E:$E,'Investor Exit List'!$C383,Investors!$L:$L,'Investor Exit List'!$B383))</f>
        <v>790732.60425178078</v>
      </c>
      <c r="R383" s="117">
        <f t="shared" si="65"/>
        <v>0</v>
      </c>
      <c r="S383" s="117">
        <f>SUMIFS(Investors!$M:$M,Investors!$O:$O,TRUE,Investors!$A:$A,'Investor Exit List'!$A383,Investors!$E:$E,'Investor Exit List'!$C383,Investors!$L:$L,'Investor Exit List'!$B383)+SUMIFS(Investors!$S:$S,Investors!$O:$O,TRUE,Investors!$A:$A,'Investor Exit List'!$A383,Investors!$E:$E,'Investor Exit List'!$C383,Investors!$L:$L,'Investor Exit List'!$B383)</f>
        <v>0</v>
      </c>
      <c r="T383" s="118" t="str">
        <f t="shared" si="66"/>
        <v/>
      </c>
      <c r="U383" s="116" t="b">
        <v>0</v>
      </c>
      <c r="V383" s="117">
        <f t="shared" si="67"/>
        <v>0</v>
      </c>
      <c r="W383" s="116">
        <v>0</v>
      </c>
      <c r="X383" s="116" t="b">
        <v>0</v>
      </c>
      <c r="Y383" s="119">
        <f>IF(H383=FALSE,VLOOKUP($C383,Sales!$C:$F,4,FALSE),1)</f>
        <v>0</v>
      </c>
      <c r="Z383" s="116" t="str">
        <f t="shared" si="68"/>
        <v>Release</v>
      </c>
      <c r="AA383" s="118">
        <f t="shared" si="69"/>
        <v>45646</v>
      </c>
      <c r="AB383" s="118" t="str">
        <f t="shared" si="70"/>
        <v>HVK202-ZZYL03</v>
      </c>
      <c r="AC383" s="118">
        <f t="shared" si="71"/>
        <v>45746</v>
      </c>
    </row>
    <row r="384" spans="1:29" ht="16" x14ac:dyDescent="0.2">
      <c r="A384" s="116" t="s">
        <v>152</v>
      </c>
      <c r="B384" s="116">
        <v>2</v>
      </c>
      <c r="C384" s="116" t="s">
        <v>758</v>
      </c>
      <c r="D384" s="116" t="s">
        <v>750</v>
      </c>
      <c r="E384" s="116" t="s">
        <v>2048</v>
      </c>
      <c r="F384" s="117">
        <f>SUMIFS(Investors!$M:$M,Investors!$O:$O,FALSE,Investors!$P:$P,FALSE,Investors!$K:$K,"&gt;"&amp;'NSST Print'!$B$3,Investors!$I:$I,"&lt;="&amp;'NSST Print'!$B$3,Investors!$A:$A,'Investor Exit List'!$A384,Investors!$E:$E,'Investor Exit List'!$C384,Investors!$L:$L,'Investor Exit List'!$B384)-(SUMIFS(Investors!$M:$M,Investors!$I:$I,"&lt;="&amp;'NSST Print'!$B$3,Investors!$J:$J,"&gt;"&amp;'NSST Print'!$B$3,Investors!$A:$A,'Investor Exit List'!$A384,Investors!$E:$E,'Investor Exit List'!$C384,Investors!$L:$L,'Investor Exit List'!$B384)+SUMIFS(Investors!$M:$M,Investors!$I:$I,"&lt;="&amp;'NSST Print'!$B$3,Investors!$J:$J,"",Investors!$A:$A,'Investor Exit List'!$A384,Investors!$E:$E,'Investor Exit List'!$C384,Investors!$L:$L,'Investor Exit List'!$B384))</f>
        <v>510000</v>
      </c>
      <c r="G384" s="118">
        <v>44916</v>
      </c>
      <c r="H384" s="116" t="b">
        <f>VLOOKUP($C384,Sales!$C:$E,2,FALSE)</f>
        <v>0</v>
      </c>
      <c r="I384" s="116" t="b">
        <f>VLOOKUP($C384,Sales!$C:$E,3,FALSE)</f>
        <v>0</v>
      </c>
      <c r="J384" s="118">
        <f>SUMIFS(Sales!$H:$H,Sales!$C:$C,'Investor Exit List'!$C384)</f>
        <v>45625</v>
      </c>
      <c r="K384" s="118" t="str">
        <f t="shared" si="60"/>
        <v/>
      </c>
      <c r="L384" s="118">
        <f t="shared" si="61"/>
        <v>45646</v>
      </c>
      <c r="M384" s="118">
        <v>45443</v>
      </c>
      <c r="N384" s="119">
        <f t="shared" si="62"/>
        <v>203</v>
      </c>
      <c r="O384" s="119">
        <f t="shared" si="63"/>
        <v>0</v>
      </c>
      <c r="P384" s="117">
        <f t="shared" si="64"/>
        <v>0</v>
      </c>
      <c r="Q384" s="117">
        <f>SUMIFS(Investors!$M:$M,Investors!$O:$O,FALSE,Investors!$P:$P,FALSE,Investors!$K:$K,"&gt;"&amp;'NSST Print'!$B$3,Investors!$I:$I,"&lt;="&amp;'NSST Print'!$B$3,Investors!$A:$A,'Investor Exit List'!$A384,Investors!$E:$E,'Investor Exit List'!$C384,Investors!$L:$L,'Investor Exit List'!$B384)-(SUMIFS(Investors!$M:$M,Investors!$I:$I,"&lt;="&amp;'NSST Print'!$B$3,Investors!$J:$J,"&gt;"&amp;'NSST Print'!$B$3,Investors!$A:$A,'Investor Exit List'!$A384,Investors!$E:$E,'Investor Exit List'!$C384,Investors!$L:$L,'Investor Exit List'!$B384)+SUMIFS(Investors!$M:$M,Investors!$I:$I,"&lt;="&amp;'NSST Print'!$B$3,Investors!$J:$J,"",Investors!$A:$A,'Investor Exit List'!$A384,Investors!$E:$E,'Investor Exit List'!$C384,Investors!$L:$L,'Investor Exit List'!$B384))+SUMIFS(Investors!$S:$S,Investors!$O:$O,FALSE,Investors!$P:$P,FALSE,Investors!$K:$K,"&gt;"&amp;'NSST Print'!$B$3,Investors!$I:$I,"&lt;="&amp;'NSST Print'!$B$3,Investors!$A:$A,'Investor Exit List'!$A384,Investors!$E:$E,'Investor Exit List'!$C384,Investors!$L:$L,'Investor Exit List'!$B384)-(SUMIFS(Investors!$S:$S,Investors!$I:$I,"&lt;="&amp;'NSST Print'!$B$3,Investors!$J:$J,"&gt;"&amp;'NSST Print'!$B$3,Investors!$A:$A,'Investor Exit List'!$A384,Investors!$E:$E,'Investor Exit List'!$C384,Investors!$L:$L,'Investor Exit List'!$B384)+SUMIFS(Investors!$S:$S,Investors!$I:$I,"&lt;="&amp;'NSST Print'!$B$3,Investors!$J:$J,"",Investors!$A:$A,'Investor Exit List'!$A384,Investors!$E:$E,'Investor Exit List'!$C384,Investors!$L:$L,'Investor Exit List'!$B384))</f>
        <v>662821.84931506845</v>
      </c>
      <c r="R384" s="117">
        <f t="shared" si="65"/>
        <v>0</v>
      </c>
      <c r="S384" s="117">
        <f>SUMIFS(Investors!$M:$M,Investors!$O:$O,TRUE,Investors!$A:$A,'Investor Exit List'!$A384,Investors!$E:$E,'Investor Exit List'!$C384,Investors!$L:$L,'Investor Exit List'!$B384)+SUMIFS(Investors!$S:$S,Investors!$O:$O,TRUE,Investors!$A:$A,'Investor Exit List'!$A384,Investors!$E:$E,'Investor Exit List'!$C384,Investors!$L:$L,'Investor Exit List'!$B384)</f>
        <v>0</v>
      </c>
      <c r="T384" s="118" t="str">
        <f t="shared" si="66"/>
        <v/>
      </c>
      <c r="U384" s="116" t="b">
        <v>0</v>
      </c>
      <c r="V384" s="117">
        <f t="shared" si="67"/>
        <v>0</v>
      </c>
      <c r="W384" s="116">
        <v>0</v>
      </c>
      <c r="X384" s="116" t="b">
        <v>0</v>
      </c>
      <c r="Y384" s="119">
        <f>IF(H384=FALSE,VLOOKUP($C384,Sales!$C:$F,4,FALSE),1)</f>
        <v>0</v>
      </c>
      <c r="Z384" s="116" t="str">
        <f t="shared" si="68"/>
        <v>Release</v>
      </c>
      <c r="AA384" s="118">
        <f t="shared" si="69"/>
        <v>45646</v>
      </c>
      <c r="AB384" s="118" t="str">
        <f t="shared" si="70"/>
        <v>HVK203-ZASD01</v>
      </c>
      <c r="AC384" s="118">
        <f t="shared" si="71"/>
        <v>45646</v>
      </c>
    </row>
    <row r="385" spans="1:29" ht="16" x14ac:dyDescent="0.2">
      <c r="A385" s="116" t="s">
        <v>72</v>
      </c>
      <c r="B385" s="116">
        <v>2</v>
      </c>
      <c r="C385" s="116" t="s">
        <v>758</v>
      </c>
      <c r="D385" s="116" t="s">
        <v>750</v>
      </c>
      <c r="E385" s="116" t="s">
        <v>2023</v>
      </c>
      <c r="F385" s="117">
        <f>SUMIFS(Investors!$M:$M,Investors!$O:$O,FALSE,Investors!$P:$P,FALSE,Investors!$K:$K,"&gt;"&amp;'NSST Print'!$B$3,Investors!$I:$I,"&lt;="&amp;'NSST Print'!$B$3,Investors!$A:$A,'Investor Exit List'!$A385,Investors!$E:$E,'Investor Exit List'!$C385,Investors!$L:$L,'Investor Exit List'!$B385)-(SUMIFS(Investors!$M:$M,Investors!$I:$I,"&lt;="&amp;'NSST Print'!$B$3,Investors!$J:$J,"&gt;"&amp;'NSST Print'!$B$3,Investors!$A:$A,'Investor Exit List'!$A385,Investors!$E:$E,'Investor Exit List'!$C385,Investors!$L:$L,'Investor Exit List'!$B385)+SUMIFS(Investors!$M:$M,Investors!$I:$I,"&lt;="&amp;'NSST Print'!$B$3,Investors!$J:$J,"",Investors!$A:$A,'Investor Exit List'!$A385,Investors!$E:$E,'Investor Exit List'!$C385,Investors!$L:$L,'Investor Exit List'!$B385))</f>
        <v>500000</v>
      </c>
      <c r="G385" s="118">
        <v>45044</v>
      </c>
      <c r="H385" s="116" t="b">
        <f>VLOOKUP($C385,Sales!$C:$E,2,FALSE)</f>
        <v>0</v>
      </c>
      <c r="I385" s="116" t="b">
        <f>VLOOKUP($C385,Sales!$C:$E,3,FALSE)</f>
        <v>0</v>
      </c>
      <c r="J385" s="118">
        <f>SUMIFS(Sales!$H:$H,Sales!$C:$C,'Investor Exit List'!$C385)</f>
        <v>45625</v>
      </c>
      <c r="K385" s="118" t="str">
        <f t="shared" si="60"/>
        <v/>
      </c>
      <c r="L385" s="118">
        <f t="shared" si="61"/>
        <v>45774</v>
      </c>
      <c r="M385" s="118">
        <v>45443</v>
      </c>
      <c r="N385" s="119">
        <f t="shared" si="62"/>
        <v>331</v>
      </c>
      <c r="O385" s="119">
        <f t="shared" si="63"/>
        <v>0</v>
      </c>
      <c r="P385" s="117">
        <f t="shared" si="64"/>
        <v>0</v>
      </c>
      <c r="Q385" s="117">
        <f>SUMIFS(Investors!$M:$M,Investors!$O:$O,FALSE,Investors!$P:$P,FALSE,Investors!$K:$K,"&gt;"&amp;'NSST Print'!$B$3,Investors!$I:$I,"&lt;="&amp;'NSST Print'!$B$3,Investors!$A:$A,'Investor Exit List'!$A385,Investors!$E:$E,'Investor Exit List'!$C385,Investors!$L:$L,'Investor Exit List'!$B385)-(SUMIFS(Investors!$M:$M,Investors!$I:$I,"&lt;="&amp;'NSST Print'!$B$3,Investors!$J:$J,"&gt;"&amp;'NSST Print'!$B$3,Investors!$A:$A,'Investor Exit List'!$A385,Investors!$E:$E,'Investor Exit List'!$C385,Investors!$L:$L,'Investor Exit List'!$B385)+SUMIFS(Investors!$M:$M,Investors!$I:$I,"&lt;="&amp;'NSST Print'!$B$3,Investors!$J:$J,"",Investors!$A:$A,'Investor Exit List'!$A385,Investors!$E:$E,'Investor Exit List'!$C385,Investors!$L:$L,'Investor Exit List'!$B385))+SUMIFS(Investors!$S:$S,Investors!$O:$O,FALSE,Investors!$P:$P,FALSE,Investors!$K:$K,"&gt;"&amp;'NSST Print'!$B$3,Investors!$I:$I,"&lt;="&amp;'NSST Print'!$B$3,Investors!$A:$A,'Investor Exit List'!$A385,Investors!$E:$E,'Investor Exit List'!$C385,Investors!$L:$L,'Investor Exit List'!$B385)-(SUMIFS(Investors!$S:$S,Investors!$I:$I,"&lt;="&amp;'NSST Print'!$B$3,Investors!$J:$J,"&gt;"&amp;'NSST Print'!$B$3,Investors!$A:$A,'Investor Exit List'!$A385,Investors!$E:$E,'Investor Exit List'!$C385,Investors!$L:$L,'Investor Exit List'!$B385)+SUMIFS(Investors!$S:$S,Investors!$I:$I,"&lt;="&amp;'NSST Print'!$B$3,Investors!$J:$J,"",Investors!$A:$A,'Investor Exit List'!$A385,Investors!$E:$E,'Investor Exit List'!$C385,Investors!$L:$L,'Investor Exit List'!$B385))</f>
        <v>632010.27397260279</v>
      </c>
      <c r="R385" s="117">
        <f t="shared" si="65"/>
        <v>0</v>
      </c>
      <c r="S385" s="117">
        <f>SUMIFS(Investors!$M:$M,Investors!$O:$O,TRUE,Investors!$A:$A,'Investor Exit List'!$A385,Investors!$E:$E,'Investor Exit List'!$C385,Investors!$L:$L,'Investor Exit List'!$B385)+SUMIFS(Investors!$S:$S,Investors!$O:$O,TRUE,Investors!$A:$A,'Investor Exit List'!$A385,Investors!$E:$E,'Investor Exit List'!$C385,Investors!$L:$L,'Investor Exit List'!$B385)</f>
        <v>0</v>
      </c>
      <c r="T385" s="118" t="str">
        <f t="shared" si="66"/>
        <v/>
      </c>
      <c r="U385" s="116" t="b">
        <v>0</v>
      </c>
      <c r="V385" s="117">
        <f t="shared" si="67"/>
        <v>0</v>
      </c>
      <c r="W385" s="116">
        <v>0</v>
      </c>
      <c r="X385" s="116" t="b">
        <v>0</v>
      </c>
      <c r="Y385" s="119">
        <f>IF(H385=FALSE,VLOOKUP($C385,Sales!$C:$F,4,FALSE),1)</f>
        <v>0</v>
      </c>
      <c r="Z385" s="116" t="str">
        <f t="shared" si="68"/>
        <v>Release</v>
      </c>
      <c r="AA385" s="118">
        <f t="shared" si="69"/>
        <v>45646</v>
      </c>
      <c r="AB385" s="118" t="str">
        <f t="shared" si="70"/>
        <v>HVK203-ZLOU01</v>
      </c>
      <c r="AC385" s="118">
        <f t="shared" si="71"/>
        <v>45774</v>
      </c>
    </row>
    <row r="386" spans="1:29" ht="16" x14ac:dyDescent="0.2">
      <c r="A386" s="116" t="s">
        <v>62</v>
      </c>
      <c r="B386" s="116">
        <v>4</v>
      </c>
      <c r="C386" s="116" t="s">
        <v>758</v>
      </c>
      <c r="D386" s="116" t="s">
        <v>750</v>
      </c>
      <c r="E386" s="116" t="s">
        <v>2020</v>
      </c>
      <c r="F386" s="117">
        <f>SUMIFS(Investors!$M:$M,Investors!$O:$O,FALSE,Investors!$P:$P,FALSE,Investors!$K:$K,"&gt;"&amp;'NSST Print'!$B$3,Investors!$I:$I,"&lt;="&amp;'NSST Print'!$B$3,Investors!$A:$A,'Investor Exit List'!$A386,Investors!$E:$E,'Investor Exit List'!$C386,Investors!$L:$L,'Investor Exit List'!$B386)-(SUMIFS(Investors!$M:$M,Investors!$I:$I,"&lt;="&amp;'NSST Print'!$B$3,Investors!$J:$J,"&gt;"&amp;'NSST Print'!$B$3,Investors!$A:$A,'Investor Exit List'!$A386,Investors!$E:$E,'Investor Exit List'!$C386,Investors!$L:$L,'Investor Exit List'!$B386)+SUMIFS(Investors!$M:$M,Investors!$I:$I,"&lt;="&amp;'NSST Print'!$B$3,Investors!$J:$J,"",Investors!$A:$A,'Investor Exit List'!$A386,Investors!$E:$E,'Investor Exit List'!$C386,Investors!$L:$L,'Investor Exit List'!$B386))</f>
        <v>90419.06</v>
      </c>
      <c r="G386" s="118">
        <v>45016</v>
      </c>
      <c r="H386" s="116" t="b">
        <f>VLOOKUP($C386,Sales!$C:$E,2,FALSE)</f>
        <v>0</v>
      </c>
      <c r="I386" s="116" t="b">
        <f>VLOOKUP($C386,Sales!$C:$E,3,FALSE)</f>
        <v>0</v>
      </c>
      <c r="J386" s="118">
        <f>SUMIFS(Sales!$H:$H,Sales!$C:$C,'Investor Exit List'!$C386)</f>
        <v>45625</v>
      </c>
      <c r="K386" s="118" t="str">
        <f t="shared" si="60"/>
        <v/>
      </c>
      <c r="L386" s="118">
        <f t="shared" si="61"/>
        <v>45746</v>
      </c>
      <c r="M386" s="118">
        <v>45443</v>
      </c>
      <c r="N386" s="119">
        <f t="shared" si="62"/>
        <v>303</v>
      </c>
      <c r="O386" s="119">
        <f t="shared" si="63"/>
        <v>0</v>
      </c>
      <c r="P386" s="117">
        <f t="shared" si="64"/>
        <v>0</v>
      </c>
      <c r="Q386" s="117">
        <f>SUMIFS(Investors!$M:$M,Investors!$O:$O,FALSE,Investors!$P:$P,FALSE,Investors!$K:$K,"&gt;"&amp;'NSST Print'!$B$3,Investors!$I:$I,"&lt;="&amp;'NSST Print'!$B$3,Investors!$A:$A,'Investor Exit List'!$A386,Investors!$E:$E,'Investor Exit List'!$C386,Investors!$L:$L,'Investor Exit List'!$B386)-(SUMIFS(Investors!$M:$M,Investors!$I:$I,"&lt;="&amp;'NSST Print'!$B$3,Investors!$J:$J,"&gt;"&amp;'NSST Print'!$B$3,Investors!$A:$A,'Investor Exit List'!$A386,Investors!$E:$E,'Investor Exit List'!$C386,Investors!$L:$L,'Investor Exit List'!$B386)+SUMIFS(Investors!$M:$M,Investors!$I:$I,"&lt;="&amp;'NSST Print'!$B$3,Investors!$J:$J,"",Investors!$A:$A,'Investor Exit List'!$A386,Investors!$E:$E,'Investor Exit List'!$C386,Investors!$L:$L,'Investor Exit List'!$B386))+SUMIFS(Investors!$S:$S,Investors!$O:$O,FALSE,Investors!$P:$P,FALSE,Investors!$K:$K,"&gt;"&amp;'NSST Print'!$B$3,Investors!$I:$I,"&lt;="&amp;'NSST Print'!$B$3,Investors!$A:$A,'Investor Exit List'!$A386,Investors!$E:$E,'Investor Exit List'!$C386,Investors!$L:$L,'Investor Exit List'!$B386)-(SUMIFS(Investors!$S:$S,Investors!$I:$I,"&lt;="&amp;'NSST Print'!$B$3,Investors!$J:$J,"&gt;"&amp;'NSST Print'!$B$3,Investors!$A:$A,'Investor Exit List'!$A386,Investors!$E:$E,'Investor Exit List'!$C386,Investors!$L:$L,'Investor Exit List'!$B386)+SUMIFS(Investors!$S:$S,Investors!$I:$I,"&lt;="&amp;'NSST Print'!$B$3,Investors!$J:$J,"",Investors!$A:$A,'Investor Exit List'!$A386,Investors!$E:$E,'Investor Exit List'!$C386,Investors!$L:$L,'Investor Exit List'!$B386))</f>
        <v>111839.08759054795</v>
      </c>
      <c r="R386" s="117">
        <f t="shared" si="65"/>
        <v>0</v>
      </c>
      <c r="S386" s="117">
        <f>SUMIFS(Investors!$M:$M,Investors!$O:$O,TRUE,Investors!$A:$A,'Investor Exit List'!$A386,Investors!$E:$E,'Investor Exit List'!$C386,Investors!$L:$L,'Investor Exit List'!$B386)+SUMIFS(Investors!$S:$S,Investors!$O:$O,TRUE,Investors!$A:$A,'Investor Exit List'!$A386,Investors!$E:$E,'Investor Exit List'!$C386,Investors!$L:$L,'Investor Exit List'!$B386)</f>
        <v>0</v>
      </c>
      <c r="T386" s="118" t="str">
        <f t="shared" si="66"/>
        <v/>
      </c>
      <c r="U386" s="116" t="b">
        <v>0</v>
      </c>
      <c r="V386" s="117">
        <f t="shared" si="67"/>
        <v>0</v>
      </c>
      <c r="W386" s="116">
        <v>0</v>
      </c>
      <c r="X386" s="116" t="b">
        <v>0</v>
      </c>
      <c r="Y386" s="119">
        <f>IF(H386=FALSE,VLOOKUP($C386,Sales!$C:$F,4,FALSE),1)</f>
        <v>0</v>
      </c>
      <c r="Z386" s="116" t="str">
        <f t="shared" si="68"/>
        <v>Release</v>
      </c>
      <c r="AA386" s="118">
        <f t="shared" si="69"/>
        <v>45646</v>
      </c>
      <c r="AB386" s="118" t="str">
        <f t="shared" si="70"/>
        <v>HVK203-ZSPE01</v>
      </c>
      <c r="AC386" s="118">
        <f t="shared" si="71"/>
        <v>45746</v>
      </c>
    </row>
    <row r="387" spans="1:29" ht="16" x14ac:dyDescent="0.2">
      <c r="A387" s="116" t="s">
        <v>21</v>
      </c>
      <c r="B387" s="116">
        <v>3</v>
      </c>
      <c r="C387" s="116" t="s">
        <v>759</v>
      </c>
      <c r="D387" s="116" t="s">
        <v>750</v>
      </c>
      <c r="E387" s="116" t="s">
        <v>2009</v>
      </c>
      <c r="F387" s="117">
        <f>SUMIFS(Investors!$M:$M,Investors!$O:$O,FALSE,Investors!$P:$P,FALSE,Investors!$K:$K,"&gt;"&amp;'NSST Print'!$B$3,Investors!$I:$I,"&lt;="&amp;'NSST Print'!$B$3,Investors!$A:$A,'Investor Exit List'!$A387,Investors!$E:$E,'Investor Exit List'!$C387,Investors!$L:$L,'Investor Exit List'!$B387)-(SUMIFS(Investors!$M:$M,Investors!$I:$I,"&lt;="&amp;'NSST Print'!$B$3,Investors!$J:$J,"&gt;"&amp;'NSST Print'!$B$3,Investors!$A:$A,'Investor Exit List'!$A387,Investors!$E:$E,'Investor Exit List'!$C387,Investors!$L:$L,'Investor Exit List'!$B387)+SUMIFS(Investors!$M:$M,Investors!$I:$I,"&lt;="&amp;'NSST Print'!$B$3,Investors!$J:$J,"",Investors!$A:$A,'Investor Exit List'!$A387,Investors!$E:$E,'Investor Exit List'!$C387,Investors!$L:$L,'Investor Exit List'!$B387))</f>
        <v>400000</v>
      </c>
      <c r="G387" s="118">
        <v>45016</v>
      </c>
      <c r="H387" s="116" t="b">
        <f>VLOOKUP($C387,Sales!$C:$E,2,FALSE)</f>
        <v>0</v>
      </c>
      <c r="I387" s="116" t="b">
        <f>VLOOKUP($C387,Sales!$C:$E,3,FALSE)</f>
        <v>0</v>
      </c>
      <c r="J387" s="118">
        <f>SUMIFS(Sales!$H:$H,Sales!$C:$C,'Investor Exit List'!$C387)</f>
        <v>45625</v>
      </c>
      <c r="K387" s="118" t="str">
        <f t="shared" si="60"/>
        <v/>
      </c>
      <c r="L387" s="118">
        <f t="shared" si="61"/>
        <v>45746</v>
      </c>
      <c r="M387" s="118">
        <v>45443</v>
      </c>
      <c r="N387" s="119">
        <f t="shared" si="62"/>
        <v>303</v>
      </c>
      <c r="O387" s="119">
        <f t="shared" si="63"/>
        <v>0</v>
      </c>
      <c r="P387" s="117">
        <f t="shared" si="64"/>
        <v>0</v>
      </c>
      <c r="Q387" s="117">
        <f>SUMIFS(Investors!$M:$M,Investors!$O:$O,FALSE,Investors!$P:$P,FALSE,Investors!$K:$K,"&gt;"&amp;'NSST Print'!$B$3,Investors!$I:$I,"&lt;="&amp;'NSST Print'!$B$3,Investors!$A:$A,'Investor Exit List'!$A387,Investors!$E:$E,'Investor Exit List'!$C387,Investors!$L:$L,'Investor Exit List'!$B387)-(SUMIFS(Investors!$M:$M,Investors!$I:$I,"&lt;="&amp;'NSST Print'!$B$3,Investors!$J:$J,"&gt;"&amp;'NSST Print'!$B$3,Investors!$A:$A,'Investor Exit List'!$A387,Investors!$E:$E,'Investor Exit List'!$C387,Investors!$L:$L,'Investor Exit List'!$B387)+SUMIFS(Investors!$M:$M,Investors!$I:$I,"&lt;="&amp;'NSST Print'!$B$3,Investors!$J:$J,"",Investors!$A:$A,'Investor Exit List'!$A387,Investors!$E:$E,'Investor Exit List'!$C387,Investors!$L:$L,'Investor Exit List'!$B387))+SUMIFS(Investors!$S:$S,Investors!$O:$O,FALSE,Investors!$P:$P,FALSE,Investors!$K:$K,"&gt;"&amp;'NSST Print'!$B$3,Investors!$I:$I,"&lt;="&amp;'NSST Print'!$B$3,Investors!$A:$A,'Investor Exit List'!$A387,Investors!$E:$E,'Investor Exit List'!$C387,Investors!$L:$L,'Investor Exit List'!$B387)-(SUMIFS(Investors!$S:$S,Investors!$I:$I,"&lt;="&amp;'NSST Print'!$B$3,Investors!$J:$J,"&gt;"&amp;'NSST Print'!$B$3,Investors!$A:$A,'Investor Exit List'!$A387,Investors!$E:$E,'Investor Exit List'!$C387,Investors!$L:$L,'Investor Exit List'!$B387)+SUMIFS(Investors!$S:$S,Investors!$I:$I,"&lt;="&amp;'NSST Print'!$B$3,Investors!$J:$J,"",Investors!$A:$A,'Investor Exit List'!$A387,Investors!$E:$E,'Investor Exit List'!$C387,Investors!$L:$L,'Investor Exit List'!$B387))</f>
        <v>494972.60273972602</v>
      </c>
      <c r="R387" s="117">
        <f t="shared" si="65"/>
        <v>0</v>
      </c>
      <c r="S387" s="117">
        <f>SUMIFS(Investors!$M:$M,Investors!$O:$O,TRUE,Investors!$A:$A,'Investor Exit List'!$A387,Investors!$E:$E,'Investor Exit List'!$C387,Investors!$L:$L,'Investor Exit List'!$B387)+SUMIFS(Investors!$S:$S,Investors!$O:$O,TRUE,Investors!$A:$A,'Investor Exit List'!$A387,Investors!$E:$E,'Investor Exit List'!$C387,Investors!$L:$L,'Investor Exit List'!$B387)</f>
        <v>0</v>
      </c>
      <c r="T387" s="118" t="str">
        <f t="shared" si="66"/>
        <v/>
      </c>
      <c r="U387" s="116" t="b">
        <v>0</v>
      </c>
      <c r="V387" s="117">
        <f t="shared" si="67"/>
        <v>0</v>
      </c>
      <c r="W387" s="116">
        <v>0</v>
      </c>
      <c r="X387" s="116" t="b">
        <v>0</v>
      </c>
      <c r="Y387" s="119">
        <f>IF(H387=FALSE,VLOOKUP($C387,Sales!$C:$F,4,FALSE),1)</f>
        <v>0</v>
      </c>
      <c r="Z387" s="116" t="str">
        <f t="shared" si="68"/>
        <v>Release</v>
      </c>
      <c r="AA387" s="118">
        <f t="shared" si="69"/>
        <v>45646</v>
      </c>
      <c r="AB387" s="118" t="str">
        <f t="shared" si="70"/>
        <v>HVK204-ZCAM01</v>
      </c>
      <c r="AC387" s="118">
        <f t="shared" si="71"/>
        <v>45746</v>
      </c>
    </row>
    <row r="388" spans="1:29" ht="16" x14ac:dyDescent="0.2">
      <c r="A388" s="116" t="s">
        <v>111</v>
      </c>
      <c r="B388" s="116">
        <v>4</v>
      </c>
      <c r="C388" s="116" t="s">
        <v>759</v>
      </c>
      <c r="D388" s="116" t="s">
        <v>750</v>
      </c>
      <c r="E388" s="116" t="s">
        <v>2035</v>
      </c>
      <c r="F388" s="117">
        <f>SUMIFS(Investors!$M:$M,Investors!$O:$O,FALSE,Investors!$P:$P,FALSE,Investors!$K:$K,"&gt;"&amp;'NSST Print'!$B$3,Investors!$I:$I,"&lt;="&amp;'NSST Print'!$B$3,Investors!$A:$A,'Investor Exit List'!$A388,Investors!$E:$E,'Investor Exit List'!$C388,Investors!$L:$L,'Investor Exit List'!$B388)-(SUMIFS(Investors!$M:$M,Investors!$I:$I,"&lt;="&amp;'NSST Print'!$B$3,Investors!$J:$J,"&gt;"&amp;'NSST Print'!$B$3,Investors!$A:$A,'Investor Exit List'!$A388,Investors!$E:$E,'Investor Exit List'!$C388,Investors!$L:$L,'Investor Exit List'!$B388)+SUMIFS(Investors!$M:$M,Investors!$I:$I,"&lt;="&amp;'NSST Print'!$B$3,Investors!$J:$J,"",Investors!$A:$A,'Investor Exit List'!$A388,Investors!$E:$E,'Investor Exit List'!$C388,Investors!$L:$L,'Investor Exit List'!$B388))</f>
        <v>124948.63</v>
      </c>
      <c r="G388" s="118">
        <v>44916</v>
      </c>
      <c r="H388" s="116" t="b">
        <f>VLOOKUP($C388,Sales!$C:$E,2,FALSE)</f>
        <v>0</v>
      </c>
      <c r="I388" s="116" t="b">
        <f>VLOOKUP($C388,Sales!$C:$E,3,FALSE)</f>
        <v>0</v>
      </c>
      <c r="J388" s="118">
        <f>SUMIFS(Sales!$H:$H,Sales!$C:$C,'Investor Exit List'!$C388)</f>
        <v>45625</v>
      </c>
      <c r="K388" s="118" t="str">
        <f t="shared" ref="K388:K451" si="72">IF(I388=TRUE,J388,"")</f>
        <v/>
      </c>
      <c r="L388" s="118">
        <f t="shared" ref="L388:L451" si="73">G388+730</f>
        <v>45646</v>
      </c>
      <c r="M388" s="118">
        <v>45443</v>
      </c>
      <c r="N388" s="119">
        <f t="shared" ref="N388:N451" si="74">IFERROR(IF(G388&lt;&gt;"",IF(I388=TRUE,0,IF(U388=TRUE,0,L388-M388)),0),0)</f>
        <v>203</v>
      </c>
      <c r="O388" s="119">
        <f t="shared" ref="O388:O451" si="75">IF(N388&gt;0,IF(N388&lt;=180,N388,0),0)</f>
        <v>0</v>
      </c>
      <c r="P388" s="117">
        <f t="shared" ref="P388:P451" si="76">IF(AND(N388&lt;90,N388&gt;0),Q388,0)</f>
        <v>0</v>
      </c>
      <c r="Q388" s="117">
        <f>SUMIFS(Investors!$M:$M,Investors!$O:$O,FALSE,Investors!$P:$P,FALSE,Investors!$K:$K,"&gt;"&amp;'NSST Print'!$B$3,Investors!$I:$I,"&lt;="&amp;'NSST Print'!$B$3,Investors!$A:$A,'Investor Exit List'!$A388,Investors!$E:$E,'Investor Exit List'!$C388,Investors!$L:$L,'Investor Exit List'!$B388)-(SUMIFS(Investors!$M:$M,Investors!$I:$I,"&lt;="&amp;'NSST Print'!$B$3,Investors!$J:$J,"&gt;"&amp;'NSST Print'!$B$3,Investors!$A:$A,'Investor Exit List'!$A388,Investors!$E:$E,'Investor Exit List'!$C388,Investors!$L:$L,'Investor Exit List'!$B388)+SUMIFS(Investors!$M:$M,Investors!$I:$I,"&lt;="&amp;'NSST Print'!$B$3,Investors!$J:$J,"",Investors!$A:$A,'Investor Exit List'!$A388,Investors!$E:$E,'Investor Exit List'!$C388,Investors!$L:$L,'Investor Exit List'!$B388))+SUMIFS(Investors!$S:$S,Investors!$O:$O,FALSE,Investors!$P:$P,FALSE,Investors!$K:$K,"&gt;"&amp;'NSST Print'!$B$3,Investors!$I:$I,"&lt;="&amp;'NSST Print'!$B$3,Investors!$A:$A,'Investor Exit List'!$A388,Investors!$E:$E,'Investor Exit List'!$C388,Investors!$L:$L,'Investor Exit List'!$B388)-(SUMIFS(Investors!$S:$S,Investors!$I:$I,"&lt;="&amp;'NSST Print'!$B$3,Investors!$J:$J,"&gt;"&amp;'NSST Print'!$B$3,Investors!$A:$A,'Investor Exit List'!$A388,Investors!$E:$E,'Investor Exit List'!$C388,Investors!$L:$L,'Investor Exit List'!$B388)+SUMIFS(Investors!$S:$S,Investors!$I:$I,"&lt;="&amp;'NSST Print'!$B$3,Investors!$J:$J,"",Investors!$A:$A,'Investor Exit List'!$A388,Investors!$E:$E,'Investor Exit List'!$C388,Investors!$L:$L,'Investor Exit List'!$B388))</f>
        <v>157655.21762130136</v>
      </c>
      <c r="R388" s="117">
        <f t="shared" ref="R388:R451" si="77">IF(AND(H388=TRUE,I388=FALSE),Q388,0)</f>
        <v>0</v>
      </c>
      <c r="S388" s="117">
        <f>SUMIFS(Investors!$M:$M,Investors!$O:$O,TRUE,Investors!$A:$A,'Investor Exit List'!$A388,Investors!$E:$E,'Investor Exit List'!$C388,Investors!$L:$L,'Investor Exit List'!$B388)+SUMIFS(Investors!$S:$S,Investors!$O:$O,TRUE,Investors!$A:$A,'Investor Exit List'!$A388,Investors!$E:$E,'Investor Exit List'!$C388,Investors!$L:$L,'Investor Exit List'!$B388)</f>
        <v>0</v>
      </c>
      <c r="T388" s="118" t="str">
        <f t="shared" ref="T388:T451" si="78">IF(U388=TRUE,$J388,"")</f>
        <v/>
      </c>
      <c r="U388" s="116" t="b">
        <v>0</v>
      </c>
      <c r="V388" s="117">
        <f t="shared" ref="V388:V451" si="79">IF(AND(H388=TRUE,OR(K388="",K388&gt;M388)),S388,0)</f>
        <v>0</v>
      </c>
      <c r="W388" s="116">
        <v>0</v>
      </c>
      <c r="X388" s="116" t="b">
        <v>0</v>
      </c>
      <c r="Y388" s="119">
        <f>IF(H388=FALSE,VLOOKUP($C388,Sales!$C:$F,4,FALSE),1)</f>
        <v>0</v>
      </c>
      <c r="Z388" s="116" t="str">
        <f t="shared" ref="Z388:Z451" si="80">IF(Y388=0,"Release",IF(AND(L388&lt;J388,Y388=1,H388=FALSE,U388=FALSE,MONTH(L388)&amp;"/"&amp;YEAR(L388)&lt;&gt;MONTH(J388)&amp;"/"&amp;YEAR(J388)),"Release",""))</f>
        <v>Release</v>
      </c>
      <c r="AA388" s="118">
        <f t="shared" ref="AA388:AA451" si="81">_xlfn.MINIFS($L:$L,$C:$C,$C388,$F:$F,"&lt;&gt;0")</f>
        <v>45646</v>
      </c>
      <c r="AB388" s="118" t="str">
        <f t="shared" ref="AB388:AB451" si="82">C388&amp;"-"&amp;A388</f>
        <v>HVK204-ZFEM01</v>
      </c>
      <c r="AC388" s="118">
        <f t="shared" ref="AC388:AC451" si="83">L388</f>
        <v>45646</v>
      </c>
    </row>
    <row r="389" spans="1:29" ht="16" x14ac:dyDescent="0.2">
      <c r="A389" s="116" t="s">
        <v>188</v>
      </c>
      <c r="B389" s="116">
        <v>2</v>
      </c>
      <c r="C389" s="116" t="s">
        <v>759</v>
      </c>
      <c r="D389" s="116" t="s">
        <v>750</v>
      </c>
      <c r="E389" s="116" t="s">
        <v>2059</v>
      </c>
      <c r="F389" s="117">
        <f>SUMIFS(Investors!$M:$M,Investors!$O:$O,FALSE,Investors!$P:$P,FALSE,Investors!$K:$K,"&gt;"&amp;'NSST Print'!$B$3,Investors!$I:$I,"&lt;="&amp;'NSST Print'!$B$3,Investors!$A:$A,'Investor Exit List'!$A389,Investors!$E:$E,'Investor Exit List'!$C389,Investors!$L:$L,'Investor Exit List'!$B389)-(SUMIFS(Investors!$M:$M,Investors!$I:$I,"&lt;="&amp;'NSST Print'!$B$3,Investors!$J:$J,"&gt;"&amp;'NSST Print'!$B$3,Investors!$A:$A,'Investor Exit List'!$A389,Investors!$E:$E,'Investor Exit List'!$C389,Investors!$L:$L,'Investor Exit List'!$B389)+SUMIFS(Investors!$M:$M,Investors!$I:$I,"&lt;="&amp;'NSST Print'!$B$3,Investors!$J:$J,"",Investors!$A:$A,'Investor Exit List'!$A389,Investors!$E:$E,'Investor Exit List'!$C389,Investors!$L:$L,'Investor Exit List'!$B389))</f>
        <v>600000</v>
      </c>
      <c r="G389" s="118">
        <v>44980</v>
      </c>
      <c r="H389" s="116" t="b">
        <f>VLOOKUP($C389,Sales!$C:$E,2,FALSE)</f>
        <v>0</v>
      </c>
      <c r="I389" s="116" t="b">
        <f>VLOOKUP($C389,Sales!$C:$E,3,FALSE)</f>
        <v>0</v>
      </c>
      <c r="J389" s="118">
        <f>SUMIFS(Sales!$H:$H,Sales!$C:$C,'Investor Exit List'!$C389)</f>
        <v>45625</v>
      </c>
      <c r="K389" s="118" t="str">
        <f t="shared" si="72"/>
        <v/>
      </c>
      <c r="L389" s="118">
        <f t="shared" si="73"/>
        <v>45710</v>
      </c>
      <c r="M389" s="118">
        <v>45443</v>
      </c>
      <c r="N389" s="119">
        <f t="shared" si="74"/>
        <v>267</v>
      </c>
      <c r="O389" s="119">
        <f t="shared" si="75"/>
        <v>0</v>
      </c>
      <c r="P389" s="117">
        <f t="shared" si="76"/>
        <v>0</v>
      </c>
      <c r="Q389" s="117">
        <f>SUMIFS(Investors!$M:$M,Investors!$O:$O,FALSE,Investors!$P:$P,FALSE,Investors!$K:$K,"&gt;"&amp;'NSST Print'!$B$3,Investors!$I:$I,"&lt;="&amp;'NSST Print'!$B$3,Investors!$A:$A,'Investor Exit List'!$A389,Investors!$E:$E,'Investor Exit List'!$C389,Investors!$L:$L,'Investor Exit List'!$B389)-(SUMIFS(Investors!$M:$M,Investors!$I:$I,"&lt;="&amp;'NSST Print'!$B$3,Investors!$J:$J,"&gt;"&amp;'NSST Print'!$B$3,Investors!$A:$A,'Investor Exit List'!$A389,Investors!$E:$E,'Investor Exit List'!$C389,Investors!$L:$L,'Investor Exit List'!$B389)+SUMIFS(Investors!$M:$M,Investors!$I:$I,"&lt;="&amp;'NSST Print'!$B$3,Investors!$J:$J,"",Investors!$A:$A,'Investor Exit List'!$A389,Investors!$E:$E,'Investor Exit List'!$C389,Investors!$L:$L,'Investor Exit List'!$B389))+SUMIFS(Investors!$S:$S,Investors!$O:$O,FALSE,Investors!$P:$P,FALSE,Investors!$K:$K,"&gt;"&amp;'NSST Print'!$B$3,Investors!$I:$I,"&lt;="&amp;'NSST Print'!$B$3,Investors!$A:$A,'Investor Exit List'!$A389,Investors!$E:$E,'Investor Exit List'!$C389,Investors!$L:$L,'Investor Exit List'!$B389)-(SUMIFS(Investors!$S:$S,Investors!$I:$I,"&lt;="&amp;'NSST Print'!$B$3,Investors!$J:$J,"&gt;"&amp;'NSST Print'!$B$3,Investors!$A:$A,'Investor Exit List'!$A389,Investors!$E:$E,'Investor Exit List'!$C389,Investors!$L:$L,'Investor Exit List'!$B389)+SUMIFS(Investors!$S:$S,Investors!$I:$I,"&lt;="&amp;'NSST Print'!$B$3,Investors!$J:$J,"",Investors!$A:$A,'Investor Exit List'!$A389,Investors!$E:$E,'Investor Exit List'!$C389,Investors!$L:$L,'Investor Exit List'!$B389))</f>
        <v>772347.94520547951</v>
      </c>
      <c r="R389" s="117">
        <f t="shared" si="77"/>
        <v>0</v>
      </c>
      <c r="S389" s="117">
        <f>SUMIFS(Investors!$M:$M,Investors!$O:$O,TRUE,Investors!$A:$A,'Investor Exit List'!$A389,Investors!$E:$E,'Investor Exit List'!$C389,Investors!$L:$L,'Investor Exit List'!$B389)+SUMIFS(Investors!$S:$S,Investors!$O:$O,TRUE,Investors!$A:$A,'Investor Exit List'!$A389,Investors!$E:$E,'Investor Exit List'!$C389,Investors!$L:$L,'Investor Exit List'!$B389)</f>
        <v>0</v>
      </c>
      <c r="T389" s="118" t="str">
        <f t="shared" si="78"/>
        <v/>
      </c>
      <c r="U389" s="116" t="b">
        <v>0</v>
      </c>
      <c r="V389" s="117">
        <f t="shared" si="79"/>
        <v>0</v>
      </c>
      <c r="W389" s="116">
        <v>0</v>
      </c>
      <c r="X389" s="116" t="b">
        <v>0</v>
      </c>
      <c r="Y389" s="119">
        <f>IF(H389=FALSE,VLOOKUP($C389,Sales!$C:$F,4,FALSE),1)</f>
        <v>0</v>
      </c>
      <c r="Z389" s="116" t="str">
        <f t="shared" si="80"/>
        <v>Release</v>
      </c>
      <c r="AA389" s="118">
        <f t="shared" si="81"/>
        <v>45646</v>
      </c>
      <c r="AB389" s="118" t="str">
        <f t="shared" si="82"/>
        <v>HVK204-ZKRO03</v>
      </c>
      <c r="AC389" s="118">
        <f t="shared" si="83"/>
        <v>45710</v>
      </c>
    </row>
    <row r="390" spans="1:29" ht="16" x14ac:dyDescent="0.2">
      <c r="A390" s="116" t="s">
        <v>169</v>
      </c>
      <c r="B390" s="116">
        <v>2</v>
      </c>
      <c r="C390" s="116" t="s">
        <v>760</v>
      </c>
      <c r="D390" s="116" t="s">
        <v>750</v>
      </c>
      <c r="E390" s="116" t="s">
        <v>2053</v>
      </c>
      <c r="F390" s="117">
        <f>SUMIFS(Investors!$M:$M,Investors!$O:$O,FALSE,Investors!$P:$P,FALSE,Investors!$K:$K,"&gt;"&amp;'NSST Print'!$B$3,Investors!$I:$I,"&lt;="&amp;'NSST Print'!$B$3,Investors!$A:$A,'Investor Exit List'!$A390,Investors!$E:$E,'Investor Exit List'!$C390,Investors!$L:$L,'Investor Exit List'!$B390)-(SUMIFS(Investors!$M:$M,Investors!$I:$I,"&lt;="&amp;'NSST Print'!$B$3,Investors!$J:$J,"&gt;"&amp;'NSST Print'!$B$3,Investors!$A:$A,'Investor Exit List'!$A390,Investors!$E:$E,'Investor Exit List'!$C390,Investors!$L:$L,'Investor Exit List'!$B390)+SUMIFS(Investors!$M:$M,Investors!$I:$I,"&lt;="&amp;'NSST Print'!$B$3,Investors!$J:$J,"",Investors!$A:$A,'Investor Exit List'!$A390,Investors!$E:$E,'Investor Exit List'!$C390,Investors!$L:$L,'Investor Exit List'!$B390))</f>
        <v>1000500</v>
      </c>
      <c r="G390" s="118">
        <v>45016</v>
      </c>
      <c r="H390" s="116" t="b">
        <f>VLOOKUP($C390,Sales!$C:$E,2,FALSE)</f>
        <v>0</v>
      </c>
      <c r="I390" s="116" t="b">
        <f>VLOOKUP($C390,Sales!$C:$E,3,FALSE)</f>
        <v>0</v>
      </c>
      <c r="J390" s="118">
        <f>SUMIFS(Sales!$H:$H,Sales!$C:$C,'Investor Exit List'!$C390)</f>
        <v>45625</v>
      </c>
      <c r="K390" s="118" t="str">
        <f t="shared" si="72"/>
        <v/>
      </c>
      <c r="L390" s="118">
        <f t="shared" si="73"/>
        <v>45746</v>
      </c>
      <c r="M390" s="118">
        <v>45443</v>
      </c>
      <c r="N390" s="119">
        <f t="shared" si="74"/>
        <v>303</v>
      </c>
      <c r="O390" s="119">
        <f t="shared" si="75"/>
        <v>0</v>
      </c>
      <c r="P390" s="117">
        <f t="shared" si="76"/>
        <v>0</v>
      </c>
      <c r="Q390" s="117">
        <f>SUMIFS(Investors!$M:$M,Investors!$O:$O,FALSE,Investors!$P:$P,FALSE,Investors!$K:$K,"&gt;"&amp;'NSST Print'!$B$3,Investors!$I:$I,"&lt;="&amp;'NSST Print'!$B$3,Investors!$A:$A,'Investor Exit List'!$A390,Investors!$E:$E,'Investor Exit List'!$C390,Investors!$L:$L,'Investor Exit List'!$B390)-(SUMIFS(Investors!$M:$M,Investors!$I:$I,"&lt;="&amp;'NSST Print'!$B$3,Investors!$J:$J,"&gt;"&amp;'NSST Print'!$B$3,Investors!$A:$A,'Investor Exit List'!$A390,Investors!$E:$E,'Investor Exit List'!$C390,Investors!$L:$L,'Investor Exit List'!$B390)+SUMIFS(Investors!$M:$M,Investors!$I:$I,"&lt;="&amp;'NSST Print'!$B$3,Investors!$J:$J,"",Investors!$A:$A,'Investor Exit List'!$A390,Investors!$E:$E,'Investor Exit List'!$C390,Investors!$L:$L,'Investor Exit List'!$B390))+SUMIFS(Investors!$S:$S,Investors!$O:$O,FALSE,Investors!$P:$P,FALSE,Investors!$K:$K,"&gt;"&amp;'NSST Print'!$B$3,Investors!$I:$I,"&lt;="&amp;'NSST Print'!$B$3,Investors!$A:$A,'Investor Exit List'!$A390,Investors!$E:$E,'Investor Exit List'!$C390,Investors!$L:$L,'Investor Exit List'!$B390)-(SUMIFS(Investors!$S:$S,Investors!$I:$I,"&lt;="&amp;'NSST Print'!$B$3,Investors!$J:$J,"&gt;"&amp;'NSST Print'!$B$3,Investors!$A:$A,'Investor Exit List'!$A390,Investors!$E:$E,'Investor Exit List'!$C390,Investors!$L:$L,'Investor Exit List'!$B390)+SUMIFS(Investors!$S:$S,Investors!$I:$I,"&lt;="&amp;'NSST Print'!$B$3,Investors!$J:$J,"",Investors!$A:$A,'Investor Exit List'!$A390,Investors!$E:$E,'Investor Exit List'!$C390,Investors!$L:$L,'Investor Exit List'!$B390))</f>
        <v>1311641.7945205481</v>
      </c>
      <c r="R390" s="117">
        <f t="shared" si="77"/>
        <v>0</v>
      </c>
      <c r="S390" s="117">
        <f>SUMIFS(Investors!$M:$M,Investors!$O:$O,TRUE,Investors!$A:$A,'Investor Exit List'!$A390,Investors!$E:$E,'Investor Exit List'!$C390,Investors!$L:$L,'Investor Exit List'!$B390)+SUMIFS(Investors!$S:$S,Investors!$O:$O,TRUE,Investors!$A:$A,'Investor Exit List'!$A390,Investors!$E:$E,'Investor Exit List'!$C390,Investors!$L:$L,'Investor Exit List'!$B390)</f>
        <v>0</v>
      </c>
      <c r="T390" s="118" t="str">
        <f t="shared" si="78"/>
        <v/>
      </c>
      <c r="U390" s="116" t="b">
        <v>0</v>
      </c>
      <c r="V390" s="117">
        <f t="shared" si="79"/>
        <v>0</v>
      </c>
      <c r="W390" s="116">
        <v>0</v>
      </c>
      <c r="X390" s="116" t="b">
        <v>0</v>
      </c>
      <c r="Y390" s="119">
        <f>IF(H390=FALSE,VLOOKUP($C390,Sales!$C:$F,4,FALSE),1)</f>
        <v>0</v>
      </c>
      <c r="Z390" s="116" t="str">
        <f t="shared" si="80"/>
        <v>Release</v>
      </c>
      <c r="AA390" s="118">
        <f t="shared" si="81"/>
        <v>45646</v>
      </c>
      <c r="AB390" s="118" t="str">
        <f t="shared" si="82"/>
        <v>HVK205-ZVDW01</v>
      </c>
      <c r="AC390" s="118">
        <f t="shared" si="83"/>
        <v>45746</v>
      </c>
    </row>
    <row r="391" spans="1:29" ht="16" x14ac:dyDescent="0.2">
      <c r="A391" s="116" t="s">
        <v>227</v>
      </c>
      <c r="B391" s="116">
        <v>3</v>
      </c>
      <c r="C391" s="116" t="s">
        <v>760</v>
      </c>
      <c r="D391" s="116" t="s">
        <v>750</v>
      </c>
      <c r="E391" s="116" t="s">
        <v>2071</v>
      </c>
      <c r="F391" s="117">
        <f>SUMIFS(Investors!$M:$M,Investors!$O:$O,FALSE,Investors!$P:$P,FALSE,Investors!$K:$K,"&gt;"&amp;'NSST Print'!$B$3,Investors!$I:$I,"&lt;="&amp;'NSST Print'!$B$3,Investors!$A:$A,'Investor Exit List'!$A391,Investors!$E:$E,'Investor Exit List'!$C391,Investors!$L:$L,'Investor Exit List'!$B391)-(SUMIFS(Investors!$M:$M,Investors!$I:$I,"&lt;="&amp;'NSST Print'!$B$3,Investors!$J:$J,"&gt;"&amp;'NSST Print'!$B$3,Investors!$A:$A,'Investor Exit List'!$A391,Investors!$E:$E,'Investor Exit List'!$C391,Investors!$L:$L,'Investor Exit List'!$B391)+SUMIFS(Investors!$M:$M,Investors!$I:$I,"&lt;="&amp;'NSST Print'!$B$3,Investors!$J:$J,"",Investors!$A:$A,'Investor Exit List'!$A391,Investors!$E:$E,'Investor Exit List'!$C391,Investors!$L:$L,'Investor Exit List'!$B391))</f>
        <v>123613.01</v>
      </c>
      <c r="G391" s="118">
        <v>44916</v>
      </c>
      <c r="H391" s="116" t="b">
        <f>VLOOKUP($C391,Sales!$C:$E,2,FALSE)</f>
        <v>0</v>
      </c>
      <c r="I391" s="116" t="b">
        <f>VLOOKUP($C391,Sales!$C:$E,3,FALSE)</f>
        <v>0</v>
      </c>
      <c r="J391" s="118">
        <f>SUMIFS(Sales!$H:$H,Sales!$C:$C,'Investor Exit List'!$C391)</f>
        <v>45625</v>
      </c>
      <c r="K391" s="118" t="str">
        <f t="shared" si="72"/>
        <v/>
      </c>
      <c r="L391" s="118">
        <f t="shared" si="73"/>
        <v>45646</v>
      </c>
      <c r="M391" s="118">
        <v>45443</v>
      </c>
      <c r="N391" s="119">
        <f t="shared" si="74"/>
        <v>203</v>
      </c>
      <c r="O391" s="119">
        <f t="shared" si="75"/>
        <v>0</v>
      </c>
      <c r="P391" s="117">
        <f t="shared" si="76"/>
        <v>0</v>
      </c>
      <c r="Q391" s="117">
        <f>SUMIFS(Investors!$M:$M,Investors!$O:$O,FALSE,Investors!$P:$P,FALSE,Investors!$K:$K,"&gt;"&amp;'NSST Print'!$B$3,Investors!$I:$I,"&lt;="&amp;'NSST Print'!$B$3,Investors!$A:$A,'Investor Exit List'!$A391,Investors!$E:$E,'Investor Exit List'!$C391,Investors!$L:$L,'Investor Exit List'!$B391)-(SUMIFS(Investors!$M:$M,Investors!$I:$I,"&lt;="&amp;'NSST Print'!$B$3,Investors!$J:$J,"&gt;"&amp;'NSST Print'!$B$3,Investors!$A:$A,'Investor Exit List'!$A391,Investors!$E:$E,'Investor Exit List'!$C391,Investors!$L:$L,'Investor Exit List'!$B391)+SUMIFS(Investors!$M:$M,Investors!$I:$I,"&lt;="&amp;'NSST Print'!$B$3,Investors!$J:$J,"",Investors!$A:$A,'Investor Exit List'!$A391,Investors!$E:$E,'Investor Exit List'!$C391,Investors!$L:$L,'Investor Exit List'!$B391))+SUMIFS(Investors!$S:$S,Investors!$O:$O,FALSE,Investors!$P:$P,FALSE,Investors!$K:$K,"&gt;"&amp;'NSST Print'!$B$3,Investors!$I:$I,"&lt;="&amp;'NSST Print'!$B$3,Investors!$A:$A,'Investor Exit List'!$A391,Investors!$E:$E,'Investor Exit List'!$C391,Investors!$L:$L,'Investor Exit List'!$B391)-(SUMIFS(Investors!$S:$S,Investors!$I:$I,"&lt;="&amp;'NSST Print'!$B$3,Investors!$J:$J,"&gt;"&amp;'NSST Print'!$B$3,Investors!$A:$A,'Investor Exit List'!$A391,Investors!$E:$E,'Investor Exit List'!$C391,Investors!$L:$L,'Investor Exit List'!$B391)+SUMIFS(Investors!$S:$S,Investors!$I:$I,"&lt;="&amp;'NSST Print'!$B$3,Investors!$J:$J,"",Investors!$A:$A,'Investor Exit List'!$A391,Investors!$E:$E,'Investor Exit List'!$C391,Investors!$L:$L,'Investor Exit List'!$B391))</f>
        <v>156879.30298568492</v>
      </c>
      <c r="R391" s="117">
        <f t="shared" si="77"/>
        <v>0</v>
      </c>
      <c r="S391" s="117">
        <f>SUMIFS(Investors!$M:$M,Investors!$O:$O,TRUE,Investors!$A:$A,'Investor Exit List'!$A391,Investors!$E:$E,'Investor Exit List'!$C391,Investors!$L:$L,'Investor Exit List'!$B391)+SUMIFS(Investors!$S:$S,Investors!$O:$O,TRUE,Investors!$A:$A,'Investor Exit List'!$A391,Investors!$E:$E,'Investor Exit List'!$C391,Investors!$L:$L,'Investor Exit List'!$B391)</f>
        <v>0</v>
      </c>
      <c r="T391" s="118" t="str">
        <f t="shared" si="78"/>
        <v/>
      </c>
      <c r="U391" s="116" t="b">
        <v>0</v>
      </c>
      <c r="V391" s="117">
        <f t="shared" si="79"/>
        <v>0</v>
      </c>
      <c r="W391" s="116">
        <v>0</v>
      </c>
      <c r="X391" s="116" t="b">
        <v>0</v>
      </c>
      <c r="Y391" s="119">
        <f>IF(H391=FALSE,VLOOKUP($C391,Sales!$C:$F,4,FALSE),1)</f>
        <v>0</v>
      </c>
      <c r="Z391" s="116" t="str">
        <f t="shared" si="80"/>
        <v>Release</v>
      </c>
      <c r="AA391" s="118">
        <f t="shared" si="81"/>
        <v>45646</v>
      </c>
      <c r="AB391" s="118" t="str">
        <f t="shared" si="82"/>
        <v>HVK205-ZZYL02</v>
      </c>
      <c r="AC391" s="118">
        <f t="shared" si="83"/>
        <v>45646</v>
      </c>
    </row>
    <row r="392" spans="1:29" ht="16" x14ac:dyDescent="0.2">
      <c r="A392" s="116" t="s">
        <v>65</v>
      </c>
      <c r="B392" s="116">
        <v>4</v>
      </c>
      <c r="C392" s="116" t="s">
        <v>761</v>
      </c>
      <c r="D392" s="116" t="s">
        <v>750</v>
      </c>
      <c r="E392" s="116" t="s">
        <v>2021</v>
      </c>
      <c r="F392" s="117">
        <f>SUMIFS(Investors!$M:$M,Investors!$O:$O,FALSE,Investors!$P:$P,FALSE,Investors!$K:$K,"&gt;"&amp;'NSST Print'!$B$3,Investors!$I:$I,"&lt;="&amp;'NSST Print'!$B$3,Investors!$A:$A,'Investor Exit List'!$A392,Investors!$E:$E,'Investor Exit List'!$C392,Investors!$L:$L,'Investor Exit List'!$B392)-(SUMIFS(Investors!$M:$M,Investors!$I:$I,"&lt;="&amp;'NSST Print'!$B$3,Investors!$J:$J,"&gt;"&amp;'NSST Print'!$B$3,Investors!$A:$A,'Investor Exit List'!$A392,Investors!$E:$E,'Investor Exit List'!$C392,Investors!$L:$L,'Investor Exit List'!$B392)+SUMIFS(Investors!$M:$M,Investors!$I:$I,"&lt;="&amp;'NSST Print'!$B$3,Investors!$J:$J,"",Investors!$A:$A,'Investor Exit List'!$A392,Investors!$E:$E,'Investor Exit List'!$C392,Investors!$L:$L,'Investor Exit List'!$B392))</f>
        <v>130133.7</v>
      </c>
      <c r="G392" s="118">
        <v>45008</v>
      </c>
      <c r="H392" s="116" t="b">
        <f>VLOOKUP($C392,Sales!$C:$E,2,FALSE)</f>
        <v>0</v>
      </c>
      <c r="I392" s="116" t="b">
        <f>VLOOKUP($C392,Sales!$C:$E,3,FALSE)</f>
        <v>0</v>
      </c>
      <c r="J392" s="118">
        <f>SUMIFS(Sales!$H:$H,Sales!$C:$C,'Investor Exit List'!$C392)</f>
        <v>45625</v>
      </c>
      <c r="K392" s="118" t="str">
        <f t="shared" si="72"/>
        <v/>
      </c>
      <c r="L392" s="118">
        <f t="shared" si="73"/>
        <v>45738</v>
      </c>
      <c r="M392" s="118">
        <v>45443</v>
      </c>
      <c r="N392" s="119">
        <f t="shared" si="74"/>
        <v>295</v>
      </c>
      <c r="O392" s="119">
        <f t="shared" si="75"/>
        <v>0</v>
      </c>
      <c r="P392" s="117">
        <f t="shared" si="76"/>
        <v>0</v>
      </c>
      <c r="Q392" s="117">
        <f>SUMIFS(Investors!$M:$M,Investors!$O:$O,FALSE,Investors!$P:$P,FALSE,Investors!$K:$K,"&gt;"&amp;'NSST Print'!$B$3,Investors!$I:$I,"&lt;="&amp;'NSST Print'!$B$3,Investors!$A:$A,'Investor Exit List'!$A392,Investors!$E:$E,'Investor Exit List'!$C392,Investors!$L:$L,'Investor Exit List'!$B392)-(SUMIFS(Investors!$M:$M,Investors!$I:$I,"&lt;="&amp;'NSST Print'!$B$3,Investors!$J:$J,"&gt;"&amp;'NSST Print'!$B$3,Investors!$A:$A,'Investor Exit List'!$A392,Investors!$E:$E,'Investor Exit List'!$C392,Investors!$L:$L,'Investor Exit List'!$B392)+SUMIFS(Investors!$M:$M,Investors!$I:$I,"&lt;="&amp;'NSST Print'!$B$3,Investors!$J:$J,"",Investors!$A:$A,'Investor Exit List'!$A392,Investors!$E:$E,'Investor Exit List'!$C392,Investors!$L:$L,'Investor Exit List'!$B392))+SUMIFS(Investors!$S:$S,Investors!$O:$O,FALSE,Investors!$P:$P,FALSE,Investors!$K:$K,"&gt;"&amp;'NSST Print'!$B$3,Investors!$I:$I,"&lt;="&amp;'NSST Print'!$B$3,Investors!$A:$A,'Investor Exit List'!$A392,Investors!$E:$E,'Investor Exit List'!$C392,Investors!$L:$L,'Investor Exit List'!$B392)-(SUMIFS(Investors!$S:$S,Investors!$I:$I,"&lt;="&amp;'NSST Print'!$B$3,Investors!$J:$J,"&gt;"&amp;'NSST Print'!$B$3,Investors!$A:$A,'Investor Exit List'!$A392,Investors!$E:$E,'Investor Exit List'!$C392,Investors!$L:$L,'Investor Exit List'!$B392)+SUMIFS(Investors!$S:$S,Investors!$I:$I,"&lt;="&amp;'NSST Print'!$B$3,Investors!$J:$J,"",Investors!$A:$A,'Investor Exit List'!$A392,Investors!$E:$E,'Investor Exit List'!$C392,Investors!$L:$L,'Investor Exit List'!$B392))</f>
        <v>163195.68174041098</v>
      </c>
      <c r="R392" s="117">
        <f t="shared" si="77"/>
        <v>0</v>
      </c>
      <c r="S392" s="117">
        <f>SUMIFS(Investors!$M:$M,Investors!$O:$O,TRUE,Investors!$A:$A,'Investor Exit List'!$A392,Investors!$E:$E,'Investor Exit List'!$C392,Investors!$L:$L,'Investor Exit List'!$B392)+SUMIFS(Investors!$S:$S,Investors!$O:$O,TRUE,Investors!$A:$A,'Investor Exit List'!$A392,Investors!$E:$E,'Investor Exit List'!$C392,Investors!$L:$L,'Investor Exit List'!$B392)</f>
        <v>0</v>
      </c>
      <c r="T392" s="118" t="str">
        <f t="shared" si="78"/>
        <v/>
      </c>
      <c r="U392" s="116" t="b">
        <v>0</v>
      </c>
      <c r="V392" s="117">
        <f t="shared" si="79"/>
        <v>0</v>
      </c>
      <c r="W392" s="116">
        <v>0</v>
      </c>
      <c r="X392" s="116" t="b">
        <v>0</v>
      </c>
      <c r="Y392" s="119">
        <f>IF(H392=FALSE,VLOOKUP($C392,Sales!$C:$F,4,FALSE),1)</f>
        <v>0</v>
      </c>
      <c r="Z392" s="116" t="str">
        <f t="shared" si="80"/>
        <v>Release</v>
      </c>
      <c r="AA392" s="118">
        <f t="shared" si="81"/>
        <v>45697</v>
      </c>
      <c r="AB392" s="118" t="str">
        <f t="shared" si="82"/>
        <v>HVK206-ZCOL01</v>
      </c>
      <c r="AC392" s="118">
        <f t="shared" si="83"/>
        <v>45738</v>
      </c>
    </row>
    <row r="393" spans="1:29" ht="16" x14ac:dyDescent="0.2">
      <c r="A393" s="116" t="s">
        <v>253</v>
      </c>
      <c r="B393" s="116">
        <v>11</v>
      </c>
      <c r="C393" s="116" t="s">
        <v>761</v>
      </c>
      <c r="D393" s="116" t="s">
        <v>750</v>
      </c>
      <c r="E393" s="116" t="s">
        <v>2079</v>
      </c>
      <c r="F393" s="117">
        <f>SUMIFS(Investors!$M:$M,Investors!$O:$O,FALSE,Investors!$P:$P,FALSE,Investors!$K:$K,"&gt;"&amp;'NSST Print'!$B$3,Investors!$I:$I,"&lt;="&amp;'NSST Print'!$B$3,Investors!$A:$A,'Investor Exit List'!$A393,Investors!$E:$E,'Investor Exit List'!$C393,Investors!$L:$L,'Investor Exit List'!$B393)-(SUMIFS(Investors!$M:$M,Investors!$I:$I,"&lt;="&amp;'NSST Print'!$B$3,Investors!$J:$J,"&gt;"&amp;'NSST Print'!$B$3,Investors!$A:$A,'Investor Exit List'!$A393,Investors!$E:$E,'Investor Exit List'!$C393,Investors!$L:$L,'Investor Exit List'!$B393)+SUMIFS(Investors!$M:$M,Investors!$I:$I,"&lt;="&amp;'NSST Print'!$B$3,Investors!$J:$J,"",Investors!$A:$A,'Investor Exit List'!$A393,Investors!$E:$E,'Investor Exit List'!$C393,Investors!$L:$L,'Investor Exit List'!$B393))</f>
        <v>767449.32</v>
      </c>
      <c r="G393" s="118">
        <v>45044</v>
      </c>
      <c r="H393" s="116" t="b">
        <f>VLOOKUP($C393,Sales!$C:$E,2,FALSE)</f>
        <v>0</v>
      </c>
      <c r="I393" s="116" t="b">
        <f>VLOOKUP($C393,Sales!$C:$E,3,FALSE)</f>
        <v>0</v>
      </c>
      <c r="J393" s="118">
        <f>SUMIFS(Sales!$H:$H,Sales!$C:$C,'Investor Exit List'!$C393)</f>
        <v>45625</v>
      </c>
      <c r="K393" s="118" t="str">
        <f t="shared" si="72"/>
        <v/>
      </c>
      <c r="L393" s="118">
        <f t="shared" si="73"/>
        <v>45774</v>
      </c>
      <c r="M393" s="118">
        <v>45443</v>
      </c>
      <c r="N393" s="119">
        <f t="shared" si="74"/>
        <v>331</v>
      </c>
      <c r="O393" s="119">
        <f t="shared" si="75"/>
        <v>0</v>
      </c>
      <c r="P393" s="117">
        <f t="shared" si="76"/>
        <v>0</v>
      </c>
      <c r="Q393" s="117">
        <f>SUMIFS(Investors!$M:$M,Investors!$O:$O,FALSE,Investors!$P:$P,FALSE,Investors!$K:$K,"&gt;"&amp;'NSST Print'!$B$3,Investors!$I:$I,"&lt;="&amp;'NSST Print'!$B$3,Investors!$A:$A,'Investor Exit List'!$A393,Investors!$E:$E,'Investor Exit List'!$C393,Investors!$L:$L,'Investor Exit List'!$B393)-(SUMIFS(Investors!$M:$M,Investors!$I:$I,"&lt;="&amp;'NSST Print'!$B$3,Investors!$J:$J,"&gt;"&amp;'NSST Print'!$B$3,Investors!$A:$A,'Investor Exit List'!$A393,Investors!$E:$E,'Investor Exit List'!$C393,Investors!$L:$L,'Investor Exit List'!$B393)+SUMIFS(Investors!$M:$M,Investors!$I:$I,"&lt;="&amp;'NSST Print'!$B$3,Investors!$J:$J,"",Investors!$A:$A,'Investor Exit List'!$A393,Investors!$E:$E,'Investor Exit List'!$C393,Investors!$L:$L,'Investor Exit List'!$B393))+SUMIFS(Investors!$S:$S,Investors!$O:$O,FALSE,Investors!$P:$P,FALSE,Investors!$K:$K,"&gt;"&amp;'NSST Print'!$B$3,Investors!$I:$I,"&lt;="&amp;'NSST Print'!$B$3,Investors!$A:$A,'Investor Exit List'!$A393,Investors!$E:$E,'Investor Exit List'!$C393,Investors!$L:$L,'Investor Exit List'!$B393)-(SUMIFS(Investors!$S:$S,Investors!$I:$I,"&lt;="&amp;'NSST Print'!$B$3,Investors!$J:$J,"&gt;"&amp;'NSST Print'!$B$3,Investors!$A:$A,'Investor Exit List'!$A393,Investors!$E:$E,'Investor Exit List'!$C393,Investors!$L:$L,'Investor Exit List'!$B393)+SUMIFS(Investors!$S:$S,Investors!$I:$I,"&lt;="&amp;'NSST Print'!$B$3,Investors!$J:$J,"",Investors!$A:$A,'Investor Exit List'!$A393,Investors!$E:$E,'Investor Exit List'!$C393,Investors!$L:$L,'Investor Exit List'!$B393))</f>
        <v>999003.49805013696</v>
      </c>
      <c r="R393" s="117">
        <f t="shared" si="77"/>
        <v>0</v>
      </c>
      <c r="S393" s="117">
        <f>SUMIFS(Investors!$M:$M,Investors!$O:$O,TRUE,Investors!$A:$A,'Investor Exit List'!$A393,Investors!$E:$E,'Investor Exit List'!$C393,Investors!$L:$L,'Investor Exit List'!$B393)+SUMIFS(Investors!$S:$S,Investors!$O:$O,TRUE,Investors!$A:$A,'Investor Exit List'!$A393,Investors!$E:$E,'Investor Exit List'!$C393,Investors!$L:$L,'Investor Exit List'!$B393)</f>
        <v>0</v>
      </c>
      <c r="T393" s="118" t="str">
        <f t="shared" si="78"/>
        <v/>
      </c>
      <c r="U393" s="116" t="b">
        <v>0</v>
      </c>
      <c r="V393" s="117">
        <f t="shared" si="79"/>
        <v>0</v>
      </c>
      <c r="W393" s="116">
        <v>0</v>
      </c>
      <c r="X393" s="116" t="b">
        <v>0</v>
      </c>
      <c r="Y393" s="119">
        <f>IF(H393=FALSE,VLOOKUP($C393,Sales!$C:$F,4,FALSE),1)</f>
        <v>0</v>
      </c>
      <c r="Z393" s="116" t="str">
        <f t="shared" si="80"/>
        <v>Release</v>
      </c>
      <c r="AA393" s="118">
        <f t="shared" si="81"/>
        <v>45697</v>
      </c>
      <c r="AB393" s="118" t="str">
        <f t="shared" si="82"/>
        <v>HVK206-ZDIC01</v>
      </c>
      <c r="AC393" s="118">
        <f t="shared" si="83"/>
        <v>45774</v>
      </c>
    </row>
    <row r="394" spans="1:29" ht="16" x14ac:dyDescent="0.2">
      <c r="A394" s="116" t="s">
        <v>199</v>
      </c>
      <c r="B394" s="116">
        <v>2</v>
      </c>
      <c r="C394" s="116" t="s">
        <v>761</v>
      </c>
      <c r="D394" s="116" t="s">
        <v>750</v>
      </c>
      <c r="E394" s="116" t="s">
        <v>2062</v>
      </c>
      <c r="F394" s="117">
        <f>SUMIFS(Investors!$M:$M,Investors!$O:$O,FALSE,Investors!$P:$P,FALSE,Investors!$K:$K,"&gt;"&amp;'NSST Print'!$B$3,Investors!$I:$I,"&lt;="&amp;'NSST Print'!$B$3,Investors!$A:$A,'Investor Exit List'!$A394,Investors!$E:$E,'Investor Exit List'!$C394,Investors!$L:$L,'Investor Exit List'!$B394)-(SUMIFS(Investors!$M:$M,Investors!$I:$I,"&lt;="&amp;'NSST Print'!$B$3,Investors!$J:$J,"&gt;"&amp;'NSST Print'!$B$3,Investors!$A:$A,'Investor Exit List'!$A394,Investors!$E:$E,'Investor Exit List'!$C394,Investors!$L:$L,'Investor Exit List'!$B394)+SUMIFS(Investors!$M:$M,Investors!$I:$I,"&lt;="&amp;'NSST Print'!$B$3,Investors!$J:$J,"",Investors!$A:$A,'Investor Exit List'!$A394,Investors!$E:$E,'Investor Exit List'!$C394,Investors!$L:$L,'Investor Exit List'!$B394))</f>
        <v>100000</v>
      </c>
      <c r="G394" s="118">
        <v>45016</v>
      </c>
      <c r="H394" s="116" t="b">
        <f>VLOOKUP($C394,Sales!$C:$E,2,FALSE)</f>
        <v>0</v>
      </c>
      <c r="I394" s="116" t="b">
        <f>VLOOKUP($C394,Sales!$C:$E,3,FALSE)</f>
        <v>0</v>
      </c>
      <c r="J394" s="118">
        <f>SUMIFS(Sales!$H:$H,Sales!$C:$C,'Investor Exit List'!$C394)</f>
        <v>45625</v>
      </c>
      <c r="K394" s="118" t="str">
        <f t="shared" si="72"/>
        <v/>
      </c>
      <c r="L394" s="118">
        <f t="shared" si="73"/>
        <v>45746</v>
      </c>
      <c r="M394" s="118">
        <v>45443</v>
      </c>
      <c r="N394" s="119">
        <f t="shared" si="74"/>
        <v>303</v>
      </c>
      <c r="O394" s="119">
        <f t="shared" si="75"/>
        <v>0</v>
      </c>
      <c r="P394" s="117">
        <f t="shared" si="76"/>
        <v>0</v>
      </c>
      <c r="Q394" s="117">
        <f>SUMIFS(Investors!$M:$M,Investors!$O:$O,FALSE,Investors!$P:$P,FALSE,Investors!$K:$K,"&gt;"&amp;'NSST Print'!$B$3,Investors!$I:$I,"&lt;="&amp;'NSST Print'!$B$3,Investors!$A:$A,'Investor Exit List'!$A394,Investors!$E:$E,'Investor Exit List'!$C394,Investors!$L:$L,'Investor Exit List'!$B394)-(SUMIFS(Investors!$M:$M,Investors!$I:$I,"&lt;="&amp;'NSST Print'!$B$3,Investors!$J:$J,"&gt;"&amp;'NSST Print'!$B$3,Investors!$A:$A,'Investor Exit List'!$A394,Investors!$E:$E,'Investor Exit List'!$C394,Investors!$L:$L,'Investor Exit List'!$B394)+SUMIFS(Investors!$M:$M,Investors!$I:$I,"&lt;="&amp;'NSST Print'!$B$3,Investors!$J:$J,"",Investors!$A:$A,'Investor Exit List'!$A394,Investors!$E:$E,'Investor Exit List'!$C394,Investors!$L:$L,'Investor Exit List'!$B394))+SUMIFS(Investors!$S:$S,Investors!$O:$O,FALSE,Investors!$P:$P,FALSE,Investors!$K:$K,"&gt;"&amp;'NSST Print'!$B$3,Investors!$I:$I,"&lt;="&amp;'NSST Print'!$B$3,Investors!$A:$A,'Investor Exit List'!$A394,Investors!$E:$E,'Investor Exit List'!$C394,Investors!$L:$L,'Investor Exit List'!$B394)-(SUMIFS(Investors!$S:$S,Investors!$I:$I,"&lt;="&amp;'NSST Print'!$B$3,Investors!$J:$J,"&gt;"&amp;'NSST Print'!$B$3,Investors!$A:$A,'Investor Exit List'!$A394,Investors!$E:$E,'Investor Exit List'!$C394,Investors!$L:$L,'Investor Exit List'!$B394)+SUMIFS(Investors!$S:$S,Investors!$I:$I,"&lt;="&amp;'NSST Print'!$B$3,Investors!$J:$J,"",Investors!$A:$A,'Investor Exit List'!$A394,Investors!$E:$E,'Investor Exit List'!$C394,Investors!$L:$L,'Investor Exit List'!$B394))</f>
        <v>124517.12328767123</v>
      </c>
      <c r="R394" s="117">
        <f t="shared" si="77"/>
        <v>0</v>
      </c>
      <c r="S394" s="117">
        <f>SUMIFS(Investors!$M:$M,Investors!$O:$O,TRUE,Investors!$A:$A,'Investor Exit List'!$A394,Investors!$E:$E,'Investor Exit List'!$C394,Investors!$L:$L,'Investor Exit List'!$B394)+SUMIFS(Investors!$S:$S,Investors!$O:$O,TRUE,Investors!$A:$A,'Investor Exit List'!$A394,Investors!$E:$E,'Investor Exit List'!$C394,Investors!$L:$L,'Investor Exit List'!$B394)</f>
        <v>0</v>
      </c>
      <c r="T394" s="118" t="str">
        <f t="shared" si="78"/>
        <v/>
      </c>
      <c r="U394" s="116" t="b">
        <v>0</v>
      </c>
      <c r="V394" s="117">
        <f t="shared" si="79"/>
        <v>0</v>
      </c>
      <c r="W394" s="116">
        <v>0</v>
      </c>
      <c r="X394" s="116" t="b">
        <v>0</v>
      </c>
      <c r="Y394" s="119">
        <f>IF(H394=FALSE,VLOOKUP($C394,Sales!$C:$F,4,FALSE),1)</f>
        <v>0</v>
      </c>
      <c r="Z394" s="116" t="str">
        <f t="shared" si="80"/>
        <v>Release</v>
      </c>
      <c r="AA394" s="118">
        <f t="shared" si="81"/>
        <v>45697</v>
      </c>
      <c r="AB394" s="118" t="str">
        <f t="shared" si="82"/>
        <v>HVK206-ZFOU01</v>
      </c>
      <c r="AC394" s="118">
        <f t="shared" si="83"/>
        <v>45746</v>
      </c>
    </row>
    <row r="395" spans="1:29" ht="16" x14ac:dyDescent="0.2">
      <c r="A395" s="116" t="s">
        <v>218</v>
      </c>
      <c r="B395" s="116">
        <v>2</v>
      </c>
      <c r="C395" s="116" t="s">
        <v>761</v>
      </c>
      <c r="D395" s="116" t="s">
        <v>750</v>
      </c>
      <c r="E395" s="116" t="s">
        <v>2068</v>
      </c>
      <c r="F395" s="117">
        <f>SUMIFS(Investors!$M:$M,Investors!$O:$O,FALSE,Investors!$P:$P,FALSE,Investors!$K:$K,"&gt;"&amp;'NSST Print'!$B$3,Investors!$I:$I,"&lt;="&amp;'NSST Print'!$B$3,Investors!$A:$A,'Investor Exit List'!$A395,Investors!$E:$E,'Investor Exit List'!$C395,Investors!$L:$L,'Investor Exit List'!$B395)-(SUMIFS(Investors!$M:$M,Investors!$I:$I,"&lt;="&amp;'NSST Print'!$B$3,Investors!$J:$J,"&gt;"&amp;'NSST Print'!$B$3,Investors!$A:$A,'Investor Exit List'!$A395,Investors!$E:$E,'Investor Exit List'!$C395,Investors!$L:$L,'Investor Exit List'!$B395)+SUMIFS(Investors!$M:$M,Investors!$I:$I,"&lt;="&amp;'NSST Print'!$B$3,Investors!$J:$J,"",Investors!$A:$A,'Investor Exit List'!$A395,Investors!$E:$E,'Investor Exit List'!$C395,Investors!$L:$L,'Investor Exit List'!$B395))</f>
        <v>122921.23</v>
      </c>
      <c r="G395" s="118">
        <v>44967</v>
      </c>
      <c r="H395" s="116" t="b">
        <f>VLOOKUP($C395,Sales!$C:$E,2,FALSE)</f>
        <v>0</v>
      </c>
      <c r="I395" s="116" t="b">
        <f>VLOOKUP($C395,Sales!$C:$E,3,FALSE)</f>
        <v>0</v>
      </c>
      <c r="J395" s="118">
        <f>SUMIFS(Sales!$H:$H,Sales!$C:$C,'Investor Exit List'!$C395)</f>
        <v>45625</v>
      </c>
      <c r="K395" s="118" t="str">
        <f t="shared" si="72"/>
        <v/>
      </c>
      <c r="L395" s="118">
        <f t="shared" si="73"/>
        <v>45697</v>
      </c>
      <c r="M395" s="118">
        <v>45443</v>
      </c>
      <c r="N395" s="119">
        <f t="shared" si="74"/>
        <v>254</v>
      </c>
      <c r="O395" s="119">
        <f t="shared" si="75"/>
        <v>0</v>
      </c>
      <c r="P395" s="117">
        <f t="shared" si="76"/>
        <v>0</v>
      </c>
      <c r="Q395" s="117">
        <f>SUMIFS(Investors!$M:$M,Investors!$O:$O,FALSE,Investors!$P:$P,FALSE,Investors!$K:$K,"&gt;"&amp;'NSST Print'!$B$3,Investors!$I:$I,"&lt;="&amp;'NSST Print'!$B$3,Investors!$A:$A,'Investor Exit List'!$A395,Investors!$E:$E,'Investor Exit List'!$C395,Investors!$L:$L,'Investor Exit List'!$B395)-(SUMIFS(Investors!$M:$M,Investors!$I:$I,"&lt;="&amp;'NSST Print'!$B$3,Investors!$J:$J,"&gt;"&amp;'NSST Print'!$B$3,Investors!$A:$A,'Investor Exit List'!$A395,Investors!$E:$E,'Investor Exit List'!$C395,Investors!$L:$L,'Investor Exit List'!$B395)+SUMIFS(Investors!$M:$M,Investors!$I:$I,"&lt;="&amp;'NSST Print'!$B$3,Investors!$J:$J,"",Investors!$A:$A,'Investor Exit List'!$A395,Investors!$E:$E,'Investor Exit List'!$C395,Investors!$L:$L,'Investor Exit List'!$B395))+SUMIFS(Investors!$S:$S,Investors!$O:$O,FALSE,Investors!$P:$P,FALSE,Investors!$K:$K,"&gt;"&amp;'NSST Print'!$B$3,Investors!$I:$I,"&lt;="&amp;'NSST Print'!$B$3,Investors!$A:$A,'Investor Exit List'!$A395,Investors!$E:$E,'Investor Exit List'!$C395,Investors!$L:$L,'Investor Exit List'!$B395)-(SUMIFS(Investors!$S:$S,Investors!$I:$I,"&lt;="&amp;'NSST Print'!$B$3,Investors!$J:$J,"&gt;"&amp;'NSST Print'!$B$3,Investors!$A:$A,'Investor Exit List'!$A395,Investors!$E:$E,'Investor Exit List'!$C395,Investors!$L:$L,'Investor Exit List'!$B395)+SUMIFS(Investors!$S:$S,Investors!$I:$I,"&lt;="&amp;'NSST Print'!$B$3,Investors!$J:$J,"",Investors!$A:$A,'Investor Exit List'!$A395,Investors!$E:$E,'Investor Exit List'!$C395,Investors!$L:$L,'Investor Exit List'!$B395))</f>
        <v>155064.2897187671</v>
      </c>
      <c r="R395" s="117">
        <f t="shared" si="77"/>
        <v>0</v>
      </c>
      <c r="S395" s="117">
        <f>SUMIFS(Investors!$M:$M,Investors!$O:$O,TRUE,Investors!$A:$A,'Investor Exit List'!$A395,Investors!$E:$E,'Investor Exit List'!$C395,Investors!$L:$L,'Investor Exit List'!$B395)+SUMIFS(Investors!$S:$S,Investors!$O:$O,TRUE,Investors!$A:$A,'Investor Exit List'!$A395,Investors!$E:$E,'Investor Exit List'!$C395,Investors!$L:$L,'Investor Exit List'!$B395)</f>
        <v>0</v>
      </c>
      <c r="T395" s="118" t="str">
        <f t="shared" si="78"/>
        <v/>
      </c>
      <c r="U395" s="116" t="b">
        <v>0</v>
      </c>
      <c r="V395" s="117">
        <f t="shared" si="79"/>
        <v>0</v>
      </c>
      <c r="W395" s="116">
        <v>0</v>
      </c>
      <c r="X395" s="116" t="b">
        <v>0</v>
      </c>
      <c r="Y395" s="119">
        <f>IF(H395=FALSE,VLOOKUP($C395,Sales!$C:$F,4,FALSE),1)</f>
        <v>0</v>
      </c>
      <c r="Z395" s="116" t="str">
        <f t="shared" si="80"/>
        <v>Release</v>
      </c>
      <c r="AA395" s="118">
        <f t="shared" si="81"/>
        <v>45697</v>
      </c>
      <c r="AB395" s="118" t="str">
        <f t="shared" si="82"/>
        <v>HVK206-ZGOV01</v>
      </c>
      <c r="AC395" s="118">
        <f t="shared" si="83"/>
        <v>45697</v>
      </c>
    </row>
    <row r="396" spans="1:29" ht="16" x14ac:dyDescent="0.2">
      <c r="A396" s="116" t="s">
        <v>98</v>
      </c>
      <c r="B396" s="116">
        <v>2</v>
      </c>
      <c r="C396" s="116" t="s">
        <v>762</v>
      </c>
      <c r="D396" s="116" t="s">
        <v>750</v>
      </c>
      <c r="E396" s="116" t="s">
        <v>2031</v>
      </c>
      <c r="F396" s="117">
        <f>SUMIFS(Investors!$M:$M,Investors!$O:$O,FALSE,Investors!$P:$P,FALSE,Investors!$K:$K,"&gt;"&amp;'NSST Print'!$B$3,Investors!$I:$I,"&lt;="&amp;'NSST Print'!$B$3,Investors!$A:$A,'Investor Exit List'!$A396,Investors!$E:$E,'Investor Exit List'!$C396,Investors!$L:$L,'Investor Exit List'!$B396)-(SUMIFS(Investors!$M:$M,Investors!$I:$I,"&lt;="&amp;'NSST Print'!$B$3,Investors!$J:$J,"&gt;"&amp;'NSST Print'!$B$3,Investors!$A:$A,'Investor Exit List'!$A396,Investors!$E:$E,'Investor Exit List'!$C396,Investors!$L:$L,'Investor Exit List'!$B396)+SUMIFS(Investors!$M:$M,Investors!$I:$I,"&lt;="&amp;'NSST Print'!$B$3,Investors!$J:$J,"",Investors!$A:$A,'Investor Exit List'!$A396,Investors!$E:$E,'Investor Exit List'!$C396,Investors!$L:$L,'Investor Exit List'!$B396))</f>
        <v>251198.63</v>
      </c>
      <c r="G396" s="118">
        <v>44986</v>
      </c>
      <c r="H396" s="116" t="b">
        <f>VLOOKUP($C396,Sales!$C:$E,2,FALSE)</f>
        <v>0</v>
      </c>
      <c r="I396" s="116" t="b">
        <f>VLOOKUP($C396,Sales!$C:$E,3,FALSE)</f>
        <v>0</v>
      </c>
      <c r="J396" s="118">
        <f>SUMIFS(Sales!$H:$H,Sales!$C:$C,'Investor Exit List'!$C396)</f>
        <v>45625</v>
      </c>
      <c r="K396" s="118" t="str">
        <f t="shared" si="72"/>
        <v/>
      </c>
      <c r="L396" s="118">
        <f t="shared" si="73"/>
        <v>45716</v>
      </c>
      <c r="M396" s="118">
        <v>45443</v>
      </c>
      <c r="N396" s="119">
        <f t="shared" si="74"/>
        <v>273</v>
      </c>
      <c r="O396" s="119">
        <f t="shared" si="75"/>
        <v>0</v>
      </c>
      <c r="P396" s="117">
        <f t="shared" si="76"/>
        <v>0</v>
      </c>
      <c r="Q396" s="117">
        <f>SUMIFS(Investors!$M:$M,Investors!$O:$O,FALSE,Investors!$P:$P,FALSE,Investors!$K:$K,"&gt;"&amp;'NSST Print'!$B$3,Investors!$I:$I,"&lt;="&amp;'NSST Print'!$B$3,Investors!$A:$A,'Investor Exit List'!$A396,Investors!$E:$E,'Investor Exit List'!$C396,Investors!$L:$L,'Investor Exit List'!$B396)-(SUMIFS(Investors!$M:$M,Investors!$I:$I,"&lt;="&amp;'NSST Print'!$B$3,Investors!$J:$J,"&gt;"&amp;'NSST Print'!$B$3,Investors!$A:$A,'Investor Exit List'!$A396,Investors!$E:$E,'Investor Exit List'!$C396,Investors!$L:$L,'Investor Exit List'!$B396)+SUMIFS(Investors!$M:$M,Investors!$I:$I,"&lt;="&amp;'NSST Print'!$B$3,Investors!$J:$J,"",Investors!$A:$A,'Investor Exit List'!$A396,Investors!$E:$E,'Investor Exit List'!$C396,Investors!$L:$L,'Investor Exit List'!$B396))+SUMIFS(Investors!$S:$S,Investors!$O:$O,FALSE,Investors!$P:$P,FALSE,Investors!$K:$K,"&gt;"&amp;'NSST Print'!$B$3,Investors!$I:$I,"&lt;="&amp;'NSST Print'!$B$3,Investors!$A:$A,'Investor Exit List'!$A396,Investors!$E:$E,'Investor Exit List'!$C396,Investors!$L:$L,'Investor Exit List'!$B396)-(SUMIFS(Investors!$S:$S,Investors!$I:$I,"&lt;="&amp;'NSST Print'!$B$3,Investors!$J:$J,"&gt;"&amp;'NSST Print'!$B$3,Investors!$A:$A,'Investor Exit List'!$A396,Investors!$E:$E,'Investor Exit List'!$C396,Investors!$L:$L,'Investor Exit List'!$B396)+SUMIFS(Investors!$S:$S,Investors!$I:$I,"&lt;="&amp;'NSST Print'!$B$3,Investors!$J:$J,"",Investors!$A:$A,'Investor Exit List'!$A396,Investors!$E:$E,'Investor Exit List'!$C396,Investors!$L:$L,'Investor Exit List'!$B396))</f>
        <v>315641.40182636987</v>
      </c>
      <c r="R396" s="117">
        <f t="shared" si="77"/>
        <v>0</v>
      </c>
      <c r="S396" s="117">
        <f>SUMIFS(Investors!$M:$M,Investors!$O:$O,TRUE,Investors!$A:$A,'Investor Exit List'!$A396,Investors!$E:$E,'Investor Exit List'!$C396,Investors!$L:$L,'Investor Exit List'!$B396)+SUMIFS(Investors!$S:$S,Investors!$O:$O,TRUE,Investors!$A:$A,'Investor Exit List'!$A396,Investors!$E:$E,'Investor Exit List'!$C396,Investors!$L:$L,'Investor Exit List'!$B396)</f>
        <v>0</v>
      </c>
      <c r="T396" s="118" t="str">
        <f t="shared" si="78"/>
        <v/>
      </c>
      <c r="U396" s="116" t="b">
        <v>0</v>
      </c>
      <c r="V396" s="117">
        <f t="shared" si="79"/>
        <v>0</v>
      </c>
      <c r="W396" s="116">
        <v>0</v>
      </c>
      <c r="X396" s="116" t="b">
        <v>0</v>
      </c>
      <c r="Y396" s="119">
        <f>IF(H396=FALSE,VLOOKUP($C396,Sales!$C:$F,4,FALSE),1)</f>
        <v>0</v>
      </c>
      <c r="Z396" s="116" t="str">
        <f t="shared" si="80"/>
        <v>Release</v>
      </c>
      <c r="AA396" s="118">
        <f t="shared" si="81"/>
        <v>45639</v>
      </c>
      <c r="AB396" s="118" t="str">
        <f t="shared" si="82"/>
        <v>HVK301-ZBAR01</v>
      </c>
      <c r="AC396" s="118">
        <f t="shared" si="83"/>
        <v>45716</v>
      </c>
    </row>
    <row r="397" spans="1:29" ht="16" x14ac:dyDescent="0.2">
      <c r="A397" s="116" t="s">
        <v>102</v>
      </c>
      <c r="B397" s="116">
        <v>5</v>
      </c>
      <c r="C397" s="116" t="s">
        <v>762</v>
      </c>
      <c r="D397" s="116" t="s">
        <v>750</v>
      </c>
      <c r="E397" s="116" t="s">
        <v>2032</v>
      </c>
      <c r="F397" s="117">
        <f>SUMIFS(Investors!$M:$M,Investors!$O:$O,FALSE,Investors!$P:$P,FALSE,Investors!$K:$K,"&gt;"&amp;'NSST Print'!$B$3,Investors!$I:$I,"&lt;="&amp;'NSST Print'!$B$3,Investors!$A:$A,'Investor Exit List'!$A397,Investors!$E:$E,'Investor Exit List'!$C397,Investors!$L:$L,'Investor Exit List'!$B397)-(SUMIFS(Investors!$M:$M,Investors!$I:$I,"&lt;="&amp;'NSST Print'!$B$3,Investors!$J:$J,"&gt;"&amp;'NSST Print'!$B$3,Investors!$A:$A,'Investor Exit List'!$A397,Investors!$E:$E,'Investor Exit List'!$C397,Investors!$L:$L,'Investor Exit List'!$B397)+SUMIFS(Investors!$M:$M,Investors!$I:$I,"&lt;="&amp;'NSST Print'!$B$3,Investors!$J:$J,"",Investors!$A:$A,'Investor Exit List'!$A397,Investors!$E:$E,'Investor Exit List'!$C397,Investors!$L:$L,'Investor Exit List'!$B397))</f>
        <v>250000</v>
      </c>
      <c r="G397" s="118">
        <v>44967</v>
      </c>
      <c r="H397" s="116" t="b">
        <f>VLOOKUP($C397,Sales!$C:$E,2,FALSE)</f>
        <v>0</v>
      </c>
      <c r="I397" s="116" t="b">
        <f>VLOOKUP($C397,Sales!$C:$E,3,FALSE)</f>
        <v>0</v>
      </c>
      <c r="J397" s="118">
        <f>SUMIFS(Sales!$H:$H,Sales!$C:$C,'Investor Exit List'!$C397)</f>
        <v>45625</v>
      </c>
      <c r="K397" s="118" t="str">
        <f t="shared" si="72"/>
        <v/>
      </c>
      <c r="L397" s="118">
        <f t="shared" si="73"/>
        <v>45697</v>
      </c>
      <c r="M397" s="118">
        <v>45443</v>
      </c>
      <c r="N397" s="119">
        <f t="shared" si="74"/>
        <v>254</v>
      </c>
      <c r="O397" s="119">
        <f t="shared" si="75"/>
        <v>0</v>
      </c>
      <c r="P397" s="117">
        <f t="shared" si="76"/>
        <v>0</v>
      </c>
      <c r="Q397" s="117">
        <f>SUMIFS(Investors!$M:$M,Investors!$O:$O,FALSE,Investors!$P:$P,FALSE,Investors!$K:$K,"&gt;"&amp;'NSST Print'!$B$3,Investors!$I:$I,"&lt;="&amp;'NSST Print'!$B$3,Investors!$A:$A,'Investor Exit List'!$A397,Investors!$E:$E,'Investor Exit List'!$C397,Investors!$L:$L,'Investor Exit List'!$B397)-(SUMIFS(Investors!$M:$M,Investors!$I:$I,"&lt;="&amp;'NSST Print'!$B$3,Investors!$J:$J,"&gt;"&amp;'NSST Print'!$B$3,Investors!$A:$A,'Investor Exit List'!$A397,Investors!$E:$E,'Investor Exit List'!$C397,Investors!$L:$L,'Investor Exit List'!$B397)+SUMIFS(Investors!$M:$M,Investors!$I:$I,"&lt;="&amp;'NSST Print'!$B$3,Investors!$J:$J,"",Investors!$A:$A,'Investor Exit List'!$A397,Investors!$E:$E,'Investor Exit List'!$C397,Investors!$L:$L,'Investor Exit List'!$B397))+SUMIFS(Investors!$S:$S,Investors!$O:$O,FALSE,Investors!$P:$P,FALSE,Investors!$K:$K,"&gt;"&amp;'NSST Print'!$B$3,Investors!$I:$I,"&lt;="&amp;'NSST Print'!$B$3,Investors!$A:$A,'Investor Exit List'!$A397,Investors!$E:$E,'Investor Exit List'!$C397,Investors!$L:$L,'Investor Exit List'!$B397)-(SUMIFS(Investors!$S:$S,Investors!$I:$I,"&lt;="&amp;'NSST Print'!$B$3,Investors!$J:$J,"&gt;"&amp;'NSST Print'!$B$3,Investors!$A:$A,'Investor Exit List'!$A397,Investors!$E:$E,'Investor Exit List'!$C397,Investors!$L:$L,'Investor Exit List'!$B397)+SUMIFS(Investors!$S:$S,Investors!$I:$I,"&lt;="&amp;'NSST Print'!$B$3,Investors!$J:$J,"",Investors!$A:$A,'Investor Exit List'!$A397,Investors!$E:$E,'Investor Exit List'!$C397,Investors!$L:$L,'Investor Exit List'!$B397))</f>
        <v>323660.9589041096</v>
      </c>
      <c r="R397" s="117">
        <f t="shared" si="77"/>
        <v>0</v>
      </c>
      <c r="S397" s="117">
        <f>SUMIFS(Investors!$M:$M,Investors!$O:$O,TRUE,Investors!$A:$A,'Investor Exit List'!$A397,Investors!$E:$E,'Investor Exit List'!$C397,Investors!$L:$L,'Investor Exit List'!$B397)+SUMIFS(Investors!$S:$S,Investors!$O:$O,TRUE,Investors!$A:$A,'Investor Exit List'!$A397,Investors!$E:$E,'Investor Exit List'!$C397,Investors!$L:$L,'Investor Exit List'!$B397)</f>
        <v>0</v>
      </c>
      <c r="T397" s="118" t="str">
        <f t="shared" si="78"/>
        <v/>
      </c>
      <c r="U397" s="116" t="b">
        <v>0</v>
      </c>
      <c r="V397" s="117">
        <f t="shared" si="79"/>
        <v>0</v>
      </c>
      <c r="W397" s="116">
        <v>0</v>
      </c>
      <c r="X397" s="116" t="b">
        <v>0</v>
      </c>
      <c r="Y397" s="119">
        <f>IF(H397=FALSE,VLOOKUP($C397,Sales!$C:$F,4,FALSE),1)</f>
        <v>0</v>
      </c>
      <c r="Z397" s="116" t="str">
        <f t="shared" si="80"/>
        <v>Release</v>
      </c>
      <c r="AA397" s="118">
        <f t="shared" si="81"/>
        <v>45639</v>
      </c>
      <c r="AB397" s="118" t="str">
        <f t="shared" si="82"/>
        <v>HVK301-ZDAV01</v>
      </c>
      <c r="AC397" s="118">
        <f t="shared" si="83"/>
        <v>45697</v>
      </c>
    </row>
    <row r="398" spans="1:29" ht="16" x14ac:dyDescent="0.2">
      <c r="A398" s="116" t="s">
        <v>38</v>
      </c>
      <c r="B398" s="116">
        <v>2</v>
      </c>
      <c r="C398" s="116" t="s">
        <v>762</v>
      </c>
      <c r="D398" s="116" t="s">
        <v>750</v>
      </c>
      <c r="E398" s="116" t="s">
        <v>2013</v>
      </c>
      <c r="F398" s="117">
        <f>SUMIFS(Investors!$M:$M,Investors!$O:$O,FALSE,Investors!$P:$P,FALSE,Investors!$K:$K,"&gt;"&amp;'NSST Print'!$B$3,Investors!$I:$I,"&lt;="&amp;'NSST Print'!$B$3,Investors!$A:$A,'Investor Exit List'!$A398,Investors!$E:$E,'Investor Exit List'!$C398,Investors!$L:$L,'Investor Exit List'!$B398)-(SUMIFS(Investors!$M:$M,Investors!$I:$I,"&lt;="&amp;'NSST Print'!$B$3,Investors!$J:$J,"&gt;"&amp;'NSST Print'!$B$3,Investors!$A:$A,'Investor Exit List'!$A398,Investors!$E:$E,'Investor Exit List'!$C398,Investors!$L:$L,'Investor Exit List'!$B398)+SUMIFS(Investors!$M:$M,Investors!$I:$I,"&lt;="&amp;'NSST Print'!$B$3,Investors!$J:$J,"",Investors!$A:$A,'Investor Exit List'!$A398,Investors!$E:$E,'Investor Exit List'!$C398,Investors!$L:$L,'Investor Exit List'!$B398))</f>
        <v>123390.41</v>
      </c>
      <c r="G398" s="118">
        <v>44916</v>
      </c>
      <c r="H398" s="116" t="b">
        <f>VLOOKUP($C398,Sales!$C:$E,2,FALSE)</f>
        <v>0</v>
      </c>
      <c r="I398" s="116" t="b">
        <f>VLOOKUP($C398,Sales!$C:$E,3,FALSE)</f>
        <v>0</v>
      </c>
      <c r="J398" s="118">
        <f>SUMIFS(Sales!$H:$H,Sales!$C:$C,'Investor Exit List'!$C398)</f>
        <v>45625</v>
      </c>
      <c r="K398" s="118" t="str">
        <f t="shared" si="72"/>
        <v/>
      </c>
      <c r="L398" s="118">
        <f t="shared" si="73"/>
        <v>45646</v>
      </c>
      <c r="M398" s="118">
        <v>45443</v>
      </c>
      <c r="N398" s="119">
        <f t="shared" si="74"/>
        <v>203</v>
      </c>
      <c r="O398" s="119">
        <f t="shared" si="75"/>
        <v>0</v>
      </c>
      <c r="P398" s="117">
        <f t="shared" si="76"/>
        <v>0</v>
      </c>
      <c r="Q398" s="117">
        <f>SUMIFS(Investors!$M:$M,Investors!$O:$O,FALSE,Investors!$P:$P,FALSE,Investors!$K:$K,"&gt;"&amp;'NSST Print'!$B$3,Investors!$I:$I,"&lt;="&amp;'NSST Print'!$B$3,Investors!$A:$A,'Investor Exit List'!$A398,Investors!$E:$E,'Investor Exit List'!$C398,Investors!$L:$L,'Investor Exit List'!$B398)-(SUMIFS(Investors!$M:$M,Investors!$I:$I,"&lt;="&amp;'NSST Print'!$B$3,Investors!$J:$J,"&gt;"&amp;'NSST Print'!$B$3,Investors!$A:$A,'Investor Exit List'!$A398,Investors!$E:$E,'Investor Exit List'!$C398,Investors!$L:$L,'Investor Exit List'!$B398)+SUMIFS(Investors!$M:$M,Investors!$I:$I,"&lt;="&amp;'NSST Print'!$B$3,Investors!$J:$J,"",Investors!$A:$A,'Investor Exit List'!$A398,Investors!$E:$E,'Investor Exit List'!$C398,Investors!$L:$L,'Investor Exit List'!$B398))+SUMIFS(Investors!$S:$S,Investors!$O:$O,FALSE,Investors!$P:$P,FALSE,Investors!$K:$K,"&gt;"&amp;'NSST Print'!$B$3,Investors!$I:$I,"&lt;="&amp;'NSST Print'!$B$3,Investors!$A:$A,'Investor Exit List'!$A398,Investors!$E:$E,'Investor Exit List'!$C398,Investors!$L:$L,'Investor Exit List'!$B398)-(SUMIFS(Investors!$S:$S,Investors!$I:$I,"&lt;="&amp;'NSST Print'!$B$3,Investors!$J:$J,"&gt;"&amp;'NSST Print'!$B$3,Investors!$A:$A,'Investor Exit List'!$A398,Investors!$E:$E,'Investor Exit List'!$C398,Investors!$L:$L,'Investor Exit List'!$B398)+SUMIFS(Investors!$S:$S,Investors!$I:$I,"&lt;="&amp;'NSST Print'!$B$3,Investors!$J:$J,"",Investors!$A:$A,'Investor Exit List'!$A398,Investors!$E:$E,'Investor Exit List'!$C398,Investors!$L:$L,'Investor Exit List'!$B398))</f>
        <v>156454.81418102741</v>
      </c>
      <c r="R398" s="117">
        <f t="shared" si="77"/>
        <v>0</v>
      </c>
      <c r="S398" s="117">
        <f>SUMIFS(Investors!$M:$M,Investors!$O:$O,TRUE,Investors!$A:$A,'Investor Exit List'!$A398,Investors!$E:$E,'Investor Exit List'!$C398,Investors!$L:$L,'Investor Exit List'!$B398)+SUMIFS(Investors!$S:$S,Investors!$O:$O,TRUE,Investors!$A:$A,'Investor Exit List'!$A398,Investors!$E:$E,'Investor Exit List'!$C398,Investors!$L:$L,'Investor Exit List'!$B398)</f>
        <v>0</v>
      </c>
      <c r="T398" s="118" t="str">
        <f t="shared" si="78"/>
        <v/>
      </c>
      <c r="U398" s="116" t="b">
        <v>0</v>
      </c>
      <c r="V398" s="117">
        <f t="shared" si="79"/>
        <v>0</v>
      </c>
      <c r="W398" s="116">
        <v>0</v>
      </c>
      <c r="X398" s="116" t="b">
        <v>0</v>
      </c>
      <c r="Y398" s="119">
        <f>IF(H398=FALSE,VLOOKUP($C398,Sales!$C:$F,4,FALSE),1)</f>
        <v>0</v>
      </c>
      <c r="Z398" s="116" t="str">
        <f t="shared" si="80"/>
        <v>Release</v>
      </c>
      <c r="AA398" s="118">
        <f t="shared" si="81"/>
        <v>45639</v>
      </c>
      <c r="AB398" s="118" t="str">
        <f t="shared" si="82"/>
        <v>HVK301-ZHIL01</v>
      </c>
      <c r="AC398" s="118">
        <f t="shared" si="83"/>
        <v>45646</v>
      </c>
    </row>
    <row r="399" spans="1:29" ht="16" x14ac:dyDescent="0.2">
      <c r="A399" s="116" t="s">
        <v>115</v>
      </c>
      <c r="B399" s="116">
        <v>2</v>
      </c>
      <c r="C399" s="116" t="s">
        <v>762</v>
      </c>
      <c r="D399" s="116" t="s">
        <v>750</v>
      </c>
      <c r="E399" s="116" t="s">
        <v>2036</v>
      </c>
      <c r="F399" s="117">
        <f>SUMIFS(Investors!$M:$M,Investors!$O:$O,FALSE,Investors!$P:$P,FALSE,Investors!$K:$K,"&gt;"&amp;'NSST Print'!$B$3,Investors!$I:$I,"&lt;="&amp;'NSST Print'!$B$3,Investors!$A:$A,'Investor Exit List'!$A399,Investors!$E:$E,'Investor Exit List'!$C399,Investors!$L:$L,'Investor Exit List'!$B399)-(SUMIFS(Investors!$M:$M,Investors!$I:$I,"&lt;="&amp;'NSST Print'!$B$3,Investors!$J:$J,"&gt;"&amp;'NSST Print'!$B$3,Investors!$A:$A,'Investor Exit List'!$A399,Investors!$E:$E,'Investor Exit List'!$C399,Investors!$L:$L,'Investor Exit List'!$B399)+SUMIFS(Investors!$M:$M,Investors!$I:$I,"&lt;="&amp;'NSST Print'!$B$3,Investors!$J:$J,"",Investors!$A:$A,'Investor Exit List'!$A399,Investors!$E:$E,'Investor Exit List'!$C399,Investors!$L:$L,'Investor Exit List'!$B399))</f>
        <v>124948.63</v>
      </c>
      <c r="G399" s="118">
        <v>44916</v>
      </c>
      <c r="H399" s="116" t="b">
        <f>VLOOKUP($C399,Sales!$C:$E,2,FALSE)</f>
        <v>0</v>
      </c>
      <c r="I399" s="116" t="b">
        <f>VLOOKUP($C399,Sales!$C:$E,3,FALSE)</f>
        <v>0</v>
      </c>
      <c r="J399" s="118">
        <f>SUMIFS(Sales!$H:$H,Sales!$C:$C,'Investor Exit List'!$C399)</f>
        <v>45625</v>
      </c>
      <c r="K399" s="118" t="str">
        <f t="shared" si="72"/>
        <v/>
      </c>
      <c r="L399" s="118">
        <f t="shared" si="73"/>
        <v>45646</v>
      </c>
      <c r="M399" s="118">
        <v>45443</v>
      </c>
      <c r="N399" s="119">
        <f t="shared" si="74"/>
        <v>203</v>
      </c>
      <c r="O399" s="119">
        <f t="shared" si="75"/>
        <v>0</v>
      </c>
      <c r="P399" s="117">
        <f t="shared" si="76"/>
        <v>0</v>
      </c>
      <c r="Q399" s="117">
        <f>SUMIFS(Investors!$M:$M,Investors!$O:$O,FALSE,Investors!$P:$P,FALSE,Investors!$K:$K,"&gt;"&amp;'NSST Print'!$B$3,Investors!$I:$I,"&lt;="&amp;'NSST Print'!$B$3,Investors!$A:$A,'Investor Exit List'!$A399,Investors!$E:$E,'Investor Exit List'!$C399,Investors!$L:$L,'Investor Exit List'!$B399)-(SUMIFS(Investors!$M:$M,Investors!$I:$I,"&lt;="&amp;'NSST Print'!$B$3,Investors!$J:$J,"&gt;"&amp;'NSST Print'!$B$3,Investors!$A:$A,'Investor Exit List'!$A399,Investors!$E:$E,'Investor Exit List'!$C399,Investors!$L:$L,'Investor Exit List'!$B399)+SUMIFS(Investors!$M:$M,Investors!$I:$I,"&lt;="&amp;'NSST Print'!$B$3,Investors!$J:$J,"",Investors!$A:$A,'Investor Exit List'!$A399,Investors!$E:$E,'Investor Exit List'!$C399,Investors!$L:$L,'Investor Exit List'!$B399))+SUMIFS(Investors!$S:$S,Investors!$O:$O,FALSE,Investors!$P:$P,FALSE,Investors!$K:$K,"&gt;"&amp;'NSST Print'!$B$3,Investors!$I:$I,"&lt;="&amp;'NSST Print'!$B$3,Investors!$A:$A,'Investor Exit List'!$A399,Investors!$E:$E,'Investor Exit List'!$C399,Investors!$L:$L,'Investor Exit List'!$B399)-(SUMIFS(Investors!$S:$S,Investors!$I:$I,"&lt;="&amp;'NSST Print'!$B$3,Investors!$J:$J,"&gt;"&amp;'NSST Print'!$B$3,Investors!$A:$A,'Investor Exit List'!$A399,Investors!$E:$E,'Investor Exit List'!$C399,Investors!$L:$L,'Investor Exit List'!$B399)+SUMIFS(Investors!$S:$S,Investors!$I:$I,"&lt;="&amp;'NSST Print'!$B$3,Investors!$J:$J,"",Investors!$A:$A,'Investor Exit List'!$A399,Investors!$E:$E,'Investor Exit List'!$C399,Investors!$L:$L,'Investor Exit List'!$B399))</f>
        <v>158230.32364431507</v>
      </c>
      <c r="R399" s="117">
        <f t="shared" si="77"/>
        <v>0</v>
      </c>
      <c r="S399" s="117">
        <f>SUMIFS(Investors!$M:$M,Investors!$O:$O,TRUE,Investors!$A:$A,'Investor Exit List'!$A399,Investors!$E:$E,'Investor Exit List'!$C399,Investors!$L:$L,'Investor Exit List'!$B399)+SUMIFS(Investors!$S:$S,Investors!$O:$O,TRUE,Investors!$A:$A,'Investor Exit List'!$A399,Investors!$E:$E,'Investor Exit List'!$C399,Investors!$L:$L,'Investor Exit List'!$B399)</f>
        <v>0</v>
      </c>
      <c r="T399" s="118" t="str">
        <f t="shared" si="78"/>
        <v/>
      </c>
      <c r="U399" s="116" t="b">
        <v>0</v>
      </c>
      <c r="V399" s="117">
        <f t="shared" si="79"/>
        <v>0</v>
      </c>
      <c r="W399" s="116">
        <v>0</v>
      </c>
      <c r="X399" s="116" t="b">
        <v>0</v>
      </c>
      <c r="Y399" s="119">
        <f>IF(H399=FALSE,VLOOKUP($C399,Sales!$C:$F,4,FALSE),1)</f>
        <v>0</v>
      </c>
      <c r="Z399" s="116" t="str">
        <f t="shared" si="80"/>
        <v>Release</v>
      </c>
      <c r="AA399" s="118">
        <f t="shared" si="81"/>
        <v>45639</v>
      </c>
      <c r="AB399" s="118" t="str">
        <f t="shared" si="82"/>
        <v>HVK301-ZJBM01</v>
      </c>
      <c r="AC399" s="118">
        <f t="shared" si="83"/>
        <v>45646</v>
      </c>
    </row>
    <row r="400" spans="1:29" ht="16" x14ac:dyDescent="0.2">
      <c r="A400" s="116" t="s">
        <v>485</v>
      </c>
      <c r="B400" s="116">
        <v>7</v>
      </c>
      <c r="C400" s="116" t="s">
        <v>762</v>
      </c>
      <c r="D400" s="116" t="s">
        <v>750</v>
      </c>
      <c r="E400" s="116" t="s">
        <v>2143</v>
      </c>
      <c r="F400" s="117">
        <f>SUMIFS(Investors!$M:$M,Investors!$O:$O,FALSE,Investors!$P:$P,FALSE,Investors!$K:$K,"&gt;"&amp;'NSST Print'!$B$3,Investors!$I:$I,"&lt;="&amp;'NSST Print'!$B$3,Investors!$A:$A,'Investor Exit List'!$A400,Investors!$E:$E,'Investor Exit List'!$C400,Investors!$L:$L,'Investor Exit List'!$B400)-(SUMIFS(Investors!$M:$M,Investors!$I:$I,"&lt;="&amp;'NSST Print'!$B$3,Investors!$J:$J,"&gt;"&amp;'NSST Print'!$B$3,Investors!$A:$A,'Investor Exit List'!$A400,Investors!$E:$E,'Investor Exit List'!$C400,Investors!$L:$L,'Investor Exit List'!$B400)+SUMIFS(Investors!$M:$M,Investors!$I:$I,"&lt;="&amp;'NSST Print'!$B$3,Investors!$J:$J,"",Investors!$A:$A,'Investor Exit List'!$A400,Investors!$E:$E,'Investor Exit List'!$C400,Investors!$L:$L,'Investor Exit List'!$B400))</f>
        <v>350000</v>
      </c>
      <c r="G400" s="118">
        <v>44909</v>
      </c>
      <c r="H400" s="116" t="b">
        <f>VLOOKUP($C400,Sales!$C:$E,2,FALSE)</f>
        <v>0</v>
      </c>
      <c r="I400" s="116" t="b">
        <f>VLOOKUP($C400,Sales!$C:$E,3,FALSE)</f>
        <v>0</v>
      </c>
      <c r="J400" s="118">
        <f>SUMIFS(Sales!$H:$H,Sales!$C:$C,'Investor Exit List'!$C400)</f>
        <v>45625</v>
      </c>
      <c r="K400" s="118" t="str">
        <f t="shared" si="72"/>
        <v/>
      </c>
      <c r="L400" s="118">
        <f t="shared" si="73"/>
        <v>45639</v>
      </c>
      <c r="M400" s="118">
        <v>45443</v>
      </c>
      <c r="N400" s="119">
        <f t="shared" si="74"/>
        <v>196</v>
      </c>
      <c r="O400" s="119">
        <f t="shared" si="75"/>
        <v>0</v>
      </c>
      <c r="P400" s="117">
        <f t="shared" si="76"/>
        <v>0</v>
      </c>
      <c r="Q400" s="117">
        <f>SUMIFS(Investors!$M:$M,Investors!$O:$O,FALSE,Investors!$P:$P,FALSE,Investors!$K:$K,"&gt;"&amp;'NSST Print'!$B$3,Investors!$I:$I,"&lt;="&amp;'NSST Print'!$B$3,Investors!$A:$A,'Investor Exit List'!$A400,Investors!$E:$E,'Investor Exit List'!$C400,Investors!$L:$L,'Investor Exit List'!$B400)-(SUMIFS(Investors!$M:$M,Investors!$I:$I,"&lt;="&amp;'NSST Print'!$B$3,Investors!$J:$J,"&gt;"&amp;'NSST Print'!$B$3,Investors!$A:$A,'Investor Exit List'!$A400,Investors!$E:$E,'Investor Exit List'!$C400,Investors!$L:$L,'Investor Exit List'!$B400)+SUMIFS(Investors!$M:$M,Investors!$I:$I,"&lt;="&amp;'NSST Print'!$B$3,Investors!$J:$J,"",Investors!$A:$A,'Investor Exit List'!$A400,Investors!$E:$E,'Investor Exit List'!$C400,Investors!$L:$L,'Investor Exit List'!$B400))+SUMIFS(Investors!$S:$S,Investors!$O:$O,FALSE,Investors!$P:$P,FALSE,Investors!$K:$K,"&gt;"&amp;'NSST Print'!$B$3,Investors!$I:$I,"&lt;="&amp;'NSST Print'!$B$3,Investors!$A:$A,'Investor Exit List'!$A400,Investors!$E:$E,'Investor Exit List'!$C400,Investors!$L:$L,'Investor Exit List'!$B400)-(SUMIFS(Investors!$S:$S,Investors!$I:$I,"&lt;="&amp;'NSST Print'!$B$3,Investors!$J:$J,"&gt;"&amp;'NSST Print'!$B$3,Investors!$A:$A,'Investor Exit List'!$A400,Investors!$E:$E,'Investor Exit List'!$C400,Investors!$L:$L,'Investor Exit List'!$B400)+SUMIFS(Investors!$S:$S,Investors!$I:$I,"&lt;="&amp;'NSST Print'!$B$3,Investors!$J:$J,"",Investors!$A:$A,'Investor Exit List'!$A400,Investors!$E:$E,'Investor Exit List'!$C400,Investors!$L:$L,'Investor Exit List'!$B400))</f>
        <v>473080.1369863014</v>
      </c>
      <c r="R400" s="117">
        <f t="shared" si="77"/>
        <v>0</v>
      </c>
      <c r="S400" s="117">
        <f>SUMIFS(Investors!$M:$M,Investors!$O:$O,TRUE,Investors!$A:$A,'Investor Exit List'!$A400,Investors!$E:$E,'Investor Exit List'!$C400,Investors!$L:$L,'Investor Exit List'!$B400)+SUMIFS(Investors!$S:$S,Investors!$O:$O,TRUE,Investors!$A:$A,'Investor Exit List'!$A400,Investors!$E:$E,'Investor Exit List'!$C400,Investors!$L:$L,'Investor Exit List'!$B400)</f>
        <v>0</v>
      </c>
      <c r="T400" s="118" t="str">
        <f t="shared" si="78"/>
        <v/>
      </c>
      <c r="U400" s="116" t="b">
        <v>0</v>
      </c>
      <c r="V400" s="117">
        <f t="shared" si="79"/>
        <v>0</v>
      </c>
      <c r="W400" s="116">
        <v>0</v>
      </c>
      <c r="X400" s="116" t="b">
        <v>0</v>
      </c>
      <c r="Y400" s="119">
        <f>IF(H400=FALSE,VLOOKUP($C400,Sales!$C:$F,4,FALSE),1)</f>
        <v>0</v>
      </c>
      <c r="Z400" s="116" t="str">
        <f t="shared" si="80"/>
        <v>Release</v>
      </c>
      <c r="AA400" s="118">
        <f t="shared" si="81"/>
        <v>45639</v>
      </c>
      <c r="AB400" s="118" t="str">
        <f t="shared" si="82"/>
        <v>HVK301-ZVAN05</v>
      </c>
      <c r="AC400" s="118">
        <f t="shared" si="83"/>
        <v>45639</v>
      </c>
    </row>
    <row r="401" spans="1:29" ht="16" x14ac:dyDescent="0.2">
      <c r="A401" s="116" t="s">
        <v>85</v>
      </c>
      <c r="B401" s="116">
        <v>5</v>
      </c>
      <c r="C401" s="116" t="s">
        <v>763</v>
      </c>
      <c r="D401" s="116" t="s">
        <v>750</v>
      </c>
      <c r="E401" s="116" t="s">
        <v>2027</v>
      </c>
      <c r="F401" s="117">
        <f>SUMIFS(Investors!$M:$M,Investors!$O:$O,FALSE,Investors!$P:$P,FALSE,Investors!$K:$K,"&gt;"&amp;'NSST Print'!$B$3,Investors!$I:$I,"&lt;="&amp;'NSST Print'!$B$3,Investors!$A:$A,'Investor Exit List'!$A401,Investors!$E:$E,'Investor Exit List'!$C401,Investors!$L:$L,'Investor Exit List'!$B401)-(SUMIFS(Investors!$M:$M,Investors!$I:$I,"&lt;="&amp;'NSST Print'!$B$3,Investors!$J:$J,"&gt;"&amp;'NSST Print'!$B$3,Investors!$A:$A,'Investor Exit List'!$A401,Investors!$E:$E,'Investor Exit List'!$C401,Investors!$L:$L,'Investor Exit List'!$B401)+SUMIFS(Investors!$M:$M,Investors!$I:$I,"&lt;="&amp;'NSST Print'!$B$3,Investors!$J:$J,"",Investors!$A:$A,'Investor Exit List'!$A401,Investors!$E:$E,'Investor Exit List'!$C401,Investors!$L:$L,'Investor Exit List'!$B401))</f>
        <v>369059.18</v>
      </c>
      <c r="G401" s="118">
        <v>44986</v>
      </c>
      <c r="H401" s="116" t="b">
        <f>VLOOKUP($C401,Sales!$C:$E,2,FALSE)</f>
        <v>0</v>
      </c>
      <c r="I401" s="116" t="b">
        <f>VLOOKUP($C401,Sales!$C:$E,3,FALSE)</f>
        <v>0</v>
      </c>
      <c r="J401" s="118">
        <f>SUMIFS(Sales!$H:$H,Sales!$C:$C,'Investor Exit List'!$C401)</f>
        <v>45625</v>
      </c>
      <c r="K401" s="118" t="str">
        <f t="shared" si="72"/>
        <v/>
      </c>
      <c r="L401" s="118">
        <f t="shared" si="73"/>
        <v>45716</v>
      </c>
      <c r="M401" s="118">
        <v>45443</v>
      </c>
      <c r="N401" s="119">
        <f t="shared" si="74"/>
        <v>273</v>
      </c>
      <c r="O401" s="119">
        <f t="shared" si="75"/>
        <v>0</v>
      </c>
      <c r="P401" s="117">
        <f t="shared" si="76"/>
        <v>0</v>
      </c>
      <c r="Q401" s="117">
        <f>SUMIFS(Investors!$M:$M,Investors!$O:$O,FALSE,Investors!$P:$P,FALSE,Investors!$K:$K,"&gt;"&amp;'NSST Print'!$B$3,Investors!$I:$I,"&lt;="&amp;'NSST Print'!$B$3,Investors!$A:$A,'Investor Exit List'!$A401,Investors!$E:$E,'Investor Exit List'!$C401,Investors!$L:$L,'Investor Exit List'!$B401)-(SUMIFS(Investors!$M:$M,Investors!$I:$I,"&lt;="&amp;'NSST Print'!$B$3,Investors!$J:$J,"&gt;"&amp;'NSST Print'!$B$3,Investors!$A:$A,'Investor Exit List'!$A401,Investors!$E:$E,'Investor Exit List'!$C401,Investors!$L:$L,'Investor Exit List'!$B401)+SUMIFS(Investors!$M:$M,Investors!$I:$I,"&lt;="&amp;'NSST Print'!$B$3,Investors!$J:$J,"",Investors!$A:$A,'Investor Exit List'!$A401,Investors!$E:$E,'Investor Exit List'!$C401,Investors!$L:$L,'Investor Exit List'!$B401))+SUMIFS(Investors!$S:$S,Investors!$O:$O,FALSE,Investors!$P:$P,FALSE,Investors!$K:$K,"&gt;"&amp;'NSST Print'!$B$3,Investors!$I:$I,"&lt;="&amp;'NSST Print'!$B$3,Investors!$A:$A,'Investor Exit List'!$A401,Investors!$E:$E,'Investor Exit List'!$C401,Investors!$L:$L,'Investor Exit List'!$B401)-(SUMIFS(Investors!$S:$S,Investors!$I:$I,"&lt;="&amp;'NSST Print'!$B$3,Investors!$J:$J,"&gt;"&amp;'NSST Print'!$B$3,Investors!$A:$A,'Investor Exit List'!$A401,Investors!$E:$E,'Investor Exit List'!$C401,Investors!$L:$L,'Investor Exit List'!$B401)+SUMIFS(Investors!$S:$S,Investors!$I:$I,"&lt;="&amp;'NSST Print'!$B$3,Investors!$J:$J,"",Investors!$A:$A,'Investor Exit List'!$A401,Investors!$E:$E,'Investor Exit List'!$C401,Investors!$L:$L,'Investor Exit List'!$B401))</f>
        <v>479397.76360958896</v>
      </c>
      <c r="R401" s="117">
        <f t="shared" si="77"/>
        <v>0</v>
      </c>
      <c r="S401" s="117">
        <f>SUMIFS(Investors!$M:$M,Investors!$O:$O,TRUE,Investors!$A:$A,'Investor Exit List'!$A401,Investors!$E:$E,'Investor Exit List'!$C401,Investors!$L:$L,'Investor Exit List'!$B401)+SUMIFS(Investors!$S:$S,Investors!$O:$O,TRUE,Investors!$A:$A,'Investor Exit List'!$A401,Investors!$E:$E,'Investor Exit List'!$C401,Investors!$L:$L,'Investor Exit List'!$B401)</f>
        <v>0</v>
      </c>
      <c r="T401" s="118" t="str">
        <f t="shared" si="78"/>
        <v/>
      </c>
      <c r="U401" s="116" t="b">
        <v>0</v>
      </c>
      <c r="V401" s="117">
        <f t="shared" si="79"/>
        <v>0</v>
      </c>
      <c r="W401" s="116">
        <v>0</v>
      </c>
      <c r="X401" s="116" t="b">
        <v>0</v>
      </c>
      <c r="Y401" s="119">
        <f>IF(H401=FALSE,VLOOKUP($C401,Sales!$C:$F,4,FALSE),1)</f>
        <v>0</v>
      </c>
      <c r="Z401" s="116" t="str">
        <f t="shared" si="80"/>
        <v>Release</v>
      </c>
      <c r="AA401" s="118">
        <f t="shared" si="81"/>
        <v>45710</v>
      </c>
      <c r="AB401" s="118" t="str">
        <f t="shared" si="82"/>
        <v>HVK302-ZBEL01</v>
      </c>
      <c r="AC401" s="118">
        <f t="shared" si="83"/>
        <v>45716</v>
      </c>
    </row>
    <row r="402" spans="1:29" ht="16" x14ac:dyDescent="0.2">
      <c r="A402" s="116" t="s">
        <v>52</v>
      </c>
      <c r="B402" s="116">
        <v>8</v>
      </c>
      <c r="C402" s="116" t="s">
        <v>763</v>
      </c>
      <c r="D402" s="116" t="s">
        <v>750</v>
      </c>
      <c r="E402" s="116" t="s">
        <v>2017</v>
      </c>
      <c r="F402" s="117">
        <f>SUMIFS(Investors!$M:$M,Investors!$O:$O,FALSE,Investors!$P:$P,FALSE,Investors!$K:$K,"&gt;"&amp;'NSST Print'!$B$3,Investors!$I:$I,"&lt;="&amp;'NSST Print'!$B$3,Investors!$A:$A,'Investor Exit List'!$A402,Investors!$E:$E,'Investor Exit List'!$C402,Investors!$L:$L,'Investor Exit List'!$B402)-(SUMIFS(Investors!$M:$M,Investors!$I:$I,"&lt;="&amp;'NSST Print'!$B$3,Investors!$J:$J,"&gt;"&amp;'NSST Print'!$B$3,Investors!$A:$A,'Investor Exit List'!$A402,Investors!$E:$E,'Investor Exit List'!$C402,Investors!$L:$L,'Investor Exit List'!$B402)+SUMIFS(Investors!$M:$M,Investors!$I:$I,"&lt;="&amp;'NSST Print'!$B$3,Investors!$J:$J,"",Investors!$A:$A,'Investor Exit List'!$A402,Investors!$E:$E,'Investor Exit List'!$C402,Investors!$L:$L,'Investor Exit List'!$B402))</f>
        <v>110000</v>
      </c>
      <c r="G402" s="118">
        <v>44995</v>
      </c>
      <c r="H402" s="116" t="b">
        <f>VLOOKUP($C402,Sales!$C:$E,2,FALSE)</f>
        <v>0</v>
      </c>
      <c r="I402" s="116" t="b">
        <f>VLOOKUP($C402,Sales!$C:$E,3,FALSE)</f>
        <v>0</v>
      </c>
      <c r="J402" s="118">
        <f>SUMIFS(Sales!$H:$H,Sales!$C:$C,'Investor Exit List'!$C402)</f>
        <v>45625</v>
      </c>
      <c r="K402" s="118" t="str">
        <f t="shared" si="72"/>
        <v/>
      </c>
      <c r="L402" s="118">
        <f t="shared" si="73"/>
        <v>45725</v>
      </c>
      <c r="M402" s="118">
        <v>45443</v>
      </c>
      <c r="N402" s="119">
        <f t="shared" si="74"/>
        <v>282</v>
      </c>
      <c r="O402" s="119">
        <f t="shared" si="75"/>
        <v>0</v>
      </c>
      <c r="P402" s="117">
        <f t="shared" si="76"/>
        <v>0</v>
      </c>
      <c r="Q402" s="117">
        <f>SUMIFS(Investors!$M:$M,Investors!$O:$O,FALSE,Investors!$P:$P,FALSE,Investors!$K:$K,"&gt;"&amp;'NSST Print'!$B$3,Investors!$I:$I,"&lt;="&amp;'NSST Print'!$B$3,Investors!$A:$A,'Investor Exit List'!$A402,Investors!$E:$E,'Investor Exit List'!$C402,Investors!$L:$L,'Investor Exit List'!$B402)-(SUMIFS(Investors!$M:$M,Investors!$I:$I,"&lt;="&amp;'NSST Print'!$B$3,Investors!$J:$J,"&gt;"&amp;'NSST Print'!$B$3,Investors!$A:$A,'Investor Exit List'!$A402,Investors!$E:$E,'Investor Exit List'!$C402,Investors!$L:$L,'Investor Exit List'!$B402)+SUMIFS(Investors!$M:$M,Investors!$I:$I,"&lt;="&amp;'NSST Print'!$B$3,Investors!$J:$J,"",Investors!$A:$A,'Investor Exit List'!$A402,Investors!$E:$E,'Investor Exit List'!$C402,Investors!$L:$L,'Investor Exit List'!$B402))+SUMIFS(Investors!$S:$S,Investors!$O:$O,FALSE,Investors!$P:$P,FALSE,Investors!$K:$K,"&gt;"&amp;'NSST Print'!$B$3,Investors!$I:$I,"&lt;="&amp;'NSST Print'!$B$3,Investors!$A:$A,'Investor Exit List'!$A402,Investors!$E:$E,'Investor Exit List'!$C402,Investors!$L:$L,'Investor Exit List'!$B402)-(SUMIFS(Investors!$S:$S,Investors!$I:$I,"&lt;="&amp;'NSST Print'!$B$3,Investors!$J:$J,"&gt;"&amp;'NSST Print'!$B$3,Investors!$A:$A,'Investor Exit List'!$A402,Investors!$E:$E,'Investor Exit List'!$C402,Investors!$L:$L,'Investor Exit List'!$B402)+SUMIFS(Investors!$S:$S,Investors!$I:$I,"&lt;="&amp;'NSST Print'!$B$3,Investors!$J:$J,"",Investors!$A:$A,'Investor Exit List'!$A402,Investors!$E:$E,'Investor Exit List'!$C402,Investors!$L:$L,'Investor Exit List'!$B402))</f>
        <v>146296.98630136985</v>
      </c>
      <c r="R402" s="117">
        <f t="shared" si="77"/>
        <v>0</v>
      </c>
      <c r="S402" s="117">
        <f>SUMIFS(Investors!$M:$M,Investors!$O:$O,TRUE,Investors!$A:$A,'Investor Exit List'!$A402,Investors!$E:$E,'Investor Exit List'!$C402,Investors!$L:$L,'Investor Exit List'!$B402)+SUMIFS(Investors!$S:$S,Investors!$O:$O,TRUE,Investors!$A:$A,'Investor Exit List'!$A402,Investors!$E:$E,'Investor Exit List'!$C402,Investors!$L:$L,'Investor Exit List'!$B402)</f>
        <v>0</v>
      </c>
      <c r="T402" s="118" t="str">
        <f t="shared" si="78"/>
        <v/>
      </c>
      <c r="U402" s="116" t="b">
        <v>0</v>
      </c>
      <c r="V402" s="117">
        <f t="shared" si="79"/>
        <v>0</v>
      </c>
      <c r="W402" s="116">
        <v>0</v>
      </c>
      <c r="X402" s="116" t="b">
        <v>0</v>
      </c>
      <c r="Y402" s="119">
        <f>IF(H402=FALSE,VLOOKUP($C402,Sales!$C:$F,4,FALSE),1)</f>
        <v>0</v>
      </c>
      <c r="Z402" s="116" t="str">
        <f t="shared" si="80"/>
        <v>Release</v>
      </c>
      <c r="AA402" s="118">
        <f t="shared" si="81"/>
        <v>45710</v>
      </c>
      <c r="AB402" s="118" t="str">
        <f t="shared" si="82"/>
        <v>HVK302-ZCRO01</v>
      </c>
      <c r="AC402" s="118">
        <f t="shared" si="83"/>
        <v>45725</v>
      </c>
    </row>
    <row r="403" spans="1:29" ht="16" x14ac:dyDescent="0.2">
      <c r="A403" s="116" t="s">
        <v>69</v>
      </c>
      <c r="B403" s="116">
        <v>6</v>
      </c>
      <c r="C403" s="116" t="s">
        <v>763</v>
      </c>
      <c r="D403" s="116" t="s">
        <v>750</v>
      </c>
      <c r="E403" s="116" t="s">
        <v>2022</v>
      </c>
      <c r="F403" s="117">
        <f>SUMIFS(Investors!$M:$M,Investors!$O:$O,FALSE,Investors!$P:$P,FALSE,Investors!$K:$K,"&gt;"&amp;'NSST Print'!$B$3,Investors!$I:$I,"&lt;="&amp;'NSST Print'!$B$3,Investors!$A:$A,'Investor Exit List'!$A403,Investors!$E:$E,'Investor Exit List'!$C403,Investors!$L:$L,'Investor Exit List'!$B403)-(SUMIFS(Investors!$M:$M,Investors!$I:$I,"&lt;="&amp;'NSST Print'!$B$3,Investors!$J:$J,"&gt;"&amp;'NSST Print'!$B$3,Investors!$A:$A,'Investor Exit List'!$A403,Investors!$E:$E,'Investor Exit List'!$C403,Investors!$L:$L,'Investor Exit List'!$B403)+SUMIFS(Investors!$M:$M,Investors!$I:$I,"&lt;="&amp;'NSST Print'!$B$3,Investors!$J:$J,"",Investors!$A:$A,'Investor Exit List'!$A403,Investors!$E:$E,'Investor Exit List'!$C403,Investors!$L:$L,'Investor Exit List'!$B403))</f>
        <v>110000</v>
      </c>
      <c r="G403" s="118">
        <v>44995</v>
      </c>
      <c r="H403" s="116" t="b">
        <f>VLOOKUP($C403,Sales!$C:$E,2,FALSE)</f>
        <v>0</v>
      </c>
      <c r="I403" s="116" t="b">
        <f>VLOOKUP($C403,Sales!$C:$E,3,FALSE)</f>
        <v>0</v>
      </c>
      <c r="J403" s="118">
        <f>SUMIFS(Sales!$H:$H,Sales!$C:$C,'Investor Exit List'!$C403)</f>
        <v>45625</v>
      </c>
      <c r="K403" s="118" t="str">
        <f t="shared" si="72"/>
        <v/>
      </c>
      <c r="L403" s="118">
        <f t="shared" si="73"/>
        <v>45725</v>
      </c>
      <c r="M403" s="118">
        <v>45443</v>
      </c>
      <c r="N403" s="119">
        <f t="shared" si="74"/>
        <v>282</v>
      </c>
      <c r="O403" s="119">
        <f t="shared" si="75"/>
        <v>0</v>
      </c>
      <c r="P403" s="117">
        <f t="shared" si="76"/>
        <v>0</v>
      </c>
      <c r="Q403" s="117">
        <f>SUMIFS(Investors!$M:$M,Investors!$O:$O,FALSE,Investors!$P:$P,FALSE,Investors!$K:$K,"&gt;"&amp;'NSST Print'!$B$3,Investors!$I:$I,"&lt;="&amp;'NSST Print'!$B$3,Investors!$A:$A,'Investor Exit List'!$A403,Investors!$E:$E,'Investor Exit List'!$C403,Investors!$L:$L,'Investor Exit List'!$B403)-(SUMIFS(Investors!$M:$M,Investors!$I:$I,"&lt;="&amp;'NSST Print'!$B$3,Investors!$J:$J,"&gt;"&amp;'NSST Print'!$B$3,Investors!$A:$A,'Investor Exit List'!$A403,Investors!$E:$E,'Investor Exit List'!$C403,Investors!$L:$L,'Investor Exit List'!$B403)+SUMIFS(Investors!$M:$M,Investors!$I:$I,"&lt;="&amp;'NSST Print'!$B$3,Investors!$J:$J,"",Investors!$A:$A,'Investor Exit List'!$A403,Investors!$E:$E,'Investor Exit List'!$C403,Investors!$L:$L,'Investor Exit List'!$B403))+SUMIFS(Investors!$S:$S,Investors!$O:$O,FALSE,Investors!$P:$P,FALSE,Investors!$K:$K,"&gt;"&amp;'NSST Print'!$B$3,Investors!$I:$I,"&lt;="&amp;'NSST Print'!$B$3,Investors!$A:$A,'Investor Exit List'!$A403,Investors!$E:$E,'Investor Exit List'!$C403,Investors!$L:$L,'Investor Exit List'!$B403)-(SUMIFS(Investors!$S:$S,Investors!$I:$I,"&lt;="&amp;'NSST Print'!$B$3,Investors!$J:$J,"&gt;"&amp;'NSST Print'!$B$3,Investors!$A:$A,'Investor Exit List'!$A403,Investors!$E:$E,'Investor Exit List'!$C403,Investors!$L:$L,'Investor Exit List'!$B403)+SUMIFS(Investors!$S:$S,Investors!$I:$I,"&lt;="&amp;'NSST Print'!$B$3,Investors!$J:$J,"",Investors!$A:$A,'Investor Exit List'!$A403,Investors!$E:$E,'Investor Exit List'!$C403,Investors!$L:$L,'Investor Exit List'!$B403))</f>
        <v>146296.98630136985</v>
      </c>
      <c r="R403" s="117">
        <f t="shared" si="77"/>
        <v>0</v>
      </c>
      <c r="S403" s="117">
        <f>SUMIFS(Investors!$M:$M,Investors!$O:$O,TRUE,Investors!$A:$A,'Investor Exit List'!$A403,Investors!$E:$E,'Investor Exit List'!$C403,Investors!$L:$L,'Investor Exit List'!$B403)+SUMIFS(Investors!$S:$S,Investors!$O:$O,TRUE,Investors!$A:$A,'Investor Exit List'!$A403,Investors!$E:$E,'Investor Exit List'!$C403,Investors!$L:$L,'Investor Exit List'!$B403)</f>
        <v>0</v>
      </c>
      <c r="T403" s="118" t="str">
        <f t="shared" si="78"/>
        <v/>
      </c>
      <c r="U403" s="116" t="b">
        <v>0</v>
      </c>
      <c r="V403" s="117">
        <f t="shared" si="79"/>
        <v>0</v>
      </c>
      <c r="W403" s="116">
        <v>0</v>
      </c>
      <c r="X403" s="116" t="b">
        <v>0</v>
      </c>
      <c r="Y403" s="119">
        <f>IF(H403=FALSE,VLOOKUP($C403,Sales!$C:$F,4,FALSE),1)</f>
        <v>0</v>
      </c>
      <c r="Z403" s="116" t="str">
        <f t="shared" si="80"/>
        <v>Release</v>
      </c>
      <c r="AA403" s="118">
        <f t="shared" si="81"/>
        <v>45710</v>
      </c>
      <c r="AB403" s="118" t="str">
        <f t="shared" si="82"/>
        <v>HVK302-ZJOH01</v>
      </c>
      <c r="AC403" s="118">
        <f t="shared" si="83"/>
        <v>45725</v>
      </c>
    </row>
    <row r="404" spans="1:29" ht="16" x14ac:dyDescent="0.2">
      <c r="A404" s="116" t="s">
        <v>92</v>
      </c>
      <c r="B404" s="116">
        <v>9</v>
      </c>
      <c r="C404" s="116" t="s">
        <v>763</v>
      </c>
      <c r="D404" s="116" t="s">
        <v>750</v>
      </c>
      <c r="E404" s="116" t="s">
        <v>2029</v>
      </c>
      <c r="F404" s="117">
        <f>SUMIFS(Investors!$M:$M,Investors!$O:$O,FALSE,Investors!$P:$P,FALSE,Investors!$K:$K,"&gt;"&amp;'NSST Print'!$B$3,Investors!$I:$I,"&lt;="&amp;'NSST Print'!$B$3,Investors!$A:$A,'Investor Exit List'!$A404,Investors!$E:$E,'Investor Exit List'!$C404,Investors!$L:$L,'Investor Exit List'!$B404)-(SUMIFS(Investors!$M:$M,Investors!$I:$I,"&lt;="&amp;'NSST Print'!$B$3,Investors!$J:$J,"&gt;"&amp;'NSST Print'!$B$3,Investors!$A:$A,'Investor Exit List'!$A404,Investors!$E:$E,'Investor Exit List'!$C404,Investors!$L:$L,'Investor Exit List'!$B404)+SUMIFS(Investors!$M:$M,Investors!$I:$I,"&lt;="&amp;'NSST Print'!$B$3,Investors!$J:$J,"",Investors!$A:$A,'Investor Exit List'!$A404,Investors!$E:$E,'Investor Exit List'!$C404,Investors!$L:$L,'Investor Exit List'!$B404))</f>
        <v>400000</v>
      </c>
      <c r="G404" s="118">
        <v>44980</v>
      </c>
      <c r="H404" s="116" t="b">
        <f>VLOOKUP($C404,Sales!$C:$E,2,FALSE)</f>
        <v>0</v>
      </c>
      <c r="I404" s="116" t="b">
        <f>VLOOKUP($C404,Sales!$C:$E,3,FALSE)</f>
        <v>0</v>
      </c>
      <c r="J404" s="118">
        <f>SUMIFS(Sales!$H:$H,Sales!$C:$C,'Investor Exit List'!$C404)</f>
        <v>45625</v>
      </c>
      <c r="K404" s="118" t="str">
        <f t="shared" si="72"/>
        <v/>
      </c>
      <c r="L404" s="118">
        <f t="shared" si="73"/>
        <v>45710</v>
      </c>
      <c r="M404" s="118">
        <v>45443</v>
      </c>
      <c r="N404" s="119">
        <f t="shared" si="74"/>
        <v>267</v>
      </c>
      <c r="O404" s="119">
        <f t="shared" si="75"/>
        <v>0</v>
      </c>
      <c r="P404" s="117">
        <f t="shared" si="76"/>
        <v>0</v>
      </c>
      <c r="Q404" s="117">
        <f>SUMIFS(Investors!$M:$M,Investors!$O:$O,FALSE,Investors!$P:$P,FALSE,Investors!$K:$K,"&gt;"&amp;'NSST Print'!$B$3,Investors!$I:$I,"&lt;="&amp;'NSST Print'!$B$3,Investors!$A:$A,'Investor Exit List'!$A404,Investors!$E:$E,'Investor Exit List'!$C404,Investors!$L:$L,'Investor Exit List'!$B404)-(SUMIFS(Investors!$M:$M,Investors!$I:$I,"&lt;="&amp;'NSST Print'!$B$3,Investors!$J:$J,"&gt;"&amp;'NSST Print'!$B$3,Investors!$A:$A,'Investor Exit List'!$A404,Investors!$E:$E,'Investor Exit List'!$C404,Investors!$L:$L,'Investor Exit List'!$B404)+SUMIFS(Investors!$M:$M,Investors!$I:$I,"&lt;="&amp;'NSST Print'!$B$3,Investors!$J:$J,"",Investors!$A:$A,'Investor Exit List'!$A404,Investors!$E:$E,'Investor Exit List'!$C404,Investors!$L:$L,'Investor Exit List'!$B404))+SUMIFS(Investors!$S:$S,Investors!$O:$O,FALSE,Investors!$P:$P,FALSE,Investors!$K:$K,"&gt;"&amp;'NSST Print'!$B$3,Investors!$I:$I,"&lt;="&amp;'NSST Print'!$B$3,Investors!$A:$A,'Investor Exit List'!$A404,Investors!$E:$E,'Investor Exit List'!$C404,Investors!$L:$L,'Investor Exit List'!$B404)-(SUMIFS(Investors!$S:$S,Investors!$I:$I,"&lt;="&amp;'NSST Print'!$B$3,Investors!$J:$J,"&gt;"&amp;'NSST Print'!$B$3,Investors!$A:$A,'Investor Exit List'!$A404,Investors!$E:$E,'Investor Exit List'!$C404,Investors!$L:$L,'Investor Exit List'!$B404)+SUMIFS(Investors!$S:$S,Investors!$I:$I,"&lt;="&amp;'NSST Print'!$B$3,Investors!$J:$J,"",Investors!$A:$A,'Investor Exit List'!$A404,Investors!$E:$E,'Investor Exit List'!$C404,Investors!$L:$L,'Investor Exit List'!$B404))</f>
        <v>533304.10958904109</v>
      </c>
      <c r="R404" s="117">
        <f t="shared" si="77"/>
        <v>0</v>
      </c>
      <c r="S404" s="117">
        <f>SUMIFS(Investors!$M:$M,Investors!$O:$O,TRUE,Investors!$A:$A,'Investor Exit List'!$A404,Investors!$E:$E,'Investor Exit List'!$C404,Investors!$L:$L,'Investor Exit List'!$B404)+SUMIFS(Investors!$S:$S,Investors!$O:$O,TRUE,Investors!$A:$A,'Investor Exit List'!$A404,Investors!$E:$E,'Investor Exit List'!$C404,Investors!$L:$L,'Investor Exit List'!$B404)</f>
        <v>0</v>
      </c>
      <c r="T404" s="118" t="str">
        <f t="shared" si="78"/>
        <v/>
      </c>
      <c r="U404" s="116" t="b">
        <v>0</v>
      </c>
      <c r="V404" s="117">
        <f t="shared" si="79"/>
        <v>0</v>
      </c>
      <c r="W404" s="116">
        <v>0</v>
      </c>
      <c r="X404" s="116" t="b">
        <v>0</v>
      </c>
      <c r="Y404" s="119">
        <f>IF(H404=FALSE,VLOOKUP($C404,Sales!$C:$F,4,FALSE),1)</f>
        <v>0</v>
      </c>
      <c r="Z404" s="116" t="str">
        <f t="shared" si="80"/>
        <v>Release</v>
      </c>
      <c r="AA404" s="118">
        <f t="shared" si="81"/>
        <v>45710</v>
      </c>
      <c r="AB404" s="118" t="str">
        <f t="shared" si="82"/>
        <v>HVK302-ZLEW01</v>
      </c>
      <c r="AC404" s="118">
        <f t="shared" si="83"/>
        <v>45710</v>
      </c>
    </row>
    <row r="405" spans="1:29" ht="16" x14ac:dyDescent="0.2">
      <c r="A405" s="116" t="s">
        <v>95</v>
      </c>
      <c r="B405" s="116">
        <v>3</v>
      </c>
      <c r="C405" s="116" t="s">
        <v>763</v>
      </c>
      <c r="D405" s="116" t="s">
        <v>750</v>
      </c>
      <c r="E405" s="116" t="s">
        <v>2030</v>
      </c>
      <c r="F405" s="117">
        <f>SUMIFS(Investors!$M:$M,Investors!$O:$O,FALSE,Investors!$P:$P,FALSE,Investors!$K:$K,"&gt;"&amp;'NSST Print'!$B$3,Investors!$I:$I,"&lt;="&amp;'NSST Print'!$B$3,Investors!$A:$A,'Investor Exit List'!$A405,Investors!$E:$E,'Investor Exit List'!$C405,Investors!$L:$L,'Investor Exit List'!$B405)-(SUMIFS(Investors!$M:$M,Investors!$I:$I,"&lt;="&amp;'NSST Print'!$B$3,Investors!$J:$J,"&gt;"&amp;'NSST Print'!$B$3,Investors!$A:$A,'Investor Exit List'!$A405,Investors!$E:$E,'Investor Exit List'!$C405,Investors!$L:$L,'Investor Exit List'!$B405)+SUMIFS(Investors!$M:$M,Investors!$I:$I,"&lt;="&amp;'NSST Print'!$B$3,Investors!$J:$J,"",Investors!$A:$A,'Investor Exit List'!$A405,Investors!$E:$E,'Investor Exit List'!$C405,Investors!$L:$L,'Investor Exit List'!$B405))</f>
        <v>100000</v>
      </c>
      <c r="G405" s="118">
        <v>44980</v>
      </c>
      <c r="H405" s="116" t="b">
        <f>VLOOKUP($C405,Sales!$C:$E,2,FALSE)</f>
        <v>0</v>
      </c>
      <c r="I405" s="116" t="b">
        <f>VLOOKUP($C405,Sales!$C:$E,3,FALSE)</f>
        <v>0</v>
      </c>
      <c r="J405" s="118">
        <f>SUMIFS(Sales!$H:$H,Sales!$C:$C,'Investor Exit List'!$C405)</f>
        <v>45625</v>
      </c>
      <c r="K405" s="118" t="str">
        <f t="shared" si="72"/>
        <v/>
      </c>
      <c r="L405" s="118">
        <f t="shared" si="73"/>
        <v>45710</v>
      </c>
      <c r="M405" s="118">
        <v>45443</v>
      </c>
      <c r="N405" s="119">
        <f t="shared" si="74"/>
        <v>267</v>
      </c>
      <c r="O405" s="119">
        <f t="shared" si="75"/>
        <v>0</v>
      </c>
      <c r="P405" s="117">
        <f t="shared" si="76"/>
        <v>0</v>
      </c>
      <c r="Q405" s="117">
        <f>SUMIFS(Investors!$M:$M,Investors!$O:$O,FALSE,Investors!$P:$P,FALSE,Investors!$K:$K,"&gt;"&amp;'NSST Print'!$B$3,Investors!$I:$I,"&lt;="&amp;'NSST Print'!$B$3,Investors!$A:$A,'Investor Exit List'!$A405,Investors!$E:$E,'Investor Exit List'!$C405,Investors!$L:$L,'Investor Exit List'!$B405)-(SUMIFS(Investors!$M:$M,Investors!$I:$I,"&lt;="&amp;'NSST Print'!$B$3,Investors!$J:$J,"&gt;"&amp;'NSST Print'!$B$3,Investors!$A:$A,'Investor Exit List'!$A405,Investors!$E:$E,'Investor Exit List'!$C405,Investors!$L:$L,'Investor Exit List'!$B405)+SUMIFS(Investors!$M:$M,Investors!$I:$I,"&lt;="&amp;'NSST Print'!$B$3,Investors!$J:$J,"",Investors!$A:$A,'Investor Exit List'!$A405,Investors!$E:$E,'Investor Exit List'!$C405,Investors!$L:$L,'Investor Exit List'!$B405))+SUMIFS(Investors!$S:$S,Investors!$O:$O,FALSE,Investors!$P:$P,FALSE,Investors!$K:$K,"&gt;"&amp;'NSST Print'!$B$3,Investors!$I:$I,"&lt;="&amp;'NSST Print'!$B$3,Investors!$A:$A,'Investor Exit List'!$A405,Investors!$E:$E,'Investor Exit List'!$C405,Investors!$L:$L,'Investor Exit List'!$B405)-(SUMIFS(Investors!$S:$S,Investors!$I:$I,"&lt;="&amp;'NSST Print'!$B$3,Investors!$J:$J,"&gt;"&amp;'NSST Print'!$B$3,Investors!$A:$A,'Investor Exit List'!$A405,Investors!$E:$E,'Investor Exit List'!$C405,Investors!$L:$L,'Investor Exit List'!$B405)+SUMIFS(Investors!$S:$S,Investors!$I:$I,"&lt;="&amp;'NSST Print'!$B$3,Investors!$J:$J,"",Investors!$A:$A,'Investor Exit List'!$A405,Investors!$E:$E,'Investor Exit List'!$C405,Investors!$L:$L,'Investor Exit List'!$B405))</f>
        <v>126505.47945205479</v>
      </c>
      <c r="R405" s="117">
        <f t="shared" si="77"/>
        <v>0</v>
      </c>
      <c r="S405" s="117">
        <f>SUMIFS(Investors!$M:$M,Investors!$O:$O,TRUE,Investors!$A:$A,'Investor Exit List'!$A405,Investors!$E:$E,'Investor Exit List'!$C405,Investors!$L:$L,'Investor Exit List'!$B405)+SUMIFS(Investors!$S:$S,Investors!$O:$O,TRUE,Investors!$A:$A,'Investor Exit List'!$A405,Investors!$E:$E,'Investor Exit List'!$C405,Investors!$L:$L,'Investor Exit List'!$B405)</f>
        <v>0</v>
      </c>
      <c r="T405" s="118" t="str">
        <f t="shared" si="78"/>
        <v/>
      </c>
      <c r="U405" s="116" t="b">
        <v>0</v>
      </c>
      <c r="V405" s="117">
        <f t="shared" si="79"/>
        <v>0</v>
      </c>
      <c r="W405" s="116">
        <v>0</v>
      </c>
      <c r="X405" s="116" t="b">
        <v>0</v>
      </c>
      <c r="Y405" s="119">
        <f>IF(H405=FALSE,VLOOKUP($C405,Sales!$C:$F,4,FALSE),1)</f>
        <v>0</v>
      </c>
      <c r="Z405" s="116" t="str">
        <f t="shared" si="80"/>
        <v>Release</v>
      </c>
      <c r="AA405" s="118">
        <f t="shared" si="81"/>
        <v>45710</v>
      </c>
      <c r="AB405" s="118" t="str">
        <f t="shared" si="82"/>
        <v>HVK302-ZMAR01</v>
      </c>
      <c r="AC405" s="118">
        <f t="shared" si="83"/>
        <v>45710</v>
      </c>
    </row>
    <row r="406" spans="1:29" ht="16" x14ac:dyDescent="0.2">
      <c r="A406" s="116" t="s">
        <v>52</v>
      </c>
      <c r="B406" s="116">
        <v>9</v>
      </c>
      <c r="C406" s="116" t="s">
        <v>764</v>
      </c>
      <c r="D406" s="116" t="s">
        <v>750</v>
      </c>
      <c r="E406" s="116" t="s">
        <v>2017</v>
      </c>
      <c r="F406" s="117">
        <f>SUMIFS(Investors!$M:$M,Investors!$O:$O,FALSE,Investors!$P:$P,FALSE,Investors!$K:$K,"&gt;"&amp;'NSST Print'!$B$3,Investors!$I:$I,"&lt;="&amp;'NSST Print'!$B$3,Investors!$A:$A,'Investor Exit List'!$A406,Investors!$E:$E,'Investor Exit List'!$C406,Investors!$L:$L,'Investor Exit List'!$B406)-(SUMIFS(Investors!$M:$M,Investors!$I:$I,"&lt;="&amp;'NSST Print'!$B$3,Investors!$J:$J,"&gt;"&amp;'NSST Print'!$B$3,Investors!$A:$A,'Investor Exit List'!$A406,Investors!$E:$E,'Investor Exit List'!$C406,Investors!$L:$L,'Investor Exit List'!$B406)+SUMIFS(Investors!$M:$M,Investors!$I:$I,"&lt;="&amp;'NSST Print'!$B$3,Investors!$J:$J,"",Investors!$A:$A,'Investor Exit List'!$A406,Investors!$E:$E,'Investor Exit List'!$C406,Investors!$L:$L,'Investor Exit List'!$B406))</f>
        <v>120000</v>
      </c>
      <c r="G406" s="118">
        <v>44995</v>
      </c>
      <c r="H406" s="116" t="b">
        <f>VLOOKUP($C406,Sales!$C:$E,2,FALSE)</f>
        <v>0</v>
      </c>
      <c r="I406" s="116" t="b">
        <f>VLOOKUP($C406,Sales!$C:$E,3,FALSE)</f>
        <v>0</v>
      </c>
      <c r="J406" s="118">
        <f>SUMIFS(Sales!$H:$H,Sales!$C:$C,'Investor Exit List'!$C406)</f>
        <v>45625</v>
      </c>
      <c r="K406" s="118" t="str">
        <f t="shared" si="72"/>
        <v/>
      </c>
      <c r="L406" s="118">
        <f t="shared" si="73"/>
        <v>45725</v>
      </c>
      <c r="M406" s="118">
        <v>45443</v>
      </c>
      <c r="N406" s="119">
        <f t="shared" si="74"/>
        <v>282</v>
      </c>
      <c r="O406" s="119">
        <f t="shared" si="75"/>
        <v>0</v>
      </c>
      <c r="P406" s="117">
        <f t="shared" si="76"/>
        <v>0</v>
      </c>
      <c r="Q406" s="117">
        <f>SUMIFS(Investors!$M:$M,Investors!$O:$O,FALSE,Investors!$P:$P,FALSE,Investors!$K:$K,"&gt;"&amp;'NSST Print'!$B$3,Investors!$I:$I,"&lt;="&amp;'NSST Print'!$B$3,Investors!$A:$A,'Investor Exit List'!$A406,Investors!$E:$E,'Investor Exit List'!$C406,Investors!$L:$L,'Investor Exit List'!$B406)-(SUMIFS(Investors!$M:$M,Investors!$I:$I,"&lt;="&amp;'NSST Print'!$B$3,Investors!$J:$J,"&gt;"&amp;'NSST Print'!$B$3,Investors!$A:$A,'Investor Exit List'!$A406,Investors!$E:$E,'Investor Exit List'!$C406,Investors!$L:$L,'Investor Exit List'!$B406)+SUMIFS(Investors!$M:$M,Investors!$I:$I,"&lt;="&amp;'NSST Print'!$B$3,Investors!$J:$J,"",Investors!$A:$A,'Investor Exit List'!$A406,Investors!$E:$E,'Investor Exit List'!$C406,Investors!$L:$L,'Investor Exit List'!$B406))+SUMIFS(Investors!$S:$S,Investors!$O:$O,FALSE,Investors!$P:$P,FALSE,Investors!$K:$K,"&gt;"&amp;'NSST Print'!$B$3,Investors!$I:$I,"&lt;="&amp;'NSST Print'!$B$3,Investors!$A:$A,'Investor Exit List'!$A406,Investors!$E:$E,'Investor Exit List'!$C406,Investors!$L:$L,'Investor Exit List'!$B406)-(SUMIFS(Investors!$S:$S,Investors!$I:$I,"&lt;="&amp;'NSST Print'!$B$3,Investors!$J:$J,"&gt;"&amp;'NSST Print'!$B$3,Investors!$A:$A,'Investor Exit List'!$A406,Investors!$E:$E,'Investor Exit List'!$C406,Investors!$L:$L,'Investor Exit List'!$B406)+SUMIFS(Investors!$S:$S,Investors!$I:$I,"&lt;="&amp;'NSST Print'!$B$3,Investors!$J:$J,"",Investors!$A:$A,'Investor Exit List'!$A406,Investors!$E:$E,'Investor Exit List'!$C406,Investors!$L:$L,'Investor Exit List'!$B406))</f>
        <v>159951.78082191781</v>
      </c>
      <c r="R406" s="117">
        <f t="shared" si="77"/>
        <v>0</v>
      </c>
      <c r="S406" s="117">
        <f>SUMIFS(Investors!$M:$M,Investors!$O:$O,TRUE,Investors!$A:$A,'Investor Exit List'!$A406,Investors!$E:$E,'Investor Exit List'!$C406,Investors!$L:$L,'Investor Exit List'!$B406)+SUMIFS(Investors!$S:$S,Investors!$O:$O,TRUE,Investors!$A:$A,'Investor Exit List'!$A406,Investors!$E:$E,'Investor Exit List'!$C406,Investors!$L:$L,'Investor Exit List'!$B406)</f>
        <v>0</v>
      </c>
      <c r="T406" s="118" t="str">
        <f t="shared" si="78"/>
        <v/>
      </c>
      <c r="U406" s="116" t="b">
        <v>0</v>
      </c>
      <c r="V406" s="117">
        <f t="shared" si="79"/>
        <v>0</v>
      </c>
      <c r="W406" s="116">
        <v>0</v>
      </c>
      <c r="X406" s="116" t="b">
        <v>0</v>
      </c>
      <c r="Y406" s="119">
        <f>IF(H406=FALSE,VLOOKUP($C406,Sales!$C:$F,4,FALSE),1)</f>
        <v>0</v>
      </c>
      <c r="Z406" s="116" t="str">
        <f t="shared" si="80"/>
        <v>Release</v>
      </c>
      <c r="AA406" s="118">
        <f t="shared" si="81"/>
        <v>45710</v>
      </c>
      <c r="AB406" s="118" t="str">
        <f t="shared" si="82"/>
        <v>HVK303-ZCRO01</v>
      </c>
      <c r="AC406" s="118">
        <f t="shared" si="83"/>
        <v>45725</v>
      </c>
    </row>
    <row r="407" spans="1:29" ht="16" x14ac:dyDescent="0.2">
      <c r="A407" s="116" t="s">
        <v>78</v>
      </c>
      <c r="B407" s="116">
        <v>3</v>
      </c>
      <c r="C407" s="116" t="s">
        <v>764</v>
      </c>
      <c r="D407" s="116" t="s">
        <v>750</v>
      </c>
      <c r="E407" s="116" t="s">
        <v>2025</v>
      </c>
      <c r="F407" s="117">
        <f>SUMIFS(Investors!$M:$M,Investors!$O:$O,FALSE,Investors!$P:$P,FALSE,Investors!$K:$K,"&gt;"&amp;'NSST Print'!$B$3,Investors!$I:$I,"&lt;="&amp;'NSST Print'!$B$3,Investors!$A:$A,'Investor Exit List'!$A407,Investors!$E:$E,'Investor Exit List'!$C407,Investors!$L:$L,'Investor Exit List'!$B407)-(SUMIFS(Investors!$M:$M,Investors!$I:$I,"&lt;="&amp;'NSST Print'!$B$3,Investors!$J:$J,"&gt;"&amp;'NSST Print'!$B$3,Investors!$A:$A,'Investor Exit List'!$A407,Investors!$E:$E,'Investor Exit List'!$C407,Investors!$L:$L,'Investor Exit List'!$B407)+SUMIFS(Investors!$M:$M,Investors!$I:$I,"&lt;="&amp;'NSST Print'!$B$3,Investors!$J:$J,"",Investors!$A:$A,'Investor Exit List'!$A407,Investors!$E:$E,'Investor Exit List'!$C407,Investors!$L:$L,'Investor Exit List'!$B407))</f>
        <v>637482.88</v>
      </c>
      <c r="G407" s="118">
        <v>45016</v>
      </c>
      <c r="H407" s="116" t="b">
        <f>VLOOKUP($C407,Sales!$C:$E,2,FALSE)</f>
        <v>0</v>
      </c>
      <c r="I407" s="116" t="b">
        <f>VLOOKUP($C407,Sales!$C:$E,3,FALSE)</f>
        <v>0</v>
      </c>
      <c r="J407" s="118">
        <f>SUMIFS(Sales!$H:$H,Sales!$C:$C,'Investor Exit List'!$C407)</f>
        <v>45625</v>
      </c>
      <c r="K407" s="118" t="str">
        <f t="shared" si="72"/>
        <v/>
      </c>
      <c r="L407" s="118">
        <f t="shared" si="73"/>
        <v>45746</v>
      </c>
      <c r="M407" s="118">
        <v>45443</v>
      </c>
      <c r="N407" s="119">
        <f t="shared" si="74"/>
        <v>303</v>
      </c>
      <c r="O407" s="119">
        <f t="shared" si="75"/>
        <v>0</v>
      </c>
      <c r="P407" s="117">
        <f t="shared" si="76"/>
        <v>0</v>
      </c>
      <c r="Q407" s="117">
        <f>SUMIFS(Investors!$M:$M,Investors!$O:$O,FALSE,Investors!$P:$P,FALSE,Investors!$K:$K,"&gt;"&amp;'NSST Print'!$B$3,Investors!$I:$I,"&lt;="&amp;'NSST Print'!$B$3,Investors!$A:$A,'Investor Exit List'!$A407,Investors!$E:$E,'Investor Exit List'!$C407,Investors!$L:$L,'Investor Exit List'!$B407)-(SUMIFS(Investors!$M:$M,Investors!$I:$I,"&lt;="&amp;'NSST Print'!$B$3,Investors!$J:$J,"&gt;"&amp;'NSST Print'!$B$3,Investors!$A:$A,'Investor Exit List'!$A407,Investors!$E:$E,'Investor Exit List'!$C407,Investors!$L:$L,'Investor Exit List'!$B407)+SUMIFS(Investors!$M:$M,Investors!$I:$I,"&lt;="&amp;'NSST Print'!$B$3,Investors!$J:$J,"",Investors!$A:$A,'Investor Exit List'!$A407,Investors!$E:$E,'Investor Exit List'!$C407,Investors!$L:$L,'Investor Exit List'!$B407))+SUMIFS(Investors!$S:$S,Investors!$O:$O,FALSE,Investors!$P:$P,FALSE,Investors!$K:$K,"&gt;"&amp;'NSST Print'!$B$3,Investors!$I:$I,"&lt;="&amp;'NSST Print'!$B$3,Investors!$A:$A,'Investor Exit List'!$A407,Investors!$E:$E,'Investor Exit List'!$C407,Investors!$L:$L,'Investor Exit List'!$B407)-(SUMIFS(Investors!$S:$S,Investors!$I:$I,"&lt;="&amp;'NSST Print'!$B$3,Investors!$J:$J,"&gt;"&amp;'NSST Print'!$B$3,Investors!$A:$A,'Investor Exit List'!$A407,Investors!$E:$E,'Investor Exit List'!$C407,Investors!$L:$L,'Investor Exit List'!$B407)+SUMIFS(Investors!$S:$S,Investors!$I:$I,"&lt;="&amp;'NSST Print'!$B$3,Investors!$J:$J,"",Investors!$A:$A,'Investor Exit List'!$A407,Investors!$E:$E,'Investor Exit List'!$C407,Investors!$L:$L,'Investor Exit List'!$B407))</f>
        <v>840826.8197567123</v>
      </c>
      <c r="R407" s="117">
        <f t="shared" si="77"/>
        <v>0</v>
      </c>
      <c r="S407" s="117">
        <f>SUMIFS(Investors!$M:$M,Investors!$O:$O,TRUE,Investors!$A:$A,'Investor Exit List'!$A407,Investors!$E:$E,'Investor Exit List'!$C407,Investors!$L:$L,'Investor Exit List'!$B407)+SUMIFS(Investors!$S:$S,Investors!$O:$O,TRUE,Investors!$A:$A,'Investor Exit List'!$A407,Investors!$E:$E,'Investor Exit List'!$C407,Investors!$L:$L,'Investor Exit List'!$B407)</f>
        <v>0</v>
      </c>
      <c r="T407" s="118" t="str">
        <f t="shared" si="78"/>
        <v/>
      </c>
      <c r="U407" s="116" t="b">
        <v>0</v>
      </c>
      <c r="V407" s="117">
        <f t="shared" si="79"/>
        <v>0</v>
      </c>
      <c r="W407" s="116">
        <v>0</v>
      </c>
      <c r="X407" s="116" t="b">
        <v>0</v>
      </c>
      <c r="Y407" s="119">
        <f>IF(H407=FALSE,VLOOKUP($C407,Sales!$C:$F,4,FALSE),1)</f>
        <v>0</v>
      </c>
      <c r="Z407" s="116" t="str">
        <f t="shared" si="80"/>
        <v>Release</v>
      </c>
      <c r="AA407" s="118">
        <f t="shared" si="81"/>
        <v>45710</v>
      </c>
      <c r="AB407" s="118" t="str">
        <f t="shared" si="82"/>
        <v>HVK303-ZDAD01</v>
      </c>
      <c r="AC407" s="118">
        <f t="shared" si="83"/>
        <v>45746</v>
      </c>
    </row>
    <row r="408" spans="1:29" ht="16" x14ac:dyDescent="0.2">
      <c r="A408" s="116" t="s">
        <v>89</v>
      </c>
      <c r="B408" s="116">
        <v>4</v>
      </c>
      <c r="C408" s="116" t="s">
        <v>764</v>
      </c>
      <c r="D408" s="116" t="s">
        <v>750</v>
      </c>
      <c r="E408" s="116" t="s">
        <v>2028</v>
      </c>
      <c r="F408" s="117">
        <f>SUMIFS(Investors!$M:$M,Investors!$O:$O,FALSE,Investors!$P:$P,FALSE,Investors!$K:$K,"&gt;"&amp;'NSST Print'!$B$3,Investors!$I:$I,"&lt;="&amp;'NSST Print'!$B$3,Investors!$A:$A,'Investor Exit List'!$A408,Investors!$E:$E,'Investor Exit List'!$C408,Investors!$L:$L,'Investor Exit List'!$B408)-(SUMIFS(Investors!$M:$M,Investors!$I:$I,"&lt;="&amp;'NSST Print'!$B$3,Investors!$J:$J,"&gt;"&amp;'NSST Print'!$B$3,Investors!$A:$A,'Investor Exit List'!$A408,Investors!$E:$E,'Investor Exit List'!$C408,Investors!$L:$L,'Investor Exit List'!$B408)+SUMIFS(Investors!$M:$M,Investors!$I:$I,"&lt;="&amp;'NSST Print'!$B$3,Investors!$J:$J,"",Investors!$A:$A,'Investor Exit List'!$A408,Investors!$E:$E,'Investor Exit List'!$C408,Investors!$L:$L,'Investor Exit List'!$B408))</f>
        <v>150000</v>
      </c>
      <c r="G408" s="118">
        <v>44980</v>
      </c>
      <c r="H408" s="116" t="b">
        <f>VLOOKUP($C408,Sales!$C:$E,2,FALSE)</f>
        <v>0</v>
      </c>
      <c r="I408" s="116" t="b">
        <f>VLOOKUP($C408,Sales!$C:$E,3,FALSE)</f>
        <v>0</v>
      </c>
      <c r="J408" s="118">
        <f>SUMIFS(Sales!$H:$H,Sales!$C:$C,'Investor Exit List'!$C408)</f>
        <v>45625</v>
      </c>
      <c r="K408" s="118" t="str">
        <f t="shared" si="72"/>
        <v/>
      </c>
      <c r="L408" s="118">
        <f t="shared" si="73"/>
        <v>45710</v>
      </c>
      <c r="M408" s="118">
        <v>45443</v>
      </c>
      <c r="N408" s="119">
        <f t="shared" si="74"/>
        <v>267</v>
      </c>
      <c r="O408" s="119">
        <f t="shared" si="75"/>
        <v>0</v>
      </c>
      <c r="P408" s="117">
        <f t="shared" si="76"/>
        <v>0</v>
      </c>
      <c r="Q408" s="117">
        <f>SUMIFS(Investors!$M:$M,Investors!$O:$O,FALSE,Investors!$P:$P,FALSE,Investors!$K:$K,"&gt;"&amp;'NSST Print'!$B$3,Investors!$I:$I,"&lt;="&amp;'NSST Print'!$B$3,Investors!$A:$A,'Investor Exit List'!$A408,Investors!$E:$E,'Investor Exit List'!$C408,Investors!$L:$L,'Investor Exit List'!$B408)-(SUMIFS(Investors!$M:$M,Investors!$I:$I,"&lt;="&amp;'NSST Print'!$B$3,Investors!$J:$J,"&gt;"&amp;'NSST Print'!$B$3,Investors!$A:$A,'Investor Exit List'!$A408,Investors!$E:$E,'Investor Exit List'!$C408,Investors!$L:$L,'Investor Exit List'!$B408)+SUMIFS(Investors!$M:$M,Investors!$I:$I,"&lt;="&amp;'NSST Print'!$B$3,Investors!$J:$J,"",Investors!$A:$A,'Investor Exit List'!$A408,Investors!$E:$E,'Investor Exit List'!$C408,Investors!$L:$L,'Investor Exit List'!$B408))+SUMIFS(Investors!$S:$S,Investors!$O:$O,FALSE,Investors!$P:$P,FALSE,Investors!$K:$K,"&gt;"&amp;'NSST Print'!$B$3,Investors!$I:$I,"&lt;="&amp;'NSST Print'!$B$3,Investors!$A:$A,'Investor Exit List'!$A408,Investors!$E:$E,'Investor Exit List'!$C408,Investors!$L:$L,'Investor Exit List'!$B408)-(SUMIFS(Investors!$S:$S,Investors!$I:$I,"&lt;="&amp;'NSST Print'!$B$3,Investors!$J:$J,"&gt;"&amp;'NSST Print'!$B$3,Investors!$A:$A,'Investor Exit List'!$A408,Investors!$E:$E,'Investor Exit List'!$C408,Investors!$L:$L,'Investor Exit List'!$B408)+SUMIFS(Investors!$S:$S,Investors!$I:$I,"&lt;="&amp;'NSST Print'!$B$3,Investors!$J:$J,"",Investors!$A:$A,'Investor Exit List'!$A408,Investors!$E:$E,'Investor Exit List'!$C408,Investors!$L:$L,'Investor Exit List'!$B408))</f>
        <v>189903.08219178082</v>
      </c>
      <c r="R408" s="117">
        <f t="shared" si="77"/>
        <v>0</v>
      </c>
      <c r="S408" s="117">
        <f>SUMIFS(Investors!$M:$M,Investors!$O:$O,TRUE,Investors!$A:$A,'Investor Exit List'!$A408,Investors!$E:$E,'Investor Exit List'!$C408,Investors!$L:$L,'Investor Exit List'!$B408)+SUMIFS(Investors!$S:$S,Investors!$O:$O,TRUE,Investors!$A:$A,'Investor Exit List'!$A408,Investors!$E:$E,'Investor Exit List'!$C408,Investors!$L:$L,'Investor Exit List'!$B408)</f>
        <v>0</v>
      </c>
      <c r="T408" s="118" t="str">
        <f t="shared" si="78"/>
        <v/>
      </c>
      <c r="U408" s="116" t="b">
        <v>0</v>
      </c>
      <c r="V408" s="117">
        <f t="shared" si="79"/>
        <v>0</v>
      </c>
      <c r="W408" s="116">
        <v>0</v>
      </c>
      <c r="X408" s="116" t="b">
        <v>0</v>
      </c>
      <c r="Y408" s="119">
        <f>IF(H408=FALSE,VLOOKUP($C408,Sales!$C:$F,4,FALSE),1)</f>
        <v>0</v>
      </c>
      <c r="Z408" s="116" t="str">
        <f t="shared" si="80"/>
        <v>Release</v>
      </c>
      <c r="AA408" s="118">
        <f t="shared" si="81"/>
        <v>45710</v>
      </c>
      <c r="AB408" s="118" t="str">
        <f t="shared" si="82"/>
        <v>HVK303-ZHUN01</v>
      </c>
      <c r="AC408" s="118">
        <f t="shared" si="83"/>
        <v>45710</v>
      </c>
    </row>
    <row r="409" spans="1:29" ht="16" x14ac:dyDescent="0.2">
      <c r="A409" s="116" t="s">
        <v>207</v>
      </c>
      <c r="B409" s="116">
        <v>11</v>
      </c>
      <c r="C409" s="116" t="s">
        <v>764</v>
      </c>
      <c r="D409" s="116" t="s">
        <v>750</v>
      </c>
      <c r="E409" s="116" t="s">
        <v>2017</v>
      </c>
      <c r="F409" s="117">
        <f>SUMIFS(Investors!$M:$M,Investors!$O:$O,FALSE,Investors!$P:$P,FALSE,Investors!$K:$K,"&gt;"&amp;'NSST Print'!$B$3,Investors!$I:$I,"&lt;="&amp;'NSST Print'!$B$3,Investors!$A:$A,'Investor Exit List'!$A409,Investors!$E:$E,'Investor Exit List'!$C409,Investors!$L:$L,'Investor Exit List'!$B409)-(SUMIFS(Investors!$M:$M,Investors!$I:$I,"&lt;="&amp;'NSST Print'!$B$3,Investors!$J:$J,"&gt;"&amp;'NSST Print'!$B$3,Investors!$A:$A,'Investor Exit List'!$A409,Investors!$E:$E,'Investor Exit List'!$C409,Investors!$L:$L,'Investor Exit List'!$B409)+SUMIFS(Investors!$M:$M,Investors!$I:$I,"&lt;="&amp;'NSST Print'!$B$3,Investors!$J:$J,"",Investors!$A:$A,'Investor Exit List'!$A409,Investors!$E:$E,'Investor Exit List'!$C409,Investors!$L:$L,'Investor Exit List'!$B409))</f>
        <v>100000</v>
      </c>
      <c r="G409" s="118">
        <v>45008</v>
      </c>
      <c r="H409" s="116" t="b">
        <f>VLOOKUP($C409,Sales!$C:$E,2,FALSE)</f>
        <v>0</v>
      </c>
      <c r="I409" s="116" t="b">
        <f>VLOOKUP($C409,Sales!$C:$E,3,FALSE)</f>
        <v>0</v>
      </c>
      <c r="J409" s="118">
        <f>SUMIFS(Sales!$H:$H,Sales!$C:$C,'Investor Exit List'!$C409)</f>
        <v>45625</v>
      </c>
      <c r="K409" s="118" t="str">
        <f t="shared" si="72"/>
        <v/>
      </c>
      <c r="L409" s="118">
        <f t="shared" si="73"/>
        <v>45738</v>
      </c>
      <c r="M409" s="118">
        <v>45443</v>
      </c>
      <c r="N409" s="119">
        <f t="shared" si="74"/>
        <v>295</v>
      </c>
      <c r="O409" s="119">
        <f t="shared" si="75"/>
        <v>0</v>
      </c>
      <c r="P409" s="117">
        <f t="shared" si="76"/>
        <v>0</v>
      </c>
      <c r="Q409" s="117">
        <f>SUMIFS(Investors!$M:$M,Investors!$O:$O,FALSE,Investors!$P:$P,FALSE,Investors!$K:$K,"&gt;"&amp;'NSST Print'!$B$3,Investors!$I:$I,"&lt;="&amp;'NSST Print'!$B$3,Investors!$A:$A,'Investor Exit List'!$A409,Investors!$E:$E,'Investor Exit List'!$C409,Investors!$L:$L,'Investor Exit List'!$B409)-(SUMIFS(Investors!$M:$M,Investors!$I:$I,"&lt;="&amp;'NSST Print'!$B$3,Investors!$J:$J,"&gt;"&amp;'NSST Print'!$B$3,Investors!$A:$A,'Investor Exit List'!$A409,Investors!$E:$E,'Investor Exit List'!$C409,Investors!$L:$L,'Investor Exit List'!$B409)+SUMIFS(Investors!$M:$M,Investors!$I:$I,"&lt;="&amp;'NSST Print'!$B$3,Investors!$J:$J,"",Investors!$A:$A,'Investor Exit List'!$A409,Investors!$E:$E,'Investor Exit List'!$C409,Investors!$L:$L,'Investor Exit List'!$B409))+SUMIFS(Investors!$S:$S,Investors!$O:$O,FALSE,Investors!$P:$P,FALSE,Investors!$K:$K,"&gt;"&amp;'NSST Print'!$B$3,Investors!$I:$I,"&lt;="&amp;'NSST Print'!$B$3,Investors!$A:$A,'Investor Exit List'!$A409,Investors!$E:$E,'Investor Exit List'!$C409,Investors!$L:$L,'Investor Exit List'!$B409)-(SUMIFS(Investors!$S:$S,Investors!$I:$I,"&lt;="&amp;'NSST Print'!$B$3,Investors!$J:$J,"&gt;"&amp;'NSST Print'!$B$3,Investors!$A:$A,'Investor Exit List'!$A409,Investors!$E:$E,'Investor Exit List'!$C409,Investors!$L:$L,'Investor Exit List'!$B409)+SUMIFS(Investors!$S:$S,Investors!$I:$I,"&lt;="&amp;'NSST Print'!$B$3,Investors!$J:$J,"",Investors!$A:$A,'Investor Exit List'!$A409,Investors!$E:$E,'Investor Exit List'!$C409,Investors!$L:$L,'Investor Exit List'!$B409))</f>
        <v>133008.21917808219</v>
      </c>
      <c r="R409" s="117">
        <f t="shared" si="77"/>
        <v>0</v>
      </c>
      <c r="S409" s="117">
        <f>SUMIFS(Investors!$M:$M,Investors!$O:$O,TRUE,Investors!$A:$A,'Investor Exit List'!$A409,Investors!$E:$E,'Investor Exit List'!$C409,Investors!$L:$L,'Investor Exit List'!$B409)+SUMIFS(Investors!$S:$S,Investors!$O:$O,TRUE,Investors!$A:$A,'Investor Exit List'!$A409,Investors!$E:$E,'Investor Exit List'!$C409,Investors!$L:$L,'Investor Exit List'!$B409)</f>
        <v>0</v>
      </c>
      <c r="T409" s="118" t="str">
        <f t="shared" si="78"/>
        <v/>
      </c>
      <c r="U409" s="116" t="b">
        <v>0</v>
      </c>
      <c r="V409" s="117">
        <f t="shared" si="79"/>
        <v>0</v>
      </c>
      <c r="W409" s="116">
        <v>0</v>
      </c>
      <c r="X409" s="116" t="b">
        <v>0</v>
      </c>
      <c r="Y409" s="119">
        <f>IF(H409=FALSE,VLOOKUP($C409,Sales!$C:$F,4,FALSE),1)</f>
        <v>0</v>
      </c>
      <c r="Z409" s="116" t="str">
        <f t="shared" si="80"/>
        <v>Release</v>
      </c>
      <c r="AA409" s="118">
        <f t="shared" si="81"/>
        <v>45710</v>
      </c>
      <c r="AB409" s="118" t="str">
        <f t="shared" si="82"/>
        <v>HVK303-ZINT01</v>
      </c>
      <c r="AC409" s="118">
        <f t="shared" si="83"/>
        <v>45738</v>
      </c>
    </row>
    <row r="410" spans="1:29" ht="16" x14ac:dyDescent="0.2">
      <c r="A410" s="116" t="s">
        <v>212</v>
      </c>
      <c r="B410" s="116">
        <v>2</v>
      </c>
      <c r="C410" s="116" t="s">
        <v>764</v>
      </c>
      <c r="D410" s="116" t="s">
        <v>750</v>
      </c>
      <c r="E410" s="116" t="s">
        <v>2066</v>
      </c>
      <c r="F410" s="117">
        <f>SUMIFS(Investors!$M:$M,Investors!$O:$O,FALSE,Investors!$P:$P,FALSE,Investors!$K:$K,"&gt;"&amp;'NSST Print'!$B$3,Investors!$I:$I,"&lt;="&amp;'NSST Print'!$B$3,Investors!$A:$A,'Investor Exit List'!$A410,Investors!$E:$E,'Investor Exit List'!$C410,Investors!$L:$L,'Investor Exit List'!$B410)-(SUMIFS(Investors!$M:$M,Investors!$I:$I,"&lt;="&amp;'NSST Print'!$B$3,Investors!$J:$J,"&gt;"&amp;'NSST Print'!$B$3,Investors!$A:$A,'Investor Exit List'!$A410,Investors!$E:$E,'Investor Exit List'!$C410,Investors!$L:$L,'Investor Exit List'!$B410)+SUMIFS(Investors!$M:$M,Investors!$I:$I,"&lt;="&amp;'NSST Print'!$B$3,Investors!$J:$J,"",Investors!$A:$A,'Investor Exit List'!$A410,Investors!$E:$E,'Investor Exit List'!$C410,Investors!$L:$L,'Investor Exit List'!$B410))</f>
        <v>115557.53</v>
      </c>
      <c r="G410" s="118">
        <v>45016</v>
      </c>
      <c r="H410" s="116" t="b">
        <f>VLOOKUP($C410,Sales!$C:$E,2,FALSE)</f>
        <v>0</v>
      </c>
      <c r="I410" s="116" t="b">
        <f>VLOOKUP($C410,Sales!$C:$E,3,FALSE)</f>
        <v>0</v>
      </c>
      <c r="J410" s="118">
        <f>SUMIFS(Sales!$H:$H,Sales!$C:$C,'Investor Exit List'!$C410)</f>
        <v>45625</v>
      </c>
      <c r="K410" s="118" t="str">
        <f t="shared" si="72"/>
        <v/>
      </c>
      <c r="L410" s="118">
        <f t="shared" si="73"/>
        <v>45746</v>
      </c>
      <c r="M410" s="118">
        <v>45443</v>
      </c>
      <c r="N410" s="119">
        <f t="shared" si="74"/>
        <v>303</v>
      </c>
      <c r="O410" s="119">
        <f t="shared" si="75"/>
        <v>0</v>
      </c>
      <c r="P410" s="117">
        <f t="shared" si="76"/>
        <v>0</v>
      </c>
      <c r="Q410" s="117">
        <f>SUMIFS(Investors!$M:$M,Investors!$O:$O,FALSE,Investors!$P:$P,FALSE,Investors!$K:$K,"&gt;"&amp;'NSST Print'!$B$3,Investors!$I:$I,"&lt;="&amp;'NSST Print'!$B$3,Investors!$A:$A,'Investor Exit List'!$A410,Investors!$E:$E,'Investor Exit List'!$C410,Investors!$L:$L,'Investor Exit List'!$B410)-(SUMIFS(Investors!$M:$M,Investors!$I:$I,"&lt;="&amp;'NSST Print'!$B$3,Investors!$J:$J,"&gt;"&amp;'NSST Print'!$B$3,Investors!$A:$A,'Investor Exit List'!$A410,Investors!$E:$E,'Investor Exit List'!$C410,Investors!$L:$L,'Investor Exit List'!$B410)+SUMIFS(Investors!$M:$M,Investors!$I:$I,"&lt;="&amp;'NSST Print'!$B$3,Investors!$J:$J,"",Investors!$A:$A,'Investor Exit List'!$A410,Investors!$E:$E,'Investor Exit List'!$C410,Investors!$L:$L,'Investor Exit List'!$B410))+SUMIFS(Investors!$S:$S,Investors!$O:$O,FALSE,Investors!$P:$P,FALSE,Investors!$K:$K,"&gt;"&amp;'NSST Print'!$B$3,Investors!$I:$I,"&lt;="&amp;'NSST Print'!$B$3,Investors!$A:$A,'Investor Exit List'!$A410,Investors!$E:$E,'Investor Exit List'!$C410,Investors!$L:$L,'Investor Exit List'!$B410)-(SUMIFS(Investors!$S:$S,Investors!$I:$I,"&lt;="&amp;'NSST Print'!$B$3,Investors!$J:$J,"&gt;"&amp;'NSST Print'!$B$3,Investors!$A:$A,'Investor Exit List'!$A410,Investors!$E:$E,'Investor Exit List'!$C410,Investors!$L:$L,'Investor Exit List'!$B410)+SUMIFS(Investors!$S:$S,Investors!$I:$I,"&lt;="&amp;'NSST Print'!$B$3,Investors!$J:$J,"",Investors!$A:$A,'Investor Exit List'!$A410,Investors!$E:$E,'Investor Exit List'!$C410,Investors!$L:$L,'Investor Exit List'!$B410))</f>
        <v>144761.92549273971</v>
      </c>
      <c r="R410" s="117">
        <f t="shared" si="77"/>
        <v>0</v>
      </c>
      <c r="S410" s="117">
        <f>SUMIFS(Investors!$M:$M,Investors!$O:$O,TRUE,Investors!$A:$A,'Investor Exit List'!$A410,Investors!$E:$E,'Investor Exit List'!$C410,Investors!$L:$L,'Investor Exit List'!$B410)+SUMIFS(Investors!$S:$S,Investors!$O:$O,TRUE,Investors!$A:$A,'Investor Exit List'!$A410,Investors!$E:$E,'Investor Exit List'!$C410,Investors!$L:$L,'Investor Exit List'!$B410)</f>
        <v>0</v>
      </c>
      <c r="T410" s="118" t="str">
        <f t="shared" si="78"/>
        <v/>
      </c>
      <c r="U410" s="116" t="b">
        <v>0</v>
      </c>
      <c r="V410" s="117">
        <f t="shared" si="79"/>
        <v>0</v>
      </c>
      <c r="W410" s="116">
        <v>0</v>
      </c>
      <c r="X410" s="116" t="b">
        <v>0</v>
      </c>
      <c r="Y410" s="119">
        <f>IF(H410=FALSE,VLOOKUP($C410,Sales!$C:$F,4,FALSE),1)</f>
        <v>0</v>
      </c>
      <c r="Z410" s="116" t="str">
        <f t="shared" si="80"/>
        <v>Release</v>
      </c>
      <c r="AA410" s="118">
        <f t="shared" si="81"/>
        <v>45710</v>
      </c>
      <c r="AB410" s="118" t="str">
        <f t="shared" si="82"/>
        <v>HVK303-ZMEH01</v>
      </c>
      <c r="AC410" s="118">
        <f t="shared" si="83"/>
        <v>45746</v>
      </c>
    </row>
    <row r="411" spans="1:29" ht="16" x14ac:dyDescent="0.2">
      <c r="A411" s="116" t="s">
        <v>230</v>
      </c>
      <c r="B411" s="116">
        <v>7</v>
      </c>
      <c r="C411" s="116" t="s">
        <v>765</v>
      </c>
      <c r="D411" s="116" t="s">
        <v>750</v>
      </c>
      <c r="E411" s="116" t="s">
        <v>2072</v>
      </c>
      <c r="F411" s="117">
        <f>SUMIFS(Investors!$M:$M,Investors!$O:$O,FALSE,Investors!$P:$P,FALSE,Investors!$K:$K,"&gt;"&amp;'NSST Print'!$B$3,Investors!$I:$I,"&lt;="&amp;'NSST Print'!$B$3,Investors!$A:$A,'Investor Exit List'!$A411,Investors!$E:$E,'Investor Exit List'!$C411,Investors!$L:$L,'Investor Exit List'!$B411)-(SUMIFS(Investors!$M:$M,Investors!$I:$I,"&lt;="&amp;'NSST Print'!$B$3,Investors!$J:$J,"&gt;"&amp;'NSST Print'!$B$3,Investors!$A:$A,'Investor Exit List'!$A411,Investors!$E:$E,'Investor Exit List'!$C411,Investors!$L:$L,'Investor Exit List'!$B411)+SUMIFS(Investors!$M:$M,Investors!$I:$I,"&lt;="&amp;'NSST Print'!$B$3,Investors!$J:$J,"",Investors!$A:$A,'Investor Exit List'!$A411,Investors!$E:$E,'Investor Exit List'!$C411,Investors!$L:$L,'Investor Exit List'!$B411))</f>
        <v>450000</v>
      </c>
      <c r="G411" s="118">
        <v>44980</v>
      </c>
      <c r="H411" s="116" t="b">
        <f>VLOOKUP($C411,Sales!$C:$E,2,FALSE)</f>
        <v>0</v>
      </c>
      <c r="I411" s="116" t="b">
        <f>VLOOKUP($C411,Sales!$C:$E,3,FALSE)</f>
        <v>0</v>
      </c>
      <c r="J411" s="118">
        <f>SUMIFS(Sales!$H:$H,Sales!$C:$C,'Investor Exit List'!$C411)</f>
        <v>45625</v>
      </c>
      <c r="K411" s="118" t="str">
        <f t="shared" si="72"/>
        <v/>
      </c>
      <c r="L411" s="118">
        <f t="shared" si="73"/>
        <v>45710</v>
      </c>
      <c r="M411" s="118">
        <v>45443</v>
      </c>
      <c r="N411" s="119">
        <f t="shared" si="74"/>
        <v>267</v>
      </c>
      <c r="O411" s="119">
        <f t="shared" si="75"/>
        <v>0</v>
      </c>
      <c r="P411" s="117">
        <f t="shared" si="76"/>
        <v>0</v>
      </c>
      <c r="Q411" s="117">
        <f>SUMIFS(Investors!$M:$M,Investors!$O:$O,FALSE,Investors!$P:$P,FALSE,Investors!$K:$K,"&gt;"&amp;'NSST Print'!$B$3,Investors!$I:$I,"&lt;="&amp;'NSST Print'!$B$3,Investors!$A:$A,'Investor Exit List'!$A411,Investors!$E:$E,'Investor Exit List'!$C411,Investors!$L:$L,'Investor Exit List'!$B411)-(SUMIFS(Investors!$M:$M,Investors!$I:$I,"&lt;="&amp;'NSST Print'!$B$3,Investors!$J:$J,"&gt;"&amp;'NSST Print'!$B$3,Investors!$A:$A,'Investor Exit List'!$A411,Investors!$E:$E,'Investor Exit List'!$C411,Investors!$L:$L,'Investor Exit List'!$B411)+SUMIFS(Investors!$M:$M,Investors!$I:$I,"&lt;="&amp;'NSST Print'!$B$3,Investors!$J:$J,"",Investors!$A:$A,'Investor Exit List'!$A411,Investors!$E:$E,'Investor Exit List'!$C411,Investors!$L:$L,'Investor Exit List'!$B411))+SUMIFS(Investors!$S:$S,Investors!$O:$O,FALSE,Investors!$P:$P,FALSE,Investors!$K:$K,"&gt;"&amp;'NSST Print'!$B$3,Investors!$I:$I,"&lt;="&amp;'NSST Print'!$B$3,Investors!$A:$A,'Investor Exit List'!$A411,Investors!$E:$E,'Investor Exit List'!$C411,Investors!$L:$L,'Investor Exit List'!$B411)-(SUMIFS(Investors!$S:$S,Investors!$I:$I,"&lt;="&amp;'NSST Print'!$B$3,Investors!$J:$J,"&gt;"&amp;'NSST Print'!$B$3,Investors!$A:$A,'Investor Exit List'!$A411,Investors!$E:$E,'Investor Exit List'!$C411,Investors!$L:$L,'Investor Exit List'!$B411)+SUMIFS(Investors!$S:$S,Investors!$I:$I,"&lt;="&amp;'NSST Print'!$B$3,Investors!$J:$J,"",Investors!$A:$A,'Investor Exit List'!$A411,Investors!$E:$E,'Investor Exit List'!$C411,Investors!$L:$L,'Investor Exit List'!$B411))</f>
        <v>570917.46575342468</v>
      </c>
      <c r="R411" s="117">
        <f t="shared" si="77"/>
        <v>0</v>
      </c>
      <c r="S411" s="117">
        <f>SUMIFS(Investors!$M:$M,Investors!$O:$O,TRUE,Investors!$A:$A,'Investor Exit List'!$A411,Investors!$E:$E,'Investor Exit List'!$C411,Investors!$L:$L,'Investor Exit List'!$B411)+SUMIFS(Investors!$S:$S,Investors!$O:$O,TRUE,Investors!$A:$A,'Investor Exit List'!$A411,Investors!$E:$E,'Investor Exit List'!$C411,Investors!$L:$L,'Investor Exit List'!$B411)</f>
        <v>0</v>
      </c>
      <c r="T411" s="118" t="str">
        <f t="shared" si="78"/>
        <v/>
      </c>
      <c r="U411" s="116" t="b">
        <v>0</v>
      </c>
      <c r="V411" s="117">
        <f t="shared" si="79"/>
        <v>0</v>
      </c>
      <c r="W411" s="116">
        <v>0</v>
      </c>
      <c r="X411" s="116" t="b">
        <v>0</v>
      </c>
      <c r="Y411" s="119">
        <f>IF(H411=FALSE,VLOOKUP($C411,Sales!$C:$F,4,FALSE),1)</f>
        <v>0</v>
      </c>
      <c r="Z411" s="116" t="str">
        <f t="shared" si="80"/>
        <v>Release</v>
      </c>
      <c r="AA411" s="118">
        <f t="shared" si="81"/>
        <v>45710</v>
      </c>
      <c r="AB411" s="118" t="str">
        <f t="shared" si="82"/>
        <v>HVK304-ZMCD01</v>
      </c>
      <c r="AC411" s="118">
        <f t="shared" si="83"/>
        <v>45710</v>
      </c>
    </row>
    <row r="412" spans="1:29" ht="16" x14ac:dyDescent="0.2">
      <c r="A412" s="116" t="s">
        <v>221</v>
      </c>
      <c r="B412" s="116">
        <v>2</v>
      </c>
      <c r="C412" s="116" t="s">
        <v>765</v>
      </c>
      <c r="D412" s="116" t="s">
        <v>750</v>
      </c>
      <c r="E412" s="116" t="s">
        <v>2069</v>
      </c>
      <c r="F412" s="117">
        <f>SUMIFS(Investors!$M:$M,Investors!$O:$O,FALSE,Investors!$P:$P,FALSE,Investors!$K:$K,"&gt;"&amp;'NSST Print'!$B$3,Investors!$I:$I,"&lt;="&amp;'NSST Print'!$B$3,Investors!$A:$A,'Investor Exit List'!$A412,Investors!$E:$E,'Investor Exit List'!$C412,Investors!$L:$L,'Investor Exit List'!$B412)-(SUMIFS(Investors!$M:$M,Investors!$I:$I,"&lt;="&amp;'NSST Print'!$B$3,Investors!$J:$J,"&gt;"&amp;'NSST Print'!$B$3,Investors!$A:$A,'Investor Exit List'!$A412,Investors!$E:$E,'Investor Exit List'!$C412,Investors!$L:$L,'Investor Exit List'!$B412)+SUMIFS(Investors!$M:$M,Investors!$I:$I,"&lt;="&amp;'NSST Print'!$B$3,Investors!$J:$J,"",Investors!$A:$A,'Investor Exit List'!$A412,Investors!$E:$E,'Investor Exit List'!$C412,Investors!$L:$L,'Investor Exit List'!$B412))</f>
        <v>648863.01</v>
      </c>
      <c r="G412" s="118">
        <v>44995</v>
      </c>
      <c r="H412" s="116" t="b">
        <f>VLOOKUP($C412,Sales!$C:$E,2,FALSE)</f>
        <v>0</v>
      </c>
      <c r="I412" s="116" t="b">
        <f>VLOOKUP($C412,Sales!$C:$E,3,FALSE)</f>
        <v>0</v>
      </c>
      <c r="J412" s="118">
        <f>SUMIFS(Sales!$H:$H,Sales!$C:$C,'Investor Exit List'!$C412)</f>
        <v>45625</v>
      </c>
      <c r="K412" s="118" t="str">
        <f t="shared" si="72"/>
        <v/>
      </c>
      <c r="L412" s="118">
        <f t="shared" si="73"/>
        <v>45725</v>
      </c>
      <c r="M412" s="118">
        <v>45443</v>
      </c>
      <c r="N412" s="119">
        <f t="shared" si="74"/>
        <v>282</v>
      </c>
      <c r="O412" s="119">
        <f t="shared" si="75"/>
        <v>0</v>
      </c>
      <c r="P412" s="117">
        <f t="shared" si="76"/>
        <v>0</v>
      </c>
      <c r="Q412" s="117">
        <f>SUMIFS(Investors!$M:$M,Investors!$O:$O,FALSE,Investors!$P:$P,FALSE,Investors!$K:$K,"&gt;"&amp;'NSST Print'!$B$3,Investors!$I:$I,"&lt;="&amp;'NSST Print'!$B$3,Investors!$A:$A,'Investor Exit List'!$A412,Investors!$E:$E,'Investor Exit List'!$C412,Investors!$L:$L,'Investor Exit List'!$B412)-(SUMIFS(Investors!$M:$M,Investors!$I:$I,"&lt;="&amp;'NSST Print'!$B$3,Investors!$J:$J,"&gt;"&amp;'NSST Print'!$B$3,Investors!$A:$A,'Investor Exit List'!$A412,Investors!$E:$E,'Investor Exit List'!$C412,Investors!$L:$L,'Investor Exit List'!$B412)+SUMIFS(Investors!$M:$M,Investors!$I:$I,"&lt;="&amp;'NSST Print'!$B$3,Investors!$J:$J,"",Investors!$A:$A,'Investor Exit List'!$A412,Investors!$E:$E,'Investor Exit List'!$C412,Investors!$L:$L,'Investor Exit List'!$B412))+SUMIFS(Investors!$S:$S,Investors!$O:$O,FALSE,Investors!$P:$P,FALSE,Investors!$K:$K,"&gt;"&amp;'NSST Print'!$B$3,Investors!$I:$I,"&lt;="&amp;'NSST Print'!$B$3,Investors!$A:$A,'Investor Exit List'!$A412,Investors!$E:$E,'Investor Exit List'!$C412,Investors!$L:$L,'Investor Exit List'!$B412)-(SUMIFS(Investors!$S:$S,Investors!$I:$I,"&lt;="&amp;'NSST Print'!$B$3,Investors!$J:$J,"&gt;"&amp;'NSST Print'!$B$3,Investors!$A:$A,'Investor Exit List'!$A412,Investors!$E:$E,'Investor Exit List'!$C412,Investors!$L:$L,'Investor Exit List'!$B412)+SUMIFS(Investors!$S:$S,Investors!$I:$I,"&lt;="&amp;'NSST Print'!$B$3,Investors!$J:$J,"",Investors!$A:$A,'Investor Exit List'!$A412,Investors!$E:$E,'Investor Exit List'!$C412,Investors!$L:$L,'Investor Exit List'!$B412))</f>
        <v>845592.94151136989</v>
      </c>
      <c r="R412" s="117">
        <f t="shared" si="77"/>
        <v>0</v>
      </c>
      <c r="S412" s="117">
        <f>SUMIFS(Investors!$M:$M,Investors!$O:$O,TRUE,Investors!$A:$A,'Investor Exit List'!$A412,Investors!$E:$E,'Investor Exit List'!$C412,Investors!$L:$L,'Investor Exit List'!$B412)+SUMIFS(Investors!$S:$S,Investors!$O:$O,TRUE,Investors!$A:$A,'Investor Exit List'!$A412,Investors!$E:$E,'Investor Exit List'!$C412,Investors!$L:$L,'Investor Exit List'!$B412)</f>
        <v>0</v>
      </c>
      <c r="T412" s="118" t="str">
        <f t="shared" si="78"/>
        <v/>
      </c>
      <c r="U412" s="116" t="b">
        <v>0</v>
      </c>
      <c r="V412" s="117">
        <f t="shared" si="79"/>
        <v>0</v>
      </c>
      <c r="W412" s="116">
        <v>0</v>
      </c>
      <c r="X412" s="116" t="b">
        <v>0</v>
      </c>
      <c r="Y412" s="119">
        <f>IF(H412=FALSE,VLOOKUP($C412,Sales!$C:$F,4,FALSE),1)</f>
        <v>0</v>
      </c>
      <c r="Z412" s="116" t="str">
        <f t="shared" si="80"/>
        <v>Release</v>
      </c>
      <c r="AA412" s="118">
        <f t="shared" si="81"/>
        <v>45710</v>
      </c>
      <c r="AB412" s="118" t="str">
        <f t="shared" si="82"/>
        <v>HVK304-ZSCH02</v>
      </c>
      <c r="AC412" s="118">
        <f t="shared" si="83"/>
        <v>45725</v>
      </c>
    </row>
    <row r="413" spans="1:29" ht="16" x14ac:dyDescent="0.2">
      <c r="A413" s="116" t="s">
        <v>59</v>
      </c>
      <c r="B413" s="116">
        <v>25</v>
      </c>
      <c r="C413" s="116" t="s">
        <v>766</v>
      </c>
      <c r="D413" s="116" t="s">
        <v>750</v>
      </c>
      <c r="E413" s="116" t="s">
        <v>2019</v>
      </c>
      <c r="F413" s="117">
        <f>SUMIFS(Investors!$M:$M,Investors!$O:$O,FALSE,Investors!$P:$P,FALSE,Investors!$K:$K,"&gt;"&amp;'NSST Print'!$B$3,Investors!$I:$I,"&lt;="&amp;'NSST Print'!$B$3,Investors!$A:$A,'Investor Exit List'!$A413,Investors!$E:$E,'Investor Exit List'!$C413,Investors!$L:$L,'Investor Exit List'!$B413)-(SUMIFS(Investors!$M:$M,Investors!$I:$I,"&lt;="&amp;'NSST Print'!$B$3,Investors!$J:$J,"&gt;"&amp;'NSST Print'!$B$3,Investors!$A:$A,'Investor Exit List'!$A413,Investors!$E:$E,'Investor Exit List'!$C413,Investors!$L:$L,'Investor Exit List'!$B413)+SUMIFS(Investors!$M:$M,Investors!$I:$I,"&lt;="&amp;'NSST Print'!$B$3,Investors!$J:$J,"",Investors!$A:$A,'Investor Exit List'!$A413,Investors!$E:$E,'Investor Exit List'!$C413,Investors!$L:$L,'Investor Exit List'!$B413))</f>
        <v>178013.84</v>
      </c>
      <c r="G413" s="118">
        <v>45044</v>
      </c>
      <c r="H413" s="116" t="b">
        <f>VLOOKUP($C413,Sales!$C:$E,2,FALSE)</f>
        <v>0</v>
      </c>
      <c r="I413" s="116" t="b">
        <f>VLOOKUP($C413,Sales!$C:$E,3,FALSE)</f>
        <v>0</v>
      </c>
      <c r="J413" s="118">
        <f>SUMIFS(Sales!$H:$H,Sales!$C:$C,'Investor Exit List'!$C413)</f>
        <v>45625</v>
      </c>
      <c r="K413" s="118" t="str">
        <f t="shared" si="72"/>
        <v/>
      </c>
      <c r="L413" s="118">
        <f t="shared" si="73"/>
        <v>45774</v>
      </c>
      <c r="M413" s="118">
        <v>45443</v>
      </c>
      <c r="N413" s="119">
        <f t="shared" si="74"/>
        <v>331</v>
      </c>
      <c r="O413" s="119">
        <f t="shared" si="75"/>
        <v>0</v>
      </c>
      <c r="P413" s="117">
        <f t="shared" si="76"/>
        <v>0</v>
      </c>
      <c r="Q413" s="117">
        <f>SUMIFS(Investors!$M:$M,Investors!$O:$O,FALSE,Investors!$P:$P,FALSE,Investors!$K:$K,"&gt;"&amp;'NSST Print'!$B$3,Investors!$I:$I,"&lt;="&amp;'NSST Print'!$B$3,Investors!$A:$A,'Investor Exit List'!$A413,Investors!$E:$E,'Investor Exit List'!$C413,Investors!$L:$L,'Investor Exit List'!$B413)-(SUMIFS(Investors!$M:$M,Investors!$I:$I,"&lt;="&amp;'NSST Print'!$B$3,Investors!$J:$J,"&gt;"&amp;'NSST Print'!$B$3,Investors!$A:$A,'Investor Exit List'!$A413,Investors!$E:$E,'Investor Exit List'!$C413,Investors!$L:$L,'Investor Exit List'!$B413)+SUMIFS(Investors!$M:$M,Investors!$I:$I,"&lt;="&amp;'NSST Print'!$B$3,Investors!$J:$J,"",Investors!$A:$A,'Investor Exit List'!$A413,Investors!$E:$E,'Investor Exit List'!$C413,Investors!$L:$L,'Investor Exit List'!$B413))+SUMIFS(Investors!$S:$S,Investors!$O:$O,FALSE,Investors!$P:$P,FALSE,Investors!$K:$K,"&gt;"&amp;'NSST Print'!$B$3,Investors!$I:$I,"&lt;="&amp;'NSST Print'!$B$3,Investors!$A:$A,'Investor Exit List'!$A413,Investors!$E:$E,'Investor Exit List'!$C413,Investors!$L:$L,'Investor Exit List'!$B413)-(SUMIFS(Investors!$S:$S,Investors!$I:$I,"&lt;="&amp;'NSST Print'!$B$3,Investors!$J:$J,"&gt;"&amp;'NSST Print'!$B$3,Investors!$A:$A,'Investor Exit List'!$A413,Investors!$E:$E,'Investor Exit List'!$C413,Investors!$L:$L,'Investor Exit List'!$B413)+SUMIFS(Investors!$S:$S,Investors!$I:$I,"&lt;="&amp;'NSST Print'!$B$3,Investors!$J:$J,"",Investors!$A:$A,'Investor Exit List'!$A413,Investors!$E:$E,'Investor Exit List'!$C413,Investors!$L:$L,'Investor Exit List'!$B413))</f>
        <v>234803.91277863015</v>
      </c>
      <c r="R413" s="117">
        <f t="shared" si="77"/>
        <v>0</v>
      </c>
      <c r="S413" s="117">
        <f>SUMIFS(Investors!$M:$M,Investors!$O:$O,TRUE,Investors!$A:$A,'Investor Exit List'!$A413,Investors!$E:$E,'Investor Exit List'!$C413,Investors!$L:$L,'Investor Exit List'!$B413)+SUMIFS(Investors!$S:$S,Investors!$O:$O,TRUE,Investors!$A:$A,'Investor Exit List'!$A413,Investors!$E:$E,'Investor Exit List'!$C413,Investors!$L:$L,'Investor Exit List'!$B413)</f>
        <v>0</v>
      </c>
      <c r="T413" s="118" t="str">
        <f t="shared" si="78"/>
        <v/>
      </c>
      <c r="U413" s="116" t="b">
        <v>0</v>
      </c>
      <c r="V413" s="117">
        <f t="shared" si="79"/>
        <v>0</v>
      </c>
      <c r="W413" s="116">
        <v>0</v>
      </c>
      <c r="X413" s="116" t="b">
        <v>0</v>
      </c>
      <c r="Y413" s="119">
        <f>IF(H413=FALSE,VLOOKUP($C413,Sales!$C:$F,4,FALSE),1)</f>
        <v>0</v>
      </c>
      <c r="Z413" s="116" t="str">
        <f t="shared" si="80"/>
        <v>Release</v>
      </c>
      <c r="AA413" s="118">
        <f t="shared" si="81"/>
        <v>45746</v>
      </c>
      <c r="AB413" s="118" t="str">
        <f t="shared" si="82"/>
        <v>HVK305-ZRAN01</v>
      </c>
      <c r="AC413" s="118">
        <f t="shared" si="83"/>
        <v>45774</v>
      </c>
    </row>
    <row r="414" spans="1:29" ht="16" x14ac:dyDescent="0.2">
      <c r="A414" s="116" t="s">
        <v>27</v>
      </c>
      <c r="B414" s="116">
        <v>16</v>
      </c>
      <c r="C414" s="116" t="s">
        <v>766</v>
      </c>
      <c r="D414" s="116" t="s">
        <v>750</v>
      </c>
      <c r="E414" s="116" t="s">
        <v>2010</v>
      </c>
      <c r="F414" s="117">
        <f>SUMIFS(Investors!$M:$M,Investors!$O:$O,FALSE,Investors!$P:$P,FALSE,Investors!$K:$K,"&gt;"&amp;'NSST Print'!$B$3,Investors!$I:$I,"&lt;="&amp;'NSST Print'!$B$3,Investors!$A:$A,'Investor Exit List'!$A414,Investors!$E:$E,'Investor Exit List'!$C414,Investors!$L:$L,'Investor Exit List'!$B414)-(SUMIFS(Investors!$M:$M,Investors!$I:$I,"&lt;="&amp;'NSST Print'!$B$3,Investors!$J:$J,"&gt;"&amp;'NSST Print'!$B$3,Investors!$A:$A,'Investor Exit List'!$A414,Investors!$E:$E,'Investor Exit List'!$C414,Investors!$L:$L,'Investor Exit List'!$B414)+SUMIFS(Investors!$M:$M,Investors!$I:$I,"&lt;="&amp;'NSST Print'!$B$3,Investors!$J:$J,"",Investors!$A:$A,'Investor Exit List'!$A414,Investors!$E:$E,'Investor Exit List'!$C414,Investors!$L:$L,'Investor Exit List'!$B414))</f>
        <v>806083.85</v>
      </c>
      <c r="G414" s="118">
        <v>45016</v>
      </c>
      <c r="H414" s="116" t="b">
        <f>VLOOKUP($C414,Sales!$C:$E,2,FALSE)</f>
        <v>0</v>
      </c>
      <c r="I414" s="116" t="b">
        <f>VLOOKUP($C414,Sales!$C:$E,3,FALSE)</f>
        <v>0</v>
      </c>
      <c r="J414" s="118">
        <f>SUMIFS(Sales!$H:$H,Sales!$C:$C,'Investor Exit List'!$C414)</f>
        <v>45625</v>
      </c>
      <c r="K414" s="118" t="str">
        <f t="shared" si="72"/>
        <v/>
      </c>
      <c r="L414" s="118">
        <f t="shared" si="73"/>
        <v>45746</v>
      </c>
      <c r="M414" s="118">
        <v>45443</v>
      </c>
      <c r="N414" s="119">
        <f t="shared" si="74"/>
        <v>303</v>
      </c>
      <c r="O414" s="119">
        <f t="shared" si="75"/>
        <v>0</v>
      </c>
      <c r="P414" s="117">
        <f t="shared" si="76"/>
        <v>0</v>
      </c>
      <c r="Q414" s="117">
        <f>SUMIFS(Investors!$M:$M,Investors!$O:$O,FALSE,Investors!$P:$P,FALSE,Investors!$K:$K,"&gt;"&amp;'NSST Print'!$B$3,Investors!$I:$I,"&lt;="&amp;'NSST Print'!$B$3,Investors!$A:$A,'Investor Exit List'!$A414,Investors!$E:$E,'Investor Exit List'!$C414,Investors!$L:$L,'Investor Exit List'!$B414)-(SUMIFS(Investors!$M:$M,Investors!$I:$I,"&lt;="&amp;'NSST Print'!$B$3,Investors!$J:$J,"&gt;"&amp;'NSST Print'!$B$3,Investors!$A:$A,'Investor Exit List'!$A414,Investors!$E:$E,'Investor Exit List'!$C414,Investors!$L:$L,'Investor Exit List'!$B414)+SUMIFS(Investors!$M:$M,Investors!$I:$I,"&lt;="&amp;'NSST Print'!$B$3,Investors!$J:$J,"",Investors!$A:$A,'Investor Exit List'!$A414,Investors!$E:$E,'Investor Exit List'!$C414,Investors!$L:$L,'Investor Exit List'!$B414))+SUMIFS(Investors!$S:$S,Investors!$O:$O,FALSE,Investors!$P:$P,FALSE,Investors!$K:$K,"&gt;"&amp;'NSST Print'!$B$3,Investors!$I:$I,"&lt;="&amp;'NSST Print'!$B$3,Investors!$A:$A,'Investor Exit List'!$A414,Investors!$E:$E,'Investor Exit List'!$C414,Investors!$L:$L,'Investor Exit List'!$B414)-(SUMIFS(Investors!$S:$S,Investors!$I:$I,"&lt;="&amp;'NSST Print'!$B$3,Investors!$J:$J,"&gt;"&amp;'NSST Print'!$B$3,Investors!$A:$A,'Investor Exit List'!$A414,Investors!$E:$E,'Investor Exit List'!$C414,Investors!$L:$L,'Investor Exit List'!$B414)+SUMIFS(Investors!$S:$S,Investors!$I:$I,"&lt;="&amp;'NSST Print'!$B$3,Investors!$J:$J,"",Investors!$A:$A,'Investor Exit List'!$A414,Investors!$E:$E,'Investor Exit List'!$C414,Investors!$L:$L,'Investor Exit List'!$B414))</f>
        <v>1074769.2647962328</v>
      </c>
      <c r="R414" s="117">
        <f t="shared" si="77"/>
        <v>0</v>
      </c>
      <c r="S414" s="117">
        <f>SUMIFS(Investors!$M:$M,Investors!$O:$O,TRUE,Investors!$A:$A,'Investor Exit List'!$A414,Investors!$E:$E,'Investor Exit List'!$C414,Investors!$L:$L,'Investor Exit List'!$B414)+SUMIFS(Investors!$S:$S,Investors!$O:$O,TRUE,Investors!$A:$A,'Investor Exit List'!$A414,Investors!$E:$E,'Investor Exit List'!$C414,Investors!$L:$L,'Investor Exit List'!$B414)</f>
        <v>0</v>
      </c>
      <c r="T414" s="118" t="str">
        <f t="shared" si="78"/>
        <v/>
      </c>
      <c r="U414" s="116" t="b">
        <v>0</v>
      </c>
      <c r="V414" s="117">
        <f t="shared" si="79"/>
        <v>0</v>
      </c>
      <c r="W414" s="116">
        <v>0</v>
      </c>
      <c r="X414" s="116" t="b">
        <v>0</v>
      </c>
      <c r="Y414" s="119">
        <f>IF(H414=FALSE,VLOOKUP($C414,Sales!$C:$F,4,FALSE),1)</f>
        <v>0</v>
      </c>
      <c r="Z414" s="116" t="str">
        <f t="shared" si="80"/>
        <v>Release</v>
      </c>
      <c r="AA414" s="118">
        <f t="shared" si="81"/>
        <v>45746</v>
      </c>
      <c r="AB414" s="118" t="str">
        <f t="shared" si="82"/>
        <v>HVK305-ZSCH01</v>
      </c>
      <c r="AC414" s="118">
        <f t="shared" si="83"/>
        <v>45746</v>
      </c>
    </row>
    <row r="415" spans="1:29" ht="16" x14ac:dyDescent="0.2">
      <c r="A415" s="116" t="s">
        <v>149</v>
      </c>
      <c r="B415" s="116">
        <v>2</v>
      </c>
      <c r="C415" s="116" t="s">
        <v>766</v>
      </c>
      <c r="D415" s="116" t="s">
        <v>750</v>
      </c>
      <c r="E415" s="116" t="s">
        <v>2047</v>
      </c>
      <c r="F415" s="117">
        <f>SUMIFS(Investors!$M:$M,Investors!$O:$O,FALSE,Investors!$P:$P,FALSE,Investors!$K:$K,"&gt;"&amp;'NSST Print'!$B$3,Investors!$I:$I,"&lt;="&amp;'NSST Print'!$B$3,Investors!$A:$A,'Investor Exit List'!$A415,Investors!$E:$E,'Investor Exit List'!$C415,Investors!$L:$L,'Investor Exit List'!$B415)-(SUMIFS(Investors!$M:$M,Investors!$I:$I,"&lt;="&amp;'NSST Print'!$B$3,Investors!$J:$J,"&gt;"&amp;'NSST Print'!$B$3,Investors!$A:$A,'Investor Exit List'!$A415,Investors!$E:$E,'Investor Exit List'!$C415,Investors!$L:$L,'Investor Exit List'!$B415)+SUMIFS(Investors!$M:$M,Investors!$I:$I,"&lt;="&amp;'NSST Print'!$B$3,Investors!$J:$J,"",Investors!$A:$A,'Investor Exit List'!$A415,Investors!$E:$E,'Investor Exit List'!$C415,Investors!$L:$L,'Investor Exit List'!$B415))</f>
        <v>123565.07</v>
      </c>
      <c r="G415" s="118">
        <v>45016</v>
      </c>
      <c r="H415" s="116" t="b">
        <f>VLOOKUP($C415,Sales!$C:$E,2,FALSE)</f>
        <v>0</v>
      </c>
      <c r="I415" s="116" t="b">
        <f>VLOOKUP($C415,Sales!$C:$E,3,FALSE)</f>
        <v>0</v>
      </c>
      <c r="J415" s="118">
        <f>SUMIFS(Sales!$H:$H,Sales!$C:$C,'Investor Exit List'!$C415)</f>
        <v>45625</v>
      </c>
      <c r="K415" s="118" t="str">
        <f t="shared" si="72"/>
        <v/>
      </c>
      <c r="L415" s="118">
        <f t="shared" si="73"/>
        <v>45746</v>
      </c>
      <c r="M415" s="118">
        <v>45443</v>
      </c>
      <c r="N415" s="119">
        <f t="shared" si="74"/>
        <v>303</v>
      </c>
      <c r="O415" s="119">
        <f t="shared" si="75"/>
        <v>0</v>
      </c>
      <c r="P415" s="117">
        <f t="shared" si="76"/>
        <v>0</v>
      </c>
      <c r="Q415" s="117">
        <f>SUMIFS(Investors!$M:$M,Investors!$O:$O,FALSE,Investors!$P:$P,FALSE,Investors!$K:$K,"&gt;"&amp;'NSST Print'!$B$3,Investors!$I:$I,"&lt;="&amp;'NSST Print'!$B$3,Investors!$A:$A,'Investor Exit List'!$A415,Investors!$E:$E,'Investor Exit List'!$C415,Investors!$L:$L,'Investor Exit List'!$B415)-(SUMIFS(Investors!$M:$M,Investors!$I:$I,"&lt;="&amp;'NSST Print'!$B$3,Investors!$J:$J,"&gt;"&amp;'NSST Print'!$B$3,Investors!$A:$A,'Investor Exit List'!$A415,Investors!$E:$E,'Investor Exit List'!$C415,Investors!$L:$L,'Investor Exit List'!$B415)+SUMIFS(Investors!$M:$M,Investors!$I:$I,"&lt;="&amp;'NSST Print'!$B$3,Investors!$J:$J,"",Investors!$A:$A,'Investor Exit List'!$A415,Investors!$E:$E,'Investor Exit List'!$C415,Investors!$L:$L,'Investor Exit List'!$B415))+SUMIFS(Investors!$S:$S,Investors!$O:$O,FALSE,Investors!$P:$P,FALSE,Investors!$K:$K,"&gt;"&amp;'NSST Print'!$B$3,Investors!$I:$I,"&lt;="&amp;'NSST Print'!$B$3,Investors!$A:$A,'Investor Exit List'!$A415,Investors!$E:$E,'Investor Exit List'!$C415,Investors!$L:$L,'Investor Exit List'!$B415)-(SUMIFS(Investors!$S:$S,Investors!$I:$I,"&lt;="&amp;'NSST Print'!$B$3,Investors!$J:$J,"&gt;"&amp;'NSST Print'!$B$3,Investors!$A:$A,'Investor Exit List'!$A415,Investors!$E:$E,'Investor Exit List'!$C415,Investors!$L:$L,'Investor Exit List'!$B415)+SUMIFS(Investors!$S:$S,Investors!$I:$I,"&lt;="&amp;'NSST Print'!$B$3,Investors!$J:$J,"",Investors!$A:$A,'Investor Exit List'!$A415,Investors!$E:$E,'Investor Exit List'!$C415,Investors!$L:$L,'Investor Exit List'!$B415))</f>
        <v>155471.09447897261</v>
      </c>
      <c r="R415" s="117">
        <f t="shared" si="77"/>
        <v>0</v>
      </c>
      <c r="S415" s="117">
        <f>SUMIFS(Investors!$M:$M,Investors!$O:$O,TRUE,Investors!$A:$A,'Investor Exit List'!$A415,Investors!$E:$E,'Investor Exit List'!$C415,Investors!$L:$L,'Investor Exit List'!$B415)+SUMIFS(Investors!$S:$S,Investors!$O:$O,TRUE,Investors!$A:$A,'Investor Exit List'!$A415,Investors!$E:$E,'Investor Exit List'!$C415,Investors!$L:$L,'Investor Exit List'!$B415)</f>
        <v>0</v>
      </c>
      <c r="T415" s="118" t="str">
        <f t="shared" si="78"/>
        <v/>
      </c>
      <c r="U415" s="116" t="b">
        <v>0</v>
      </c>
      <c r="V415" s="117">
        <f t="shared" si="79"/>
        <v>0</v>
      </c>
      <c r="W415" s="116">
        <v>0</v>
      </c>
      <c r="X415" s="116" t="b">
        <v>0</v>
      </c>
      <c r="Y415" s="119">
        <f>IF(H415=FALSE,VLOOKUP($C415,Sales!$C:$F,4,FALSE),1)</f>
        <v>0</v>
      </c>
      <c r="Z415" s="116" t="str">
        <f t="shared" si="80"/>
        <v>Release</v>
      </c>
      <c r="AA415" s="118">
        <f t="shared" si="81"/>
        <v>45746</v>
      </c>
      <c r="AB415" s="118" t="str">
        <f t="shared" si="82"/>
        <v>HVK305-ZTSH01</v>
      </c>
      <c r="AC415" s="118">
        <f t="shared" si="83"/>
        <v>45746</v>
      </c>
    </row>
    <row r="416" spans="1:29" ht="16" x14ac:dyDescent="0.2">
      <c r="A416" s="116" t="s">
        <v>767</v>
      </c>
      <c r="B416" s="116">
        <v>1</v>
      </c>
      <c r="C416" s="116" t="s">
        <v>770</v>
      </c>
      <c r="D416" s="116" t="s">
        <v>750</v>
      </c>
      <c r="E416" s="116" t="s">
        <v>2206</v>
      </c>
      <c r="F416" s="117">
        <f>SUMIFS(Investors!$M:$M,Investors!$O:$O,FALSE,Investors!$P:$P,FALSE,Investors!$K:$K,"&gt;"&amp;'NSST Print'!$B$3,Investors!$I:$I,"&lt;="&amp;'NSST Print'!$B$3,Investors!$A:$A,'Investor Exit List'!$A416,Investors!$E:$E,'Investor Exit List'!$C416,Investors!$L:$L,'Investor Exit List'!$B416)-(SUMIFS(Investors!$M:$M,Investors!$I:$I,"&lt;="&amp;'NSST Print'!$B$3,Investors!$J:$J,"&gt;"&amp;'NSST Print'!$B$3,Investors!$A:$A,'Investor Exit List'!$A416,Investors!$E:$E,'Investor Exit List'!$C416,Investors!$L:$L,'Investor Exit List'!$B416)+SUMIFS(Investors!$M:$M,Investors!$I:$I,"&lt;="&amp;'NSST Print'!$B$3,Investors!$J:$J,"",Investors!$A:$A,'Investor Exit List'!$A416,Investors!$E:$E,'Investor Exit List'!$C416,Investors!$L:$L,'Investor Exit List'!$B416))</f>
        <v>1000000</v>
      </c>
      <c r="G416" s="118">
        <v>44980</v>
      </c>
      <c r="H416" s="116" t="b">
        <f>VLOOKUP($C416,Sales!$C:$E,2,FALSE)</f>
        <v>0</v>
      </c>
      <c r="I416" s="116" t="b">
        <f>VLOOKUP($C416,Sales!$C:$E,3,FALSE)</f>
        <v>0</v>
      </c>
      <c r="J416" s="118">
        <f>SUMIFS(Sales!$H:$H,Sales!$C:$C,'Investor Exit List'!$C416)</f>
        <v>45625</v>
      </c>
      <c r="K416" s="118" t="str">
        <f t="shared" si="72"/>
        <v/>
      </c>
      <c r="L416" s="118">
        <f t="shared" si="73"/>
        <v>45710</v>
      </c>
      <c r="M416" s="118">
        <v>45443</v>
      </c>
      <c r="N416" s="119">
        <f t="shared" si="74"/>
        <v>267</v>
      </c>
      <c r="O416" s="119">
        <f t="shared" si="75"/>
        <v>0</v>
      </c>
      <c r="P416" s="117">
        <f t="shared" si="76"/>
        <v>0</v>
      </c>
      <c r="Q416" s="117">
        <f>SUMIFS(Investors!$M:$M,Investors!$O:$O,FALSE,Investors!$P:$P,FALSE,Investors!$K:$K,"&gt;"&amp;'NSST Print'!$B$3,Investors!$I:$I,"&lt;="&amp;'NSST Print'!$B$3,Investors!$A:$A,'Investor Exit List'!$A416,Investors!$E:$E,'Investor Exit List'!$C416,Investors!$L:$L,'Investor Exit List'!$B416)-(SUMIFS(Investors!$M:$M,Investors!$I:$I,"&lt;="&amp;'NSST Print'!$B$3,Investors!$J:$J,"&gt;"&amp;'NSST Print'!$B$3,Investors!$A:$A,'Investor Exit List'!$A416,Investors!$E:$E,'Investor Exit List'!$C416,Investors!$L:$L,'Investor Exit List'!$B416)+SUMIFS(Investors!$M:$M,Investors!$I:$I,"&lt;="&amp;'NSST Print'!$B$3,Investors!$J:$J,"",Investors!$A:$A,'Investor Exit List'!$A416,Investors!$E:$E,'Investor Exit List'!$C416,Investors!$L:$L,'Investor Exit List'!$B416))+SUMIFS(Investors!$S:$S,Investors!$O:$O,FALSE,Investors!$P:$P,FALSE,Investors!$K:$K,"&gt;"&amp;'NSST Print'!$B$3,Investors!$I:$I,"&lt;="&amp;'NSST Print'!$B$3,Investors!$A:$A,'Investor Exit List'!$A416,Investors!$E:$E,'Investor Exit List'!$C416,Investors!$L:$L,'Investor Exit List'!$B416)-(SUMIFS(Investors!$S:$S,Investors!$I:$I,"&lt;="&amp;'NSST Print'!$B$3,Investors!$J:$J,"&gt;"&amp;'NSST Print'!$B$3,Investors!$A:$A,'Investor Exit List'!$A416,Investors!$E:$E,'Investor Exit List'!$C416,Investors!$L:$L,'Investor Exit List'!$B416)+SUMIFS(Investors!$S:$S,Investors!$I:$I,"&lt;="&amp;'NSST Print'!$B$3,Investors!$J:$J,"",Investors!$A:$A,'Investor Exit List'!$A416,Investors!$E:$E,'Investor Exit List'!$C416,Investors!$L:$L,'Investor Exit List'!$B416))</f>
        <v>1359068.493150685</v>
      </c>
      <c r="R416" s="117">
        <f t="shared" si="77"/>
        <v>0</v>
      </c>
      <c r="S416" s="117">
        <f>SUMIFS(Investors!$M:$M,Investors!$O:$O,TRUE,Investors!$A:$A,'Investor Exit List'!$A416,Investors!$E:$E,'Investor Exit List'!$C416,Investors!$L:$L,'Investor Exit List'!$B416)+SUMIFS(Investors!$S:$S,Investors!$O:$O,TRUE,Investors!$A:$A,'Investor Exit List'!$A416,Investors!$E:$E,'Investor Exit List'!$C416,Investors!$L:$L,'Investor Exit List'!$B416)</f>
        <v>0</v>
      </c>
      <c r="T416" s="118" t="str">
        <f t="shared" si="78"/>
        <v/>
      </c>
      <c r="U416" s="116" t="b">
        <v>0</v>
      </c>
      <c r="V416" s="117">
        <f t="shared" si="79"/>
        <v>0</v>
      </c>
      <c r="W416" s="116">
        <v>0</v>
      </c>
      <c r="X416" s="116" t="b">
        <v>0</v>
      </c>
      <c r="Y416" s="119">
        <f>IF(H416=FALSE,VLOOKUP($C416,Sales!$C:$F,4,FALSE),1)</f>
        <v>0</v>
      </c>
      <c r="Z416" s="116" t="str">
        <f t="shared" si="80"/>
        <v>Release</v>
      </c>
      <c r="AA416" s="118">
        <f t="shared" si="81"/>
        <v>45710</v>
      </c>
      <c r="AB416" s="118" t="str">
        <f t="shared" si="82"/>
        <v>HVK306-ZBUF01</v>
      </c>
      <c r="AC416" s="118">
        <f t="shared" si="83"/>
        <v>45710</v>
      </c>
    </row>
    <row r="417" spans="1:29" ht="16" x14ac:dyDescent="0.2">
      <c r="A417" s="116" t="s">
        <v>419</v>
      </c>
      <c r="B417" s="116">
        <v>11</v>
      </c>
      <c r="C417" s="116" t="s">
        <v>770</v>
      </c>
      <c r="D417" s="116" t="s">
        <v>750</v>
      </c>
      <c r="E417" s="116" t="s">
        <v>2123</v>
      </c>
      <c r="F417" s="117">
        <f>SUMIFS(Investors!$M:$M,Investors!$O:$O,FALSE,Investors!$P:$P,FALSE,Investors!$K:$K,"&gt;"&amp;'NSST Print'!$B$3,Investors!$I:$I,"&lt;="&amp;'NSST Print'!$B$3,Investors!$A:$A,'Investor Exit List'!$A417,Investors!$E:$E,'Investor Exit List'!$C417,Investors!$L:$L,'Investor Exit List'!$B417)-(SUMIFS(Investors!$M:$M,Investors!$I:$I,"&lt;="&amp;'NSST Print'!$B$3,Investors!$J:$J,"&gt;"&amp;'NSST Print'!$B$3,Investors!$A:$A,'Investor Exit List'!$A417,Investors!$E:$E,'Investor Exit List'!$C417,Investors!$L:$L,'Investor Exit List'!$B417)+SUMIFS(Investors!$M:$M,Investors!$I:$I,"&lt;="&amp;'NSST Print'!$B$3,Investors!$J:$J,"",Investors!$A:$A,'Investor Exit List'!$A417,Investors!$E:$E,'Investor Exit List'!$C417,Investors!$L:$L,'Investor Exit List'!$B417))</f>
        <v>100000</v>
      </c>
      <c r="G417" s="118">
        <v>45072</v>
      </c>
      <c r="H417" s="116" t="b">
        <f>VLOOKUP($C417,Sales!$C:$E,2,FALSE)</f>
        <v>0</v>
      </c>
      <c r="I417" s="116" t="b">
        <f>VLOOKUP($C417,Sales!$C:$E,3,FALSE)</f>
        <v>0</v>
      </c>
      <c r="J417" s="118">
        <f>SUMIFS(Sales!$H:$H,Sales!$C:$C,'Investor Exit List'!$C417)</f>
        <v>45625</v>
      </c>
      <c r="K417" s="118" t="str">
        <f t="shared" si="72"/>
        <v/>
      </c>
      <c r="L417" s="118">
        <f t="shared" si="73"/>
        <v>45802</v>
      </c>
      <c r="M417" s="118">
        <v>45443</v>
      </c>
      <c r="N417" s="119">
        <f t="shared" si="74"/>
        <v>359</v>
      </c>
      <c r="O417" s="119">
        <f t="shared" si="75"/>
        <v>0</v>
      </c>
      <c r="P417" s="117">
        <f t="shared" si="76"/>
        <v>0</v>
      </c>
      <c r="Q417" s="117">
        <f>SUMIFS(Investors!$M:$M,Investors!$O:$O,FALSE,Investors!$P:$P,FALSE,Investors!$K:$K,"&gt;"&amp;'NSST Print'!$B$3,Investors!$I:$I,"&lt;="&amp;'NSST Print'!$B$3,Investors!$A:$A,'Investor Exit List'!$A417,Investors!$E:$E,'Investor Exit List'!$C417,Investors!$L:$L,'Investor Exit List'!$B417)-(SUMIFS(Investors!$M:$M,Investors!$I:$I,"&lt;="&amp;'NSST Print'!$B$3,Investors!$J:$J,"&gt;"&amp;'NSST Print'!$B$3,Investors!$A:$A,'Investor Exit List'!$A417,Investors!$E:$E,'Investor Exit List'!$C417,Investors!$L:$L,'Investor Exit List'!$B417)+SUMIFS(Investors!$M:$M,Investors!$I:$I,"&lt;="&amp;'NSST Print'!$B$3,Investors!$J:$J,"",Investors!$A:$A,'Investor Exit List'!$A417,Investors!$E:$E,'Investor Exit List'!$C417,Investors!$L:$L,'Investor Exit List'!$B417))+SUMIFS(Investors!$S:$S,Investors!$O:$O,FALSE,Investors!$P:$P,FALSE,Investors!$K:$K,"&gt;"&amp;'NSST Print'!$B$3,Investors!$I:$I,"&lt;="&amp;'NSST Print'!$B$3,Investors!$A:$A,'Investor Exit List'!$A417,Investors!$E:$E,'Investor Exit List'!$C417,Investors!$L:$L,'Investor Exit List'!$B417)-(SUMIFS(Investors!$S:$S,Investors!$I:$I,"&lt;="&amp;'NSST Print'!$B$3,Investors!$J:$J,"&gt;"&amp;'NSST Print'!$B$3,Investors!$A:$A,'Investor Exit List'!$A417,Investors!$E:$E,'Investor Exit List'!$C417,Investors!$L:$L,'Investor Exit List'!$B417)+SUMIFS(Investors!$S:$S,Investors!$I:$I,"&lt;="&amp;'NSST Print'!$B$3,Investors!$J:$J,"",Investors!$A:$A,'Investor Exit List'!$A417,Investors!$E:$E,'Investor Exit List'!$C417,Investors!$L:$L,'Investor Exit List'!$B417))</f>
        <v>132306.84931506851</v>
      </c>
      <c r="R417" s="117">
        <f t="shared" si="77"/>
        <v>0</v>
      </c>
      <c r="S417" s="117">
        <f>SUMIFS(Investors!$M:$M,Investors!$O:$O,TRUE,Investors!$A:$A,'Investor Exit List'!$A417,Investors!$E:$E,'Investor Exit List'!$C417,Investors!$L:$L,'Investor Exit List'!$B417)+SUMIFS(Investors!$S:$S,Investors!$O:$O,TRUE,Investors!$A:$A,'Investor Exit List'!$A417,Investors!$E:$E,'Investor Exit List'!$C417,Investors!$L:$L,'Investor Exit List'!$B417)</f>
        <v>0</v>
      </c>
      <c r="T417" s="118" t="str">
        <f t="shared" si="78"/>
        <v/>
      </c>
      <c r="U417" s="116" t="b">
        <v>0</v>
      </c>
      <c r="V417" s="117">
        <f t="shared" si="79"/>
        <v>0</v>
      </c>
      <c r="W417" s="116">
        <v>0</v>
      </c>
      <c r="X417" s="116" t="b">
        <v>0</v>
      </c>
      <c r="Y417" s="119">
        <f>IF(H417=FALSE,VLOOKUP($C417,Sales!$C:$F,4,FALSE),1)</f>
        <v>0</v>
      </c>
      <c r="Z417" s="116" t="str">
        <f t="shared" si="80"/>
        <v>Release</v>
      </c>
      <c r="AA417" s="118">
        <f t="shared" si="81"/>
        <v>45710</v>
      </c>
      <c r="AB417" s="118" t="str">
        <f t="shared" si="82"/>
        <v>HVK306-ZRIT01</v>
      </c>
      <c r="AC417" s="118">
        <f t="shared" si="83"/>
        <v>45802</v>
      </c>
    </row>
    <row r="418" spans="1:29" ht="16" x14ac:dyDescent="0.2">
      <c r="A418" s="116" t="s">
        <v>59</v>
      </c>
      <c r="B418" s="116">
        <v>24</v>
      </c>
      <c r="C418" s="116" t="s">
        <v>771</v>
      </c>
      <c r="D418" s="116" t="s">
        <v>750</v>
      </c>
      <c r="E418" s="116" t="s">
        <v>2019</v>
      </c>
      <c r="F418" s="117">
        <f>SUMIFS(Investors!$M:$M,Investors!$O:$O,FALSE,Investors!$P:$P,FALSE,Investors!$K:$K,"&gt;"&amp;'NSST Print'!$B$3,Investors!$I:$I,"&lt;="&amp;'NSST Print'!$B$3,Investors!$A:$A,'Investor Exit List'!$A418,Investors!$E:$E,'Investor Exit List'!$C418,Investors!$L:$L,'Investor Exit List'!$B418)-(SUMIFS(Investors!$M:$M,Investors!$I:$I,"&lt;="&amp;'NSST Print'!$B$3,Investors!$J:$J,"&gt;"&amp;'NSST Print'!$B$3,Investors!$A:$A,'Investor Exit List'!$A418,Investors!$E:$E,'Investor Exit List'!$C418,Investors!$L:$L,'Investor Exit List'!$B418)+SUMIFS(Investors!$M:$M,Investors!$I:$I,"&lt;="&amp;'NSST Print'!$B$3,Investors!$J:$J,"",Investors!$A:$A,'Investor Exit List'!$A418,Investors!$E:$E,'Investor Exit List'!$C418,Investors!$L:$L,'Investor Exit List'!$B418))</f>
        <v>114452.74</v>
      </c>
      <c r="G418" s="118">
        <v>45016</v>
      </c>
      <c r="H418" s="116" t="b">
        <f>VLOOKUP($C418,Sales!$C:$E,2,FALSE)</f>
        <v>0</v>
      </c>
      <c r="I418" s="116" t="b">
        <f>VLOOKUP($C418,Sales!$C:$E,3,FALSE)</f>
        <v>0</v>
      </c>
      <c r="J418" s="118">
        <f>SUMIFS(Sales!$H:$H,Sales!$C:$C,'Investor Exit List'!$C418)</f>
        <v>45625</v>
      </c>
      <c r="K418" s="118" t="str">
        <f t="shared" si="72"/>
        <v/>
      </c>
      <c r="L418" s="118">
        <f t="shared" si="73"/>
        <v>45746</v>
      </c>
      <c r="M418" s="118">
        <v>45443</v>
      </c>
      <c r="N418" s="119">
        <f t="shared" si="74"/>
        <v>303</v>
      </c>
      <c r="O418" s="119">
        <f t="shared" si="75"/>
        <v>0</v>
      </c>
      <c r="P418" s="117">
        <f t="shared" si="76"/>
        <v>0</v>
      </c>
      <c r="Q418" s="117">
        <f>SUMIFS(Investors!$M:$M,Investors!$O:$O,FALSE,Investors!$P:$P,FALSE,Investors!$K:$K,"&gt;"&amp;'NSST Print'!$B$3,Investors!$I:$I,"&lt;="&amp;'NSST Print'!$B$3,Investors!$A:$A,'Investor Exit List'!$A418,Investors!$E:$E,'Investor Exit List'!$C418,Investors!$L:$L,'Investor Exit List'!$B418)-(SUMIFS(Investors!$M:$M,Investors!$I:$I,"&lt;="&amp;'NSST Print'!$B$3,Investors!$J:$J,"&gt;"&amp;'NSST Print'!$B$3,Investors!$A:$A,'Investor Exit List'!$A418,Investors!$E:$E,'Investor Exit List'!$C418,Investors!$L:$L,'Investor Exit List'!$B418)+SUMIFS(Investors!$M:$M,Investors!$I:$I,"&lt;="&amp;'NSST Print'!$B$3,Investors!$J:$J,"",Investors!$A:$A,'Investor Exit List'!$A418,Investors!$E:$E,'Investor Exit List'!$C418,Investors!$L:$L,'Investor Exit List'!$B418))+SUMIFS(Investors!$S:$S,Investors!$O:$O,FALSE,Investors!$P:$P,FALSE,Investors!$K:$K,"&gt;"&amp;'NSST Print'!$B$3,Investors!$I:$I,"&lt;="&amp;'NSST Print'!$B$3,Investors!$A:$A,'Investor Exit List'!$A418,Investors!$E:$E,'Investor Exit List'!$C418,Investors!$L:$L,'Investor Exit List'!$B418)-(SUMIFS(Investors!$S:$S,Investors!$I:$I,"&lt;="&amp;'NSST Print'!$B$3,Investors!$J:$J,"&gt;"&amp;'NSST Print'!$B$3,Investors!$A:$A,'Investor Exit List'!$A418,Investors!$E:$E,'Investor Exit List'!$C418,Investors!$L:$L,'Investor Exit List'!$B418)+SUMIFS(Investors!$S:$S,Investors!$I:$I,"&lt;="&amp;'NSST Print'!$B$3,Investors!$J:$J,"",Investors!$A:$A,'Investor Exit List'!$A418,Investors!$E:$E,'Investor Exit List'!$C418,Investors!$L:$L,'Investor Exit List'!$B418))</f>
        <v>153757.06519260275</v>
      </c>
      <c r="R418" s="117">
        <f t="shared" si="77"/>
        <v>0</v>
      </c>
      <c r="S418" s="117">
        <f>SUMIFS(Investors!$M:$M,Investors!$O:$O,TRUE,Investors!$A:$A,'Investor Exit List'!$A418,Investors!$E:$E,'Investor Exit List'!$C418,Investors!$L:$L,'Investor Exit List'!$B418)+SUMIFS(Investors!$S:$S,Investors!$O:$O,TRUE,Investors!$A:$A,'Investor Exit List'!$A418,Investors!$E:$E,'Investor Exit List'!$C418,Investors!$L:$L,'Investor Exit List'!$B418)</f>
        <v>0</v>
      </c>
      <c r="T418" s="118" t="str">
        <f t="shared" si="78"/>
        <v/>
      </c>
      <c r="U418" s="116" t="b">
        <v>0</v>
      </c>
      <c r="V418" s="117">
        <f t="shared" si="79"/>
        <v>0</v>
      </c>
      <c r="W418" s="116">
        <v>0</v>
      </c>
      <c r="X418" s="116" t="b">
        <v>0</v>
      </c>
      <c r="Y418" s="119">
        <f>IF(H418=FALSE,VLOOKUP($C418,Sales!$C:$F,4,FALSE),1)</f>
        <v>0</v>
      </c>
      <c r="Z418" s="116" t="str">
        <f t="shared" si="80"/>
        <v>Release</v>
      </c>
      <c r="AA418" s="118">
        <f t="shared" si="81"/>
        <v>45710</v>
      </c>
      <c r="AB418" s="118" t="str">
        <f t="shared" si="82"/>
        <v>HVK401-ZRAN01</v>
      </c>
      <c r="AC418" s="118">
        <f t="shared" si="83"/>
        <v>45746</v>
      </c>
    </row>
    <row r="419" spans="1:29" ht="16" x14ac:dyDescent="0.2">
      <c r="A419" s="116" t="s">
        <v>772</v>
      </c>
      <c r="B419" s="116">
        <v>1</v>
      </c>
      <c r="C419" s="116" t="s">
        <v>771</v>
      </c>
      <c r="D419" s="116" t="s">
        <v>750</v>
      </c>
      <c r="E419" s="116" t="s">
        <v>2207</v>
      </c>
      <c r="F419" s="117">
        <f>SUMIFS(Investors!$M:$M,Investors!$O:$O,FALSE,Investors!$P:$P,FALSE,Investors!$K:$K,"&gt;"&amp;'NSST Print'!$B$3,Investors!$I:$I,"&lt;="&amp;'NSST Print'!$B$3,Investors!$A:$A,'Investor Exit List'!$A419,Investors!$E:$E,'Investor Exit List'!$C419,Investors!$L:$L,'Investor Exit List'!$B419)-(SUMIFS(Investors!$M:$M,Investors!$I:$I,"&lt;="&amp;'NSST Print'!$B$3,Investors!$J:$J,"&gt;"&amp;'NSST Print'!$B$3,Investors!$A:$A,'Investor Exit List'!$A419,Investors!$E:$E,'Investor Exit List'!$C419,Investors!$L:$L,'Investor Exit List'!$B419)+SUMIFS(Investors!$M:$M,Investors!$I:$I,"&lt;="&amp;'NSST Print'!$B$3,Investors!$J:$J,"",Investors!$A:$A,'Investor Exit List'!$A419,Investors!$E:$E,'Investor Exit List'!$C419,Investors!$L:$L,'Investor Exit List'!$B419))</f>
        <v>1000000</v>
      </c>
      <c r="G419" s="118">
        <v>44980</v>
      </c>
      <c r="H419" s="116" t="b">
        <f>VLOOKUP($C419,Sales!$C:$E,2,FALSE)</f>
        <v>0</v>
      </c>
      <c r="I419" s="116" t="b">
        <f>VLOOKUP($C419,Sales!$C:$E,3,FALSE)</f>
        <v>0</v>
      </c>
      <c r="J419" s="118">
        <f>SUMIFS(Sales!$H:$H,Sales!$C:$C,'Investor Exit List'!$C419)</f>
        <v>45625</v>
      </c>
      <c r="K419" s="118" t="str">
        <f t="shared" si="72"/>
        <v/>
      </c>
      <c r="L419" s="118">
        <f t="shared" si="73"/>
        <v>45710</v>
      </c>
      <c r="M419" s="118">
        <v>45443</v>
      </c>
      <c r="N419" s="119">
        <f t="shared" si="74"/>
        <v>267</v>
      </c>
      <c r="O419" s="119">
        <f t="shared" si="75"/>
        <v>0</v>
      </c>
      <c r="P419" s="117">
        <f t="shared" si="76"/>
        <v>0</v>
      </c>
      <c r="Q419" s="117">
        <f>SUMIFS(Investors!$M:$M,Investors!$O:$O,FALSE,Investors!$P:$P,FALSE,Investors!$K:$K,"&gt;"&amp;'NSST Print'!$B$3,Investors!$I:$I,"&lt;="&amp;'NSST Print'!$B$3,Investors!$A:$A,'Investor Exit List'!$A419,Investors!$E:$E,'Investor Exit List'!$C419,Investors!$L:$L,'Investor Exit List'!$B419)-(SUMIFS(Investors!$M:$M,Investors!$I:$I,"&lt;="&amp;'NSST Print'!$B$3,Investors!$J:$J,"&gt;"&amp;'NSST Print'!$B$3,Investors!$A:$A,'Investor Exit List'!$A419,Investors!$E:$E,'Investor Exit List'!$C419,Investors!$L:$L,'Investor Exit List'!$B419)+SUMIFS(Investors!$M:$M,Investors!$I:$I,"&lt;="&amp;'NSST Print'!$B$3,Investors!$J:$J,"",Investors!$A:$A,'Investor Exit List'!$A419,Investors!$E:$E,'Investor Exit List'!$C419,Investors!$L:$L,'Investor Exit List'!$B419))+SUMIFS(Investors!$S:$S,Investors!$O:$O,FALSE,Investors!$P:$P,FALSE,Investors!$K:$K,"&gt;"&amp;'NSST Print'!$B$3,Investors!$I:$I,"&lt;="&amp;'NSST Print'!$B$3,Investors!$A:$A,'Investor Exit List'!$A419,Investors!$E:$E,'Investor Exit List'!$C419,Investors!$L:$L,'Investor Exit List'!$B419)-(SUMIFS(Investors!$S:$S,Investors!$I:$I,"&lt;="&amp;'NSST Print'!$B$3,Investors!$J:$J,"&gt;"&amp;'NSST Print'!$B$3,Investors!$A:$A,'Investor Exit List'!$A419,Investors!$E:$E,'Investor Exit List'!$C419,Investors!$L:$L,'Investor Exit List'!$B419)+SUMIFS(Investors!$S:$S,Investors!$I:$I,"&lt;="&amp;'NSST Print'!$B$3,Investors!$J:$J,"",Investors!$A:$A,'Investor Exit List'!$A419,Investors!$E:$E,'Investor Exit List'!$C419,Investors!$L:$L,'Investor Exit List'!$B419))</f>
        <v>1352636.9863013697</v>
      </c>
      <c r="R419" s="117">
        <f t="shared" si="77"/>
        <v>0</v>
      </c>
      <c r="S419" s="117">
        <f>SUMIFS(Investors!$M:$M,Investors!$O:$O,TRUE,Investors!$A:$A,'Investor Exit List'!$A419,Investors!$E:$E,'Investor Exit List'!$C419,Investors!$L:$L,'Investor Exit List'!$B419)+SUMIFS(Investors!$S:$S,Investors!$O:$O,TRUE,Investors!$A:$A,'Investor Exit List'!$A419,Investors!$E:$E,'Investor Exit List'!$C419,Investors!$L:$L,'Investor Exit List'!$B419)</f>
        <v>0</v>
      </c>
      <c r="T419" s="118" t="str">
        <f t="shared" si="78"/>
        <v/>
      </c>
      <c r="U419" s="116" t="b">
        <v>0</v>
      </c>
      <c r="V419" s="117">
        <f t="shared" si="79"/>
        <v>0</v>
      </c>
      <c r="W419" s="116">
        <v>0</v>
      </c>
      <c r="X419" s="116" t="b">
        <v>0</v>
      </c>
      <c r="Y419" s="119">
        <f>IF(H419=FALSE,VLOOKUP($C419,Sales!$C:$F,4,FALSE),1)</f>
        <v>0</v>
      </c>
      <c r="Z419" s="116" t="str">
        <f t="shared" si="80"/>
        <v>Release</v>
      </c>
      <c r="AA419" s="118">
        <f t="shared" si="81"/>
        <v>45710</v>
      </c>
      <c r="AB419" s="118" t="str">
        <f t="shared" si="82"/>
        <v>HVK401-ZVAN13</v>
      </c>
      <c r="AC419" s="118">
        <f t="shared" si="83"/>
        <v>45710</v>
      </c>
    </row>
    <row r="420" spans="1:29" ht="16" x14ac:dyDescent="0.2">
      <c r="A420" s="116" t="s">
        <v>41</v>
      </c>
      <c r="B420" s="116">
        <v>2</v>
      </c>
      <c r="C420" s="116" t="s">
        <v>775</v>
      </c>
      <c r="D420" s="116" t="s">
        <v>750</v>
      </c>
      <c r="E420" s="116" t="s">
        <v>2014</v>
      </c>
      <c r="F420" s="117">
        <f>SUMIFS(Investors!$M:$M,Investors!$O:$O,FALSE,Investors!$P:$P,FALSE,Investors!$K:$K,"&gt;"&amp;'NSST Print'!$B$3,Investors!$I:$I,"&lt;="&amp;'NSST Print'!$B$3,Investors!$A:$A,'Investor Exit List'!$A420,Investors!$E:$E,'Investor Exit List'!$C420,Investors!$L:$L,'Investor Exit List'!$B420)-(SUMIFS(Investors!$M:$M,Investors!$I:$I,"&lt;="&amp;'NSST Print'!$B$3,Investors!$J:$J,"&gt;"&amp;'NSST Print'!$B$3,Investors!$A:$A,'Investor Exit List'!$A420,Investors!$E:$E,'Investor Exit List'!$C420,Investors!$L:$L,'Investor Exit List'!$B420)+SUMIFS(Investors!$M:$M,Investors!$I:$I,"&lt;="&amp;'NSST Print'!$B$3,Investors!$J:$J,"",Investors!$A:$A,'Investor Exit List'!$A420,Investors!$E:$E,'Investor Exit List'!$C420,Investors!$L:$L,'Investor Exit List'!$B420))</f>
        <v>123099.32</v>
      </c>
      <c r="G420" s="118">
        <v>44995</v>
      </c>
      <c r="H420" s="116" t="b">
        <f>VLOOKUP($C420,Sales!$C:$E,2,FALSE)</f>
        <v>0</v>
      </c>
      <c r="I420" s="116" t="b">
        <f>VLOOKUP($C420,Sales!$C:$E,3,FALSE)</f>
        <v>0</v>
      </c>
      <c r="J420" s="118">
        <f>SUMIFS(Sales!$H:$H,Sales!$C:$C,'Investor Exit List'!$C420)</f>
        <v>45625</v>
      </c>
      <c r="K420" s="118" t="str">
        <f t="shared" si="72"/>
        <v/>
      </c>
      <c r="L420" s="118">
        <f t="shared" si="73"/>
        <v>45725</v>
      </c>
      <c r="M420" s="118">
        <v>45443</v>
      </c>
      <c r="N420" s="119">
        <f t="shared" si="74"/>
        <v>282</v>
      </c>
      <c r="O420" s="119">
        <f t="shared" si="75"/>
        <v>0</v>
      </c>
      <c r="P420" s="117">
        <f t="shared" si="76"/>
        <v>0</v>
      </c>
      <c r="Q420" s="117">
        <f>SUMIFS(Investors!$M:$M,Investors!$O:$O,FALSE,Investors!$P:$P,FALSE,Investors!$K:$K,"&gt;"&amp;'NSST Print'!$B$3,Investors!$I:$I,"&lt;="&amp;'NSST Print'!$B$3,Investors!$A:$A,'Investor Exit List'!$A420,Investors!$E:$E,'Investor Exit List'!$C420,Investors!$L:$L,'Investor Exit List'!$B420)-(SUMIFS(Investors!$M:$M,Investors!$I:$I,"&lt;="&amp;'NSST Print'!$B$3,Investors!$J:$J,"&gt;"&amp;'NSST Print'!$B$3,Investors!$A:$A,'Investor Exit List'!$A420,Investors!$E:$E,'Investor Exit List'!$C420,Investors!$L:$L,'Investor Exit List'!$B420)+SUMIFS(Investors!$M:$M,Investors!$I:$I,"&lt;="&amp;'NSST Print'!$B$3,Investors!$J:$J,"",Investors!$A:$A,'Investor Exit List'!$A420,Investors!$E:$E,'Investor Exit List'!$C420,Investors!$L:$L,'Investor Exit List'!$B420))+SUMIFS(Investors!$S:$S,Investors!$O:$O,FALSE,Investors!$P:$P,FALSE,Investors!$K:$K,"&gt;"&amp;'NSST Print'!$B$3,Investors!$I:$I,"&lt;="&amp;'NSST Print'!$B$3,Investors!$A:$A,'Investor Exit List'!$A420,Investors!$E:$E,'Investor Exit List'!$C420,Investors!$L:$L,'Investor Exit List'!$B420)-(SUMIFS(Investors!$S:$S,Investors!$I:$I,"&lt;="&amp;'NSST Print'!$B$3,Investors!$J:$J,"&gt;"&amp;'NSST Print'!$B$3,Investors!$A:$A,'Investor Exit List'!$A420,Investors!$E:$E,'Investor Exit List'!$C420,Investors!$L:$L,'Investor Exit List'!$B420)+SUMIFS(Investors!$S:$S,Investors!$I:$I,"&lt;="&amp;'NSST Print'!$B$3,Investors!$J:$J,"",Investors!$A:$A,'Investor Exit List'!$A420,Investors!$E:$E,'Investor Exit List'!$C420,Investors!$L:$L,'Investor Exit List'!$B420))</f>
        <v>158121.9196860274</v>
      </c>
      <c r="R420" s="117">
        <f t="shared" si="77"/>
        <v>0</v>
      </c>
      <c r="S420" s="117">
        <f>SUMIFS(Investors!$M:$M,Investors!$O:$O,TRUE,Investors!$A:$A,'Investor Exit List'!$A420,Investors!$E:$E,'Investor Exit List'!$C420,Investors!$L:$L,'Investor Exit List'!$B420)+SUMIFS(Investors!$S:$S,Investors!$O:$O,TRUE,Investors!$A:$A,'Investor Exit List'!$A420,Investors!$E:$E,'Investor Exit List'!$C420,Investors!$L:$L,'Investor Exit List'!$B420)</f>
        <v>0</v>
      </c>
      <c r="T420" s="118" t="str">
        <f t="shared" si="78"/>
        <v/>
      </c>
      <c r="U420" s="116" t="b">
        <v>0</v>
      </c>
      <c r="V420" s="117">
        <f t="shared" si="79"/>
        <v>0</v>
      </c>
      <c r="W420" s="116">
        <v>0</v>
      </c>
      <c r="X420" s="116" t="b">
        <v>0</v>
      </c>
      <c r="Y420" s="119">
        <f>IF(H420=FALSE,VLOOKUP($C420,Sales!$C:$F,4,FALSE),1)</f>
        <v>0</v>
      </c>
      <c r="Z420" s="116" t="str">
        <f t="shared" si="80"/>
        <v>Release</v>
      </c>
      <c r="AA420" s="118">
        <f t="shared" si="81"/>
        <v>45725</v>
      </c>
      <c r="AB420" s="118" t="str">
        <f t="shared" si="82"/>
        <v>HVK402-ZVAN02</v>
      </c>
      <c r="AC420" s="118">
        <f t="shared" si="83"/>
        <v>45725</v>
      </c>
    </row>
    <row r="421" spans="1:29" ht="16" x14ac:dyDescent="0.2">
      <c r="A421" s="116" t="s">
        <v>776</v>
      </c>
      <c r="B421" s="116">
        <v>1</v>
      </c>
      <c r="C421" s="116" t="s">
        <v>775</v>
      </c>
      <c r="D421" s="116" t="s">
        <v>750</v>
      </c>
      <c r="E421" s="116" t="s">
        <v>2208</v>
      </c>
      <c r="F421" s="117">
        <f>SUMIFS(Investors!$M:$M,Investors!$O:$O,FALSE,Investors!$P:$P,FALSE,Investors!$K:$K,"&gt;"&amp;'NSST Print'!$B$3,Investors!$I:$I,"&lt;="&amp;'NSST Print'!$B$3,Investors!$A:$A,'Investor Exit List'!$A421,Investors!$E:$E,'Investor Exit List'!$C421,Investors!$L:$L,'Investor Exit List'!$B421)-(SUMIFS(Investors!$M:$M,Investors!$I:$I,"&lt;="&amp;'NSST Print'!$B$3,Investors!$J:$J,"&gt;"&amp;'NSST Print'!$B$3,Investors!$A:$A,'Investor Exit List'!$A421,Investors!$E:$E,'Investor Exit List'!$C421,Investors!$L:$L,'Investor Exit List'!$B421)+SUMIFS(Investors!$M:$M,Investors!$I:$I,"&lt;="&amp;'NSST Print'!$B$3,Investors!$J:$J,"",Investors!$A:$A,'Investor Exit List'!$A421,Investors!$E:$E,'Investor Exit List'!$C421,Investors!$L:$L,'Investor Exit List'!$B421))</f>
        <v>1000000</v>
      </c>
      <c r="G421" s="118">
        <v>45016</v>
      </c>
      <c r="H421" s="116" t="b">
        <f>VLOOKUP($C421,Sales!$C:$E,2,FALSE)</f>
        <v>0</v>
      </c>
      <c r="I421" s="116" t="b">
        <f>VLOOKUP($C421,Sales!$C:$E,3,FALSE)</f>
        <v>0</v>
      </c>
      <c r="J421" s="118">
        <f>SUMIFS(Sales!$H:$H,Sales!$C:$C,'Investor Exit List'!$C421)</f>
        <v>45625</v>
      </c>
      <c r="K421" s="118" t="str">
        <f t="shared" si="72"/>
        <v/>
      </c>
      <c r="L421" s="118">
        <f t="shared" si="73"/>
        <v>45746</v>
      </c>
      <c r="M421" s="118">
        <v>45443</v>
      </c>
      <c r="N421" s="119">
        <f t="shared" si="74"/>
        <v>303</v>
      </c>
      <c r="O421" s="119">
        <f t="shared" si="75"/>
        <v>0</v>
      </c>
      <c r="P421" s="117">
        <f t="shared" si="76"/>
        <v>0</v>
      </c>
      <c r="Q421" s="117">
        <f>SUMIFS(Investors!$M:$M,Investors!$O:$O,FALSE,Investors!$P:$P,FALSE,Investors!$K:$K,"&gt;"&amp;'NSST Print'!$B$3,Investors!$I:$I,"&lt;="&amp;'NSST Print'!$B$3,Investors!$A:$A,'Investor Exit List'!$A421,Investors!$E:$E,'Investor Exit List'!$C421,Investors!$L:$L,'Investor Exit List'!$B421)-(SUMIFS(Investors!$M:$M,Investors!$I:$I,"&lt;="&amp;'NSST Print'!$B$3,Investors!$J:$J,"&gt;"&amp;'NSST Print'!$B$3,Investors!$A:$A,'Investor Exit List'!$A421,Investors!$E:$E,'Investor Exit List'!$C421,Investors!$L:$L,'Investor Exit List'!$B421)+SUMIFS(Investors!$M:$M,Investors!$I:$I,"&lt;="&amp;'NSST Print'!$B$3,Investors!$J:$J,"",Investors!$A:$A,'Investor Exit List'!$A421,Investors!$E:$E,'Investor Exit List'!$C421,Investors!$L:$L,'Investor Exit List'!$B421))+SUMIFS(Investors!$S:$S,Investors!$O:$O,FALSE,Investors!$P:$P,FALSE,Investors!$K:$K,"&gt;"&amp;'NSST Print'!$B$3,Investors!$I:$I,"&lt;="&amp;'NSST Print'!$B$3,Investors!$A:$A,'Investor Exit List'!$A421,Investors!$E:$E,'Investor Exit List'!$C421,Investors!$L:$L,'Investor Exit List'!$B421)-(SUMIFS(Investors!$S:$S,Investors!$I:$I,"&lt;="&amp;'NSST Print'!$B$3,Investors!$J:$J,"&gt;"&amp;'NSST Print'!$B$3,Investors!$A:$A,'Investor Exit List'!$A421,Investors!$E:$E,'Investor Exit List'!$C421,Investors!$L:$L,'Investor Exit List'!$B421)+SUMIFS(Investors!$S:$S,Investors!$I:$I,"&lt;="&amp;'NSST Print'!$B$3,Investors!$J:$J,"",Investors!$A:$A,'Investor Exit List'!$A421,Investors!$E:$E,'Investor Exit List'!$C421,Investors!$L:$L,'Investor Exit List'!$B421))</f>
        <v>1343678.0821917807</v>
      </c>
      <c r="R421" s="117">
        <f t="shared" si="77"/>
        <v>0</v>
      </c>
      <c r="S421" s="117">
        <f>SUMIFS(Investors!$M:$M,Investors!$O:$O,TRUE,Investors!$A:$A,'Investor Exit List'!$A421,Investors!$E:$E,'Investor Exit List'!$C421,Investors!$L:$L,'Investor Exit List'!$B421)+SUMIFS(Investors!$S:$S,Investors!$O:$O,TRUE,Investors!$A:$A,'Investor Exit List'!$A421,Investors!$E:$E,'Investor Exit List'!$C421,Investors!$L:$L,'Investor Exit List'!$B421)</f>
        <v>0</v>
      </c>
      <c r="T421" s="118" t="str">
        <f t="shared" si="78"/>
        <v/>
      </c>
      <c r="U421" s="116" t="b">
        <v>0</v>
      </c>
      <c r="V421" s="117">
        <f t="shared" si="79"/>
        <v>0</v>
      </c>
      <c r="W421" s="116">
        <v>0</v>
      </c>
      <c r="X421" s="116" t="b">
        <v>0</v>
      </c>
      <c r="Y421" s="119">
        <f>IF(H421=FALSE,VLOOKUP($C421,Sales!$C:$F,4,FALSE),1)</f>
        <v>0</v>
      </c>
      <c r="Z421" s="116" t="str">
        <f t="shared" si="80"/>
        <v>Release</v>
      </c>
      <c r="AA421" s="118">
        <f t="shared" si="81"/>
        <v>45725</v>
      </c>
      <c r="AB421" s="118" t="str">
        <f t="shared" si="82"/>
        <v>HVK402-ZVAN14</v>
      </c>
      <c r="AC421" s="118">
        <f t="shared" si="83"/>
        <v>45746</v>
      </c>
    </row>
    <row r="422" spans="1:29" ht="16" x14ac:dyDescent="0.2">
      <c r="A422" s="116" t="s">
        <v>426</v>
      </c>
      <c r="B422" s="116">
        <v>9</v>
      </c>
      <c r="C422" s="116" t="s">
        <v>778</v>
      </c>
      <c r="D422" s="116" t="s">
        <v>750</v>
      </c>
      <c r="E422" s="116" t="s">
        <v>2017</v>
      </c>
      <c r="F422" s="117">
        <f>SUMIFS(Investors!$M:$M,Investors!$O:$O,FALSE,Investors!$P:$P,FALSE,Investors!$K:$K,"&gt;"&amp;'NSST Print'!$B$3,Investors!$I:$I,"&lt;="&amp;'NSST Print'!$B$3,Investors!$A:$A,'Investor Exit List'!$A422,Investors!$E:$E,'Investor Exit List'!$C422,Investors!$L:$L,'Investor Exit List'!$B422)-(SUMIFS(Investors!$M:$M,Investors!$I:$I,"&lt;="&amp;'NSST Print'!$B$3,Investors!$J:$J,"&gt;"&amp;'NSST Print'!$B$3,Investors!$A:$A,'Investor Exit List'!$A422,Investors!$E:$E,'Investor Exit List'!$C422,Investors!$L:$L,'Investor Exit List'!$B422)+SUMIFS(Investors!$M:$M,Investors!$I:$I,"&lt;="&amp;'NSST Print'!$B$3,Investors!$J:$J,"",Investors!$A:$A,'Investor Exit List'!$A422,Investors!$E:$E,'Investor Exit List'!$C422,Investors!$L:$L,'Investor Exit List'!$B422))</f>
        <v>150000</v>
      </c>
      <c r="G422" s="118">
        <v>45107</v>
      </c>
      <c r="H422" s="116" t="b">
        <f>VLOOKUP($C422,Sales!$C:$E,2,FALSE)</f>
        <v>0</v>
      </c>
      <c r="I422" s="116" t="b">
        <f>VLOOKUP($C422,Sales!$C:$E,3,FALSE)</f>
        <v>0</v>
      </c>
      <c r="J422" s="118">
        <f>SUMIFS(Sales!$H:$H,Sales!$C:$C,'Investor Exit List'!$C422)</f>
        <v>45625</v>
      </c>
      <c r="K422" s="118" t="str">
        <f t="shared" si="72"/>
        <v/>
      </c>
      <c r="L422" s="118">
        <f t="shared" si="73"/>
        <v>45837</v>
      </c>
      <c r="M422" s="118">
        <v>45443</v>
      </c>
      <c r="N422" s="119">
        <f t="shared" si="74"/>
        <v>394</v>
      </c>
      <c r="O422" s="119">
        <f t="shared" si="75"/>
        <v>0</v>
      </c>
      <c r="P422" s="117">
        <f t="shared" si="76"/>
        <v>0</v>
      </c>
      <c r="Q422" s="117">
        <f>SUMIFS(Investors!$M:$M,Investors!$O:$O,FALSE,Investors!$P:$P,FALSE,Investors!$K:$K,"&gt;"&amp;'NSST Print'!$B$3,Investors!$I:$I,"&lt;="&amp;'NSST Print'!$B$3,Investors!$A:$A,'Investor Exit List'!$A422,Investors!$E:$E,'Investor Exit List'!$C422,Investors!$L:$L,'Investor Exit List'!$B422)-(SUMIFS(Investors!$M:$M,Investors!$I:$I,"&lt;="&amp;'NSST Print'!$B$3,Investors!$J:$J,"&gt;"&amp;'NSST Print'!$B$3,Investors!$A:$A,'Investor Exit List'!$A422,Investors!$E:$E,'Investor Exit List'!$C422,Investors!$L:$L,'Investor Exit List'!$B422)+SUMIFS(Investors!$M:$M,Investors!$I:$I,"&lt;="&amp;'NSST Print'!$B$3,Investors!$J:$J,"",Investors!$A:$A,'Investor Exit List'!$A422,Investors!$E:$E,'Investor Exit List'!$C422,Investors!$L:$L,'Investor Exit List'!$B422))+SUMIFS(Investors!$S:$S,Investors!$O:$O,FALSE,Investors!$P:$P,FALSE,Investors!$K:$K,"&gt;"&amp;'NSST Print'!$B$3,Investors!$I:$I,"&lt;="&amp;'NSST Print'!$B$3,Investors!$A:$A,'Investor Exit List'!$A422,Investors!$E:$E,'Investor Exit List'!$C422,Investors!$L:$L,'Investor Exit List'!$B422)-(SUMIFS(Investors!$S:$S,Investors!$I:$I,"&lt;="&amp;'NSST Print'!$B$3,Investors!$J:$J,"&gt;"&amp;'NSST Print'!$B$3,Investors!$A:$A,'Investor Exit List'!$A422,Investors!$E:$E,'Investor Exit List'!$C422,Investors!$L:$L,'Investor Exit List'!$B422)+SUMIFS(Investors!$S:$S,Investors!$I:$I,"&lt;="&amp;'NSST Print'!$B$3,Investors!$J:$J,"",Investors!$A:$A,'Investor Exit List'!$A422,Investors!$E:$E,'Investor Exit List'!$C422,Investors!$L:$L,'Investor Exit List'!$B422))</f>
        <v>195692.46575342468</v>
      </c>
      <c r="R422" s="117">
        <f t="shared" si="77"/>
        <v>0</v>
      </c>
      <c r="S422" s="117">
        <f>SUMIFS(Investors!$M:$M,Investors!$O:$O,TRUE,Investors!$A:$A,'Investor Exit List'!$A422,Investors!$E:$E,'Investor Exit List'!$C422,Investors!$L:$L,'Investor Exit List'!$B422)+SUMIFS(Investors!$S:$S,Investors!$O:$O,TRUE,Investors!$A:$A,'Investor Exit List'!$A422,Investors!$E:$E,'Investor Exit List'!$C422,Investors!$L:$L,'Investor Exit List'!$B422)</f>
        <v>0</v>
      </c>
      <c r="T422" s="118" t="str">
        <f t="shared" si="78"/>
        <v/>
      </c>
      <c r="U422" s="116" t="b">
        <v>0</v>
      </c>
      <c r="V422" s="117">
        <f t="shared" si="79"/>
        <v>0</v>
      </c>
      <c r="W422" s="116">
        <v>0</v>
      </c>
      <c r="X422" s="116" t="b">
        <v>0</v>
      </c>
      <c r="Y422" s="119">
        <f>IF(H422=FALSE,VLOOKUP($C422,Sales!$C:$F,4,FALSE),1)</f>
        <v>0</v>
      </c>
      <c r="Z422" s="116" t="str">
        <f t="shared" si="80"/>
        <v>Release</v>
      </c>
      <c r="AA422" s="118">
        <f t="shared" si="81"/>
        <v>45738</v>
      </c>
      <c r="AB422" s="118" t="str">
        <f t="shared" si="82"/>
        <v>HVK403-ZALM01</v>
      </c>
      <c r="AC422" s="118">
        <f t="shared" si="83"/>
        <v>45837</v>
      </c>
    </row>
    <row r="423" spans="1:29" ht="16" x14ac:dyDescent="0.2">
      <c r="A423" s="116" t="s">
        <v>779</v>
      </c>
      <c r="B423" s="116">
        <v>1</v>
      </c>
      <c r="C423" s="116" t="s">
        <v>778</v>
      </c>
      <c r="D423" s="116" t="s">
        <v>750</v>
      </c>
      <c r="E423" s="116" t="s">
        <v>2209</v>
      </c>
      <c r="F423" s="117">
        <f>SUMIFS(Investors!$M:$M,Investors!$O:$O,FALSE,Investors!$P:$P,FALSE,Investors!$K:$K,"&gt;"&amp;'NSST Print'!$B$3,Investors!$I:$I,"&lt;="&amp;'NSST Print'!$B$3,Investors!$A:$A,'Investor Exit List'!$A423,Investors!$E:$E,'Investor Exit List'!$C423,Investors!$L:$L,'Investor Exit List'!$B423)-(SUMIFS(Investors!$M:$M,Investors!$I:$I,"&lt;="&amp;'NSST Print'!$B$3,Investors!$J:$J,"&gt;"&amp;'NSST Print'!$B$3,Investors!$A:$A,'Investor Exit List'!$A423,Investors!$E:$E,'Investor Exit List'!$C423,Investors!$L:$L,'Investor Exit List'!$B423)+SUMIFS(Investors!$M:$M,Investors!$I:$I,"&lt;="&amp;'NSST Print'!$B$3,Investors!$J:$J,"",Investors!$A:$A,'Investor Exit List'!$A423,Investors!$E:$E,'Investor Exit List'!$C423,Investors!$L:$L,'Investor Exit List'!$B423))</f>
        <v>100000</v>
      </c>
      <c r="G423" s="118">
        <v>45016</v>
      </c>
      <c r="H423" s="116" t="b">
        <f>VLOOKUP($C423,Sales!$C:$E,2,FALSE)</f>
        <v>0</v>
      </c>
      <c r="I423" s="116" t="b">
        <f>VLOOKUP($C423,Sales!$C:$E,3,FALSE)</f>
        <v>0</v>
      </c>
      <c r="J423" s="118">
        <f>SUMIFS(Sales!$H:$H,Sales!$C:$C,'Investor Exit List'!$C423)</f>
        <v>45625</v>
      </c>
      <c r="K423" s="118" t="str">
        <f t="shared" si="72"/>
        <v/>
      </c>
      <c r="L423" s="118">
        <f t="shared" si="73"/>
        <v>45746</v>
      </c>
      <c r="M423" s="118">
        <v>45443</v>
      </c>
      <c r="N423" s="119">
        <f t="shared" si="74"/>
        <v>303</v>
      </c>
      <c r="O423" s="119">
        <f t="shared" si="75"/>
        <v>0</v>
      </c>
      <c r="P423" s="117">
        <f t="shared" si="76"/>
        <v>0</v>
      </c>
      <c r="Q423" s="117">
        <f>SUMIFS(Investors!$M:$M,Investors!$O:$O,FALSE,Investors!$P:$P,FALSE,Investors!$K:$K,"&gt;"&amp;'NSST Print'!$B$3,Investors!$I:$I,"&lt;="&amp;'NSST Print'!$B$3,Investors!$A:$A,'Investor Exit List'!$A423,Investors!$E:$E,'Investor Exit List'!$C423,Investors!$L:$L,'Investor Exit List'!$B423)-(SUMIFS(Investors!$M:$M,Investors!$I:$I,"&lt;="&amp;'NSST Print'!$B$3,Investors!$J:$J,"&gt;"&amp;'NSST Print'!$B$3,Investors!$A:$A,'Investor Exit List'!$A423,Investors!$E:$E,'Investor Exit List'!$C423,Investors!$L:$L,'Investor Exit List'!$B423)+SUMIFS(Investors!$M:$M,Investors!$I:$I,"&lt;="&amp;'NSST Print'!$B$3,Investors!$J:$J,"",Investors!$A:$A,'Investor Exit List'!$A423,Investors!$E:$E,'Investor Exit List'!$C423,Investors!$L:$L,'Investor Exit List'!$B423))+SUMIFS(Investors!$S:$S,Investors!$O:$O,FALSE,Investors!$P:$P,FALSE,Investors!$K:$K,"&gt;"&amp;'NSST Print'!$B$3,Investors!$I:$I,"&lt;="&amp;'NSST Print'!$B$3,Investors!$A:$A,'Investor Exit List'!$A423,Investors!$E:$E,'Investor Exit List'!$C423,Investors!$L:$L,'Investor Exit List'!$B423)-(SUMIFS(Investors!$S:$S,Investors!$I:$I,"&lt;="&amp;'NSST Print'!$B$3,Investors!$J:$J,"&gt;"&amp;'NSST Print'!$B$3,Investors!$A:$A,'Investor Exit List'!$A423,Investors!$E:$E,'Investor Exit List'!$C423,Investors!$L:$L,'Investor Exit List'!$B423)+SUMIFS(Investors!$S:$S,Investors!$I:$I,"&lt;="&amp;'NSST Print'!$B$3,Investors!$J:$J,"",Investors!$A:$A,'Investor Exit List'!$A423,Investors!$E:$E,'Investor Exit List'!$C423,Investors!$L:$L,'Investor Exit List'!$B423))</f>
        <v>126833.56164383561</v>
      </c>
      <c r="R423" s="117">
        <f t="shared" si="77"/>
        <v>0</v>
      </c>
      <c r="S423" s="117">
        <f>SUMIFS(Investors!$M:$M,Investors!$O:$O,TRUE,Investors!$A:$A,'Investor Exit List'!$A423,Investors!$E:$E,'Investor Exit List'!$C423,Investors!$L:$L,'Investor Exit List'!$B423)+SUMIFS(Investors!$S:$S,Investors!$O:$O,TRUE,Investors!$A:$A,'Investor Exit List'!$A423,Investors!$E:$E,'Investor Exit List'!$C423,Investors!$L:$L,'Investor Exit List'!$B423)</f>
        <v>0</v>
      </c>
      <c r="T423" s="118" t="str">
        <f t="shared" si="78"/>
        <v/>
      </c>
      <c r="U423" s="116" t="b">
        <v>0</v>
      </c>
      <c r="V423" s="117">
        <f t="shared" si="79"/>
        <v>0</v>
      </c>
      <c r="W423" s="116">
        <v>0</v>
      </c>
      <c r="X423" s="116" t="b">
        <v>0</v>
      </c>
      <c r="Y423" s="119">
        <f>IF(H423=FALSE,VLOOKUP($C423,Sales!$C:$F,4,FALSE),1)</f>
        <v>0</v>
      </c>
      <c r="Z423" s="116" t="str">
        <f t="shared" si="80"/>
        <v>Release</v>
      </c>
      <c r="AA423" s="118">
        <f t="shared" si="81"/>
        <v>45738</v>
      </c>
      <c r="AB423" s="118" t="str">
        <f t="shared" si="82"/>
        <v>HVK403-ZGRA01</v>
      </c>
      <c r="AC423" s="118">
        <f t="shared" si="83"/>
        <v>45746</v>
      </c>
    </row>
    <row r="424" spans="1:29" ht="16" x14ac:dyDescent="0.2">
      <c r="A424" s="116" t="s">
        <v>781</v>
      </c>
      <c r="B424" s="116">
        <v>1</v>
      </c>
      <c r="C424" s="116" t="s">
        <v>778</v>
      </c>
      <c r="D424" s="116" t="s">
        <v>750</v>
      </c>
      <c r="E424" s="116" t="s">
        <v>2210</v>
      </c>
      <c r="F424" s="117">
        <f>SUMIFS(Investors!$M:$M,Investors!$O:$O,FALSE,Investors!$P:$P,FALSE,Investors!$K:$K,"&gt;"&amp;'NSST Print'!$B$3,Investors!$I:$I,"&lt;="&amp;'NSST Print'!$B$3,Investors!$A:$A,'Investor Exit List'!$A424,Investors!$E:$E,'Investor Exit List'!$C424,Investors!$L:$L,'Investor Exit List'!$B424)-(SUMIFS(Investors!$M:$M,Investors!$I:$I,"&lt;="&amp;'NSST Print'!$B$3,Investors!$J:$J,"&gt;"&amp;'NSST Print'!$B$3,Investors!$A:$A,'Investor Exit List'!$A424,Investors!$E:$E,'Investor Exit List'!$C424,Investors!$L:$L,'Investor Exit List'!$B424)+SUMIFS(Investors!$M:$M,Investors!$I:$I,"&lt;="&amp;'NSST Print'!$B$3,Investors!$J:$J,"",Investors!$A:$A,'Investor Exit List'!$A424,Investors!$E:$E,'Investor Exit List'!$C424,Investors!$L:$L,'Investor Exit List'!$B424))</f>
        <v>200000</v>
      </c>
      <c r="G424" s="118">
        <v>45016</v>
      </c>
      <c r="H424" s="116" t="b">
        <f>VLOOKUP($C424,Sales!$C:$E,2,FALSE)</f>
        <v>0</v>
      </c>
      <c r="I424" s="116" t="b">
        <f>VLOOKUP($C424,Sales!$C:$E,3,FALSE)</f>
        <v>0</v>
      </c>
      <c r="J424" s="118">
        <f>SUMIFS(Sales!$H:$H,Sales!$C:$C,'Investor Exit List'!$C424)</f>
        <v>45625</v>
      </c>
      <c r="K424" s="118" t="str">
        <f t="shared" si="72"/>
        <v/>
      </c>
      <c r="L424" s="118">
        <f t="shared" si="73"/>
        <v>45746</v>
      </c>
      <c r="M424" s="118">
        <v>45443</v>
      </c>
      <c r="N424" s="119">
        <f t="shared" si="74"/>
        <v>303</v>
      </c>
      <c r="O424" s="119">
        <f t="shared" si="75"/>
        <v>0</v>
      </c>
      <c r="P424" s="117">
        <f t="shared" si="76"/>
        <v>0</v>
      </c>
      <c r="Q424" s="117">
        <f>SUMIFS(Investors!$M:$M,Investors!$O:$O,FALSE,Investors!$P:$P,FALSE,Investors!$K:$K,"&gt;"&amp;'NSST Print'!$B$3,Investors!$I:$I,"&lt;="&amp;'NSST Print'!$B$3,Investors!$A:$A,'Investor Exit List'!$A424,Investors!$E:$E,'Investor Exit List'!$C424,Investors!$L:$L,'Investor Exit List'!$B424)-(SUMIFS(Investors!$M:$M,Investors!$I:$I,"&lt;="&amp;'NSST Print'!$B$3,Investors!$J:$J,"&gt;"&amp;'NSST Print'!$B$3,Investors!$A:$A,'Investor Exit List'!$A424,Investors!$E:$E,'Investor Exit List'!$C424,Investors!$L:$L,'Investor Exit List'!$B424)+SUMIFS(Investors!$M:$M,Investors!$I:$I,"&lt;="&amp;'NSST Print'!$B$3,Investors!$J:$J,"",Investors!$A:$A,'Investor Exit List'!$A424,Investors!$E:$E,'Investor Exit List'!$C424,Investors!$L:$L,'Investor Exit List'!$B424))+SUMIFS(Investors!$S:$S,Investors!$O:$O,FALSE,Investors!$P:$P,FALSE,Investors!$K:$K,"&gt;"&amp;'NSST Print'!$B$3,Investors!$I:$I,"&lt;="&amp;'NSST Print'!$B$3,Investors!$A:$A,'Investor Exit List'!$A424,Investors!$E:$E,'Investor Exit List'!$C424,Investors!$L:$L,'Investor Exit List'!$B424)-(SUMIFS(Investors!$S:$S,Investors!$I:$I,"&lt;="&amp;'NSST Print'!$B$3,Investors!$J:$J,"&gt;"&amp;'NSST Print'!$B$3,Investors!$A:$A,'Investor Exit List'!$A424,Investors!$E:$E,'Investor Exit List'!$C424,Investors!$L:$L,'Investor Exit List'!$B424)+SUMIFS(Investors!$S:$S,Investors!$I:$I,"&lt;="&amp;'NSST Print'!$B$3,Investors!$J:$J,"",Investors!$A:$A,'Investor Exit List'!$A424,Investors!$E:$E,'Investor Exit List'!$C424,Investors!$L:$L,'Investor Exit List'!$B424))</f>
        <v>253934.24657534243</v>
      </c>
      <c r="R424" s="117">
        <f t="shared" si="77"/>
        <v>0</v>
      </c>
      <c r="S424" s="117">
        <f>SUMIFS(Investors!$M:$M,Investors!$O:$O,TRUE,Investors!$A:$A,'Investor Exit List'!$A424,Investors!$E:$E,'Investor Exit List'!$C424,Investors!$L:$L,'Investor Exit List'!$B424)+SUMIFS(Investors!$S:$S,Investors!$O:$O,TRUE,Investors!$A:$A,'Investor Exit List'!$A424,Investors!$E:$E,'Investor Exit List'!$C424,Investors!$L:$L,'Investor Exit List'!$B424)</f>
        <v>0</v>
      </c>
      <c r="T424" s="118" t="str">
        <f t="shared" si="78"/>
        <v/>
      </c>
      <c r="U424" s="116" t="b">
        <v>0</v>
      </c>
      <c r="V424" s="117">
        <f t="shared" si="79"/>
        <v>0</v>
      </c>
      <c r="W424" s="116">
        <v>0</v>
      </c>
      <c r="X424" s="116" t="b">
        <v>0</v>
      </c>
      <c r="Y424" s="119">
        <f>IF(H424=FALSE,VLOOKUP($C424,Sales!$C:$F,4,FALSE),1)</f>
        <v>0</v>
      </c>
      <c r="Z424" s="116" t="str">
        <f t="shared" si="80"/>
        <v>Release</v>
      </c>
      <c r="AA424" s="118">
        <f t="shared" si="81"/>
        <v>45738</v>
      </c>
      <c r="AB424" s="118" t="str">
        <f t="shared" si="82"/>
        <v>HVK403-ZHAN06</v>
      </c>
      <c r="AC424" s="118">
        <f t="shared" si="83"/>
        <v>45746</v>
      </c>
    </row>
    <row r="425" spans="1:29" ht="16" x14ac:dyDescent="0.2">
      <c r="A425" s="116" t="s">
        <v>207</v>
      </c>
      <c r="B425" s="116">
        <v>12</v>
      </c>
      <c r="C425" s="116" t="s">
        <v>778</v>
      </c>
      <c r="D425" s="116" t="s">
        <v>750</v>
      </c>
      <c r="E425" s="116" t="s">
        <v>2017</v>
      </c>
      <c r="F425" s="117">
        <f>SUMIFS(Investors!$M:$M,Investors!$O:$O,FALSE,Investors!$P:$P,FALSE,Investors!$K:$K,"&gt;"&amp;'NSST Print'!$B$3,Investors!$I:$I,"&lt;="&amp;'NSST Print'!$B$3,Investors!$A:$A,'Investor Exit List'!$A425,Investors!$E:$E,'Investor Exit List'!$C425,Investors!$L:$L,'Investor Exit List'!$B425)-(SUMIFS(Investors!$M:$M,Investors!$I:$I,"&lt;="&amp;'NSST Print'!$B$3,Investors!$J:$J,"&gt;"&amp;'NSST Print'!$B$3,Investors!$A:$A,'Investor Exit List'!$A425,Investors!$E:$E,'Investor Exit List'!$C425,Investors!$L:$L,'Investor Exit List'!$B425)+SUMIFS(Investors!$M:$M,Investors!$I:$I,"&lt;="&amp;'NSST Print'!$B$3,Investors!$J:$J,"",Investors!$A:$A,'Investor Exit List'!$A425,Investors!$E:$E,'Investor Exit List'!$C425,Investors!$L:$L,'Investor Exit List'!$B425))</f>
        <v>100000</v>
      </c>
      <c r="G425" s="118">
        <v>45008</v>
      </c>
      <c r="H425" s="116" t="b">
        <f>VLOOKUP($C425,Sales!$C:$E,2,FALSE)</f>
        <v>0</v>
      </c>
      <c r="I425" s="116" t="b">
        <f>VLOOKUP($C425,Sales!$C:$E,3,FALSE)</f>
        <v>0</v>
      </c>
      <c r="J425" s="118">
        <f>SUMIFS(Sales!$H:$H,Sales!$C:$C,'Investor Exit List'!$C425)</f>
        <v>45625</v>
      </c>
      <c r="K425" s="118" t="str">
        <f t="shared" si="72"/>
        <v/>
      </c>
      <c r="L425" s="118">
        <f t="shared" si="73"/>
        <v>45738</v>
      </c>
      <c r="M425" s="118">
        <v>45443</v>
      </c>
      <c r="N425" s="119">
        <f t="shared" si="74"/>
        <v>295</v>
      </c>
      <c r="O425" s="119">
        <f t="shared" si="75"/>
        <v>0</v>
      </c>
      <c r="P425" s="117">
        <f t="shared" si="76"/>
        <v>0</v>
      </c>
      <c r="Q425" s="117">
        <f>SUMIFS(Investors!$M:$M,Investors!$O:$O,FALSE,Investors!$P:$P,FALSE,Investors!$K:$K,"&gt;"&amp;'NSST Print'!$B$3,Investors!$I:$I,"&lt;="&amp;'NSST Print'!$B$3,Investors!$A:$A,'Investor Exit List'!$A425,Investors!$E:$E,'Investor Exit List'!$C425,Investors!$L:$L,'Investor Exit List'!$B425)-(SUMIFS(Investors!$M:$M,Investors!$I:$I,"&lt;="&amp;'NSST Print'!$B$3,Investors!$J:$J,"&gt;"&amp;'NSST Print'!$B$3,Investors!$A:$A,'Investor Exit List'!$A425,Investors!$E:$E,'Investor Exit List'!$C425,Investors!$L:$L,'Investor Exit List'!$B425)+SUMIFS(Investors!$M:$M,Investors!$I:$I,"&lt;="&amp;'NSST Print'!$B$3,Investors!$J:$J,"",Investors!$A:$A,'Investor Exit List'!$A425,Investors!$E:$E,'Investor Exit List'!$C425,Investors!$L:$L,'Investor Exit List'!$B425))+SUMIFS(Investors!$S:$S,Investors!$O:$O,FALSE,Investors!$P:$P,FALSE,Investors!$K:$K,"&gt;"&amp;'NSST Print'!$B$3,Investors!$I:$I,"&lt;="&amp;'NSST Print'!$B$3,Investors!$A:$A,'Investor Exit List'!$A425,Investors!$E:$E,'Investor Exit List'!$C425,Investors!$L:$L,'Investor Exit List'!$B425)-(SUMIFS(Investors!$S:$S,Investors!$I:$I,"&lt;="&amp;'NSST Print'!$B$3,Investors!$J:$J,"&gt;"&amp;'NSST Print'!$B$3,Investors!$A:$A,'Investor Exit List'!$A425,Investors!$E:$E,'Investor Exit List'!$C425,Investors!$L:$L,'Investor Exit List'!$B425)+SUMIFS(Investors!$S:$S,Investors!$I:$I,"&lt;="&amp;'NSST Print'!$B$3,Investors!$J:$J,"",Investors!$A:$A,'Investor Exit List'!$A425,Investors!$E:$E,'Investor Exit List'!$C425,Investors!$L:$L,'Investor Exit List'!$B425))</f>
        <v>134847.26027397258</v>
      </c>
      <c r="R425" s="117">
        <f t="shared" si="77"/>
        <v>0</v>
      </c>
      <c r="S425" s="117">
        <f>SUMIFS(Investors!$M:$M,Investors!$O:$O,TRUE,Investors!$A:$A,'Investor Exit List'!$A425,Investors!$E:$E,'Investor Exit List'!$C425,Investors!$L:$L,'Investor Exit List'!$B425)+SUMIFS(Investors!$S:$S,Investors!$O:$O,TRUE,Investors!$A:$A,'Investor Exit List'!$A425,Investors!$E:$E,'Investor Exit List'!$C425,Investors!$L:$L,'Investor Exit List'!$B425)</f>
        <v>0</v>
      </c>
      <c r="T425" s="118" t="str">
        <f t="shared" si="78"/>
        <v/>
      </c>
      <c r="U425" s="116" t="b">
        <v>0</v>
      </c>
      <c r="V425" s="117">
        <f t="shared" si="79"/>
        <v>0</v>
      </c>
      <c r="W425" s="116">
        <v>0</v>
      </c>
      <c r="X425" s="116" t="b">
        <v>0</v>
      </c>
      <c r="Y425" s="119">
        <f>IF(H425=FALSE,VLOOKUP($C425,Sales!$C:$F,4,FALSE),1)</f>
        <v>0</v>
      </c>
      <c r="Z425" s="116" t="str">
        <f t="shared" si="80"/>
        <v>Release</v>
      </c>
      <c r="AA425" s="118">
        <f t="shared" si="81"/>
        <v>45738</v>
      </c>
      <c r="AB425" s="118" t="str">
        <f t="shared" si="82"/>
        <v>HVK403-ZINT01</v>
      </c>
      <c r="AC425" s="118">
        <f t="shared" si="83"/>
        <v>45738</v>
      </c>
    </row>
    <row r="426" spans="1:29" ht="16" x14ac:dyDescent="0.2">
      <c r="A426" s="116" t="s">
        <v>176</v>
      </c>
      <c r="B426" s="116">
        <v>4</v>
      </c>
      <c r="C426" s="116" t="s">
        <v>778</v>
      </c>
      <c r="D426" s="116" t="s">
        <v>750</v>
      </c>
      <c r="E426" s="116" t="s">
        <v>2055</v>
      </c>
      <c r="F426" s="117">
        <f>SUMIFS(Investors!$M:$M,Investors!$O:$O,FALSE,Investors!$P:$P,FALSE,Investors!$K:$K,"&gt;"&amp;'NSST Print'!$B$3,Investors!$I:$I,"&lt;="&amp;'NSST Print'!$B$3,Investors!$A:$A,'Investor Exit List'!$A426,Investors!$E:$E,'Investor Exit List'!$C426,Investors!$L:$L,'Investor Exit List'!$B426)-(SUMIFS(Investors!$M:$M,Investors!$I:$I,"&lt;="&amp;'NSST Print'!$B$3,Investors!$J:$J,"&gt;"&amp;'NSST Print'!$B$3,Investors!$A:$A,'Investor Exit List'!$A426,Investors!$E:$E,'Investor Exit List'!$C426,Investors!$L:$L,'Investor Exit List'!$B426)+SUMIFS(Investors!$M:$M,Investors!$I:$I,"&lt;="&amp;'NSST Print'!$B$3,Investors!$J:$J,"",Investors!$A:$A,'Investor Exit List'!$A426,Investors!$E:$E,'Investor Exit List'!$C426,Investors!$L:$L,'Investor Exit List'!$B426))</f>
        <v>189647.26</v>
      </c>
      <c r="G426" s="118">
        <v>45072</v>
      </c>
      <c r="H426" s="116" t="b">
        <f>VLOOKUP($C426,Sales!$C:$E,2,FALSE)</f>
        <v>0</v>
      </c>
      <c r="I426" s="116" t="b">
        <f>VLOOKUP($C426,Sales!$C:$E,3,FALSE)</f>
        <v>0</v>
      </c>
      <c r="J426" s="118">
        <f>SUMIFS(Sales!$H:$H,Sales!$C:$C,'Investor Exit List'!$C426)</f>
        <v>45625</v>
      </c>
      <c r="K426" s="118" t="str">
        <f t="shared" si="72"/>
        <v/>
      </c>
      <c r="L426" s="118">
        <f t="shared" si="73"/>
        <v>45802</v>
      </c>
      <c r="M426" s="118">
        <v>45443</v>
      </c>
      <c r="N426" s="119">
        <f t="shared" si="74"/>
        <v>359</v>
      </c>
      <c r="O426" s="119">
        <f t="shared" si="75"/>
        <v>0</v>
      </c>
      <c r="P426" s="117">
        <f t="shared" si="76"/>
        <v>0</v>
      </c>
      <c r="Q426" s="117">
        <f>SUMIFS(Investors!$M:$M,Investors!$O:$O,FALSE,Investors!$P:$P,FALSE,Investors!$K:$K,"&gt;"&amp;'NSST Print'!$B$3,Investors!$I:$I,"&lt;="&amp;'NSST Print'!$B$3,Investors!$A:$A,'Investor Exit List'!$A426,Investors!$E:$E,'Investor Exit List'!$C426,Investors!$L:$L,'Investor Exit List'!$B426)-(SUMIFS(Investors!$M:$M,Investors!$I:$I,"&lt;="&amp;'NSST Print'!$B$3,Investors!$J:$J,"&gt;"&amp;'NSST Print'!$B$3,Investors!$A:$A,'Investor Exit List'!$A426,Investors!$E:$E,'Investor Exit List'!$C426,Investors!$L:$L,'Investor Exit List'!$B426)+SUMIFS(Investors!$M:$M,Investors!$I:$I,"&lt;="&amp;'NSST Print'!$B$3,Investors!$J:$J,"",Investors!$A:$A,'Investor Exit List'!$A426,Investors!$E:$E,'Investor Exit List'!$C426,Investors!$L:$L,'Investor Exit List'!$B426))+SUMIFS(Investors!$S:$S,Investors!$O:$O,FALSE,Investors!$P:$P,FALSE,Investors!$K:$K,"&gt;"&amp;'NSST Print'!$B$3,Investors!$I:$I,"&lt;="&amp;'NSST Print'!$B$3,Investors!$A:$A,'Investor Exit List'!$A426,Investors!$E:$E,'Investor Exit List'!$C426,Investors!$L:$L,'Investor Exit List'!$B426)-(SUMIFS(Investors!$S:$S,Investors!$I:$I,"&lt;="&amp;'NSST Print'!$B$3,Investors!$J:$J,"&gt;"&amp;'NSST Print'!$B$3,Investors!$A:$A,'Investor Exit List'!$A426,Investors!$E:$E,'Investor Exit List'!$C426,Investors!$L:$L,'Investor Exit List'!$B426)+SUMIFS(Investors!$S:$S,Investors!$I:$I,"&lt;="&amp;'NSST Print'!$B$3,Investors!$J:$J,"",Investors!$A:$A,'Investor Exit List'!$A426,Investors!$E:$E,'Investor Exit List'!$C426,Investors!$L:$L,'Investor Exit List'!$B426))</f>
        <v>244535.85327780823</v>
      </c>
      <c r="R426" s="117">
        <f t="shared" si="77"/>
        <v>0</v>
      </c>
      <c r="S426" s="117">
        <f>SUMIFS(Investors!$M:$M,Investors!$O:$O,TRUE,Investors!$A:$A,'Investor Exit List'!$A426,Investors!$E:$E,'Investor Exit List'!$C426,Investors!$L:$L,'Investor Exit List'!$B426)+SUMIFS(Investors!$S:$S,Investors!$O:$O,TRUE,Investors!$A:$A,'Investor Exit List'!$A426,Investors!$E:$E,'Investor Exit List'!$C426,Investors!$L:$L,'Investor Exit List'!$B426)</f>
        <v>0</v>
      </c>
      <c r="T426" s="118" t="str">
        <f t="shared" si="78"/>
        <v/>
      </c>
      <c r="U426" s="116" t="b">
        <v>0</v>
      </c>
      <c r="V426" s="117">
        <f t="shared" si="79"/>
        <v>0</v>
      </c>
      <c r="W426" s="116">
        <v>0</v>
      </c>
      <c r="X426" s="116" t="b">
        <v>0</v>
      </c>
      <c r="Y426" s="119">
        <f>IF(H426=FALSE,VLOOKUP($C426,Sales!$C:$F,4,FALSE),1)</f>
        <v>0</v>
      </c>
      <c r="Z426" s="116" t="str">
        <f t="shared" si="80"/>
        <v>Release</v>
      </c>
      <c r="AA426" s="118">
        <f t="shared" si="81"/>
        <v>45738</v>
      </c>
      <c r="AB426" s="118" t="str">
        <f t="shared" si="82"/>
        <v>HVK403-ZKRO01</v>
      </c>
      <c r="AC426" s="118">
        <f t="shared" si="83"/>
        <v>45802</v>
      </c>
    </row>
    <row r="427" spans="1:29" ht="16" x14ac:dyDescent="0.2">
      <c r="A427" s="116" t="s">
        <v>58</v>
      </c>
      <c r="B427" s="116">
        <v>7</v>
      </c>
      <c r="C427" s="116" t="s">
        <v>778</v>
      </c>
      <c r="D427" s="116" t="s">
        <v>750</v>
      </c>
      <c r="E427" s="116" t="s">
        <v>2017</v>
      </c>
      <c r="F427" s="117">
        <f>SUMIFS(Investors!$M:$M,Investors!$O:$O,FALSE,Investors!$P:$P,FALSE,Investors!$K:$K,"&gt;"&amp;'NSST Print'!$B$3,Investors!$I:$I,"&lt;="&amp;'NSST Print'!$B$3,Investors!$A:$A,'Investor Exit List'!$A427,Investors!$E:$E,'Investor Exit List'!$C427,Investors!$L:$L,'Investor Exit List'!$B427)-(SUMIFS(Investors!$M:$M,Investors!$I:$I,"&lt;="&amp;'NSST Print'!$B$3,Investors!$J:$J,"&gt;"&amp;'NSST Print'!$B$3,Investors!$A:$A,'Investor Exit List'!$A427,Investors!$E:$E,'Investor Exit List'!$C427,Investors!$L:$L,'Investor Exit List'!$B427)+SUMIFS(Investors!$M:$M,Investors!$I:$I,"&lt;="&amp;'NSST Print'!$B$3,Investors!$J:$J,"",Investors!$A:$A,'Investor Exit List'!$A427,Investors!$E:$E,'Investor Exit List'!$C427,Investors!$L:$L,'Investor Exit List'!$B427))</f>
        <v>150000</v>
      </c>
      <c r="G427" s="118">
        <v>45107</v>
      </c>
      <c r="H427" s="116" t="b">
        <f>VLOOKUP($C427,Sales!$C:$E,2,FALSE)</f>
        <v>0</v>
      </c>
      <c r="I427" s="116" t="b">
        <f>VLOOKUP($C427,Sales!$C:$E,3,FALSE)</f>
        <v>0</v>
      </c>
      <c r="J427" s="118">
        <f>SUMIFS(Sales!$H:$H,Sales!$C:$C,'Investor Exit List'!$C427)</f>
        <v>45625</v>
      </c>
      <c r="K427" s="118" t="str">
        <f t="shared" si="72"/>
        <v/>
      </c>
      <c r="L427" s="118">
        <f t="shared" si="73"/>
        <v>45837</v>
      </c>
      <c r="M427" s="118">
        <v>45443</v>
      </c>
      <c r="N427" s="119">
        <f t="shared" si="74"/>
        <v>394</v>
      </c>
      <c r="O427" s="119">
        <f t="shared" si="75"/>
        <v>0</v>
      </c>
      <c r="P427" s="117">
        <f t="shared" si="76"/>
        <v>0</v>
      </c>
      <c r="Q427" s="117">
        <f>SUMIFS(Investors!$M:$M,Investors!$O:$O,FALSE,Investors!$P:$P,FALSE,Investors!$K:$K,"&gt;"&amp;'NSST Print'!$B$3,Investors!$I:$I,"&lt;="&amp;'NSST Print'!$B$3,Investors!$A:$A,'Investor Exit List'!$A427,Investors!$E:$E,'Investor Exit List'!$C427,Investors!$L:$L,'Investor Exit List'!$B427)-(SUMIFS(Investors!$M:$M,Investors!$I:$I,"&lt;="&amp;'NSST Print'!$B$3,Investors!$J:$J,"&gt;"&amp;'NSST Print'!$B$3,Investors!$A:$A,'Investor Exit List'!$A427,Investors!$E:$E,'Investor Exit List'!$C427,Investors!$L:$L,'Investor Exit List'!$B427)+SUMIFS(Investors!$M:$M,Investors!$I:$I,"&lt;="&amp;'NSST Print'!$B$3,Investors!$J:$J,"",Investors!$A:$A,'Investor Exit List'!$A427,Investors!$E:$E,'Investor Exit List'!$C427,Investors!$L:$L,'Investor Exit List'!$B427))+SUMIFS(Investors!$S:$S,Investors!$O:$O,FALSE,Investors!$P:$P,FALSE,Investors!$K:$K,"&gt;"&amp;'NSST Print'!$B$3,Investors!$I:$I,"&lt;="&amp;'NSST Print'!$B$3,Investors!$A:$A,'Investor Exit List'!$A427,Investors!$E:$E,'Investor Exit List'!$C427,Investors!$L:$L,'Investor Exit List'!$B427)-(SUMIFS(Investors!$S:$S,Investors!$I:$I,"&lt;="&amp;'NSST Print'!$B$3,Investors!$J:$J,"&gt;"&amp;'NSST Print'!$B$3,Investors!$A:$A,'Investor Exit List'!$A427,Investors!$E:$E,'Investor Exit List'!$C427,Investors!$L:$L,'Investor Exit List'!$B427)+SUMIFS(Investors!$S:$S,Investors!$I:$I,"&lt;="&amp;'NSST Print'!$B$3,Investors!$J:$J,"",Investors!$A:$A,'Investor Exit List'!$A427,Investors!$E:$E,'Investor Exit List'!$C427,Investors!$L:$L,'Investor Exit List'!$B427))</f>
        <v>195774.65753424657</v>
      </c>
      <c r="R427" s="117">
        <f t="shared" si="77"/>
        <v>0</v>
      </c>
      <c r="S427" s="117">
        <f>SUMIFS(Investors!$M:$M,Investors!$O:$O,TRUE,Investors!$A:$A,'Investor Exit List'!$A427,Investors!$E:$E,'Investor Exit List'!$C427,Investors!$L:$L,'Investor Exit List'!$B427)+SUMIFS(Investors!$S:$S,Investors!$O:$O,TRUE,Investors!$A:$A,'Investor Exit List'!$A427,Investors!$E:$E,'Investor Exit List'!$C427,Investors!$L:$L,'Investor Exit List'!$B427)</f>
        <v>0</v>
      </c>
      <c r="T427" s="118" t="str">
        <f t="shared" si="78"/>
        <v/>
      </c>
      <c r="U427" s="116" t="b">
        <v>0</v>
      </c>
      <c r="V427" s="117">
        <f t="shared" si="79"/>
        <v>0</v>
      </c>
      <c r="W427" s="116">
        <v>0</v>
      </c>
      <c r="X427" s="116" t="b">
        <v>0</v>
      </c>
      <c r="Y427" s="119">
        <f>IF(H427=FALSE,VLOOKUP($C427,Sales!$C:$F,4,FALSE),1)</f>
        <v>0</v>
      </c>
      <c r="Z427" s="116" t="str">
        <f t="shared" si="80"/>
        <v>Release</v>
      </c>
      <c r="AA427" s="118">
        <f t="shared" si="81"/>
        <v>45738</v>
      </c>
      <c r="AB427" s="118" t="str">
        <f t="shared" si="82"/>
        <v>HVK403-ZLUN01</v>
      </c>
      <c r="AC427" s="118">
        <f t="shared" si="83"/>
        <v>45837</v>
      </c>
    </row>
    <row r="428" spans="1:29" ht="16" x14ac:dyDescent="0.2">
      <c r="A428" s="116" t="s">
        <v>156</v>
      </c>
      <c r="B428" s="116">
        <v>4</v>
      </c>
      <c r="C428" s="116" t="s">
        <v>778</v>
      </c>
      <c r="D428" s="116" t="s">
        <v>750</v>
      </c>
      <c r="E428" s="116" t="s">
        <v>2049</v>
      </c>
      <c r="F428" s="117">
        <f>SUMIFS(Investors!$M:$M,Investors!$O:$O,FALSE,Investors!$P:$P,FALSE,Investors!$K:$K,"&gt;"&amp;'NSST Print'!$B$3,Investors!$I:$I,"&lt;="&amp;'NSST Print'!$B$3,Investors!$A:$A,'Investor Exit List'!$A428,Investors!$E:$E,'Investor Exit List'!$C428,Investors!$L:$L,'Investor Exit List'!$B428)-(SUMIFS(Investors!$M:$M,Investors!$I:$I,"&lt;="&amp;'NSST Print'!$B$3,Investors!$J:$J,"&gt;"&amp;'NSST Print'!$B$3,Investors!$A:$A,'Investor Exit List'!$A428,Investors!$E:$E,'Investor Exit List'!$C428,Investors!$L:$L,'Investor Exit List'!$B428)+SUMIFS(Investors!$M:$M,Investors!$I:$I,"&lt;="&amp;'NSST Print'!$B$3,Investors!$J:$J,"",Investors!$A:$A,'Investor Exit List'!$A428,Investors!$E:$E,'Investor Exit List'!$C428,Investors!$L:$L,'Investor Exit List'!$B428))</f>
        <v>100000</v>
      </c>
      <c r="G428" s="118">
        <v>45072</v>
      </c>
      <c r="H428" s="116" t="b">
        <f>VLOOKUP($C428,Sales!$C:$E,2,FALSE)</f>
        <v>0</v>
      </c>
      <c r="I428" s="116" t="b">
        <f>VLOOKUP($C428,Sales!$C:$E,3,FALSE)</f>
        <v>0</v>
      </c>
      <c r="J428" s="118">
        <f>SUMIFS(Sales!$H:$H,Sales!$C:$C,'Investor Exit List'!$C428)</f>
        <v>45625</v>
      </c>
      <c r="K428" s="118" t="str">
        <f t="shared" si="72"/>
        <v/>
      </c>
      <c r="L428" s="118">
        <f t="shared" si="73"/>
        <v>45802</v>
      </c>
      <c r="M428" s="118">
        <v>45443</v>
      </c>
      <c r="N428" s="119">
        <f t="shared" si="74"/>
        <v>359</v>
      </c>
      <c r="O428" s="119">
        <f t="shared" si="75"/>
        <v>0</v>
      </c>
      <c r="P428" s="117">
        <f t="shared" si="76"/>
        <v>0</v>
      </c>
      <c r="Q428" s="117">
        <f>SUMIFS(Investors!$M:$M,Investors!$O:$O,FALSE,Investors!$P:$P,FALSE,Investors!$K:$K,"&gt;"&amp;'NSST Print'!$B$3,Investors!$I:$I,"&lt;="&amp;'NSST Print'!$B$3,Investors!$A:$A,'Investor Exit List'!$A428,Investors!$E:$E,'Investor Exit List'!$C428,Investors!$L:$L,'Investor Exit List'!$B428)-(SUMIFS(Investors!$M:$M,Investors!$I:$I,"&lt;="&amp;'NSST Print'!$B$3,Investors!$J:$J,"&gt;"&amp;'NSST Print'!$B$3,Investors!$A:$A,'Investor Exit List'!$A428,Investors!$E:$E,'Investor Exit List'!$C428,Investors!$L:$L,'Investor Exit List'!$B428)+SUMIFS(Investors!$M:$M,Investors!$I:$I,"&lt;="&amp;'NSST Print'!$B$3,Investors!$J:$J,"",Investors!$A:$A,'Investor Exit List'!$A428,Investors!$E:$E,'Investor Exit List'!$C428,Investors!$L:$L,'Investor Exit List'!$B428))+SUMIFS(Investors!$S:$S,Investors!$O:$O,FALSE,Investors!$P:$P,FALSE,Investors!$K:$K,"&gt;"&amp;'NSST Print'!$B$3,Investors!$I:$I,"&lt;="&amp;'NSST Print'!$B$3,Investors!$A:$A,'Investor Exit List'!$A428,Investors!$E:$E,'Investor Exit List'!$C428,Investors!$L:$L,'Investor Exit List'!$B428)-(SUMIFS(Investors!$S:$S,Investors!$I:$I,"&lt;="&amp;'NSST Print'!$B$3,Investors!$J:$J,"&gt;"&amp;'NSST Print'!$B$3,Investors!$A:$A,'Investor Exit List'!$A428,Investors!$E:$E,'Investor Exit List'!$C428,Investors!$L:$L,'Investor Exit List'!$B428)+SUMIFS(Investors!$S:$S,Investors!$I:$I,"&lt;="&amp;'NSST Print'!$B$3,Investors!$J:$J,"",Investors!$A:$A,'Investor Exit List'!$A428,Investors!$E:$E,'Investor Exit List'!$C428,Investors!$L:$L,'Investor Exit List'!$B428))</f>
        <v>132317.80821917808</v>
      </c>
      <c r="R428" s="117">
        <f t="shared" si="77"/>
        <v>0</v>
      </c>
      <c r="S428" s="117">
        <f>SUMIFS(Investors!$M:$M,Investors!$O:$O,TRUE,Investors!$A:$A,'Investor Exit List'!$A428,Investors!$E:$E,'Investor Exit List'!$C428,Investors!$L:$L,'Investor Exit List'!$B428)+SUMIFS(Investors!$S:$S,Investors!$O:$O,TRUE,Investors!$A:$A,'Investor Exit List'!$A428,Investors!$E:$E,'Investor Exit List'!$C428,Investors!$L:$L,'Investor Exit List'!$B428)</f>
        <v>0</v>
      </c>
      <c r="T428" s="118" t="str">
        <f t="shared" si="78"/>
        <v/>
      </c>
      <c r="U428" s="116" t="b">
        <v>0</v>
      </c>
      <c r="V428" s="117">
        <f t="shared" si="79"/>
        <v>0</v>
      </c>
      <c r="W428" s="116">
        <v>0</v>
      </c>
      <c r="X428" s="116" t="b">
        <v>0</v>
      </c>
      <c r="Y428" s="119">
        <f>IF(H428=FALSE,VLOOKUP($C428,Sales!$C:$F,4,FALSE),1)</f>
        <v>0</v>
      </c>
      <c r="Z428" s="116" t="str">
        <f t="shared" si="80"/>
        <v>Release</v>
      </c>
      <c r="AA428" s="118">
        <f t="shared" si="81"/>
        <v>45738</v>
      </c>
      <c r="AB428" s="118" t="str">
        <f t="shared" si="82"/>
        <v>HVK403-ZMCK01</v>
      </c>
      <c r="AC428" s="118">
        <f t="shared" si="83"/>
        <v>45802</v>
      </c>
    </row>
    <row r="429" spans="1:29" ht="16" x14ac:dyDescent="0.2">
      <c r="A429" s="116" t="s">
        <v>403</v>
      </c>
      <c r="B429" s="116">
        <v>3</v>
      </c>
      <c r="C429" s="116" t="s">
        <v>778</v>
      </c>
      <c r="D429" s="116" t="s">
        <v>750</v>
      </c>
      <c r="E429" s="116" t="s">
        <v>2050</v>
      </c>
      <c r="F429" s="117">
        <f>SUMIFS(Investors!$M:$M,Investors!$O:$O,FALSE,Investors!$P:$P,FALSE,Investors!$K:$K,"&gt;"&amp;'NSST Print'!$B$3,Investors!$I:$I,"&lt;="&amp;'NSST Print'!$B$3,Investors!$A:$A,'Investor Exit List'!$A429,Investors!$E:$E,'Investor Exit List'!$C429,Investors!$L:$L,'Investor Exit List'!$B429)-(SUMIFS(Investors!$M:$M,Investors!$I:$I,"&lt;="&amp;'NSST Print'!$B$3,Investors!$J:$J,"&gt;"&amp;'NSST Print'!$B$3,Investors!$A:$A,'Investor Exit List'!$A429,Investors!$E:$E,'Investor Exit List'!$C429,Investors!$L:$L,'Investor Exit List'!$B429)+SUMIFS(Investors!$M:$M,Investors!$I:$I,"&lt;="&amp;'NSST Print'!$B$3,Investors!$J:$J,"",Investors!$A:$A,'Investor Exit List'!$A429,Investors!$E:$E,'Investor Exit List'!$C429,Investors!$L:$L,'Investor Exit List'!$B429))</f>
        <v>124599.32</v>
      </c>
      <c r="G429" s="118">
        <v>45008</v>
      </c>
      <c r="H429" s="116" t="b">
        <f>VLOOKUP($C429,Sales!$C:$E,2,FALSE)</f>
        <v>0</v>
      </c>
      <c r="I429" s="116" t="b">
        <f>VLOOKUP($C429,Sales!$C:$E,3,FALSE)</f>
        <v>0</v>
      </c>
      <c r="J429" s="118">
        <f>SUMIFS(Sales!$H:$H,Sales!$C:$C,'Investor Exit List'!$C429)</f>
        <v>45625</v>
      </c>
      <c r="K429" s="118" t="str">
        <f t="shared" si="72"/>
        <v/>
      </c>
      <c r="L429" s="118">
        <f t="shared" si="73"/>
        <v>45738</v>
      </c>
      <c r="M429" s="118">
        <v>45443</v>
      </c>
      <c r="N429" s="119">
        <f t="shared" si="74"/>
        <v>295</v>
      </c>
      <c r="O429" s="119">
        <f t="shared" si="75"/>
        <v>0</v>
      </c>
      <c r="P429" s="117">
        <f t="shared" si="76"/>
        <v>0</v>
      </c>
      <c r="Q429" s="117">
        <f>SUMIFS(Investors!$M:$M,Investors!$O:$O,FALSE,Investors!$P:$P,FALSE,Investors!$K:$K,"&gt;"&amp;'NSST Print'!$B$3,Investors!$I:$I,"&lt;="&amp;'NSST Print'!$B$3,Investors!$A:$A,'Investor Exit List'!$A429,Investors!$E:$E,'Investor Exit List'!$C429,Investors!$L:$L,'Investor Exit List'!$B429)-(SUMIFS(Investors!$M:$M,Investors!$I:$I,"&lt;="&amp;'NSST Print'!$B$3,Investors!$J:$J,"&gt;"&amp;'NSST Print'!$B$3,Investors!$A:$A,'Investor Exit List'!$A429,Investors!$E:$E,'Investor Exit List'!$C429,Investors!$L:$L,'Investor Exit List'!$B429)+SUMIFS(Investors!$M:$M,Investors!$I:$I,"&lt;="&amp;'NSST Print'!$B$3,Investors!$J:$J,"",Investors!$A:$A,'Investor Exit List'!$A429,Investors!$E:$E,'Investor Exit List'!$C429,Investors!$L:$L,'Investor Exit List'!$B429))+SUMIFS(Investors!$S:$S,Investors!$O:$O,FALSE,Investors!$P:$P,FALSE,Investors!$K:$K,"&gt;"&amp;'NSST Print'!$B$3,Investors!$I:$I,"&lt;="&amp;'NSST Print'!$B$3,Investors!$A:$A,'Investor Exit List'!$A429,Investors!$E:$E,'Investor Exit List'!$C429,Investors!$L:$L,'Investor Exit List'!$B429)-(SUMIFS(Investors!$S:$S,Investors!$I:$I,"&lt;="&amp;'NSST Print'!$B$3,Investors!$J:$J,"&gt;"&amp;'NSST Print'!$B$3,Investors!$A:$A,'Investor Exit List'!$A429,Investors!$E:$E,'Investor Exit List'!$C429,Investors!$L:$L,'Investor Exit List'!$B429)+SUMIFS(Investors!$S:$S,Investors!$I:$I,"&lt;="&amp;'NSST Print'!$B$3,Investors!$J:$J,"",Investors!$A:$A,'Investor Exit List'!$A429,Investors!$E:$E,'Investor Exit List'!$C429,Investors!$L:$L,'Investor Exit List'!$B429))</f>
        <v>163446.99840000001</v>
      </c>
      <c r="R429" s="117">
        <f t="shared" si="77"/>
        <v>0</v>
      </c>
      <c r="S429" s="117">
        <f>SUMIFS(Investors!$M:$M,Investors!$O:$O,TRUE,Investors!$A:$A,'Investor Exit List'!$A429,Investors!$E:$E,'Investor Exit List'!$C429,Investors!$L:$L,'Investor Exit List'!$B429)+SUMIFS(Investors!$S:$S,Investors!$O:$O,TRUE,Investors!$A:$A,'Investor Exit List'!$A429,Investors!$E:$E,'Investor Exit List'!$C429,Investors!$L:$L,'Investor Exit List'!$B429)</f>
        <v>0</v>
      </c>
      <c r="T429" s="118" t="str">
        <f t="shared" si="78"/>
        <v/>
      </c>
      <c r="U429" s="116" t="b">
        <v>0</v>
      </c>
      <c r="V429" s="117">
        <f t="shared" si="79"/>
        <v>0</v>
      </c>
      <c r="W429" s="116">
        <v>0</v>
      </c>
      <c r="X429" s="116" t="b">
        <v>0</v>
      </c>
      <c r="Y429" s="119">
        <f>IF(H429=FALSE,VLOOKUP($C429,Sales!$C:$F,4,FALSE),1)</f>
        <v>0</v>
      </c>
      <c r="Z429" s="116" t="str">
        <f t="shared" si="80"/>
        <v>Release</v>
      </c>
      <c r="AA429" s="118">
        <f t="shared" si="81"/>
        <v>45738</v>
      </c>
      <c r="AB429" s="118" t="str">
        <f t="shared" si="82"/>
        <v>HVK403-ZTHA01</v>
      </c>
      <c r="AC429" s="118">
        <f t="shared" si="83"/>
        <v>45738</v>
      </c>
    </row>
    <row r="430" spans="1:29" ht="16" x14ac:dyDescent="0.2">
      <c r="A430" s="116" t="s">
        <v>156</v>
      </c>
      <c r="B430" s="116">
        <v>5</v>
      </c>
      <c r="C430" s="116" t="s">
        <v>783</v>
      </c>
      <c r="D430" s="116" t="s">
        <v>750</v>
      </c>
      <c r="E430" s="116" t="s">
        <v>2049</v>
      </c>
      <c r="F430" s="117">
        <f>SUMIFS(Investors!$M:$M,Investors!$O:$O,FALSE,Investors!$P:$P,FALSE,Investors!$K:$K,"&gt;"&amp;'NSST Print'!$B$3,Investors!$I:$I,"&lt;="&amp;'NSST Print'!$B$3,Investors!$A:$A,'Investor Exit List'!$A430,Investors!$E:$E,'Investor Exit List'!$C430,Investors!$L:$L,'Investor Exit List'!$B430)-(SUMIFS(Investors!$M:$M,Investors!$I:$I,"&lt;="&amp;'NSST Print'!$B$3,Investors!$J:$J,"&gt;"&amp;'NSST Print'!$B$3,Investors!$A:$A,'Investor Exit List'!$A430,Investors!$E:$E,'Investor Exit List'!$C430,Investors!$L:$L,'Investor Exit List'!$B430)+SUMIFS(Investors!$M:$M,Investors!$I:$I,"&lt;="&amp;'NSST Print'!$B$3,Investors!$J:$J,"",Investors!$A:$A,'Investor Exit List'!$A430,Investors!$E:$E,'Investor Exit List'!$C430,Investors!$L:$L,'Investor Exit List'!$B430))</f>
        <v>1100000</v>
      </c>
      <c r="G430" s="118">
        <v>45072</v>
      </c>
      <c r="H430" s="116" t="b">
        <f>VLOOKUP($C430,Sales!$C:$E,2,FALSE)</f>
        <v>0</v>
      </c>
      <c r="I430" s="116" t="b">
        <f>VLOOKUP($C430,Sales!$C:$E,3,FALSE)</f>
        <v>0</v>
      </c>
      <c r="J430" s="118">
        <f>SUMIFS(Sales!$H:$H,Sales!$C:$C,'Investor Exit List'!$C430)</f>
        <v>45625</v>
      </c>
      <c r="K430" s="118" t="str">
        <f t="shared" si="72"/>
        <v/>
      </c>
      <c r="L430" s="118">
        <f t="shared" si="73"/>
        <v>45802</v>
      </c>
      <c r="M430" s="118">
        <v>45443</v>
      </c>
      <c r="N430" s="119">
        <f t="shared" si="74"/>
        <v>359</v>
      </c>
      <c r="O430" s="119">
        <f t="shared" si="75"/>
        <v>0</v>
      </c>
      <c r="P430" s="117">
        <f t="shared" si="76"/>
        <v>0</v>
      </c>
      <c r="Q430" s="117">
        <f>SUMIFS(Investors!$M:$M,Investors!$O:$O,FALSE,Investors!$P:$P,FALSE,Investors!$K:$K,"&gt;"&amp;'NSST Print'!$B$3,Investors!$I:$I,"&lt;="&amp;'NSST Print'!$B$3,Investors!$A:$A,'Investor Exit List'!$A430,Investors!$E:$E,'Investor Exit List'!$C430,Investors!$L:$L,'Investor Exit List'!$B430)-(SUMIFS(Investors!$M:$M,Investors!$I:$I,"&lt;="&amp;'NSST Print'!$B$3,Investors!$J:$J,"&gt;"&amp;'NSST Print'!$B$3,Investors!$A:$A,'Investor Exit List'!$A430,Investors!$E:$E,'Investor Exit List'!$C430,Investors!$L:$L,'Investor Exit List'!$B430)+SUMIFS(Investors!$M:$M,Investors!$I:$I,"&lt;="&amp;'NSST Print'!$B$3,Investors!$J:$J,"",Investors!$A:$A,'Investor Exit List'!$A430,Investors!$E:$E,'Investor Exit List'!$C430,Investors!$L:$L,'Investor Exit List'!$B430))+SUMIFS(Investors!$S:$S,Investors!$O:$O,FALSE,Investors!$P:$P,FALSE,Investors!$K:$K,"&gt;"&amp;'NSST Print'!$B$3,Investors!$I:$I,"&lt;="&amp;'NSST Print'!$B$3,Investors!$A:$A,'Investor Exit List'!$A430,Investors!$E:$E,'Investor Exit List'!$C430,Investors!$L:$L,'Investor Exit List'!$B430)-(SUMIFS(Investors!$S:$S,Investors!$I:$I,"&lt;="&amp;'NSST Print'!$B$3,Investors!$J:$J,"&gt;"&amp;'NSST Print'!$B$3,Investors!$A:$A,'Investor Exit List'!$A430,Investors!$E:$E,'Investor Exit List'!$C430,Investors!$L:$L,'Investor Exit List'!$B430)+SUMIFS(Investors!$S:$S,Investors!$I:$I,"&lt;="&amp;'NSST Print'!$B$3,Investors!$J:$J,"",Investors!$A:$A,'Investor Exit List'!$A430,Investors!$E:$E,'Investor Exit List'!$C430,Investors!$L:$L,'Investor Exit List'!$B430))</f>
        <v>1433254.7945205481</v>
      </c>
      <c r="R430" s="117">
        <f t="shared" si="77"/>
        <v>0</v>
      </c>
      <c r="S430" s="117">
        <f>SUMIFS(Investors!$M:$M,Investors!$O:$O,TRUE,Investors!$A:$A,'Investor Exit List'!$A430,Investors!$E:$E,'Investor Exit List'!$C430,Investors!$L:$L,'Investor Exit List'!$B430)+SUMIFS(Investors!$S:$S,Investors!$O:$O,TRUE,Investors!$A:$A,'Investor Exit List'!$A430,Investors!$E:$E,'Investor Exit List'!$C430,Investors!$L:$L,'Investor Exit List'!$B430)</f>
        <v>0</v>
      </c>
      <c r="T430" s="118" t="str">
        <f t="shared" si="78"/>
        <v/>
      </c>
      <c r="U430" s="116" t="b">
        <v>0</v>
      </c>
      <c r="V430" s="117">
        <f t="shared" si="79"/>
        <v>0</v>
      </c>
      <c r="W430" s="116">
        <v>0</v>
      </c>
      <c r="X430" s="116" t="b">
        <v>0</v>
      </c>
      <c r="Y430" s="119">
        <f>IF(H430=FALSE,VLOOKUP($C430,Sales!$C:$F,4,FALSE),1)</f>
        <v>0</v>
      </c>
      <c r="Z430" s="116" t="str">
        <f t="shared" si="80"/>
        <v>Release</v>
      </c>
      <c r="AA430" s="118">
        <f t="shared" si="81"/>
        <v>45802</v>
      </c>
      <c r="AB430" s="118" t="str">
        <f t="shared" si="82"/>
        <v>HVK404-ZMCK01</v>
      </c>
      <c r="AC430" s="118">
        <f t="shared" si="83"/>
        <v>45802</v>
      </c>
    </row>
    <row r="431" spans="1:29" ht="16" x14ac:dyDescent="0.2">
      <c r="A431" s="116" t="s">
        <v>784</v>
      </c>
      <c r="B431" s="116">
        <v>1</v>
      </c>
      <c r="C431" s="116" t="s">
        <v>787</v>
      </c>
      <c r="D431" s="116" t="s">
        <v>750</v>
      </c>
      <c r="E431" s="116" t="s">
        <v>2211</v>
      </c>
      <c r="F431" s="117">
        <f>SUMIFS(Investors!$M:$M,Investors!$O:$O,FALSE,Investors!$P:$P,FALSE,Investors!$K:$K,"&gt;"&amp;'NSST Print'!$B$3,Investors!$I:$I,"&lt;="&amp;'NSST Print'!$B$3,Investors!$A:$A,'Investor Exit List'!$A431,Investors!$E:$E,'Investor Exit List'!$C431,Investors!$L:$L,'Investor Exit List'!$B431)-(SUMIFS(Investors!$M:$M,Investors!$I:$I,"&lt;="&amp;'NSST Print'!$B$3,Investors!$J:$J,"&gt;"&amp;'NSST Print'!$B$3,Investors!$A:$A,'Investor Exit List'!$A431,Investors!$E:$E,'Investor Exit List'!$C431,Investors!$L:$L,'Investor Exit List'!$B431)+SUMIFS(Investors!$M:$M,Investors!$I:$I,"&lt;="&amp;'NSST Print'!$B$3,Investors!$J:$J,"",Investors!$A:$A,'Investor Exit List'!$A431,Investors!$E:$E,'Investor Exit List'!$C431,Investors!$L:$L,'Investor Exit List'!$B431))</f>
        <v>1000000</v>
      </c>
      <c r="G431" s="118">
        <v>45072</v>
      </c>
      <c r="H431" s="116" t="b">
        <f>VLOOKUP($C431,Sales!$C:$E,2,FALSE)</f>
        <v>0</v>
      </c>
      <c r="I431" s="116" t="b">
        <f>VLOOKUP($C431,Sales!$C:$E,3,FALSE)</f>
        <v>0</v>
      </c>
      <c r="J431" s="118">
        <f>SUMIFS(Sales!$H:$H,Sales!$C:$C,'Investor Exit List'!$C431)</f>
        <v>45625</v>
      </c>
      <c r="K431" s="118" t="str">
        <f t="shared" si="72"/>
        <v/>
      </c>
      <c r="L431" s="118">
        <f t="shared" si="73"/>
        <v>45802</v>
      </c>
      <c r="M431" s="118">
        <v>45443</v>
      </c>
      <c r="N431" s="119">
        <f t="shared" si="74"/>
        <v>359</v>
      </c>
      <c r="O431" s="119">
        <f t="shared" si="75"/>
        <v>0</v>
      </c>
      <c r="P431" s="117">
        <f t="shared" si="76"/>
        <v>0</v>
      </c>
      <c r="Q431" s="117">
        <f>SUMIFS(Investors!$M:$M,Investors!$O:$O,FALSE,Investors!$P:$P,FALSE,Investors!$K:$K,"&gt;"&amp;'NSST Print'!$B$3,Investors!$I:$I,"&lt;="&amp;'NSST Print'!$B$3,Investors!$A:$A,'Investor Exit List'!$A431,Investors!$E:$E,'Investor Exit List'!$C431,Investors!$L:$L,'Investor Exit List'!$B431)-(SUMIFS(Investors!$M:$M,Investors!$I:$I,"&lt;="&amp;'NSST Print'!$B$3,Investors!$J:$J,"&gt;"&amp;'NSST Print'!$B$3,Investors!$A:$A,'Investor Exit List'!$A431,Investors!$E:$E,'Investor Exit List'!$C431,Investors!$L:$L,'Investor Exit List'!$B431)+SUMIFS(Investors!$M:$M,Investors!$I:$I,"&lt;="&amp;'NSST Print'!$B$3,Investors!$J:$J,"",Investors!$A:$A,'Investor Exit List'!$A431,Investors!$E:$E,'Investor Exit List'!$C431,Investors!$L:$L,'Investor Exit List'!$B431))+SUMIFS(Investors!$S:$S,Investors!$O:$O,FALSE,Investors!$P:$P,FALSE,Investors!$K:$K,"&gt;"&amp;'NSST Print'!$B$3,Investors!$I:$I,"&lt;="&amp;'NSST Print'!$B$3,Investors!$A:$A,'Investor Exit List'!$A431,Investors!$E:$E,'Investor Exit List'!$C431,Investors!$L:$L,'Investor Exit List'!$B431)-(SUMIFS(Investors!$S:$S,Investors!$I:$I,"&lt;="&amp;'NSST Print'!$B$3,Investors!$J:$J,"&gt;"&amp;'NSST Print'!$B$3,Investors!$A:$A,'Investor Exit List'!$A431,Investors!$E:$E,'Investor Exit List'!$C431,Investors!$L:$L,'Investor Exit List'!$B431)+SUMIFS(Investors!$S:$S,Investors!$I:$I,"&lt;="&amp;'NSST Print'!$B$3,Investors!$J:$J,"",Investors!$A:$A,'Investor Exit List'!$A431,Investors!$E:$E,'Investor Exit List'!$C431,Investors!$L:$L,'Investor Exit List'!$B431))</f>
        <v>1301260.273972603</v>
      </c>
      <c r="R431" s="117">
        <f t="shared" si="77"/>
        <v>0</v>
      </c>
      <c r="S431" s="117">
        <f>SUMIFS(Investors!$M:$M,Investors!$O:$O,TRUE,Investors!$A:$A,'Investor Exit List'!$A431,Investors!$E:$E,'Investor Exit List'!$C431,Investors!$L:$L,'Investor Exit List'!$B431)+SUMIFS(Investors!$S:$S,Investors!$O:$O,TRUE,Investors!$A:$A,'Investor Exit List'!$A431,Investors!$E:$E,'Investor Exit List'!$C431,Investors!$L:$L,'Investor Exit List'!$B431)</f>
        <v>0</v>
      </c>
      <c r="T431" s="118" t="str">
        <f t="shared" si="78"/>
        <v/>
      </c>
      <c r="U431" s="116" t="b">
        <v>0</v>
      </c>
      <c r="V431" s="117">
        <f t="shared" si="79"/>
        <v>0</v>
      </c>
      <c r="W431" s="116">
        <v>0</v>
      </c>
      <c r="X431" s="116" t="b">
        <v>0</v>
      </c>
      <c r="Y431" s="119">
        <f>IF(H431=FALSE,VLOOKUP($C431,Sales!$C:$F,4,FALSE),1)</f>
        <v>0</v>
      </c>
      <c r="Z431" s="116" t="str">
        <f t="shared" si="80"/>
        <v>Release</v>
      </c>
      <c r="AA431" s="118">
        <f t="shared" si="81"/>
        <v>45802</v>
      </c>
      <c r="AB431" s="118" t="str">
        <f t="shared" si="82"/>
        <v>HVK405-ZVAN15</v>
      </c>
      <c r="AC431" s="118">
        <f t="shared" si="83"/>
        <v>45802</v>
      </c>
    </row>
    <row r="432" spans="1:29" ht="16" x14ac:dyDescent="0.2">
      <c r="A432" s="116" t="s">
        <v>185</v>
      </c>
      <c r="B432" s="116">
        <v>5</v>
      </c>
      <c r="C432" s="116" t="s">
        <v>787</v>
      </c>
      <c r="D432" s="116" t="s">
        <v>750</v>
      </c>
      <c r="E432" s="116" t="s">
        <v>2058</v>
      </c>
      <c r="F432" s="117">
        <f>SUMIFS(Investors!$M:$M,Investors!$O:$O,FALSE,Investors!$P:$P,FALSE,Investors!$K:$K,"&gt;"&amp;'NSST Print'!$B$3,Investors!$I:$I,"&lt;="&amp;'NSST Print'!$B$3,Investors!$A:$A,'Investor Exit List'!$A432,Investors!$E:$E,'Investor Exit List'!$C432,Investors!$L:$L,'Investor Exit List'!$B432)-(SUMIFS(Investors!$M:$M,Investors!$I:$I,"&lt;="&amp;'NSST Print'!$B$3,Investors!$J:$J,"&gt;"&amp;'NSST Print'!$B$3,Investors!$A:$A,'Investor Exit List'!$A432,Investors!$E:$E,'Investor Exit List'!$C432,Investors!$L:$L,'Investor Exit List'!$B432)+SUMIFS(Investors!$M:$M,Investors!$I:$I,"&lt;="&amp;'NSST Print'!$B$3,Investors!$J:$J,"",Investors!$A:$A,'Investor Exit List'!$A432,Investors!$E:$E,'Investor Exit List'!$C432,Investors!$L:$L,'Investor Exit List'!$B432))</f>
        <v>117916.44</v>
      </c>
      <c r="G432" s="118">
        <v>45072</v>
      </c>
      <c r="H432" s="116" t="b">
        <f>VLOOKUP($C432,Sales!$C:$E,2,FALSE)</f>
        <v>0</v>
      </c>
      <c r="I432" s="116" t="b">
        <f>VLOOKUP($C432,Sales!$C:$E,3,FALSE)</f>
        <v>0</v>
      </c>
      <c r="J432" s="118">
        <f>SUMIFS(Sales!$H:$H,Sales!$C:$C,'Investor Exit List'!$C432)</f>
        <v>45625</v>
      </c>
      <c r="K432" s="118" t="str">
        <f t="shared" si="72"/>
        <v/>
      </c>
      <c r="L432" s="118">
        <f t="shared" si="73"/>
        <v>45802</v>
      </c>
      <c r="M432" s="118">
        <v>45443</v>
      </c>
      <c r="N432" s="119">
        <f t="shared" si="74"/>
        <v>359</v>
      </c>
      <c r="O432" s="119">
        <f t="shared" si="75"/>
        <v>0</v>
      </c>
      <c r="P432" s="117">
        <f t="shared" si="76"/>
        <v>0</v>
      </c>
      <c r="Q432" s="117">
        <f>SUMIFS(Investors!$M:$M,Investors!$O:$O,FALSE,Investors!$P:$P,FALSE,Investors!$K:$K,"&gt;"&amp;'NSST Print'!$B$3,Investors!$I:$I,"&lt;="&amp;'NSST Print'!$B$3,Investors!$A:$A,'Investor Exit List'!$A432,Investors!$E:$E,'Investor Exit List'!$C432,Investors!$L:$L,'Investor Exit List'!$B432)-(SUMIFS(Investors!$M:$M,Investors!$I:$I,"&lt;="&amp;'NSST Print'!$B$3,Investors!$J:$J,"&gt;"&amp;'NSST Print'!$B$3,Investors!$A:$A,'Investor Exit List'!$A432,Investors!$E:$E,'Investor Exit List'!$C432,Investors!$L:$L,'Investor Exit List'!$B432)+SUMIFS(Investors!$M:$M,Investors!$I:$I,"&lt;="&amp;'NSST Print'!$B$3,Investors!$J:$J,"",Investors!$A:$A,'Investor Exit List'!$A432,Investors!$E:$E,'Investor Exit List'!$C432,Investors!$L:$L,'Investor Exit List'!$B432))+SUMIFS(Investors!$S:$S,Investors!$O:$O,FALSE,Investors!$P:$P,FALSE,Investors!$K:$K,"&gt;"&amp;'NSST Print'!$B$3,Investors!$I:$I,"&lt;="&amp;'NSST Print'!$B$3,Investors!$A:$A,'Investor Exit List'!$A432,Investors!$E:$E,'Investor Exit List'!$C432,Investors!$L:$L,'Investor Exit List'!$B432)-(SUMIFS(Investors!$S:$S,Investors!$I:$I,"&lt;="&amp;'NSST Print'!$B$3,Investors!$J:$J,"&gt;"&amp;'NSST Print'!$B$3,Investors!$A:$A,'Investor Exit List'!$A432,Investors!$E:$E,'Investor Exit List'!$C432,Investors!$L:$L,'Investor Exit List'!$B432)+SUMIFS(Investors!$S:$S,Investors!$I:$I,"&lt;="&amp;'NSST Print'!$B$3,Investors!$J:$J,"",Investors!$A:$A,'Investor Exit List'!$A432,Investors!$E:$E,'Investor Exit List'!$C432,Investors!$L:$L,'Investor Exit List'!$B432))</f>
        <v>146416.68201863015</v>
      </c>
      <c r="R432" s="117">
        <f t="shared" si="77"/>
        <v>0</v>
      </c>
      <c r="S432" s="117">
        <f>SUMIFS(Investors!$M:$M,Investors!$O:$O,TRUE,Investors!$A:$A,'Investor Exit List'!$A432,Investors!$E:$E,'Investor Exit List'!$C432,Investors!$L:$L,'Investor Exit List'!$B432)+SUMIFS(Investors!$S:$S,Investors!$O:$O,TRUE,Investors!$A:$A,'Investor Exit List'!$A432,Investors!$E:$E,'Investor Exit List'!$C432,Investors!$L:$L,'Investor Exit List'!$B432)</f>
        <v>0</v>
      </c>
      <c r="T432" s="118" t="str">
        <f t="shared" si="78"/>
        <v/>
      </c>
      <c r="U432" s="116" t="b">
        <v>0</v>
      </c>
      <c r="V432" s="117">
        <f t="shared" si="79"/>
        <v>0</v>
      </c>
      <c r="W432" s="116">
        <v>0</v>
      </c>
      <c r="X432" s="116" t="b">
        <v>0</v>
      </c>
      <c r="Y432" s="119">
        <f>IF(H432=FALSE,VLOOKUP($C432,Sales!$C:$F,4,FALSE),1)</f>
        <v>0</v>
      </c>
      <c r="Z432" s="116" t="str">
        <f t="shared" si="80"/>
        <v>Release</v>
      </c>
      <c r="AA432" s="118">
        <f t="shared" si="81"/>
        <v>45802</v>
      </c>
      <c r="AB432" s="118" t="str">
        <f t="shared" si="82"/>
        <v>HVK405-ZVER02</v>
      </c>
      <c r="AC432" s="118">
        <f t="shared" si="83"/>
        <v>45802</v>
      </c>
    </row>
    <row r="433" spans="1:29" ht="16" x14ac:dyDescent="0.2">
      <c r="A433" s="116" t="s">
        <v>772</v>
      </c>
      <c r="B433" s="116">
        <v>2</v>
      </c>
      <c r="C433" s="116" t="s">
        <v>788</v>
      </c>
      <c r="D433" s="116" t="s">
        <v>750</v>
      </c>
      <c r="E433" s="116" t="s">
        <v>2207</v>
      </c>
      <c r="F433" s="117">
        <f>SUMIFS(Investors!$M:$M,Investors!$O:$O,FALSE,Investors!$P:$P,FALSE,Investors!$K:$K,"&gt;"&amp;'NSST Print'!$B$3,Investors!$I:$I,"&lt;="&amp;'NSST Print'!$B$3,Investors!$A:$A,'Investor Exit List'!$A433,Investors!$E:$E,'Investor Exit List'!$C433,Investors!$L:$L,'Investor Exit List'!$B433)-(SUMIFS(Investors!$M:$M,Investors!$I:$I,"&lt;="&amp;'NSST Print'!$B$3,Investors!$J:$J,"&gt;"&amp;'NSST Print'!$B$3,Investors!$A:$A,'Investor Exit List'!$A433,Investors!$E:$E,'Investor Exit List'!$C433,Investors!$L:$L,'Investor Exit List'!$B433)+SUMIFS(Investors!$M:$M,Investors!$I:$I,"&lt;="&amp;'NSST Print'!$B$3,Investors!$J:$J,"",Investors!$A:$A,'Investor Exit List'!$A433,Investors!$E:$E,'Investor Exit List'!$C433,Investors!$L:$L,'Investor Exit List'!$B433))</f>
        <v>500000</v>
      </c>
      <c r="G433" s="118">
        <v>45016</v>
      </c>
      <c r="H433" s="116" t="b">
        <f>VLOOKUP($C433,Sales!$C:$E,2,FALSE)</f>
        <v>0</v>
      </c>
      <c r="I433" s="116" t="b">
        <f>VLOOKUP($C433,Sales!$C:$E,3,FALSE)</f>
        <v>0</v>
      </c>
      <c r="J433" s="118">
        <f>SUMIFS(Sales!$H:$H,Sales!$C:$C,'Investor Exit List'!$C433)</f>
        <v>45510</v>
      </c>
      <c r="K433" s="118" t="str">
        <f t="shared" si="72"/>
        <v/>
      </c>
      <c r="L433" s="118">
        <f t="shared" si="73"/>
        <v>45746</v>
      </c>
      <c r="M433" s="118">
        <v>45443</v>
      </c>
      <c r="N433" s="119">
        <f t="shared" si="74"/>
        <v>303</v>
      </c>
      <c r="O433" s="119">
        <f t="shared" si="75"/>
        <v>0</v>
      </c>
      <c r="P433" s="117">
        <f t="shared" si="76"/>
        <v>0</v>
      </c>
      <c r="Q433" s="117">
        <f>SUMIFS(Investors!$M:$M,Investors!$O:$O,FALSE,Investors!$P:$P,FALSE,Investors!$K:$K,"&gt;"&amp;'NSST Print'!$B$3,Investors!$I:$I,"&lt;="&amp;'NSST Print'!$B$3,Investors!$A:$A,'Investor Exit List'!$A433,Investors!$E:$E,'Investor Exit List'!$C433,Investors!$L:$L,'Investor Exit List'!$B433)-(SUMIFS(Investors!$M:$M,Investors!$I:$I,"&lt;="&amp;'NSST Print'!$B$3,Investors!$J:$J,"&gt;"&amp;'NSST Print'!$B$3,Investors!$A:$A,'Investor Exit List'!$A433,Investors!$E:$E,'Investor Exit List'!$C433,Investors!$L:$L,'Investor Exit List'!$B433)+SUMIFS(Investors!$M:$M,Investors!$I:$I,"&lt;="&amp;'NSST Print'!$B$3,Investors!$J:$J,"",Investors!$A:$A,'Investor Exit List'!$A433,Investors!$E:$E,'Investor Exit List'!$C433,Investors!$L:$L,'Investor Exit List'!$B433))+SUMIFS(Investors!$S:$S,Investors!$O:$O,FALSE,Investors!$P:$P,FALSE,Investors!$K:$K,"&gt;"&amp;'NSST Print'!$B$3,Investors!$I:$I,"&lt;="&amp;'NSST Print'!$B$3,Investors!$A:$A,'Investor Exit List'!$A433,Investors!$E:$E,'Investor Exit List'!$C433,Investors!$L:$L,'Investor Exit List'!$B433)-(SUMIFS(Investors!$S:$S,Investors!$I:$I,"&lt;="&amp;'NSST Print'!$B$3,Investors!$J:$J,"&gt;"&amp;'NSST Print'!$B$3,Investors!$A:$A,'Investor Exit List'!$A433,Investors!$E:$E,'Investor Exit List'!$C433,Investors!$L:$L,'Investor Exit List'!$B433)+SUMIFS(Investors!$S:$S,Investors!$I:$I,"&lt;="&amp;'NSST Print'!$B$3,Investors!$J:$J,"",Investors!$A:$A,'Investor Exit List'!$A433,Investors!$E:$E,'Investor Exit List'!$C433,Investors!$L:$L,'Investor Exit List'!$B433))</f>
        <v>630948.63013698626</v>
      </c>
      <c r="R433" s="117">
        <f t="shared" si="77"/>
        <v>0</v>
      </c>
      <c r="S433" s="117">
        <f>SUMIFS(Investors!$M:$M,Investors!$O:$O,TRUE,Investors!$A:$A,'Investor Exit List'!$A433,Investors!$E:$E,'Investor Exit List'!$C433,Investors!$L:$L,'Investor Exit List'!$B433)+SUMIFS(Investors!$S:$S,Investors!$O:$O,TRUE,Investors!$A:$A,'Investor Exit List'!$A433,Investors!$E:$E,'Investor Exit List'!$C433,Investors!$L:$L,'Investor Exit List'!$B433)</f>
        <v>0</v>
      </c>
      <c r="T433" s="118" t="str">
        <f t="shared" si="78"/>
        <v/>
      </c>
      <c r="U433" s="116" t="b">
        <v>0</v>
      </c>
      <c r="V433" s="117">
        <f t="shared" si="79"/>
        <v>0</v>
      </c>
      <c r="W433" s="116">
        <v>0</v>
      </c>
      <c r="X433" s="116" t="b">
        <v>0</v>
      </c>
      <c r="Y433" s="119">
        <f>IF(H433=FALSE,VLOOKUP($C433,Sales!$C:$F,4,FALSE),1)</f>
        <v>0</v>
      </c>
      <c r="Z433" s="116" t="str">
        <f t="shared" si="80"/>
        <v>Release</v>
      </c>
      <c r="AA433" s="118">
        <f t="shared" si="81"/>
        <v>45746</v>
      </c>
      <c r="AB433" s="118" t="str">
        <f t="shared" si="82"/>
        <v>HVK406-ZVAN13</v>
      </c>
      <c r="AC433" s="118">
        <f t="shared" si="83"/>
        <v>45746</v>
      </c>
    </row>
    <row r="434" spans="1:29" ht="16" x14ac:dyDescent="0.2">
      <c r="A434" s="116" t="s">
        <v>776</v>
      </c>
      <c r="B434" s="116">
        <v>2</v>
      </c>
      <c r="C434" s="116" t="s">
        <v>788</v>
      </c>
      <c r="D434" s="116" t="s">
        <v>750</v>
      </c>
      <c r="E434" s="116" t="s">
        <v>2208</v>
      </c>
      <c r="F434" s="117">
        <f>SUMIFS(Investors!$M:$M,Investors!$O:$O,FALSE,Investors!$P:$P,FALSE,Investors!$K:$K,"&gt;"&amp;'NSST Print'!$B$3,Investors!$I:$I,"&lt;="&amp;'NSST Print'!$B$3,Investors!$A:$A,'Investor Exit List'!$A434,Investors!$E:$E,'Investor Exit List'!$C434,Investors!$L:$L,'Investor Exit List'!$B434)-(SUMIFS(Investors!$M:$M,Investors!$I:$I,"&lt;="&amp;'NSST Print'!$B$3,Investors!$J:$J,"&gt;"&amp;'NSST Print'!$B$3,Investors!$A:$A,'Investor Exit List'!$A434,Investors!$E:$E,'Investor Exit List'!$C434,Investors!$L:$L,'Investor Exit List'!$B434)+SUMIFS(Investors!$M:$M,Investors!$I:$I,"&lt;="&amp;'NSST Print'!$B$3,Investors!$J:$J,"",Investors!$A:$A,'Investor Exit List'!$A434,Investors!$E:$E,'Investor Exit List'!$C434,Investors!$L:$L,'Investor Exit List'!$B434))</f>
        <v>500000</v>
      </c>
      <c r="G434" s="118">
        <v>45016</v>
      </c>
      <c r="H434" s="116" t="b">
        <f>VLOOKUP($C434,Sales!$C:$E,2,FALSE)</f>
        <v>0</v>
      </c>
      <c r="I434" s="116" t="b">
        <f>VLOOKUP($C434,Sales!$C:$E,3,FALSE)</f>
        <v>0</v>
      </c>
      <c r="J434" s="118">
        <f>SUMIFS(Sales!$H:$H,Sales!$C:$C,'Investor Exit List'!$C434)</f>
        <v>45510</v>
      </c>
      <c r="K434" s="118" t="str">
        <f t="shared" si="72"/>
        <v/>
      </c>
      <c r="L434" s="118">
        <f t="shared" si="73"/>
        <v>45746</v>
      </c>
      <c r="M434" s="118">
        <v>45443</v>
      </c>
      <c r="N434" s="119">
        <f t="shared" si="74"/>
        <v>303</v>
      </c>
      <c r="O434" s="119">
        <f t="shared" si="75"/>
        <v>0</v>
      </c>
      <c r="P434" s="117">
        <f t="shared" si="76"/>
        <v>0</v>
      </c>
      <c r="Q434" s="117">
        <f>SUMIFS(Investors!$M:$M,Investors!$O:$O,FALSE,Investors!$P:$P,FALSE,Investors!$K:$K,"&gt;"&amp;'NSST Print'!$B$3,Investors!$I:$I,"&lt;="&amp;'NSST Print'!$B$3,Investors!$A:$A,'Investor Exit List'!$A434,Investors!$E:$E,'Investor Exit List'!$C434,Investors!$L:$L,'Investor Exit List'!$B434)-(SUMIFS(Investors!$M:$M,Investors!$I:$I,"&lt;="&amp;'NSST Print'!$B$3,Investors!$J:$J,"&gt;"&amp;'NSST Print'!$B$3,Investors!$A:$A,'Investor Exit List'!$A434,Investors!$E:$E,'Investor Exit List'!$C434,Investors!$L:$L,'Investor Exit List'!$B434)+SUMIFS(Investors!$M:$M,Investors!$I:$I,"&lt;="&amp;'NSST Print'!$B$3,Investors!$J:$J,"",Investors!$A:$A,'Investor Exit List'!$A434,Investors!$E:$E,'Investor Exit List'!$C434,Investors!$L:$L,'Investor Exit List'!$B434))+SUMIFS(Investors!$S:$S,Investors!$O:$O,FALSE,Investors!$P:$P,FALSE,Investors!$K:$K,"&gt;"&amp;'NSST Print'!$B$3,Investors!$I:$I,"&lt;="&amp;'NSST Print'!$B$3,Investors!$A:$A,'Investor Exit List'!$A434,Investors!$E:$E,'Investor Exit List'!$C434,Investors!$L:$L,'Investor Exit List'!$B434)-(SUMIFS(Investors!$S:$S,Investors!$I:$I,"&lt;="&amp;'NSST Print'!$B$3,Investors!$J:$J,"&gt;"&amp;'NSST Print'!$B$3,Investors!$A:$A,'Investor Exit List'!$A434,Investors!$E:$E,'Investor Exit List'!$C434,Investors!$L:$L,'Investor Exit List'!$B434)+SUMIFS(Investors!$S:$S,Investors!$I:$I,"&lt;="&amp;'NSST Print'!$B$3,Investors!$J:$J,"",Investors!$A:$A,'Investor Exit List'!$A434,Investors!$E:$E,'Investor Exit List'!$C434,Investors!$L:$L,'Investor Exit List'!$B434))</f>
        <v>630414.38356164377</v>
      </c>
      <c r="R434" s="117">
        <f t="shared" si="77"/>
        <v>0</v>
      </c>
      <c r="S434" s="117">
        <f>SUMIFS(Investors!$M:$M,Investors!$O:$O,TRUE,Investors!$A:$A,'Investor Exit List'!$A434,Investors!$E:$E,'Investor Exit List'!$C434,Investors!$L:$L,'Investor Exit List'!$B434)+SUMIFS(Investors!$S:$S,Investors!$O:$O,TRUE,Investors!$A:$A,'Investor Exit List'!$A434,Investors!$E:$E,'Investor Exit List'!$C434,Investors!$L:$L,'Investor Exit List'!$B434)</f>
        <v>0</v>
      </c>
      <c r="T434" s="118" t="str">
        <f t="shared" si="78"/>
        <v/>
      </c>
      <c r="U434" s="116" t="b">
        <v>0</v>
      </c>
      <c r="V434" s="117">
        <f t="shared" si="79"/>
        <v>0</v>
      </c>
      <c r="W434" s="116">
        <v>0</v>
      </c>
      <c r="X434" s="116" t="b">
        <v>0</v>
      </c>
      <c r="Y434" s="119">
        <f>IF(H434=FALSE,VLOOKUP($C434,Sales!$C:$F,4,FALSE),1)</f>
        <v>0</v>
      </c>
      <c r="Z434" s="116" t="str">
        <f t="shared" si="80"/>
        <v>Release</v>
      </c>
      <c r="AA434" s="118">
        <f t="shared" si="81"/>
        <v>45746</v>
      </c>
      <c r="AB434" s="118" t="str">
        <f t="shared" si="82"/>
        <v>HVK406-ZVAN14</v>
      </c>
      <c r="AC434" s="118">
        <f t="shared" si="83"/>
        <v>45746</v>
      </c>
    </row>
    <row r="435" spans="1:29" ht="16" x14ac:dyDescent="0.2">
      <c r="A435" s="116" t="s">
        <v>204</v>
      </c>
      <c r="B435" s="116">
        <v>5</v>
      </c>
      <c r="C435" s="116" t="s">
        <v>788</v>
      </c>
      <c r="D435" s="116" t="s">
        <v>750</v>
      </c>
      <c r="E435" s="116" t="s">
        <v>2064</v>
      </c>
      <c r="F435" s="117">
        <f>SUMIFS(Investors!$M:$M,Investors!$O:$O,FALSE,Investors!$P:$P,FALSE,Investors!$K:$K,"&gt;"&amp;'NSST Print'!$B$3,Investors!$I:$I,"&lt;="&amp;'NSST Print'!$B$3,Investors!$A:$A,'Investor Exit List'!$A435,Investors!$E:$E,'Investor Exit List'!$C435,Investors!$L:$L,'Investor Exit List'!$B435)-(SUMIFS(Investors!$M:$M,Investors!$I:$I,"&lt;="&amp;'NSST Print'!$B$3,Investors!$J:$J,"&gt;"&amp;'NSST Print'!$B$3,Investors!$A:$A,'Investor Exit List'!$A435,Investors!$E:$E,'Investor Exit List'!$C435,Investors!$L:$L,'Investor Exit List'!$B435)+SUMIFS(Investors!$M:$M,Investors!$I:$I,"&lt;="&amp;'NSST Print'!$B$3,Investors!$J:$J,"",Investors!$A:$A,'Investor Exit List'!$A435,Investors!$E:$E,'Investor Exit List'!$C435,Investors!$L:$L,'Investor Exit List'!$B435))</f>
        <v>114058.91</v>
      </c>
      <c r="G435" s="118">
        <v>45016</v>
      </c>
      <c r="H435" s="116" t="b">
        <f>VLOOKUP($C435,Sales!$C:$E,2,FALSE)</f>
        <v>0</v>
      </c>
      <c r="I435" s="116" t="b">
        <f>VLOOKUP($C435,Sales!$C:$E,3,FALSE)</f>
        <v>0</v>
      </c>
      <c r="J435" s="118">
        <f>SUMIFS(Sales!$H:$H,Sales!$C:$C,'Investor Exit List'!$C435)</f>
        <v>45510</v>
      </c>
      <c r="K435" s="118" t="str">
        <f t="shared" si="72"/>
        <v/>
      </c>
      <c r="L435" s="118">
        <f t="shared" si="73"/>
        <v>45746</v>
      </c>
      <c r="M435" s="118">
        <v>45443</v>
      </c>
      <c r="N435" s="119">
        <f t="shared" si="74"/>
        <v>303</v>
      </c>
      <c r="O435" s="119">
        <f t="shared" si="75"/>
        <v>0</v>
      </c>
      <c r="P435" s="117">
        <f t="shared" si="76"/>
        <v>0</v>
      </c>
      <c r="Q435" s="117">
        <f>SUMIFS(Investors!$M:$M,Investors!$O:$O,FALSE,Investors!$P:$P,FALSE,Investors!$K:$K,"&gt;"&amp;'NSST Print'!$B$3,Investors!$I:$I,"&lt;="&amp;'NSST Print'!$B$3,Investors!$A:$A,'Investor Exit List'!$A435,Investors!$E:$E,'Investor Exit List'!$C435,Investors!$L:$L,'Investor Exit List'!$B435)-(SUMIFS(Investors!$M:$M,Investors!$I:$I,"&lt;="&amp;'NSST Print'!$B$3,Investors!$J:$J,"&gt;"&amp;'NSST Print'!$B$3,Investors!$A:$A,'Investor Exit List'!$A435,Investors!$E:$E,'Investor Exit List'!$C435,Investors!$L:$L,'Investor Exit List'!$B435)+SUMIFS(Investors!$M:$M,Investors!$I:$I,"&lt;="&amp;'NSST Print'!$B$3,Investors!$J:$J,"",Investors!$A:$A,'Investor Exit List'!$A435,Investors!$E:$E,'Investor Exit List'!$C435,Investors!$L:$L,'Investor Exit List'!$B435))+SUMIFS(Investors!$S:$S,Investors!$O:$O,FALSE,Investors!$P:$P,FALSE,Investors!$K:$K,"&gt;"&amp;'NSST Print'!$B$3,Investors!$I:$I,"&lt;="&amp;'NSST Print'!$B$3,Investors!$A:$A,'Investor Exit List'!$A435,Investors!$E:$E,'Investor Exit List'!$C435,Investors!$L:$L,'Investor Exit List'!$B435)-(SUMIFS(Investors!$S:$S,Investors!$I:$I,"&lt;="&amp;'NSST Print'!$B$3,Investors!$J:$J,"&gt;"&amp;'NSST Print'!$B$3,Investors!$A:$A,'Investor Exit List'!$A435,Investors!$E:$E,'Investor Exit List'!$C435,Investors!$L:$L,'Investor Exit List'!$B435)+SUMIFS(Investors!$S:$S,Investors!$I:$I,"&lt;="&amp;'NSST Print'!$B$3,Investors!$J:$J,"",Investors!$A:$A,'Investor Exit List'!$A435,Investors!$E:$E,'Investor Exit List'!$C435,Investors!$L:$L,'Investor Exit List'!$B435))</f>
        <v>137708.94686595892</v>
      </c>
      <c r="R435" s="117">
        <f t="shared" si="77"/>
        <v>0</v>
      </c>
      <c r="S435" s="117">
        <f>SUMIFS(Investors!$M:$M,Investors!$O:$O,TRUE,Investors!$A:$A,'Investor Exit List'!$A435,Investors!$E:$E,'Investor Exit List'!$C435,Investors!$L:$L,'Investor Exit List'!$B435)+SUMIFS(Investors!$S:$S,Investors!$O:$O,TRUE,Investors!$A:$A,'Investor Exit List'!$A435,Investors!$E:$E,'Investor Exit List'!$C435,Investors!$L:$L,'Investor Exit List'!$B435)</f>
        <v>0</v>
      </c>
      <c r="T435" s="118" t="str">
        <f t="shared" si="78"/>
        <v/>
      </c>
      <c r="U435" s="116" t="b">
        <v>0</v>
      </c>
      <c r="V435" s="117">
        <f t="shared" si="79"/>
        <v>0</v>
      </c>
      <c r="W435" s="116">
        <v>0</v>
      </c>
      <c r="X435" s="116" t="b">
        <v>0</v>
      </c>
      <c r="Y435" s="119">
        <f>IF(H435=FALSE,VLOOKUP($C435,Sales!$C:$F,4,FALSE),1)</f>
        <v>0</v>
      </c>
      <c r="Z435" s="116" t="str">
        <f t="shared" si="80"/>
        <v>Release</v>
      </c>
      <c r="AA435" s="118">
        <f t="shared" si="81"/>
        <v>45746</v>
      </c>
      <c r="AB435" s="118" t="str">
        <f t="shared" si="82"/>
        <v>HVK406-ZVOL01</v>
      </c>
      <c r="AC435" s="118">
        <f t="shared" si="83"/>
        <v>45746</v>
      </c>
    </row>
    <row r="436" spans="1:29" ht="16" x14ac:dyDescent="0.2">
      <c r="A436" s="116" t="s">
        <v>576</v>
      </c>
      <c r="B436" s="116">
        <v>3</v>
      </c>
      <c r="C436" s="116" t="s">
        <v>789</v>
      </c>
      <c r="D436" s="116" t="s">
        <v>790</v>
      </c>
      <c r="E436" s="116" t="s">
        <v>2168</v>
      </c>
      <c r="F436" s="117">
        <f>SUMIFS(Investors!$M:$M,Investors!$O:$O,FALSE,Investors!$P:$P,FALSE,Investors!$K:$K,"&gt;"&amp;'NSST Print'!$B$3,Investors!$I:$I,"&lt;="&amp;'NSST Print'!$B$3,Investors!$A:$A,'Investor Exit List'!$A436,Investors!$E:$E,'Investor Exit List'!$C436,Investors!$L:$L,'Investor Exit List'!$B436)-(SUMIFS(Investors!$M:$M,Investors!$I:$I,"&lt;="&amp;'NSST Print'!$B$3,Investors!$J:$J,"&gt;"&amp;'NSST Print'!$B$3,Investors!$A:$A,'Investor Exit List'!$A436,Investors!$E:$E,'Investor Exit List'!$C436,Investors!$L:$L,'Investor Exit List'!$B436)+SUMIFS(Investors!$M:$M,Investors!$I:$I,"&lt;="&amp;'NSST Print'!$B$3,Investors!$J:$J,"",Investors!$A:$A,'Investor Exit List'!$A436,Investors!$E:$E,'Investor Exit List'!$C436,Investors!$L:$L,'Investor Exit List'!$B436))</f>
        <v>1100000</v>
      </c>
      <c r="G436" s="118">
        <v>45280</v>
      </c>
      <c r="H436" s="116" t="b">
        <f>VLOOKUP($C436,Sales!$C:$E,2,FALSE)</f>
        <v>0</v>
      </c>
      <c r="I436" s="116" t="b">
        <f>VLOOKUP($C436,Sales!$C:$E,3,FALSE)</f>
        <v>0</v>
      </c>
      <c r="J436" s="118">
        <f>SUMIFS(Sales!$H:$H,Sales!$C:$C,'Investor Exit List'!$C436)</f>
        <v>45716</v>
      </c>
      <c r="K436" s="118" t="str">
        <f t="shared" si="72"/>
        <v/>
      </c>
      <c r="L436" s="118">
        <f t="shared" si="73"/>
        <v>46010</v>
      </c>
      <c r="M436" s="118">
        <v>45443</v>
      </c>
      <c r="N436" s="119">
        <f t="shared" si="74"/>
        <v>567</v>
      </c>
      <c r="O436" s="119">
        <f t="shared" si="75"/>
        <v>0</v>
      </c>
      <c r="P436" s="117">
        <f t="shared" si="76"/>
        <v>0</v>
      </c>
      <c r="Q436" s="117">
        <f>SUMIFS(Investors!$M:$M,Investors!$O:$O,FALSE,Investors!$P:$P,FALSE,Investors!$K:$K,"&gt;"&amp;'NSST Print'!$B$3,Investors!$I:$I,"&lt;="&amp;'NSST Print'!$B$3,Investors!$A:$A,'Investor Exit List'!$A436,Investors!$E:$E,'Investor Exit List'!$C436,Investors!$L:$L,'Investor Exit List'!$B436)-(SUMIFS(Investors!$M:$M,Investors!$I:$I,"&lt;="&amp;'NSST Print'!$B$3,Investors!$J:$J,"&gt;"&amp;'NSST Print'!$B$3,Investors!$A:$A,'Investor Exit List'!$A436,Investors!$E:$E,'Investor Exit List'!$C436,Investors!$L:$L,'Investor Exit List'!$B436)+SUMIFS(Investors!$M:$M,Investors!$I:$I,"&lt;="&amp;'NSST Print'!$B$3,Investors!$J:$J,"",Investors!$A:$A,'Investor Exit List'!$A436,Investors!$E:$E,'Investor Exit List'!$C436,Investors!$L:$L,'Investor Exit List'!$B436))+SUMIFS(Investors!$S:$S,Investors!$O:$O,FALSE,Investors!$P:$P,FALSE,Investors!$K:$K,"&gt;"&amp;'NSST Print'!$B$3,Investors!$I:$I,"&lt;="&amp;'NSST Print'!$B$3,Investors!$A:$A,'Investor Exit List'!$A436,Investors!$E:$E,'Investor Exit List'!$C436,Investors!$L:$L,'Investor Exit List'!$B436)-(SUMIFS(Investors!$S:$S,Investors!$I:$I,"&lt;="&amp;'NSST Print'!$B$3,Investors!$J:$J,"&gt;"&amp;'NSST Print'!$B$3,Investors!$A:$A,'Investor Exit List'!$A436,Investors!$E:$E,'Investor Exit List'!$C436,Investors!$L:$L,'Investor Exit List'!$B436)+SUMIFS(Investors!$S:$S,Investors!$I:$I,"&lt;="&amp;'NSST Print'!$B$3,Investors!$J:$J,"",Investors!$A:$A,'Investor Exit List'!$A436,Investors!$E:$E,'Investor Exit List'!$C436,Investors!$L:$L,'Investor Exit List'!$B436))</f>
        <v>1292364.3835616438</v>
      </c>
      <c r="R436" s="117">
        <f t="shared" si="77"/>
        <v>0</v>
      </c>
      <c r="S436" s="117">
        <f>SUMIFS(Investors!$M:$M,Investors!$O:$O,TRUE,Investors!$A:$A,'Investor Exit List'!$A436,Investors!$E:$E,'Investor Exit List'!$C436,Investors!$L:$L,'Investor Exit List'!$B436)+SUMIFS(Investors!$S:$S,Investors!$O:$O,TRUE,Investors!$A:$A,'Investor Exit List'!$A436,Investors!$E:$E,'Investor Exit List'!$C436,Investors!$L:$L,'Investor Exit List'!$B436)</f>
        <v>0</v>
      </c>
      <c r="T436" s="118" t="str">
        <f t="shared" si="78"/>
        <v/>
      </c>
      <c r="U436" s="116" t="b">
        <v>0</v>
      </c>
      <c r="V436" s="117">
        <f t="shared" si="79"/>
        <v>0</v>
      </c>
      <c r="W436" s="116">
        <v>0</v>
      </c>
      <c r="X436" s="116" t="b">
        <v>0</v>
      </c>
      <c r="Y436" s="119">
        <f>IF(H436=FALSE,VLOOKUP($C436,Sales!$C:$F,4,FALSE),1)</f>
        <v>0</v>
      </c>
      <c r="Z436" s="116" t="str">
        <f t="shared" si="80"/>
        <v>Release</v>
      </c>
      <c r="AA436" s="118">
        <f t="shared" si="81"/>
        <v>46010</v>
      </c>
      <c r="AB436" s="118" t="str">
        <f t="shared" si="82"/>
        <v>HVL101-ZMYB01</v>
      </c>
      <c r="AC436" s="118">
        <f t="shared" si="83"/>
        <v>46010</v>
      </c>
    </row>
    <row r="437" spans="1:29" ht="16" x14ac:dyDescent="0.2">
      <c r="A437" s="116" t="s">
        <v>576</v>
      </c>
      <c r="B437" s="116">
        <v>4</v>
      </c>
      <c r="C437" s="116" t="s">
        <v>791</v>
      </c>
      <c r="D437" s="116" t="s">
        <v>790</v>
      </c>
      <c r="E437" s="116" t="s">
        <v>2168</v>
      </c>
      <c r="F437" s="117">
        <f>SUMIFS(Investors!$M:$M,Investors!$O:$O,FALSE,Investors!$P:$P,FALSE,Investors!$K:$K,"&gt;"&amp;'NSST Print'!$B$3,Investors!$I:$I,"&lt;="&amp;'NSST Print'!$B$3,Investors!$A:$A,'Investor Exit List'!$A437,Investors!$E:$E,'Investor Exit List'!$C437,Investors!$L:$L,'Investor Exit List'!$B437)-(SUMIFS(Investors!$M:$M,Investors!$I:$I,"&lt;="&amp;'NSST Print'!$B$3,Investors!$J:$J,"&gt;"&amp;'NSST Print'!$B$3,Investors!$A:$A,'Investor Exit List'!$A437,Investors!$E:$E,'Investor Exit List'!$C437,Investors!$L:$L,'Investor Exit List'!$B437)+SUMIFS(Investors!$M:$M,Investors!$I:$I,"&lt;="&amp;'NSST Print'!$B$3,Investors!$J:$J,"",Investors!$A:$A,'Investor Exit List'!$A437,Investors!$E:$E,'Investor Exit List'!$C437,Investors!$L:$L,'Investor Exit List'!$B437))</f>
        <v>700000</v>
      </c>
      <c r="G437" s="118">
        <v>45280</v>
      </c>
      <c r="H437" s="116" t="b">
        <f>VLOOKUP($C437,Sales!$C:$E,2,FALSE)</f>
        <v>0</v>
      </c>
      <c r="I437" s="116" t="b">
        <f>VLOOKUP($C437,Sales!$C:$E,3,FALSE)</f>
        <v>0</v>
      </c>
      <c r="J437" s="118">
        <f>SUMIFS(Sales!$H:$H,Sales!$C:$C,'Investor Exit List'!$C437)</f>
        <v>45716</v>
      </c>
      <c r="K437" s="118" t="str">
        <f t="shared" si="72"/>
        <v/>
      </c>
      <c r="L437" s="118">
        <f t="shared" si="73"/>
        <v>46010</v>
      </c>
      <c r="M437" s="118">
        <v>45443</v>
      </c>
      <c r="N437" s="119">
        <f t="shared" si="74"/>
        <v>567</v>
      </c>
      <c r="O437" s="119">
        <f t="shared" si="75"/>
        <v>0</v>
      </c>
      <c r="P437" s="117">
        <f t="shared" si="76"/>
        <v>0</v>
      </c>
      <c r="Q437" s="117">
        <f>SUMIFS(Investors!$M:$M,Investors!$O:$O,FALSE,Investors!$P:$P,FALSE,Investors!$K:$K,"&gt;"&amp;'NSST Print'!$B$3,Investors!$I:$I,"&lt;="&amp;'NSST Print'!$B$3,Investors!$A:$A,'Investor Exit List'!$A437,Investors!$E:$E,'Investor Exit List'!$C437,Investors!$L:$L,'Investor Exit List'!$B437)-(SUMIFS(Investors!$M:$M,Investors!$I:$I,"&lt;="&amp;'NSST Print'!$B$3,Investors!$J:$J,"&gt;"&amp;'NSST Print'!$B$3,Investors!$A:$A,'Investor Exit List'!$A437,Investors!$E:$E,'Investor Exit List'!$C437,Investors!$L:$L,'Investor Exit List'!$B437)+SUMIFS(Investors!$M:$M,Investors!$I:$I,"&lt;="&amp;'NSST Print'!$B$3,Investors!$J:$J,"",Investors!$A:$A,'Investor Exit List'!$A437,Investors!$E:$E,'Investor Exit List'!$C437,Investors!$L:$L,'Investor Exit List'!$B437))+SUMIFS(Investors!$S:$S,Investors!$O:$O,FALSE,Investors!$P:$P,FALSE,Investors!$K:$K,"&gt;"&amp;'NSST Print'!$B$3,Investors!$I:$I,"&lt;="&amp;'NSST Print'!$B$3,Investors!$A:$A,'Investor Exit List'!$A437,Investors!$E:$E,'Investor Exit List'!$C437,Investors!$L:$L,'Investor Exit List'!$B437)-(SUMIFS(Investors!$S:$S,Investors!$I:$I,"&lt;="&amp;'NSST Print'!$B$3,Investors!$J:$J,"&gt;"&amp;'NSST Print'!$B$3,Investors!$A:$A,'Investor Exit List'!$A437,Investors!$E:$E,'Investor Exit List'!$C437,Investors!$L:$L,'Investor Exit List'!$B437)+SUMIFS(Investors!$S:$S,Investors!$I:$I,"&lt;="&amp;'NSST Print'!$B$3,Investors!$J:$J,"",Investors!$A:$A,'Investor Exit List'!$A437,Investors!$E:$E,'Investor Exit List'!$C437,Investors!$L:$L,'Investor Exit List'!$B437))</f>
        <v>822413.69863013714</v>
      </c>
      <c r="R437" s="117">
        <f t="shared" si="77"/>
        <v>0</v>
      </c>
      <c r="S437" s="117">
        <f>SUMIFS(Investors!$M:$M,Investors!$O:$O,TRUE,Investors!$A:$A,'Investor Exit List'!$A437,Investors!$E:$E,'Investor Exit List'!$C437,Investors!$L:$L,'Investor Exit List'!$B437)+SUMIFS(Investors!$S:$S,Investors!$O:$O,TRUE,Investors!$A:$A,'Investor Exit List'!$A437,Investors!$E:$E,'Investor Exit List'!$C437,Investors!$L:$L,'Investor Exit List'!$B437)</f>
        <v>0</v>
      </c>
      <c r="T437" s="118" t="str">
        <f t="shared" si="78"/>
        <v/>
      </c>
      <c r="U437" s="116" t="b">
        <v>0</v>
      </c>
      <c r="V437" s="117">
        <f t="shared" si="79"/>
        <v>0</v>
      </c>
      <c r="W437" s="116">
        <v>0</v>
      </c>
      <c r="X437" s="116" t="b">
        <v>0</v>
      </c>
      <c r="Y437" s="119">
        <f>IF(H437=FALSE,VLOOKUP($C437,Sales!$C:$F,4,FALSE),1)</f>
        <v>0</v>
      </c>
      <c r="Z437" s="116" t="str">
        <f t="shared" si="80"/>
        <v>Release</v>
      </c>
      <c r="AA437" s="118">
        <f t="shared" si="81"/>
        <v>45989</v>
      </c>
      <c r="AB437" s="118" t="str">
        <f t="shared" si="82"/>
        <v>HVL102-ZMYB01</v>
      </c>
      <c r="AC437" s="118">
        <f t="shared" si="83"/>
        <v>46010</v>
      </c>
    </row>
    <row r="438" spans="1:29" ht="16" x14ac:dyDescent="0.2">
      <c r="A438" s="116" t="s">
        <v>792</v>
      </c>
      <c r="B438" s="116">
        <v>1</v>
      </c>
      <c r="C438" s="116" t="s">
        <v>791</v>
      </c>
      <c r="D438" s="116" t="s">
        <v>790</v>
      </c>
      <c r="E438" s="116" t="s">
        <v>2212</v>
      </c>
      <c r="F438" s="117">
        <f>SUMIFS(Investors!$M:$M,Investors!$O:$O,FALSE,Investors!$P:$P,FALSE,Investors!$K:$K,"&gt;"&amp;'NSST Print'!$B$3,Investors!$I:$I,"&lt;="&amp;'NSST Print'!$B$3,Investors!$A:$A,'Investor Exit List'!$A438,Investors!$E:$E,'Investor Exit List'!$C438,Investors!$L:$L,'Investor Exit List'!$B438)-(SUMIFS(Investors!$M:$M,Investors!$I:$I,"&lt;="&amp;'NSST Print'!$B$3,Investors!$J:$J,"&gt;"&amp;'NSST Print'!$B$3,Investors!$A:$A,'Investor Exit List'!$A438,Investors!$E:$E,'Investor Exit List'!$C438,Investors!$L:$L,'Investor Exit List'!$B438)+SUMIFS(Investors!$M:$M,Investors!$I:$I,"&lt;="&amp;'NSST Print'!$B$3,Investors!$J:$J,"",Investors!$A:$A,'Investor Exit List'!$A438,Investors!$E:$E,'Investor Exit List'!$C438,Investors!$L:$L,'Investor Exit List'!$B438))</f>
        <v>100000</v>
      </c>
      <c r="G438" s="118">
        <v>45259</v>
      </c>
      <c r="H438" s="116" t="b">
        <f>VLOOKUP($C438,Sales!$C:$E,2,FALSE)</f>
        <v>0</v>
      </c>
      <c r="I438" s="116" t="b">
        <f>VLOOKUP($C438,Sales!$C:$E,3,FALSE)</f>
        <v>0</v>
      </c>
      <c r="J438" s="118">
        <f>SUMIFS(Sales!$H:$H,Sales!$C:$C,'Investor Exit List'!$C438)</f>
        <v>45716</v>
      </c>
      <c r="K438" s="118" t="str">
        <f t="shared" si="72"/>
        <v/>
      </c>
      <c r="L438" s="118">
        <f t="shared" si="73"/>
        <v>45989</v>
      </c>
      <c r="M438" s="118">
        <v>45443</v>
      </c>
      <c r="N438" s="119">
        <f t="shared" si="74"/>
        <v>546</v>
      </c>
      <c r="O438" s="119">
        <f t="shared" si="75"/>
        <v>0</v>
      </c>
      <c r="P438" s="117">
        <f t="shared" si="76"/>
        <v>0</v>
      </c>
      <c r="Q438" s="117">
        <f>SUMIFS(Investors!$M:$M,Investors!$O:$O,FALSE,Investors!$P:$P,FALSE,Investors!$K:$K,"&gt;"&amp;'NSST Print'!$B$3,Investors!$I:$I,"&lt;="&amp;'NSST Print'!$B$3,Investors!$A:$A,'Investor Exit List'!$A438,Investors!$E:$E,'Investor Exit List'!$C438,Investors!$L:$L,'Investor Exit List'!$B438)-(SUMIFS(Investors!$M:$M,Investors!$I:$I,"&lt;="&amp;'NSST Print'!$B$3,Investors!$J:$J,"&gt;"&amp;'NSST Print'!$B$3,Investors!$A:$A,'Investor Exit List'!$A438,Investors!$E:$E,'Investor Exit List'!$C438,Investors!$L:$L,'Investor Exit List'!$B438)+SUMIFS(Investors!$M:$M,Investors!$I:$I,"&lt;="&amp;'NSST Print'!$B$3,Investors!$J:$J,"",Investors!$A:$A,'Investor Exit List'!$A438,Investors!$E:$E,'Investor Exit List'!$C438,Investors!$L:$L,'Investor Exit List'!$B438))+SUMIFS(Investors!$S:$S,Investors!$O:$O,FALSE,Investors!$P:$P,FALSE,Investors!$K:$K,"&gt;"&amp;'NSST Print'!$B$3,Investors!$I:$I,"&lt;="&amp;'NSST Print'!$B$3,Investors!$A:$A,'Investor Exit List'!$A438,Investors!$E:$E,'Investor Exit List'!$C438,Investors!$L:$L,'Investor Exit List'!$B438)-(SUMIFS(Investors!$S:$S,Investors!$I:$I,"&lt;="&amp;'NSST Print'!$B$3,Investors!$J:$J,"&gt;"&amp;'NSST Print'!$B$3,Investors!$A:$A,'Investor Exit List'!$A438,Investors!$E:$E,'Investor Exit List'!$C438,Investors!$L:$L,'Investor Exit List'!$B438)+SUMIFS(Investors!$S:$S,Investors!$I:$I,"&lt;="&amp;'NSST Print'!$B$3,Investors!$J:$J,"",Investors!$A:$A,'Investor Exit List'!$A438,Investors!$E:$E,'Investor Exit List'!$C438,Investors!$L:$L,'Investor Exit List'!$B438))</f>
        <v>114202.73972602739</v>
      </c>
      <c r="R438" s="117">
        <f t="shared" si="77"/>
        <v>0</v>
      </c>
      <c r="S438" s="117">
        <f>SUMIFS(Investors!$M:$M,Investors!$O:$O,TRUE,Investors!$A:$A,'Investor Exit List'!$A438,Investors!$E:$E,'Investor Exit List'!$C438,Investors!$L:$L,'Investor Exit List'!$B438)+SUMIFS(Investors!$S:$S,Investors!$O:$O,TRUE,Investors!$A:$A,'Investor Exit List'!$A438,Investors!$E:$E,'Investor Exit List'!$C438,Investors!$L:$L,'Investor Exit List'!$B438)</f>
        <v>0</v>
      </c>
      <c r="T438" s="118" t="str">
        <f t="shared" si="78"/>
        <v/>
      </c>
      <c r="U438" s="116" t="b">
        <v>0</v>
      </c>
      <c r="V438" s="117">
        <f t="shared" si="79"/>
        <v>0</v>
      </c>
      <c r="W438" s="116">
        <v>0</v>
      </c>
      <c r="X438" s="116" t="b">
        <v>0</v>
      </c>
      <c r="Y438" s="119">
        <f>IF(H438=FALSE,VLOOKUP($C438,Sales!$C:$F,4,FALSE),1)</f>
        <v>0</v>
      </c>
      <c r="Z438" s="116" t="str">
        <f t="shared" si="80"/>
        <v>Release</v>
      </c>
      <c r="AA438" s="118">
        <f t="shared" si="81"/>
        <v>45989</v>
      </c>
      <c r="AB438" s="118" t="str">
        <f t="shared" si="82"/>
        <v>HVL102-ZTUR01</v>
      </c>
      <c r="AC438" s="118">
        <f t="shared" si="83"/>
        <v>45989</v>
      </c>
    </row>
    <row r="439" spans="1:29" ht="16" x14ac:dyDescent="0.2">
      <c r="A439" s="116" t="s">
        <v>204</v>
      </c>
      <c r="B439" s="116">
        <v>6</v>
      </c>
      <c r="C439" s="116" t="s">
        <v>791</v>
      </c>
      <c r="D439" s="116" t="s">
        <v>790</v>
      </c>
      <c r="E439" s="116" t="s">
        <v>2064</v>
      </c>
      <c r="F439" s="117">
        <f>SUMIFS(Investors!$M:$M,Investors!$O:$O,FALSE,Investors!$P:$P,FALSE,Investors!$K:$K,"&gt;"&amp;'NSST Print'!$B$3,Investors!$I:$I,"&lt;="&amp;'NSST Print'!$B$3,Investors!$A:$A,'Investor Exit List'!$A439,Investors!$E:$E,'Investor Exit List'!$C439,Investors!$L:$L,'Investor Exit List'!$B439)-(SUMIFS(Investors!$M:$M,Investors!$I:$I,"&lt;="&amp;'NSST Print'!$B$3,Investors!$J:$J,"&gt;"&amp;'NSST Print'!$B$3,Investors!$A:$A,'Investor Exit List'!$A439,Investors!$E:$E,'Investor Exit List'!$C439,Investors!$L:$L,'Investor Exit List'!$B439)+SUMIFS(Investors!$M:$M,Investors!$I:$I,"&lt;="&amp;'NSST Print'!$B$3,Investors!$J:$J,"",Investors!$A:$A,'Investor Exit List'!$A439,Investors!$E:$E,'Investor Exit List'!$C439,Investors!$L:$L,'Investor Exit List'!$B439))</f>
        <v>250000</v>
      </c>
      <c r="G439" s="118">
        <v>45259</v>
      </c>
      <c r="H439" s="116" t="b">
        <f>VLOOKUP($C439,Sales!$C:$E,2,FALSE)</f>
        <v>0</v>
      </c>
      <c r="I439" s="116" t="b">
        <f>VLOOKUP($C439,Sales!$C:$E,3,FALSE)</f>
        <v>0</v>
      </c>
      <c r="J439" s="118">
        <f>SUMIFS(Sales!$H:$H,Sales!$C:$C,'Investor Exit List'!$C439)</f>
        <v>45716</v>
      </c>
      <c r="K439" s="118" t="str">
        <f t="shared" si="72"/>
        <v/>
      </c>
      <c r="L439" s="118">
        <f t="shared" si="73"/>
        <v>45989</v>
      </c>
      <c r="M439" s="118">
        <v>45443</v>
      </c>
      <c r="N439" s="119">
        <f t="shared" si="74"/>
        <v>546</v>
      </c>
      <c r="O439" s="119">
        <f t="shared" si="75"/>
        <v>0</v>
      </c>
      <c r="P439" s="117">
        <f t="shared" si="76"/>
        <v>0</v>
      </c>
      <c r="Q439" s="117">
        <f>SUMIFS(Investors!$M:$M,Investors!$O:$O,FALSE,Investors!$P:$P,FALSE,Investors!$K:$K,"&gt;"&amp;'NSST Print'!$B$3,Investors!$I:$I,"&lt;="&amp;'NSST Print'!$B$3,Investors!$A:$A,'Investor Exit List'!$A439,Investors!$E:$E,'Investor Exit List'!$C439,Investors!$L:$L,'Investor Exit List'!$B439)-(SUMIFS(Investors!$M:$M,Investors!$I:$I,"&lt;="&amp;'NSST Print'!$B$3,Investors!$J:$J,"&gt;"&amp;'NSST Print'!$B$3,Investors!$A:$A,'Investor Exit List'!$A439,Investors!$E:$E,'Investor Exit List'!$C439,Investors!$L:$L,'Investor Exit List'!$B439)+SUMIFS(Investors!$M:$M,Investors!$I:$I,"&lt;="&amp;'NSST Print'!$B$3,Investors!$J:$J,"",Investors!$A:$A,'Investor Exit List'!$A439,Investors!$E:$E,'Investor Exit List'!$C439,Investors!$L:$L,'Investor Exit List'!$B439))+SUMIFS(Investors!$S:$S,Investors!$O:$O,FALSE,Investors!$P:$P,FALSE,Investors!$K:$K,"&gt;"&amp;'NSST Print'!$B$3,Investors!$I:$I,"&lt;="&amp;'NSST Print'!$B$3,Investors!$A:$A,'Investor Exit List'!$A439,Investors!$E:$E,'Investor Exit List'!$C439,Investors!$L:$L,'Investor Exit List'!$B439)-(SUMIFS(Investors!$S:$S,Investors!$I:$I,"&lt;="&amp;'NSST Print'!$B$3,Investors!$J:$J,"&gt;"&amp;'NSST Print'!$B$3,Investors!$A:$A,'Investor Exit List'!$A439,Investors!$E:$E,'Investor Exit List'!$C439,Investors!$L:$L,'Investor Exit List'!$B439)+SUMIFS(Investors!$S:$S,Investors!$I:$I,"&lt;="&amp;'NSST Print'!$B$3,Investors!$J:$J,"",Investors!$A:$A,'Investor Exit List'!$A439,Investors!$E:$E,'Investor Exit List'!$C439,Investors!$L:$L,'Investor Exit List'!$B439))</f>
        <v>290116.43835616438</v>
      </c>
      <c r="R439" s="117">
        <f t="shared" si="77"/>
        <v>0</v>
      </c>
      <c r="S439" s="117">
        <f>SUMIFS(Investors!$M:$M,Investors!$O:$O,TRUE,Investors!$A:$A,'Investor Exit List'!$A439,Investors!$E:$E,'Investor Exit List'!$C439,Investors!$L:$L,'Investor Exit List'!$B439)+SUMIFS(Investors!$S:$S,Investors!$O:$O,TRUE,Investors!$A:$A,'Investor Exit List'!$A439,Investors!$E:$E,'Investor Exit List'!$C439,Investors!$L:$L,'Investor Exit List'!$B439)</f>
        <v>0</v>
      </c>
      <c r="T439" s="118" t="str">
        <f t="shared" si="78"/>
        <v/>
      </c>
      <c r="U439" s="116" t="b">
        <v>0</v>
      </c>
      <c r="V439" s="117">
        <f t="shared" si="79"/>
        <v>0</v>
      </c>
      <c r="W439" s="116">
        <v>0</v>
      </c>
      <c r="X439" s="116" t="b">
        <v>0</v>
      </c>
      <c r="Y439" s="119">
        <f>IF(H439=FALSE,VLOOKUP($C439,Sales!$C:$F,4,FALSE),1)</f>
        <v>0</v>
      </c>
      <c r="Z439" s="116" t="str">
        <f t="shared" si="80"/>
        <v>Release</v>
      </c>
      <c r="AA439" s="118">
        <f t="shared" si="81"/>
        <v>45989</v>
      </c>
      <c r="AB439" s="118" t="str">
        <f t="shared" si="82"/>
        <v>HVL102-ZVOL01</v>
      </c>
      <c r="AC439" s="118">
        <f t="shared" si="83"/>
        <v>45989</v>
      </c>
    </row>
    <row r="440" spans="1:29" ht="16" x14ac:dyDescent="0.2">
      <c r="A440" s="116" t="s">
        <v>795</v>
      </c>
      <c r="B440" s="116">
        <v>2</v>
      </c>
      <c r="C440" s="116" t="s">
        <v>798</v>
      </c>
      <c r="D440" s="116" t="s">
        <v>790</v>
      </c>
      <c r="E440" s="116" t="s">
        <v>2213</v>
      </c>
      <c r="F440" s="117">
        <f>SUMIFS(Investors!$M:$M,Investors!$O:$O,FALSE,Investors!$P:$P,FALSE,Investors!$K:$K,"&gt;"&amp;'NSST Print'!$B$3,Investors!$I:$I,"&lt;="&amp;'NSST Print'!$B$3,Investors!$A:$A,'Investor Exit List'!$A440,Investors!$E:$E,'Investor Exit List'!$C440,Investors!$L:$L,'Investor Exit List'!$B440)-(SUMIFS(Investors!$M:$M,Investors!$I:$I,"&lt;="&amp;'NSST Print'!$B$3,Investors!$J:$J,"&gt;"&amp;'NSST Print'!$B$3,Investors!$A:$A,'Investor Exit List'!$A440,Investors!$E:$E,'Investor Exit List'!$C440,Investors!$L:$L,'Investor Exit List'!$B440)+SUMIFS(Investors!$M:$M,Investors!$I:$I,"&lt;="&amp;'NSST Print'!$B$3,Investors!$J:$J,"",Investors!$A:$A,'Investor Exit List'!$A440,Investors!$E:$E,'Investor Exit List'!$C440,Investors!$L:$L,'Investor Exit List'!$B440))</f>
        <v>1000004.32</v>
      </c>
      <c r="G440" s="118">
        <v>45273</v>
      </c>
      <c r="H440" s="116" t="b">
        <f>VLOOKUP($C440,Sales!$C:$E,2,FALSE)</f>
        <v>0</v>
      </c>
      <c r="I440" s="116" t="b">
        <f>VLOOKUP($C440,Sales!$C:$E,3,FALSE)</f>
        <v>0</v>
      </c>
      <c r="J440" s="118">
        <f>SUMIFS(Sales!$H:$H,Sales!$C:$C,'Investor Exit List'!$C440)</f>
        <v>45716</v>
      </c>
      <c r="K440" s="118" t="str">
        <f t="shared" si="72"/>
        <v/>
      </c>
      <c r="L440" s="118">
        <f t="shared" si="73"/>
        <v>46003</v>
      </c>
      <c r="M440" s="118">
        <v>45443</v>
      </c>
      <c r="N440" s="119">
        <f t="shared" si="74"/>
        <v>560</v>
      </c>
      <c r="O440" s="119">
        <f t="shared" si="75"/>
        <v>0</v>
      </c>
      <c r="P440" s="117">
        <f t="shared" si="76"/>
        <v>0</v>
      </c>
      <c r="Q440" s="117">
        <f>SUMIFS(Investors!$M:$M,Investors!$O:$O,FALSE,Investors!$P:$P,FALSE,Investors!$K:$K,"&gt;"&amp;'NSST Print'!$B$3,Investors!$I:$I,"&lt;="&amp;'NSST Print'!$B$3,Investors!$A:$A,'Investor Exit List'!$A440,Investors!$E:$E,'Investor Exit List'!$C440,Investors!$L:$L,'Investor Exit List'!$B440)-(SUMIFS(Investors!$M:$M,Investors!$I:$I,"&lt;="&amp;'NSST Print'!$B$3,Investors!$J:$J,"&gt;"&amp;'NSST Print'!$B$3,Investors!$A:$A,'Investor Exit List'!$A440,Investors!$E:$E,'Investor Exit List'!$C440,Investors!$L:$L,'Investor Exit List'!$B440)+SUMIFS(Investors!$M:$M,Investors!$I:$I,"&lt;="&amp;'NSST Print'!$B$3,Investors!$J:$J,"",Investors!$A:$A,'Investor Exit List'!$A440,Investors!$E:$E,'Investor Exit List'!$C440,Investors!$L:$L,'Investor Exit List'!$B440))+SUMIFS(Investors!$S:$S,Investors!$O:$O,FALSE,Investors!$P:$P,FALSE,Investors!$K:$K,"&gt;"&amp;'NSST Print'!$B$3,Investors!$I:$I,"&lt;="&amp;'NSST Print'!$B$3,Investors!$A:$A,'Investor Exit List'!$A440,Investors!$E:$E,'Investor Exit List'!$C440,Investors!$L:$L,'Investor Exit List'!$B440)-(SUMIFS(Investors!$S:$S,Investors!$I:$I,"&lt;="&amp;'NSST Print'!$B$3,Investors!$J:$J,"&gt;"&amp;'NSST Print'!$B$3,Investors!$A:$A,'Investor Exit List'!$A440,Investors!$E:$E,'Investor Exit List'!$C440,Investors!$L:$L,'Investor Exit List'!$B440)+SUMIFS(Investors!$S:$S,Investors!$I:$I,"&lt;="&amp;'NSST Print'!$B$3,Investors!$J:$J,"",Investors!$A:$A,'Investor Exit List'!$A440,Investors!$E:$E,'Investor Exit List'!$C440,Investors!$L:$L,'Investor Exit List'!$B440))</f>
        <v>1176224.2593490412</v>
      </c>
      <c r="R440" s="117">
        <f t="shared" si="77"/>
        <v>0</v>
      </c>
      <c r="S440" s="117">
        <f>SUMIFS(Investors!$M:$M,Investors!$O:$O,TRUE,Investors!$A:$A,'Investor Exit List'!$A440,Investors!$E:$E,'Investor Exit List'!$C440,Investors!$L:$L,'Investor Exit List'!$B440)+SUMIFS(Investors!$S:$S,Investors!$O:$O,TRUE,Investors!$A:$A,'Investor Exit List'!$A440,Investors!$E:$E,'Investor Exit List'!$C440,Investors!$L:$L,'Investor Exit List'!$B440)</f>
        <v>0</v>
      </c>
      <c r="T440" s="118" t="str">
        <f t="shared" si="78"/>
        <v/>
      </c>
      <c r="U440" s="116" t="b">
        <v>0</v>
      </c>
      <c r="V440" s="117">
        <f t="shared" si="79"/>
        <v>0</v>
      </c>
      <c r="W440" s="116">
        <v>0</v>
      </c>
      <c r="X440" s="116" t="b">
        <v>0</v>
      </c>
      <c r="Y440" s="119">
        <f>IF(H440=FALSE,VLOOKUP($C440,Sales!$C:$F,4,FALSE),1)</f>
        <v>0</v>
      </c>
      <c r="Z440" s="116" t="str">
        <f t="shared" si="80"/>
        <v>Release</v>
      </c>
      <c r="AA440" s="118">
        <f t="shared" si="81"/>
        <v>45989</v>
      </c>
      <c r="AB440" s="118" t="str">
        <f t="shared" si="82"/>
        <v>HVL103-ZCRO02</v>
      </c>
      <c r="AC440" s="118">
        <f t="shared" si="83"/>
        <v>46003</v>
      </c>
    </row>
    <row r="441" spans="1:29" ht="16" x14ac:dyDescent="0.2">
      <c r="A441" s="116" t="s">
        <v>799</v>
      </c>
      <c r="B441" s="116">
        <v>1</v>
      </c>
      <c r="C441" s="116" t="s">
        <v>798</v>
      </c>
      <c r="D441" s="116" t="s">
        <v>790</v>
      </c>
      <c r="E441" s="116" t="s">
        <v>2214</v>
      </c>
      <c r="F441" s="117">
        <f>SUMIFS(Investors!$M:$M,Investors!$O:$O,FALSE,Investors!$P:$P,FALSE,Investors!$K:$K,"&gt;"&amp;'NSST Print'!$B$3,Investors!$I:$I,"&lt;="&amp;'NSST Print'!$B$3,Investors!$A:$A,'Investor Exit List'!$A441,Investors!$E:$E,'Investor Exit List'!$C441,Investors!$L:$L,'Investor Exit List'!$B441)-(SUMIFS(Investors!$M:$M,Investors!$I:$I,"&lt;="&amp;'NSST Print'!$B$3,Investors!$J:$J,"&gt;"&amp;'NSST Print'!$B$3,Investors!$A:$A,'Investor Exit List'!$A441,Investors!$E:$E,'Investor Exit List'!$C441,Investors!$L:$L,'Investor Exit List'!$B441)+SUMIFS(Investors!$M:$M,Investors!$I:$I,"&lt;="&amp;'NSST Print'!$B$3,Investors!$J:$J,"",Investors!$A:$A,'Investor Exit List'!$A441,Investors!$E:$E,'Investor Exit List'!$C441,Investors!$L:$L,'Investor Exit List'!$B441))</f>
        <v>100000</v>
      </c>
      <c r="G441" s="118">
        <v>45259</v>
      </c>
      <c r="H441" s="116" t="b">
        <f>VLOOKUP($C441,Sales!$C:$E,2,FALSE)</f>
        <v>0</v>
      </c>
      <c r="I441" s="116" t="b">
        <f>VLOOKUP($C441,Sales!$C:$E,3,FALSE)</f>
        <v>0</v>
      </c>
      <c r="J441" s="118">
        <f>SUMIFS(Sales!$H:$H,Sales!$C:$C,'Investor Exit List'!$C441)</f>
        <v>45716</v>
      </c>
      <c r="K441" s="118" t="str">
        <f t="shared" si="72"/>
        <v/>
      </c>
      <c r="L441" s="118">
        <f t="shared" si="73"/>
        <v>45989</v>
      </c>
      <c r="M441" s="118">
        <v>45443</v>
      </c>
      <c r="N441" s="119">
        <f t="shared" si="74"/>
        <v>546</v>
      </c>
      <c r="O441" s="119">
        <f t="shared" si="75"/>
        <v>0</v>
      </c>
      <c r="P441" s="117">
        <f t="shared" si="76"/>
        <v>0</v>
      </c>
      <c r="Q441" s="117">
        <f>SUMIFS(Investors!$M:$M,Investors!$O:$O,FALSE,Investors!$P:$P,FALSE,Investors!$K:$K,"&gt;"&amp;'NSST Print'!$B$3,Investors!$I:$I,"&lt;="&amp;'NSST Print'!$B$3,Investors!$A:$A,'Investor Exit List'!$A441,Investors!$E:$E,'Investor Exit List'!$C441,Investors!$L:$L,'Investor Exit List'!$B441)-(SUMIFS(Investors!$M:$M,Investors!$I:$I,"&lt;="&amp;'NSST Print'!$B$3,Investors!$J:$J,"&gt;"&amp;'NSST Print'!$B$3,Investors!$A:$A,'Investor Exit List'!$A441,Investors!$E:$E,'Investor Exit List'!$C441,Investors!$L:$L,'Investor Exit List'!$B441)+SUMIFS(Investors!$M:$M,Investors!$I:$I,"&lt;="&amp;'NSST Print'!$B$3,Investors!$J:$J,"",Investors!$A:$A,'Investor Exit List'!$A441,Investors!$E:$E,'Investor Exit List'!$C441,Investors!$L:$L,'Investor Exit List'!$B441))+SUMIFS(Investors!$S:$S,Investors!$O:$O,FALSE,Investors!$P:$P,FALSE,Investors!$K:$K,"&gt;"&amp;'NSST Print'!$B$3,Investors!$I:$I,"&lt;="&amp;'NSST Print'!$B$3,Investors!$A:$A,'Investor Exit List'!$A441,Investors!$E:$E,'Investor Exit List'!$C441,Investors!$L:$L,'Investor Exit List'!$B441)-(SUMIFS(Investors!$S:$S,Investors!$I:$I,"&lt;="&amp;'NSST Print'!$B$3,Investors!$J:$J,"&gt;"&amp;'NSST Print'!$B$3,Investors!$A:$A,'Investor Exit List'!$A441,Investors!$E:$E,'Investor Exit List'!$C441,Investors!$L:$L,'Investor Exit List'!$B441)+SUMIFS(Investors!$S:$S,Investors!$I:$I,"&lt;="&amp;'NSST Print'!$B$3,Investors!$J:$J,"",Investors!$A:$A,'Investor Exit List'!$A441,Investors!$E:$E,'Investor Exit List'!$C441,Investors!$L:$L,'Investor Exit List'!$B441))</f>
        <v>114202.73972602739</v>
      </c>
      <c r="R441" s="117">
        <f t="shared" si="77"/>
        <v>0</v>
      </c>
      <c r="S441" s="117">
        <f>SUMIFS(Investors!$M:$M,Investors!$O:$O,TRUE,Investors!$A:$A,'Investor Exit List'!$A441,Investors!$E:$E,'Investor Exit List'!$C441,Investors!$L:$L,'Investor Exit List'!$B441)+SUMIFS(Investors!$S:$S,Investors!$O:$O,TRUE,Investors!$A:$A,'Investor Exit List'!$A441,Investors!$E:$E,'Investor Exit List'!$C441,Investors!$L:$L,'Investor Exit List'!$B441)</f>
        <v>0</v>
      </c>
      <c r="T441" s="118" t="str">
        <f t="shared" si="78"/>
        <v/>
      </c>
      <c r="U441" s="116" t="b">
        <v>0</v>
      </c>
      <c r="V441" s="117">
        <f t="shared" si="79"/>
        <v>0</v>
      </c>
      <c r="W441" s="116">
        <v>0</v>
      </c>
      <c r="X441" s="116" t="b">
        <v>0</v>
      </c>
      <c r="Y441" s="119">
        <f>IF(H441=FALSE,VLOOKUP($C441,Sales!$C:$F,4,FALSE),1)</f>
        <v>0</v>
      </c>
      <c r="Z441" s="116" t="str">
        <f t="shared" si="80"/>
        <v>Release</v>
      </c>
      <c r="AA441" s="118">
        <f t="shared" si="81"/>
        <v>45989</v>
      </c>
      <c r="AB441" s="118" t="str">
        <f t="shared" si="82"/>
        <v>HVL103-ZSIP01</v>
      </c>
      <c r="AC441" s="118">
        <f t="shared" si="83"/>
        <v>45989</v>
      </c>
    </row>
    <row r="442" spans="1:29" ht="16" x14ac:dyDescent="0.2">
      <c r="A442" s="116" t="s">
        <v>576</v>
      </c>
      <c r="B442" s="116">
        <v>5</v>
      </c>
      <c r="C442" s="116" t="s">
        <v>802</v>
      </c>
      <c r="D442" s="116" t="s">
        <v>790</v>
      </c>
      <c r="E442" s="116" t="s">
        <v>2168</v>
      </c>
      <c r="F442" s="117">
        <f>SUMIFS(Investors!$M:$M,Investors!$O:$O,FALSE,Investors!$P:$P,FALSE,Investors!$K:$K,"&gt;"&amp;'NSST Print'!$B$3,Investors!$I:$I,"&lt;="&amp;'NSST Print'!$B$3,Investors!$A:$A,'Investor Exit List'!$A442,Investors!$E:$E,'Investor Exit List'!$C442,Investors!$L:$L,'Investor Exit List'!$B442)-(SUMIFS(Investors!$M:$M,Investors!$I:$I,"&lt;="&amp;'NSST Print'!$B$3,Investors!$J:$J,"&gt;"&amp;'NSST Print'!$B$3,Investors!$A:$A,'Investor Exit List'!$A442,Investors!$E:$E,'Investor Exit List'!$C442,Investors!$L:$L,'Investor Exit List'!$B442)+SUMIFS(Investors!$M:$M,Investors!$I:$I,"&lt;="&amp;'NSST Print'!$B$3,Investors!$J:$J,"",Investors!$A:$A,'Investor Exit List'!$A442,Investors!$E:$E,'Investor Exit List'!$C442,Investors!$L:$L,'Investor Exit List'!$B442))</f>
        <v>1100000</v>
      </c>
      <c r="G442" s="118">
        <v>45280</v>
      </c>
      <c r="H442" s="116" t="b">
        <f>VLOOKUP($C442,Sales!$C:$E,2,FALSE)</f>
        <v>0</v>
      </c>
      <c r="I442" s="116" t="b">
        <f>VLOOKUP($C442,Sales!$C:$E,3,FALSE)</f>
        <v>0</v>
      </c>
      <c r="J442" s="118">
        <f>SUMIFS(Sales!$H:$H,Sales!$C:$C,'Investor Exit List'!$C442)</f>
        <v>45716</v>
      </c>
      <c r="K442" s="118" t="str">
        <f t="shared" si="72"/>
        <v/>
      </c>
      <c r="L442" s="118">
        <f t="shared" si="73"/>
        <v>46010</v>
      </c>
      <c r="M442" s="118">
        <v>45443</v>
      </c>
      <c r="N442" s="119">
        <f t="shared" si="74"/>
        <v>567</v>
      </c>
      <c r="O442" s="119">
        <f t="shared" si="75"/>
        <v>0</v>
      </c>
      <c r="P442" s="117">
        <f t="shared" si="76"/>
        <v>0</v>
      </c>
      <c r="Q442" s="117">
        <f>SUMIFS(Investors!$M:$M,Investors!$O:$O,FALSE,Investors!$P:$P,FALSE,Investors!$K:$K,"&gt;"&amp;'NSST Print'!$B$3,Investors!$I:$I,"&lt;="&amp;'NSST Print'!$B$3,Investors!$A:$A,'Investor Exit List'!$A442,Investors!$E:$E,'Investor Exit List'!$C442,Investors!$L:$L,'Investor Exit List'!$B442)-(SUMIFS(Investors!$M:$M,Investors!$I:$I,"&lt;="&amp;'NSST Print'!$B$3,Investors!$J:$J,"&gt;"&amp;'NSST Print'!$B$3,Investors!$A:$A,'Investor Exit List'!$A442,Investors!$E:$E,'Investor Exit List'!$C442,Investors!$L:$L,'Investor Exit List'!$B442)+SUMIFS(Investors!$M:$M,Investors!$I:$I,"&lt;="&amp;'NSST Print'!$B$3,Investors!$J:$J,"",Investors!$A:$A,'Investor Exit List'!$A442,Investors!$E:$E,'Investor Exit List'!$C442,Investors!$L:$L,'Investor Exit List'!$B442))+SUMIFS(Investors!$S:$S,Investors!$O:$O,FALSE,Investors!$P:$P,FALSE,Investors!$K:$K,"&gt;"&amp;'NSST Print'!$B$3,Investors!$I:$I,"&lt;="&amp;'NSST Print'!$B$3,Investors!$A:$A,'Investor Exit List'!$A442,Investors!$E:$E,'Investor Exit List'!$C442,Investors!$L:$L,'Investor Exit List'!$B442)-(SUMIFS(Investors!$S:$S,Investors!$I:$I,"&lt;="&amp;'NSST Print'!$B$3,Investors!$J:$J,"&gt;"&amp;'NSST Print'!$B$3,Investors!$A:$A,'Investor Exit List'!$A442,Investors!$E:$E,'Investor Exit List'!$C442,Investors!$L:$L,'Investor Exit List'!$B442)+SUMIFS(Investors!$S:$S,Investors!$I:$I,"&lt;="&amp;'NSST Print'!$B$3,Investors!$J:$J,"",Investors!$A:$A,'Investor Exit List'!$A442,Investors!$E:$E,'Investor Exit List'!$C442,Investors!$L:$L,'Investor Exit List'!$B442))</f>
        <v>1292364.3835616438</v>
      </c>
      <c r="R442" s="117">
        <f t="shared" si="77"/>
        <v>0</v>
      </c>
      <c r="S442" s="117">
        <f>SUMIFS(Investors!$M:$M,Investors!$O:$O,TRUE,Investors!$A:$A,'Investor Exit List'!$A442,Investors!$E:$E,'Investor Exit List'!$C442,Investors!$L:$L,'Investor Exit List'!$B442)+SUMIFS(Investors!$S:$S,Investors!$O:$O,TRUE,Investors!$A:$A,'Investor Exit List'!$A442,Investors!$E:$E,'Investor Exit List'!$C442,Investors!$L:$L,'Investor Exit List'!$B442)</f>
        <v>0</v>
      </c>
      <c r="T442" s="118" t="str">
        <f t="shared" si="78"/>
        <v/>
      </c>
      <c r="U442" s="116" t="b">
        <v>0</v>
      </c>
      <c r="V442" s="117">
        <f t="shared" si="79"/>
        <v>0</v>
      </c>
      <c r="W442" s="116">
        <v>0</v>
      </c>
      <c r="X442" s="116" t="b">
        <v>0</v>
      </c>
      <c r="Y442" s="119">
        <f>IF(H442=FALSE,VLOOKUP($C442,Sales!$C:$F,4,FALSE),1)</f>
        <v>0</v>
      </c>
      <c r="Z442" s="116" t="str">
        <f t="shared" si="80"/>
        <v>Release</v>
      </c>
      <c r="AA442" s="118">
        <f t="shared" si="81"/>
        <v>46010</v>
      </c>
      <c r="AB442" s="118" t="str">
        <f t="shared" si="82"/>
        <v>HVL104-ZMYB01</v>
      </c>
      <c r="AC442" s="118">
        <f t="shared" si="83"/>
        <v>46010</v>
      </c>
    </row>
    <row r="443" spans="1:29" ht="16" x14ac:dyDescent="0.2">
      <c r="A443" s="116" t="s">
        <v>501</v>
      </c>
      <c r="B443" s="116">
        <v>2</v>
      </c>
      <c r="C443" s="116" t="s">
        <v>803</v>
      </c>
      <c r="D443" s="116" t="s">
        <v>790</v>
      </c>
      <c r="E443" s="116" t="s">
        <v>2147</v>
      </c>
      <c r="F443" s="117">
        <f>SUMIFS(Investors!$M:$M,Investors!$O:$O,FALSE,Investors!$P:$P,FALSE,Investors!$K:$K,"&gt;"&amp;'NSST Print'!$B$3,Investors!$I:$I,"&lt;="&amp;'NSST Print'!$B$3,Investors!$A:$A,'Investor Exit List'!$A443,Investors!$E:$E,'Investor Exit List'!$C443,Investors!$L:$L,'Investor Exit List'!$B443)-(SUMIFS(Investors!$M:$M,Investors!$I:$I,"&lt;="&amp;'NSST Print'!$B$3,Investors!$J:$J,"&gt;"&amp;'NSST Print'!$B$3,Investors!$A:$A,'Investor Exit List'!$A443,Investors!$E:$E,'Investor Exit List'!$C443,Investors!$L:$L,'Investor Exit List'!$B443)+SUMIFS(Investors!$M:$M,Investors!$I:$I,"&lt;="&amp;'NSST Print'!$B$3,Investors!$J:$J,"",Investors!$A:$A,'Investor Exit List'!$A443,Investors!$E:$E,'Investor Exit List'!$C443,Investors!$L:$L,'Investor Exit List'!$B443))</f>
        <v>604260.27</v>
      </c>
      <c r="G443" s="118">
        <v>45363</v>
      </c>
      <c r="H443" s="116" t="b">
        <f>VLOOKUP($C443,Sales!$C:$E,2,FALSE)</f>
        <v>0</v>
      </c>
      <c r="I443" s="116" t="b">
        <f>VLOOKUP($C443,Sales!$C:$E,3,FALSE)</f>
        <v>0</v>
      </c>
      <c r="J443" s="118">
        <f>SUMIFS(Sales!$H:$H,Sales!$C:$C,'Investor Exit List'!$C443)</f>
        <v>45716</v>
      </c>
      <c r="K443" s="118" t="str">
        <f t="shared" si="72"/>
        <v/>
      </c>
      <c r="L443" s="118">
        <f t="shared" si="73"/>
        <v>46093</v>
      </c>
      <c r="M443" s="118">
        <v>45443</v>
      </c>
      <c r="N443" s="119">
        <f t="shared" si="74"/>
        <v>650</v>
      </c>
      <c r="O443" s="119">
        <f t="shared" si="75"/>
        <v>0</v>
      </c>
      <c r="P443" s="117">
        <f t="shared" si="76"/>
        <v>0</v>
      </c>
      <c r="Q443" s="117">
        <f>SUMIFS(Investors!$M:$M,Investors!$O:$O,FALSE,Investors!$P:$P,FALSE,Investors!$K:$K,"&gt;"&amp;'NSST Print'!$B$3,Investors!$I:$I,"&lt;="&amp;'NSST Print'!$B$3,Investors!$A:$A,'Investor Exit List'!$A443,Investors!$E:$E,'Investor Exit List'!$C443,Investors!$L:$L,'Investor Exit List'!$B443)-(SUMIFS(Investors!$M:$M,Investors!$I:$I,"&lt;="&amp;'NSST Print'!$B$3,Investors!$J:$J,"&gt;"&amp;'NSST Print'!$B$3,Investors!$A:$A,'Investor Exit List'!$A443,Investors!$E:$E,'Investor Exit List'!$C443,Investors!$L:$L,'Investor Exit List'!$B443)+SUMIFS(Investors!$M:$M,Investors!$I:$I,"&lt;="&amp;'NSST Print'!$B$3,Investors!$J:$J,"",Investors!$A:$A,'Investor Exit List'!$A443,Investors!$E:$E,'Investor Exit List'!$C443,Investors!$L:$L,'Investor Exit List'!$B443))+SUMIFS(Investors!$S:$S,Investors!$O:$O,FALSE,Investors!$P:$P,FALSE,Investors!$K:$K,"&gt;"&amp;'NSST Print'!$B$3,Investors!$I:$I,"&lt;="&amp;'NSST Print'!$B$3,Investors!$A:$A,'Investor Exit List'!$A443,Investors!$E:$E,'Investor Exit List'!$C443,Investors!$L:$L,'Investor Exit List'!$B443)-(SUMIFS(Investors!$S:$S,Investors!$I:$I,"&lt;="&amp;'NSST Print'!$B$3,Investors!$J:$J,"&gt;"&amp;'NSST Print'!$B$3,Investors!$A:$A,'Investor Exit List'!$A443,Investors!$E:$E,'Investor Exit List'!$C443,Investors!$L:$L,'Investor Exit List'!$B443)+SUMIFS(Investors!$S:$S,Investors!$I:$I,"&lt;="&amp;'NSST Print'!$B$3,Investors!$J:$J,"",Investors!$A:$A,'Investor Exit List'!$A443,Investors!$E:$E,'Investor Exit List'!$C443,Investors!$L:$L,'Investor Exit List'!$B443))</f>
        <v>662203.03561643837</v>
      </c>
      <c r="R443" s="117">
        <f t="shared" si="77"/>
        <v>0</v>
      </c>
      <c r="S443" s="117">
        <f>SUMIFS(Investors!$M:$M,Investors!$O:$O,TRUE,Investors!$A:$A,'Investor Exit List'!$A443,Investors!$E:$E,'Investor Exit List'!$C443,Investors!$L:$L,'Investor Exit List'!$B443)+SUMIFS(Investors!$S:$S,Investors!$O:$O,TRUE,Investors!$A:$A,'Investor Exit List'!$A443,Investors!$E:$E,'Investor Exit List'!$C443,Investors!$L:$L,'Investor Exit List'!$B443)</f>
        <v>0</v>
      </c>
      <c r="T443" s="118" t="str">
        <f t="shared" si="78"/>
        <v/>
      </c>
      <c r="U443" s="116" t="b">
        <v>0</v>
      </c>
      <c r="V443" s="117">
        <f t="shared" si="79"/>
        <v>0</v>
      </c>
      <c r="W443" s="116">
        <v>0</v>
      </c>
      <c r="X443" s="116" t="b">
        <v>0</v>
      </c>
      <c r="Y443" s="119">
        <f>IF(H443=FALSE,VLOOKUP($C443,Sales!$C:$F,4,FALSE),1)</f>
        <v>0</v>
      </c>
      <c r="Z443" s="116" t="str">
        <f t="shared" si="80"/>
        <v>Release</v>
      </c>
      <c r="AA443" s="118">
        <f t="shared" si="81"/>
        <v>45989</v>
      </c>
      <c r="AB443" s="118" t="str">
        <f t="shared" si="82"/>
        <v>HVL201-ZHAL03</v>
      </c>
      <c r="AC443" s="118">
        <f t="shared" si="83"/>
        <v>46093</v>
      </c>
    </row>
    <row r="444" spans="1:29" ht="16" x14ac:dyDescent="0.2">
      <c r="A444" s="116" t="s">
        <v>512</v>
      </c>
      <c r="B444" s="116">
        <v>4</v>
      </c>
      <c r="C444" s="116" t="s">
        <v>803</v>
      </c>
      <c r="D444" s="116" t="s">
        <v>790</v>
      </c>
      <c r="E444" s="116" t="s">
        <v>2150</v>
      </c>
      <c r="F444" s="117">
        <f>SUMIFS(Investors!$M:$M,Investors!$O:$O,FALSE,Investors!$P:$P,FALSE,Investors!$K:$K,"&gt;"&amp;'NSST Print'!$B$3,Investors!$I:$I,"&lt;="&amp;'NSST Print'!$B$3,Investors!$A:$A,'Investor Exit List'!$A444,Investors!$E:$E,'Investor Exit List'!$C444,Investors!$L:$L,'Investor Exit List'!$B444)-(SUMIFS(Investors!$M:$M,Investors!$I:$I,"&lt;="&amp;'NSST Print'!$B$3,Investors!$J:$J,"&gt;"&amp;'NSST Print'!$B$3,Investors!$A:$A,'Investor Exit List'!$A444,Investors!$E:$E,'Investor Exit List'!$C444,Investors!$L:$L,'Investor Exit List'!$B444)+SUMIFS(Investors!$M:$M,Investors!$I:$I,"&lt;="&amp;'NSST Print'!$B$3,Investors!$J:$J,"",Investors!$A:$A,'Investor Exit List'!$A444,Investors!$E:$E,'Investor Exit List'!$C444,Investors!$L:$L,'Investor Exit List'!$B444))</f>
        <v>400000</v>
      </c>
      <c r="G444" s="118">
        <v>45259</v>
      </c>
      <c r="H444" s="116" t="b">
        <f>VLOOKUP($C444,Sales!$C:$E,2,FALSE)</f>
        <v>0</v>
      </c>
      <c r="I444" s="116" t="b">
        <f>VLOOKUP($C444,Sales!$C:$E,3,FALSE)</f>
        <v>0</v>
      </c>
      <c r="J444" s="118">
        <f>SUMIFS(Sales!$H:$H,Sales!$C:$C,'Investor Exit List'!$C444)</f>
        <v>45716</v>
      </c>
      <c r="K444" s="118" t="str">
        <f t="shared" si="72"/>
        <v/>
      </c>
      <c r="L444" s="118">
        <f t="shared" si="73"/>
        <v>45989</v>
      </c>
      <c r="M444" s="118">
        <v>45443</v>
      </c>
      <c r="N444" s="119">
        <f t="shared" si="74"/>
        <v>546</v>
      </c>
      <c r="O444" s="119">
        <f t="shared" si="75"/>
        <v>0</v>
      </c>
      <c r="P444" s="117">
        <f t="shared" si="76"/>
        <v>0</v>
      </c>
      <c r="Q444" s="117">
        <f>SUMIFS(Investors!$M:$M,Investors!$O:$O,FALSE,Investors!$P:$P,FALSE,Investors!$K:$K,"&gt;"&amp;'NSST Print'!$B$3,Investors!$I:$I,"&lt;="&amp;'NSST Print'!$B$3,Investors!$A:$A,'Investor Exit List'!$A444,Investors!$E:$E,'Investor Exit List'!$C444,Investors!$L:$L,'Investor Exit List'!$B444)-(SUMIFS(Investors!$M:$M,Investors!$I:$I,"&lt;="&amp;'NSST Print'!$B$3,Investors!$J:$J,"&gt;"&amp;'NSST Print'!$B$3,Investors!$A:$A,'Investor Exit List'!$A444,Investors!$E:$E,'Investor Exit List'!$C444,Investors!$L:$L,'Investor Exit List'!$B444)+SUMIFS(Investors!$M:$M,Investors!$I:$I,"&lt;="&amp;'NSST Print'!$B$3,Investors!$J:$J,"",Investors!$A:$A,'Investor Exit List'!$A444,Investors!$E:$E,'Investor Exit List'!$C444,Investors!$L:$L,'Investor Exit List'!$B444))+SUMIFS(Investors!$S:$S,Investors!$O:$O,FALSE,Investors!$P:$P,FALSE,Investors!$K:$K,"&gt;"&amp;'NSST Print'!$B$3,Investors!$I:$I,"&lt;="&amp;'NSST Print'!$B$3,Investors!$A:$A,'Investor Exit List'!$A444,Investors!$E:$E,'Investor Exit List'!$C444,Investors!$L:$L,'Investor Exit List'!$B444)-(SUMIFS(Investors!$S:$S,Investors!$I:$I,"&lt;="&amp;'NSST Print'!$B$3,Investors!$J:$J,"&gt;"&amp;'NSST Print'!$B$3,Investors!$A:$A,'Investor Exit List'!$A444,Investors!$E:$E,'Investor Exit List'!$C444,Investors!$L:$L,'Investor Exit List'!$B444)+SUMIFS(Investors!$S:$S,Investors!$I:$I,"&lt;="&amp;'NSST Print'!$B$3,Investors!$J:$J,"",Investors!$A:$A,'Investor Exit List'!$A444,Investors!$E:$E,'Investor Exit List'!$C444,Investors!$L:$L,'Investor Exit List'!$B444))</f>
        <v>465994.52054794517</v>
      </c>
      <c r="R444" s="117">
        <f t="shared" si="77"/>
        <v>0</v>
      </c>
      <c r="S444" s="117">
        <f>SUMIFS(Investors!$M:$M,Investors!$O:$O,TRUE,Investors!$A:$A,'Investor Exit List'!$A444,Investors!$E:$E,'Investor Exit List'!$C444,Investors!$L:$L,'Investor Exit List'!$B444)+SUMIFS(Investors!$S:$S,Investors!$O:$O,TRUE,Investors!$A:$A,'Investor Exit List'!$A444,Investors!$E:$E,'Investor Exit List'!$C444,Investors!$L:$L,'Investor Exit List'!$B444)</f>
        <v>0</v>
      </c>
      <c r="T444" s="118" t="str">
        <f t="shared" si="78"/>
        <v/>
      </c>
      <c r="U444" s="116" t="b">
        <v>0</v>
      </c>
      <c r="V444" s="117">
        <f t="shared" si="79"/>
        <v>0</v>
      </c>
      <c r="W444" s="116">
        <v>0</v>
      </c>
      <c r="X444" s="116" t="b">
        <v>0</v>
      </c>
      <c r="Y444" s="119">
        <f>IF(H444=FALSE,VLOOKUP($C444,Sales!$C:$F,4,FALSE),1)</f>
        <v>0</v>
      </c>
      <c r="Z444" s="116" t="str">
        <f t="shared" si="80"/>
        <v>Release</v>
      </c>
      <c r="AA444" s="118">
        <f t="shared" si="81"/>
        <v>45989</v>
      </c>
      <c r="AB444" s="118" t="str">
        <f t="shared" si="82"/>
        <v>HVL201-ZHEN01</v>
      </c>
      <c r="AC444" s="118">
        <f t="shared" si="83"/>
        <v>45989</v>
      </c>
    </row>
    <row r="445" spans="1:29" ht="16" x14ac:dyDescent="0.2">
      <c r="A445" s="116" t="s">
        <v>207</v>
      </c>
      <c r="B445" s="116">
        <v>18</v>
      </c>
      <c r="C445" s="116" t="s">
        <v>803</v>
      </c>
      <c r="D445" s="116" t="s">
        <v>790</v>
      </c>
      <c r="E445" s="116" t="s">
        <v>2017</v>
      </c>
      <c r="F445" s="117">
        <f>SUMIFS(Investors!$M:$M,Investors!$O:$O,FALSE,Investors!$P:$P,FALSE,Investors!$K:$K,"&gt;"&amp;'NSST Print'!$B$3,Investors!$I:$I,"&lt;="&amp;'NSST Print'!$B$3,Investors!$A:$A,'Investor Exit List'!$A445,Investors!$E:$E,'Investor Exit List'!$C445,Investors!$L:$L,'Investor Exit List'!$B445)-(SUMIFS(Investors!$M:$M,Investors!$I:$I,"&lt;="&amp;'NSST Print'!$B$3,Investors!$J:$J,"&gt;"&amp;'NSST Print'!$B$3,Investors!$A:$A,'Investor Exit List'!$A445,Investors!$E:$E,'Investor Exit List'!$C445,Investors!$L:$L,'Investor Exit List'!$B445)+SUMIFS(Investors!$M:$M,Investors!$I:$I,"&lt;="&amp;'NSST Print'!$B$3,Investors!$J:$J,"",Investors!$A:$A,'Investor Exit List'!$A445,Investors!$E:$E,'Investor Exit List'!$C445,Investors!$L:$L,'Investor Exit List'!$B445))</f>
        <v>100000</v>
      </c>
      <c r="G445" s="118">
        <v>45371</v>
      </c>
      <c r="H445" s="116" t="b">
        <f>VLOOKUP($C445,Sales!$C:$E,2,FALSE)</f>
        <v>0</v>
      </c>
      <c r="I445" s="116" t="b">
        <f>VLOOKUP($C445,Sales!$C:$E,3,FALSE)</f>
        <v>0</v>
      </c>
      <c r="J445" s="118">
        <f>SUMIFS(Sales!$H:$H,Sales!$C:$C,'Investor Exit List'!$C445)</f>
        <v>45716</v>
      </c>
      <c r="K445" s="118" t="str">
        <f t="shared" si="72"/>
        <v/>
      </c>
      <c r="L445" s="118">
        <f t="shared" si="73"/>
        <v>46101</v>
      </c>
      <c r="M445" s="118">
        <v>45443</v>
      </c>
      <c r="N445" s="119">
        <f t="shared" si="74"/>
        <v>658</v>
      </c>
      <c r="O445" s="119">
        <f t="shared" si="75"/>
        <v>0</v>
      </c>
      <c r="P445" s="117">
        <f t="shared" si="76"/>
        <v>0</v>
      </c>
      <c r="Q445" s="117">
        <f>SUMIFS(Investors!$M:$M,Investors!$O:$O,FALSE,Investors!$P:$P,FALSE,Investors!$K:$K,"&gt;"&amp;'NSST Print'!$B$3,Investors!$I:$I,"&lt;="&amp;'NSST Print'!$B$3,Investors!$A:$A,'Investor Exit List'!$A445,Investors!$E:$E,'Investor Exit List'!$C445,Investors!$L:$L,'Investor Exit List'!$B445)-(SUMIFS(Investors!$M:$M,Investors!$I:$I,"&lt;="&amp;'NSST Print'!$B$3,Investors!$J:$J,"&gt;"&amp;'NSST Print'!$B$3,Investors!$A:$A,'Investor Exit List'!$A445,Investors!$E:$E,'Investor Exit List'!$C445,Investors!$L:$L,'Investor Exit List'!$B445)+SUMIFS(Investors!$M:$M,Investors!$I:$I,"&lt;="&amp;'NSST Print'!$B$3,Investors!$J:$J,"",Investors!$A:$A,'Investor Exit List'!$A445,Investors!$E:$E,'Investor Exit List'!$C445,Investors!$L:$L,'Investor Exit List'!$B445))+SUMIFS(Investors!$S:$S,Investors!$O:$O,FALSE,Investors!$P:$P,FALSE,Investors!$K:$K,"&gt;"&amp;'NSST Print'!$B$3,Investors!$I:$I,"&lt;="&amp;'NSST Print'!$B$3,Investors!$A:$A,'Investor Exit List'!$A445,Investors!$E:$E,'Investor Exit List'!$C445,Investors!$L:$L,'Investor Exit List'!$B445)-(SUMIFS(Investors!$S:$S,Investors!$I:$I,"&lt;="&amp;'NSST Print'!$B$3,Investors!$J:$J,"&gt;"&amp;'NSST Print'!$B$3,Investors!$A:$A,'Investor Exit List'!$A445,Investors!$E:$E,'Investor Exit List'!$C445,Investors!$L:$L,'Investor Exit List'!$B445)+SUMIFS(Investors!$S:$S,Investors!$I:$I,"&lt;="&amp;'NSST Print'!$B$3,Investors!$J:$J,"",Investors!$A:$A,'Investor Exit List'!$A445,Investors!$E:$E,'Investor Exit List'!$C445,Investors!$L:$L,'Investor Exit List'!$B445))</f>
        <v>110317.80821917808</v>
      </c>
      <c r="R445" s="117">
        <f t="shared" si="77"/>
        <v>0</v>
      </c>
      <c r="S445" s="117">
        <f>SUMIFS(Investors!$M:$M,Investors!$O:$O,TRUE,Investors!$A:$A,'Investor Exit List'!$A445,Investors!$E:$E,'Investor Exit List'!$C445,Investors!$L:$L,'Investor Exit List'!$B445)+SUMIFS(Investors!$S:$S,Investors!$O:$O,TRUE,Investors!$A:$A,'Investor Exit List'!$A445,Investors!$E:$E,'Investor Exit List'!$C445,Investors!$L:$L,'Investor Exit List'!$B445)</f>
        <v>0</v>
      </c>
      <c r="T445" s="118" t="str">
        <f t="shared" si="78"/>
        <v/>
      </c>
      <c r="U445" s="116" t="b">
        <v>0</v>
      </c>
      <c r="V445" s="117">
        <f t="shared" si="79"/>
        <v>0</v>
      </c>
      <c r="W445" s="116">
        <v>0</v>
      </c>
      <c r="X445" s="116" t="b">
        <v>0</v>
      </c>
      <c r="Y445" s="119">
        <f>IF(H445=FALSE,VLOOKUP($C445,Sales!$C:$F,4,FALSE),1)</f>
        <v>0</v>
      </c>
      <c r="Z445" s="116" t="str">
        <f t="shared" si="80"/>
        <v>Release</v>
      </c>
      <c r="AA445" s="118">
        <f t="shared" si="81"/>
        <v>45989</v>
      </c>
      <c r="AB445" s="118" t="str">
        <f t="shared" si="82"/>
        <v>HVL201-ZINT01</v>
      </c>
      <c r="AC445" s="118">
        <f t="shared" si="83"/>
        <v>46101</v>
      </c>
    </row>
    <row r="446" spans="1:29" ht="16" x14ac:dyDescent="0.2">
      <c r="A446" s="116" t="s">
        <v>423</v>
      </c>
      <c r="B446" s="116">
        <v>5</v>
      </c>
      <c r="C446" s="116" t="s">
        <v>803</v>
      </c>
      <c r="D446" s="116" t="s">
        <v>790</v>
      </c>
      <c r="E446" s="116" t="s">
        <v>2124</v>
      </c>
      <c r="F446" s="117">
        <f>SUMIFS(Investors!$M:$M,Investors!$O:$O,FALSE,Investors!$P:$P,FALSE,Investors!$K:$K,"&gt;"&amp;'NSST Print'!$B$3,Investors!$I:$I,"&lt;="&amp;'NSST Print'!$B$3,Investors!$A:$A,'Investor Exit List'!$A446,Investors!$E:$E,'Investor Exit List'!$C446,Investors!$L:$L,'Investor Exit List'!$B446)-(SUMIFS(Investors!$M:$M,Investors!$I:$I,"&lt;="&amp;'NSST Print'!$B$3,Investors!$J:$J,"&gt;"&amp;'NSST Print'!$B$3,Investors!$A:$A,'Investor Exit List'!$A446,Investors!$E:$E,'Investor Exit List'!$C446,Investors!$L:$L,'Investor Exit List'!$B446)+SUMIFS(Investors!$M:$M,Investors!$I:$I,"&lt;="&amp;'NSST Print'!$B$3,Investors!$J:$J,"",Investors!$A:$A,'Investor Exit List'!$A446,Investors!$E:$E,'Investor Exit List'!$C446,Investors!$L:$L,'Investor Exit List'!$B446))</f>
        <v>100000</v>
      </c>
      <c r="G446" s="118">
        <v>45273</v>
      </c>
      <c r="H446" s="116" t="b">
        <f>VLOOKUP($C446,Sales!$C:$E,2,FALSE)</f>
        <v>0</v>
      </c>
      <c r="I446" s="116" t="b">
        <f>VLOOKUP($C446,Sales!$C:$E,3,FALSE)</f>
        <v>0</v>
      </c>
      <c r="J446" s="118">
        <f>SUMIFS(Sales!$H:$H,Sales!$C:$C,'Investor Exit List'!$C446)</f>
        <v>45716</v>
      </c>
      <c r="K446" s="118" t="str">
        <f t="shared" si="72"/>
        <v/>
      </c>
      <c r="L446" s="118">
        <f t="shared" si="73"/>
        <v>46003</v>
      </c>
      <c r="M446" s="118">
        <v>45443</v>
      </c>
      <c r="N446" s="119">
        <f t="shared" si="74"/>
        <v>560</v>
      </c>
      <c r="O446" s="119">
        <f t="shared" si="75"/>
        <v>0</v>
      </c>
      <c r="P446" s="117">
        <f t="shared" si="76"/>
        <v>0</v>
      </c>
      <c r="Q446" s="117">
        <f>SUMIFS(Investors!$M:$M,Investors!$O:$O,FALSE,Investors!$P:$P,FALSE,Investors!$K:$K,"&gt;"&amp;'NSST Print'!$B$3,Investors!$I:$I,"&lt;="&amp;'NSST Print'!$B$3,Investors!$A:$A,'Investor Exit List'!$A446,Investors!$E:$E,'Investor Exit List'!$C446,Investors!$L:$L,'Investor Exit List'!$B446)-(SUMIFS(Investors!$M:$M,Investors!$I:$I,"&lt;="&amp;'NSST Print'!$B$3,Investors!$J:$J,"&gt;"&amp;'NSST Print'!$B$3,Investors!$A:$A,'Investor Exit List'!$A446,Investors!$E:$E,'Investor Exit List'!$C446,Investors!$L:$L,'Investor Exit List'!$B446)+SUMIFS(Investors!$M:$M,Investors!$I:$I,"&lt;="&amp;'NSST Print'!$B$3,Investors!$J:$J,"",Investors!$A:$A,'Investor Exit List'!$A446,Investors!$E:$E,'Investor Exit List'!$C446,Investors!$L:$L,'Investor Exit List'!$B446))+SUMIFS(Investors!$S:$S,Investors!$O:$O,FALSE,Investors!$P:$P,FALSE,Investors!$K:$K,"&gt;"&amp;'NSST Print'!$B$3,Investors!$I:$I,"&lt;="&amp;'NSST Print'!$B$3,Investors!$A:$A,'Investor Exit List'!$A446,Investors!$E:$E,'Investor Exit List'!$C446,Investors!$L:$L,'Investor Exit List'!$B446)-(SUMIFS(Investors!$S:$S,Investors!$I:$I,"&lt;="&amp;'NSST Print'!$B$3,Investors!$J:$J,"&gt;"&amp;'NSST Print'!$B$3,Investors!$A:$A,'Investor Exit List'!$A446,Investors!$E:$E,'Investor Exit List'!$C446,Investors!$L:$L,'Investor Exit List'!$B446)+SUMIFS(Investors!$S:$S,Investors!$I:$I,"&lt;="&amp;'NSST Print'!$B$3,Investors!$J:$J,"",Investors!$A:$A,'Investor Exit List'!$A446,Investors!$E:$E,'Investor Exit List'!$C446,Investors!$L:$L,'Investor Exit List'!$B446))</f>
        <v>112339.72602739726</v>
      </c>
      <c r="R446" s="117">
        <f t="shared" si="77"/>
        <v>0</v>
      </c>
      <c r="S446" s="117">
        <f>SUMIFS(Investors!$M:$M,Investors!$O:$O,TRUE,Investors!$A:$A,'Investor Exit List'!$A446,Investors!$E:$E,'Investor Exit List'!$C446,Investors!$L:$L,'Investor Exit List'!$B446)+SUMIFS(Investors!$S:$S,Investors!$O:$O,TRUE,Investors!$A:$A,'Investor Exit List'!$A446,Investors!$E:$E,'Investor Exit List'!$C446,Investors!$L:$L,'Investor Exit List'!$B446)</f>
        <v>0</v>
      </c>
      <c r="T446" s="118" t="str">
        <f t="shared" si="78"/>
        <v/>
      </c>
      <c r="U446" s="116" t="b">
        <v>0</v>
      </c>
      <c r="V446" s="117">
        <f t="shared" si="79"/>
        <v>0</v>
      </c>
      <c r="W446" s="116">
        <v>0</v>
      </c>
      <c r="X446" s="116" t="b">
        <v>0</v>
      </c>
      <c r="Y446" s="119">
        <f>IF(H446=FALSE,VLOOKUP($C446,Sales!$C:$F,4,FALSE),1)</f>
        <v>0</v>
      </c>
      <c r="Z446" s="116" t="str">
        <f t="shared" si="80"/>
        <v>Release</v>
      </c>
      <c r="AA446" s="118">
        <f t="shared" si="81"/>
        <v>45989</v>
      </c>
      <c r="AB446" s="118" t="str">
        <f t="shared" si="82"/>
        <v>HVL201-ZKUS03</v>
      </c>
      <c r="AC446" s="118">
        <f t="shared" si="83"/>
        <v>46003</v>
      </c>
    </row>
    <row r="447" spans="1:29" ht="16" x14ac:dyDescent="0.2">
      <c r="A447" s="116" t="s">
        <v>304</v>
      </c>
      <c r="B447" s="116">
        <v>12</v>
      </c>
      <c r="C447" s="116" t="s">
        <v>804</v>
      </c>
      <c r="D447" s="116" t="s">
        <v>790</v>
      </c>
      <c r="E447" s="116" t="s">
        <v>2093</v>
      </c>
      <c r="F447" s="117">
        <f>SUMIFS(Investors!$M:$M,Investors!$O:$O,FALSE,Investors!$P:$P,FALSE,Investors!$K:$K,"&gt;"&amp;'NSST Print'!$B$3,Investors!$I:$I,"&lt;="&amp;'NSST Print'!$B$3,Investors!$A:$A,'Investor Exit List'!$A447,Investors!$E:$E,'Investor Exit List'!$C447,Investors!$L:$L,'Investor Exit List'!$B447)-(SUMIFS(Investors!$M:$M,Investors!$I:$I,"&lt;="&amp;'NSST Print'!$B$3,Investors!$J:$J,"&gt;"&amp;'NSST Print'!$B$3,Investors!$A:$A,'Investor Exit List'!$A447,Investors!$E:$E,'Investor Exit List'!$C447,Investors!$L:$L,'Investor Exit List'!$B447)+SUMIFS(Investors!$M:$M,Investors!$I:$I,"&lt;="&amp;'NSST Print'!$B$3,Investors!$J:$J,"",Investors!$A:$A,'Investor Exit List'!$A447,Investors!$E:$E,'Investor Exit List'!$C447,Investors!$L:$L,'Investor Exit List'!$B447))</f>
        <v>1200000</v>
      </c>
      <c r="G447" s="118">
        <v>45321</v>
      </c>
      <c r="H447" s="116" t="b">
        <f>VLOOKUP($C447,Sales!$C:$E,2,FALSE)</f>
        <v>0</v>
      </c>
      <c r="I447" s="116" t="b">
        <f>VLOOKUP($C447,Sales!$C:$E,3,FALSE)</f>
        <v>0</v>
      </c>
      <c r="J447" s="118">
        <f>SUMIFS(Sales!$H:$H,Sales!$C:$C,'Investor Exit List'!$C447)</f>
        <v>45716</v>
      </c>
      <c r="K447" s="118" t="str">
        <f t="shared" si="72"/>
        <v/>
      </c>
      <c r="L447" s="118">
        <f t="shared" si="73"/>
        <v>46051</v>
      </c>
      <c r="M447" s="118">
        <v>45443</v>
      </c>
      <c r="N447" s="119">
        <f t="shared" si="74"/>
        <v>608</v>
      </c>
      <c r="O447" s="119">
        <f t="shared" si="75"/>
        <v>0</v>
      </c>
      <c r="P447" s="117">
        <f t="shared" si="76"/>
        <v>0</v>
      </c>
      <c r="Q447" s="117">
        <f>SUMIFS(Investors!$M:$M,Investors!$O:$O,FALSE,Investors!$P:$P,FALSE,Investors!$K:$K,"&gt;"&amp;'NSST Print'!$B$3,Investors!$I:$I,"&lt;="&amp;'NSST Print'!$B$3,Investors!$A:$A,'Investor Exit List'!$A447,Investors!$E:$E,'Investor Exit List'!$C447,Investors!$L:$L,'Investor Exit List'!$B447)-(SUMIFS(Investors!$M:$M,Investors!$I:$I,"&lt;="&amp;'NSST Print'!$B$3,Investors!$J:$J,"&gt;"&amp;'NSST Print'!$B$3,Investors!$A:$A,'Investor Exit List'!$A447,Investors!$E:$E,'Investor Exit List'!$C447,Investors!$L:$L,'Investor Exit List'!$B447)+SUMIFS(Investors!$M:$M,Investors!$I:$I,"&lt;="&amp;'NSST Print'!$B$3,Investors!$J:$J,"",Investors!$A:$A,'Investor Exit List'!$A447,Investors!$E:$E,'Investor Exit List'!$C447,Investors!$L:$L,'Investor Exit List'!$B447))+SUMIFS(Investors!$S:$S,Investors!$O:$O,FALSE,Investors!$P:$P,FALSE,Investors!$K:$K,"&gt;"&amp;'NSST Print'!$B$3,Investors!$I:$I,"&lt;="&amp;'NSST Print'!$B$3,Investors!$A:$A,'Investor Exit List'!$A447,Investors!$E:$E,'Investor Exit List'!$C447,Investors!$L:$L,'Investor Exit List'!$B447)-(SUMIFS(Investors!$S:$S,Investors!$I:$I,"&lt;="&amp;'NSST Print'!$B$3,Investors!$J:$J,"&gt;"&amp;'NSST Print'!$B$3,Investors!$A:$A,'Investor Exit List'!$A447,Investors!$E:$E,'Investor Exit List'!$C447,Investors!$L:$L,'Investor Exit List'!$B447)+SUMIFS(Investors!$S:$S,Investors!$I:$I,"&lt;="&amp;'NSST Print'!$B$3,Investors!$J:$J,"",Investors!$A:$A,'Investor Exit List'!$A447,Investors!$E:$E,'Investor Exit List'!$C447,Investors!$L:$L,'Investor Exit List'!$B447))</f>
        <v>1383780.8219178081</v>
      </c>
      <c r="R447" s="117">
        <f t="shared" si="77"/>
        <v>0</v>
      </c>
      <c r="S447" s="117">
        <f>SUMIFS(Investors!$M:$M,Investors!$O:$O,TRUE,Investors!$A:$A,'Investor Exit List'!$A447,Investors!$E:$E,'Investor Exit List'!$C447,Investors!$L:$L,'Investor Exit List'!$B447)+SUMIFS(Investors!$S:$S,Investors!$O:$O,TRUE,Investors!$A:$A,'Investor Exit List'!$A447,Investors!$E:$E,'Investor Exit List'!$C447,Investors!$L:$L,'Investor Exit List'!$B447)</f>
        <v>0</v>
      </c>
      <c r="T447" s="118" t="str">
        <f t="shared" si="78"/>
        <v/>
      </c>
      <c r="U447" s="116" t="b">
        <v>0</v>
      </c>
      <c r="V447" s="117">
        <f t="shared" si="79"/>
        <v>0</v>
      </c>
      <c r="W447" s="116">
        <v>0</v>
      </c>
      <c r="X447" s="116" t="b">
        <v>0</v>
      </c>
      <c r="Y447" s="119">
        <f>IF(H447=FALSE,VLOOKUP($C447,Sales!$C:$F,4,FALSE),1)</f>
        <v>0</v>
      </c>
      <c r="Z447" s="116" t="str">
        <f t="shared" si="80"/>
        <v>Release</v>
      </c>
      <c r="AA447" s="118">
        <f t="shared" si="81"/>
        <v>46051</v>
      </c>
      <c r="AB447" s="118" t="str">
        <f t="shared" si="82"/>
        <v>HVL202-ZDEL01</v>
      </c>
      <c r="AC447" s="118">
        <f t="shared" si="83"/>
        <v>46051</v>
      </c>
    </row>
    <row r="448" spans="1:29" ht="16" x14ac:dyDescent="0.2">
      <c r="A448" s="116" t="s">
        <v>721</v>
      </c>
      <c r="B448" s="116">
        <v>3</v>
      </c>
      <c r="C448" s="116" t="s">
        <v>805</v>
      </c>
      <c r="D448" s="116" t="s">
        <v>790</v>
      </c>
      <c r="E448" s="116" t="s">
        <v>2200</v>
      </c>
      <c r="F448" s="117">
        <f>SUMIFS(Investors!$M:$M,Investors!$O:$O,FALSE,Investors!$P:$P,FALSE,Investors!$K:$K,"&gt;"&amp;'NSST Print'!$B$3,Investors!$I:$I,"&lt;="&amp;'NSST Print'!$B$3,Investors!$A:$A,'Investor Exit List'!$A448,Investors!$E:$E,'Investor Exit List'!$C448,Investors!$L:$L,'Investor Exit List'!$B448)-(SUMIFS(Investors!$M:$M,Investors!$I:$I,"&lt;="&amp;'NSST Print'!$B$3,Investors!$J:$J,"&gt;"&amp;'NSST Print'!$B$3,Investors!$A:$A,'Investor Exit List'!$A448,Investors!$E:$E,'Investor Exit List'!$C448,Investors!$L:$L,'Investor Exit List'!$B448)+SUMIFS(Investors!$M:$M,Investors!$I:$I,"&lt;="&amp;'NSST Print'!$B$3,Investors!$J:$J,"",Investors!$A:$A,'Investor Exit List'!$A448,Investors!$E:$E,'Investor Exit List'!$C448,Investors!$L:$L,'Investor Exit List'!$B448))</f>
        <v>150000</v>
      </c>
      <c r="G448" s="118">
        <v>45273</v>
      </c>
      <c r="H448" s="116" t="b">
        <f>VLOOKUP($C448,Sales!$C:$E,2,FALSE)</f>
        <v>0</v>
      </c>
      <c r="I448" s="116" t="b">
        <f>VLOOKUP($C448,Sales!$C:$E,3,FALSE)</f>
        <v>0</v>
      </c>
      <c r="J448" s="118">
        <f>SUMIFS(Sales!$H:$H,Sales!$C:$C,'Investor Exit List'!$C448)</f>
        <v>45716</v>
      </c>
      <c r="K448" s="118" t="str">
        <f t="shared" si="72"/>
        <v/>
      </c>
      <c r="L448" s="118">
        <f t="shared" si="73"/>
        <v>46003</v>
      </c>
      <c r="M448" s="118">
        <v>45443</v>
      </c>
      <c r="N448" s="119">
        <f t="shared" si="74"/>
        <v>560</v>
      </c>
      <c r="O448" s="119">
        <f t="shared" si="75"/>
        <v>0</v>
      </c>
      <c r="P448" s="117">
        <f t="shared" si="76"/>
        <v>0</v>
      </c>
      <c r="Q448" s="117">
        <f>SUMIFS(Investors!$M:$M,Investors!$O:$O,FALSE,Investors!$P:$P,FALSE,Investors!$K:$K,"&gt;"&amp;'NSST Print'!$B$3,Investors!$I:$I,"&lt;="&amp;'NSST Print'!$B$3,Investors!$A:$A,'Investor Exit List'!$A448,Investors!$E:$E,'Investor Exit List'!$C448,Investors!$L:$L,'Investor Exit List'!$B448)-(SUMIFS(Investors!$M:$M,Investors!$I:$I,"&lt;="&amp;'NSST Print'!$B$3,Investors!$J:$J,"&gt;"&amp;'NSST Print'!$B$3,Investors!$A:$A,'Investor Exit List'!$A448,Investors!$E:$E,'Investor Exit List'!$C448,Investors!$L:$L,'Investor Exit List'!$B448)+SUMIFS(Investors!$M:$M,Investors!$I:$I,"&lt;="&amp;'NSST Print'!$B$3,Investors!$J:$J,"",Investors!$A:$A,'Investor Exit List'!$A448,Investors!$E:$E,'Investor Exit List'!$C448,Investors!$L:$L,'Investor Exit List'!$B448))+SUMIFS(Investors!$S:$S,Investors!$O:$O,FALSE,Investors!$P:$P,FALSE,Investors!$K:$K,"&gt;"&amp;'NSST Print'!$B$3,Investors!$I:$I,"&lt;="&amp;'NSST Print'!$B$3,Investors!$A:$A,'Investor Exit List'!$A448,Investors!$E:$E,'Investor Exit List'!$C448,Investors!$L:$L,'Investor Exit List'!$B448)-(SUMIFS(Investors!$S:$S,Investors!$I:$I,"&lt;="&amp;'NSST Print'!$B$3,Investors!$J:$J,"&gt;"&amp;'NSST Print'!$B$3,Investors!$A:$A,'Investor Exit List'!$A448,Investors!$E:$E,'Investor Exit List'!$C448,Investors!$L:$L,'Investor Exit List'!$B448)+SUMIFS(Investors!$S:$S,Investors!$I:$I,"&lt;="&amp;'NSST Print'!$B$3,Investors!$J:$J,"",Investors!$A:$A,'Investor Exit List'!$A448,Investors!$E:$E,'Investor Exit List'!$C448,Investors!$L:$L,'Investor Exit List'!$B448))</f>
        <v>174172.60273972602</v>
      </c>
      <c r="R448" s="117">
        <f t="shared" si="77"/>
        <v>0</v>
      </c>
      <c r="S448" s="117">
        <f>SUMIFS(Investors!$M:$M,Investors!$O:$O,TRUE,Investors!$A:$A,'Investor Exit List'!$A448,Investors!$E:$E,'Investor Exit List'!$C448,Investors!$L:$L,'Investor Exit List'!$B448)+SUMIFS(Investors!$S:$S,Investors!$O:$O,TRUE,Investors!$A:$A,'Investor Exit List'!$A448,Investors!$E:$E,'Investor Exit List'!$C448,Investors!$L:$L,'Investor Exit List'!$B448)</f>
        <v>0</v>
      </c>
      <c r="T448" s="118" t="str">
        <f t="shared" si="78"/>
        <v/>
      </c>
      <c r="U448" s="116" t="b">
        <v>0</v>
      </c>
      <c r="V448" s="117">
        <f t="shared" si="79"/>
        <v>0</v>
      </c>
      <c r="W448" s="116">
        <v>0</v>
      </c>
      <c r="X448" s="116" t="b">
        <v>0</v>
      </c>
      <c r="Y448" s="119">
        <f>IF(H448=FALSE,VLOOKUP($C448,Sales!$C:$F,4,FALSE),1)</f>
        <v>0</v>
      </c>
      <c r="Z448" s="116" t="str">
        <f t="shared" si="80"/>
        <v>Release</v>
      </c>
      <c r="AA448" s="118">
        <f t="shared" si="81"/>
        <v>46003</v>
      </c>
      <c r="AB448" s="118" t="str">
        <f t="shared" si="82"/>
        <v>HVL203-ZBUM01</v>
      </c>
      <c r="AC448" s="118">
        <f t="shared" si="83"/>
        <v>46003</v>
      </c>
    </row>
    <row r="449" spans="1:29" ht="16" x14ac:dyDescent="0.2">
      <c r="A449" s="116" t="s">
        <v>304</v>
      </c>
      <c r="B449" s="116">
        <v>13</v>
      </c>
      <c r="C449" s="116" t="s">
        <v>805</v>
      </c>
      <c r="D449" s="116" t="s">
        <v>790</v>
      </c>
      <c r="E449" s="116" t="s">
        <v>2093</v>
      </c>
      <c r="F449" s="117">
        <f>SUMIFS(Investors!$M:$M,Investors!$O:$O,FALSE,Investors!$P:$P,FALSE,Investors!$K:$K,"&gt;"&amp;'NSST Print'!$B$3,Investors!$I:$I,"&lt;="&amp;'NSST Print'!$B$3,Investors!$A:$A,'Investor Exit List'!$A449,Investors!$E:$E,'Investor Exit List'!$C449,Investors!$L:$L,'Investor Exit List'!$B449)-(SUMIFS(Investors!$M:$M,Investors!$I:$I,"&lt;="&amp;'NSST Print'!$B$3,Investors!$J:$J,"&gt;"&amp;'NSST Print'!$B$3,Investors!$A:$A,'Investor Exit List'!$A449,Investors!$E:$E,'Investor Exit List'!$C449,Investors!$L:$L,'Investor Exit List'!$B449)+SUMIFS(Investors!$M:$M,Investors!$I:$I,"&lt;="&amp;'NSST Print'!$B$3,Investors!$J:$J,"",Investors!$A:$A,'Investor Exit List'!$A449,Investors!$E:$E,'Investor Exit List'!$C449,Investors!$L:$L,'Investor Exit List'!$B449))</f>
        <v>180000</v>
      </c>
      <c r="G449" s="118">
        <v>45273</v>
      </c>
      <c r="H449" s="116" t="b">
        <f>VLOOKUP($C449,Sales!$C:$E,2,FALSE)</f>
        <v>0</v>
      </c>
      <c r="I449" s="116" t="b">
        <f>VLOOKUP($C449,Sales!$C:$E,3,FALSE)</f>
        <v>0</v>
      </c>
      <c r="J449" s="118">
        <f>SUMIFS(Sales!$H:$H,Sales!$C:$C,'Investor Exit List'!$C449)</f>
        <v>45716</v>
      </c>
      <c r="K449" s="118" t="str">
        <f t="shared" si="72"/>
        <v/>
      </c>
      <c r="L449" s="118">
        <f t="shared" si="73"/>
        <v>46003</v>
      </c>
      <c r="M449" s="118">
        <v>45443</v>
      </c>
      <c r="N449" s="119">
        <f t="shared" si="74"/>
        <v>560</v>
      </c>
      <c r="O449" s="119">
        <f t="shared" si="75"/>
        <v>0</v>
      </c>
      <c r="P449" s="117">
        <f t="shared" si="76"/>
        <v>0</v>
      </c>
      <c r="Q449" s="117">
        <f>SUMIFS(Investors!$M:$M,Investors!$O:$O,FALSE,Investors!$P:$P,FALSE,Investors!$K:$K,"&gt;"&amp;'NSST Print'!$B$3,Investors!$I:$I,"&lt;="&amp;'NSST Print'!$B$3,Investors!$A:$A,'Investor Exit List'!$A449,Investors!$E:$E,'Investor Exit List'!$C449,Investors!$L:$L,'Investor Exit List'!$B449)-(SUMIFS(Investors!$M:$M,Investors!$I:$I,"&lt;="&amp;'NSST Print'!$B$3,Investors!$J:$J,"&gt;"&amp;'NSST Print'!$B$3,Investors!$A:$A,'Investor Exit List'!$A449,Investors!$E:$E,'Investor Exit List'!$C449,Investors!$L:$L,'Investor Exit List'!$B449)+SUMIFS(Investors!$M:$M,Investors!$I:$I,"&lt;="&amp;'NSST Print'!$B$3,Investors!$J:$J,"",Investors!$A:$A,'Investor Exit List'!$A449,Investors!$E:$E,'Investor Exit List'!$C449,Investors!$L:$L,'Investor Exit List'!$B449))+SUMIFS(Investors!$S:$S,Investors!$O:$O,FALSE,Investors!$P:$P,FALSE,Investors!$K:$K,"&gt;"&amp;'NSST Print'!$B$3,Investors!$I:$I,"&lt;="&amp;'NSST Print'!$B$3,Investors!$A:$A,'Investor Exit List'!$A449,Investors!$E:$E,'Investor Exit List'!$C449,Investors!$L:$L,'Investor Exit List'!$B449)-(SUMIFS(Investors!$S:$S,Investors!$I:$I,"&lt;="&amp;'NSST Print'!$B$3,Investors!$J:$J,"&gt;"&amp;'NSST Print'!$B$3,Investors!$A:$A,'Investor Exit List'!$A449,Investors!$E:$E,'Investor Exit List'!$C449,Investors!$L:$L,'Investor Exit List'!$B449)+SUMIFS(Investors!$S:$S,Investors!$I:$I,"&lt;="&amp;'NSST Print'!$B$3,Investors!$J:$J,"",Investors!$A:$A,'Investor Exit List'!$A449,Investors!$E:$E,'Investor Exit List'!$C449,Investors!$L:$L,'Investor Exit List'!$B449))</f>
        <v>207705.20547945207</v>
      </c>
      <c r="R449" s="117">
        <f t="shared" si="77"/>
        <v>0</v>
      </c>
      <c r="S449" s="117">
        <f>SUMIFS(Investors!$M:$M,Investors!$O:$O,TRUE,Investors!$A:$A,'Investor Exit List'!$A449,Investors!$E:$E,'Investor Exit List'!$C449,Investors!$L:$L,'Investor Exit List'!$B449)+SUMIFS(Investors!$S:$S,Investors!$O:$O,TRUE,Investors!$A:$A,'Investor Exit List'!$A449,Investors!$E:$E,'Investor Exit List'!$C449,Investors!$L:$L,'Investor Exit List'!$B449)</f>
        <v>0</v>
      </c>
      <c r="T449" s="118" t="str">
        <f t="shared" si="78"/>
        <v/>
      </c>
      <c r="U449" s="116" t="b">
        <v>0</v>
      </c>
      <c r="V449" s="117">
        <f t="shared" si="79"/>
        <v>0</v>
      </c>
      <c r="W449" s="116">
        <v>0</v>
      </c>
      <c r="X449" s="116" t="b">
        <v>0</v>
      </c>
      <c r="Y449" s="119">
        <f>IF(H449=FALSE,VLOOKUP($C449,Sales!$C:$F,4,FALSE),1)</f>
        <v>0</v>
      </c>
      <c r="Z449" s="116" t="str">
        <f t="shared" si="80"/>
        <v>Release</v>
      </c>
      <c r="AA449" s="118">
        <f t="shared" si="81"/>
        <v>46003</v>
      </c>
      <c r="AB449" s="118" t="str">
        <f t="shared" si="82"/>
        <v>HVL203-ZDEL01</v>
      </c>
      <c r="AC449" s="118">
        <f t="shared" si="83"/>
        <v>46003</v>
      </c>
    </row>
    <row r="450" spans="1:29" ht="16" x14ac:dyDescent="0.2">
      <c r="A450" s="116" t="s">
        <v>392</v>
      </c>
      <c r="B450" s="116">
        <v>3</v>
      </c>
      <c r="C450" s="116" t="s">
        <v>805</v>
      </c>
      <c r="D450" s="116" t="s">
        <v>790</v>
      </c>
      <c r="E450" s="116" t="s">
        <v>2116</v>
      </c>
      <c r="F450" s="117">
        <f>SUMIFS(Investors!$M:$M,Investors!$O:$O,FALSE,Investors!$P:$P,FALSE,Investors!$K:$K,"&gt;"&amp;'NSST Print'!$B$3,Investors!$I:$I,"&lt;="&amp;'NSST Print'!$B$3,Investors!$A:$A,'Investor Exit List'!$A450,Investors!$E:$E,'Investor Exit List'!$C450,Investors!$L:$L,'Investor Exit List'!$B450)-(SUMIFS(Investors!$M:$M,Investors!$I:$I,"&lt;="&amp;'NSST Print'!$B$3,Investors!$J:$J,"&gt;"&amp;'NSST Print'!$B$3,Investors!$A:$A,'Investor Exit List'!$A450,Investors!$E:$E,'Investor Exit List'!$C450,Investors!$L:$L,'Investor Exit List'!$B450)+SUMIFS(Investors!$M:$M,Investors!$I:$I,"&lt;="&amp;'NSST Print'!$B$3,Investors!$J:$J,"",Investors!$A:$A,'Investor Exit List'!$A450,Investors!$E:$E,'Investor Exit List'!$C450,Investors!$L:$L,'Investor Exit List'!$B450))</f>
        <v>300000</v>
      </c>
      <c r="G450" s="118">
        <v>45273</v>
      </c>
      <c r="H450" s="116" t="b">
        <f>VLOOKUP($C450,Sales!$C:$E,2,FALSE)</f>
        <v>0</v>
      </c>
      <c r="I450" s="116" t="b">
        <f>VLOOKUP($C450,Sales!$C:$E,3,FALSE)</f>
        <v>0</v>
      </c>
      <c r="J450" s="118">
        <f>SUMIFS(Sales!$H:$H,Sales!$C:$C,'Investor Exit List'!$C450)</f>
        <v>45716</v>
      </c>
      <c r="K450" s="118" t="str">
        <f t="shared" si="72"/>
        <v/>
      </c>
      <c r="L450" s="118">
        <f t="shared" si="73"/>
        <v>46003</v>
      </c>
      <c r="M450" s="118">
        <v>45443</v>
      </c>
      <c r="N450" s="119">
        <f t="shared" si="74"/>
        <v>560</v>
      </c>
      <c r="O450" s="119">
        <f t="shared" si="75"/>
        <v>0</v>
      </c>
      <c r="P450" s="117">
        <f t="shared" si="76"/>
        <v>0</v>
      </c>
      <c r="Q450" s="117">
        <f>SUMIFS(Investors!$M:$M,Investors!$O:$O,FALSE,Investors!$P:$P,FALSE,Investors!$K:$K,"&gt;"&amp;'NSST Print'!$B$3,Investors!$I:$I,"&lt;="&amp;'NSST Print'!$B$3,Investors!$A:$A,'Investor Exit List'!$A450,Investors!$E:$E,'Investor Exit List'!$C450,Investors!$L:$L,'Investor Exit List'!$B450)-(SUMIFS(Investors!$M:$M,Investors!$I:$I,"&lt;="&amp;'NSST Print'!$B$3,Investors!$J:$J,"&gt;"&amp;'NSST Print'!$B$3,Investors!$A:$A,'Investor Exit List'!$A450,Investors!$E:$E,'Investor Exit List'!$C450,Investors!$L:$L,'Investor Exit List'!$B450)+SUMIFS(Investors!$M:$M,Investors!$I:$I,"&lt;="&amp;'NSST Print'!$B$3,Investors!$J:$J,"",Investors!$A:$A,'Investor Exit List'!$A450,Investors!$E:$E,'Investor Exit List'!$C450,Investors!$L:$L,'Investor Exit List'!$B450))+SUMIFS(Investors!$S:$S,Investors!$O:$O,FALSE,Investors!$P:$P,FALSE,Investors!$K:$K,"&gt;"&amp;'NSST Print'!$B$3,Investors!$I:$I,"&lt;="&amp;'NSST Print'!$B$3,Investors!$A:$A,'Investor Exit List'!$A450,Investors!$E:$E,'Investor Exit List'!$C450,Investors!$L:$L,'Investor Exit List'!$B450)-(SUMIFS(Investors!$S:$S,Investors!$I:$I,"&lt;="&amp;'NSST Print'!$B$3,Investors!$J:$J,"&gt;"&amp;'NSST Print'!$B$3,Investors!$A:$A,'Investor Exit List'!$A450,Investors!$E:$E,'Investor Exit List'!$C450,Investors!$L:$L,'Investor Exit List'!$B450)+SUMIFS(Investors!$S:$S,Investors!$I:$I,"&lt;="&amp;'NSST Print'!$B$3,Investors!$J:$J,"",Investors!$A:$A,'Investor Exit List'!$A450,Investors!$E:$E,'Investor Exit List'!$C450,Investors!$L:$L,'Investor Exit List'!$B450))</f>
        <v>339098.63013698632</v>
      </c>
      <c r="R450" s="117">
        <f t="shared" si="77"/>
        <v>0</v>
      </c>
      <c r="S450" s="117">
        <f>SUMIFS(Investors!$M:$M,Investors!$O:$O,TRUE,Investors!$A:$A,'Investor Exit List'!$A450,Investors!$E:$E,'Investor Exit List'!$C450,Investors!$L:$L,'Investor Exit List'!$B450)+SUMIFS(Investors!$S:$S,Investors!$O:$O,TRUE,Investors!$A:$A,'Investor Exit List'!$A450,Investors!$E:$E,'Investor Exit List'!$C450,Investors!$L:$L,'Investor Exit List'!$B450)</f>
        <v>0</v>
      </c>
      <c r="T450" s="118" t="str">
        <f t="shared" si="78"/>
        <v/>
      </c>
      <c r="U450" s="116" t="b">
        <v>0</v>
      </c>
      <c r="V450" s="117">
        <f t="shared" si="79"/>
        <v>0</v>
      </c>
      <c r="W450" s="116">
        <v>0</v>
      </c>
      <c r="X450" s="116" t="b">
        <v>0</v>
      </c>
      <c r="Y450" s="119">
        <f>IF(H450=FALSE,VLOOKUP($C450,Sales!$C:$F,4,FALSE),1)</f>
        <v>0</v>
      </c>
      <c r="Z450" s="116" t="str">
        <f t="shared" si="80"/>
        <v>Release</v>
      </c>
      <c r="AA450" s="118">
        <f t="shared" si="81"/>
        <v>46003</v>
      </c>
      <c r="AB450" s="118" t="str">
        <f t="shared" si="82"/>
        <v>HVL203-ZERA02</v>
      </c>
      <c r="AC450" s="118">
        <f t="shared" si="83"/>
        <v>46003</v>
      </c>
    </row>
    <row r="451" spans="1:29" ht="16" x14ac:dyDescent="0.2">
      <c r="A451" s="116" t="s">
        <v>512</v>
      </c>
      <c r="B451" s="116">
        <v>5</v>
      </c>
      <c r="C451" s="116" t="s">
        <v>805</v>
      </c>
      <c r="D451" s="116" t="s">
        <v>790</v>
      </c>
      <c r="E451" s="116" t="s">
        <v>2150</v>
      </c>
      <c r="F451" s="117">
        <f>SUMIFS(Investors!$M:$M,Investors!$O:$O,FALSE,Investors!$P:$P,FALSE,Investors!$K:$K,"&gt;"&amp;'NSST Print'!$B$3,Investors!$I:$I,"&lt;="&amp;'NSST Print'!$B$3,Investors!$A:$A,'Investor Exit List'!$A451,Investors!$E:$E,'Investor Exit List'!$C451,Investors!$L:$L,'Investor Exit List'!$B451)-(SUMIFS(Investors!$M:$M,Investors!$I:$I,"&lt;="&amp;'NSST Print'!$B$3,Investors!$J:$J,"&gt;"&amp;'NSST Print'!$B$3,Investors!$A:$A,'Investor Exit List'!$A451,Investors!$E:$E,'Investor Exit List'!$C451,Investors!$L:$L,'Investor Exit List'!$B451)+SUMIFS(Investors!$M:$M,Investors!$I:$I,"&lt;="&amp;'NSST Print'!$B$3,Investors!$J:$J,"",Investors!$A:$A,'Investor Exit List'!$A451,Investors!$E:$E,'Investor Exit List'!$C451,Investors!$L:$L,'Investor Exit List'!$B451))</f>
        <v>121489.04</v>
      </c>
      <c r="G451" s="118">
        <v>45363</v>
      </c>
      <c r="H451" s="116" t="b">
        <f>VLOOKUP($C451,Sales!$C:$E,2,FALSE)</f>
        <v>0</v>
      </c>
      <c r="I451" s="116" t="b">
        <f>VLOOKUP($C451,Sales!$C:$E,3,FALSE)</f>
        <v>0</v>
      </c>
      <c r="J451" s="118">
        <f>SUMIFS(Sales!$H:$H,Sales!$C:$C,'Investor Exit List'!$C451)</f>
        <v>45716</v>
      </c>
      <c r="K451" s="118" t="str">
        <f t="shared" si="72"/>
        <v/>
      </c>
      <c r="L451" s="118">
        <f t="shared" si="73"/>
        <v>46093</v>
      </c>
      <c r="M451" s="118">
        <v>45443</v>
      </c>
      <c r="N451" s="119">
        <f t="shared" si="74"/>
        <v>650</v>
      </c>
      <c r="O451" s="119">
        <f t="shared" si="75"/>
        <v>0</v>
      </c>
      <c r="P451" s="117">
        <f t="shared" si="76"/>
        <v>0</v>
      </c>
      <c r="Q451" s="117">
        <f>SUMIFS(Investors!$M:$M,Investors!$O:$O,FALSE,Investors!$P:$P,FALSE,Investors!$K:$K,"&gt;"&amp;'NSST Print'!$B$3,Investors!$I:$I,"&lt;="&amp;'NSST Print'!$B$3,Investors!$A:$A,'Investor Exit List'!$A451,Investors!$E:$E,'Investor Exit List'!$C451,Investors!$L:$L,'Investor Exit List'!$B451)-(SUMIFS(Investors!$M:$M,Investors!$I:$I,"&lt;="&amp;'NSST Print'!$B$3,Investors!$J:$J,"&gt;"&amp;'NSST Print'!$B$3,Investors!$A:$A,'Investor Exit List'!$A451,Investors!$E:$E,'Investor Exit List'!$C451,Investors!$L:$L,'Investor Exit List'!$B451)+SUMIFS(Investors!$M:$M,Investors!$I:$I,"&lt;="&amp;'NSST Print'!$B$3,Investors!$J:$J,"",Investors!$A:$A,'Investor Exit List'!$A451,Investors!$E:$E,'Investor Exit List'!$C451,Investors!$L:$L,'Investor Exit List'!$B451))+SUMIFS(Investors!$S:$S,Investors!$O:$O,FALSE,Investors!$P:$P,FALSE,Investors!$K:$K,"&gt;"&amp;'NSST Print'!$B$3,Investors!$I:$I,"&lt;="&amp;'NSST Print'!$B$3,Investors!$A:$A,'Investor Exit List'!$A451,Investors!$E:$E,'Investor Exit List'!$C451,Investors!$L:$L,'Investor Exit List'!$B451)-(SUMIFS(Investors!$S:$S,Investors!$I:$I,"&lt;="&amp;'NSST Print'!$B$3,Investors!$J:$J,"&gt;"&amp;'NSST Print'!$B$3,Investors!$A:$A,'Investor Exit List'!$A451,Investors!$E:$E,'Investor Exit List'!$C451,Investors!$L:$L,'Investor Exit List'!$B451)+SUMIFS(Investors!$S:$S,Investors!$I:$I,"&lt;="&amp;'NSST Print'!$B$3,Investors!$J:$J,"",Investors!$A:$A,'Investor Exit List'!$A451,Investors!$E:$E,'Investor Exit List'!$C451,Investors!$L:$L,'Investor Exit List'!$B451))</f>
        <v>133138.67397260273</v>
      </c>
      <c r="R451" s="117">
        <f t="shared" si="77"/>
        <v>0</v>
      </c>
      <c r="S451" s="117">
        <f>SUMIFS(Investors!$M:$M,Investors!$O:$O,TRUE,Investors!$A:$A,'Investor Exit List'!$A451,Investors!$E:$E,'Investor Exit List'!$C451,Investors!$L:$L,'Investor Exit List'!$B451)+SUMIFS(Investors!$S:$S,Investors!$O:$O,TRUE,Investors!$A:$A,'Investor Exit List'!$A451,Investors!$E:$E,'Investor Exit List'!$C451,Investors!$L:$L,'Investor Exit List'!$B451)</f>
        <v>0</v>
      </c>
      <c r="T451" s="118" t="str">
        <f t="shared" si="78"/>
        <v/>
      </c>
      <c r="U451" s="116" t="b">
        <v>0</v>
      </c>
      <c r="V451" s="117">
        <f t="shared" si="79"/>
        <v>0</v>
      </c>
      <c r="W451" s="116">
        <v>0</v>
      </c>
      <c r="X451" s="116" t="b">
        <v>0</v>
      </c>
      <c r="Y451" s="119">
        <f>IF(H451=FALSE,VLOOKUP($C451,Sales!$C:$F,4,FALSE),1)</f>
        <v>0</v>
      </c>
      <c r="Z451" s="116" t="str">
        <f t="shared" si="80"/>
        <v>Release</v>
      </c>
      <c r="AA451" s="118">
        <f t="shared" si="81"/>
        <v>46003</v>
      </c>
      <c r="AB451" s="118" t="str">
        <f t="shared" si="82"/>
        <v>HVL203-ZHEN01</v>
      </c>
      <c r="AC451" s="118">
        <f t="shared" si="83"/>
        <v>46093</v>
      </c>
    </row>
    <row r="452" spans="1:29" ht="16" x14ac:dyDescent="0.2">
      <c r="A452" s="116" t="s">
        <v>527</v>
      </c>
      <c r="B452" s="116">
        <v>9</v>
      </c>
      <c r="C452" s="116" t="s">
        <v>805</v>
      </c>
      <c r="D452" s="116" t="s">
        <v>790</v>
      </c>
      <c r="E452" s="116" t="s">
        <v>2155</v>
      </c>
      <c r="F452" s="117">
        <f>SUMIFS(Investors!$M:$M,Investors!$O:$O,FALSE,Investors!$P:$P,FALSE,Investors!$K:$K,"&gt;"&amp;'NSST Print'!$B$3,Investors!$I:$I,"&lt;="&amp;'NSST Print'!$B$3,Investors!$A:$A,'Investor Exit List'!$A452,Investors!$E:$E,'Investor Exit List'!$C452,Investors!$L:$L,'Investor Exit List'!$B452)-(SUMIFS(Investors!$M:$M,Investors!$I:$I,"&lt;="&amp;'NSST Print'!$B$3,Investors!$J:$J,"&gt;"&amp;'NSST Print'!$B$3,Investors!$A:$A,'Investor Exit List'!$A452,Investors!$E:$E,'Investor Exit List'!$C452,Investors!$L:$L,'Investor Exit List'!$B452)+SUMIFS(Investors!$M:$M,Investors!$I:$I,"&lt;="&amp;'NSST Print'!$B$3,Investors!$J:$J,"",Investors!$A:$A,'Investor Exit List'!$A452,Investors!$E:$E,'Investor Exit List'!$C452,Investors!$L:$L,'Investor Exit List'!$B452))</f>
        <v>311181.51</v>
      </c>
      <c r="G452" s="118">
        <v>45371</v>
      </c>
      <c r="H452" s="116" t="b">
        <f>VLOOKUP($C452,Sales!$C:$E,2,FALSE)</f>
        <v>0</v>
      </c>
      <c r="I452" s="116" t="b">
        <f>VLOOKUP($C452,Sales!$C:$E,3,FALSE)</f>
        <v>0</v>
      </c>
      <c r="J452" s="118">
        <f>SUMIFS(Sales!$H:$H,Sales!$C:$C,'Investor Exit List'!$C452)</f>
        <v>45716</v>
      </c>
      <c r="K452" s="118" t="str">
        <f t="shared" ref="K452:K515" si="84">IF(I452=TRUE,J452,"")</f>
        <v/>
      </c>
      <c r="L452" s="118">
        <f t="shared" ref="L452:L515" si="85">G452+730</f>
        <v>46101</v>
      </c>
      <c r="M452" s="118">
        <v>45443</v>
      </c>
      <c r="N452" s="119">
        <f t="shared" ref="N452:N515" si="86">IFERROR(IF(G452&lt;&gt;"",IF(I452=TRUE,0,IF(U452=TRUE,0,L452-M452)),0),0)</f>
        <v>658</v>
      </c>
      <c r="O452" s="119">
        <f t="shared" ref="O452:O515" si="87">IF(N452&gt;0,IF(N452&lt;=180,N452,0),0)</f>
        <v>0</v>
      </c>
      <c r="P452" s="117">
        <f t="shared" ref="P452:P515" si="88">IF(AND(N452&lt;90,N452&gt;0),Q452,0)</f>
        <v>0</v>
      </c>
      <c r="Q452" s="117">
        <f>SUMIFS(Investors!$M:$M,Investors!$O:$O,FALSE,Investors!$P:$P,FALSE,Investors!$K:$K,"&gt;"&amp;'NSST Print'!$B$3,Investors!$I:$I,"&lt;="&amp;'NSST Print'!$B$3,Investors!$A:$A,'Investor Exit List'!$A452,Investors!$E:$E,'Investor Exit List'!$C452,Investors!$L:$L,'Investor Exit List'!$B452)-(SUMIFS(Investors!$M:$M,Investors!$I:$I,"&lt;="&amp;'NSST Print'!$B$3,Investors!$J:$J,"&gt;"&amp;'NSST Print'!$B$3,Investors!$A:$A,'Investor Exit List'!$A452,Investors!$E:$E,'Investor Exit List'!$C452,Investors!$L:$L,'Investor Exit List'!$B452)+SUMIFS(Investors!$M:$M,Investors!$I:$I,"&lt;="&amp;'NSST Print'!$B$3,Investors!$J:$J,"",Investors!$A:$A,'Investor Exit List'!$A452,Investors!$E:$E,'Investor Exit List'!$C452,Investors!$L:$L,'Investor Exit List'!$B452))+SUMIFS(Investors!$S:$S,Investors!$O:$O,FALSE,Investors!$P:$P,FALSE,Investors!$K:$K,"&gt;"&amp;'NSST Print'!$B$3,Investors!$I:$I,"&lt;="&amp;'NSST Print'!$B$3,Investors!$A:$A,'Investor Exit List'!$A452,Investors!$E:$E,'Investor Exit List'!$C452,Investors!$L:$L,'Investor Exit List'!$B452)-(SUMIFS(Investors!$S:$S,Investors!$I:$I,"&lt;="&amp;'NSST Print'!$B$3,Investors!$J:$J,"&gt;"&amp;'NSST Print'!$B$3,Investors!$A:$A,'Investor Exit List'!$A452,Investors!$E:$E,'Investor Exit List'!$C452,Investors!$L:$L,'Investor Exit List'!$B452)+SUMIFS(Investors!$S:$S,Investors!$I:$I,"&lt;="&amp;'NSST Print'!$B$3,Investors!$J:$J,"",Investors!$A:$A,'Investor Exit List'!$A452,Investors!$E:$E,'Investor Exit List'!$C452,Investors!$L:$L,'Investor Exit List'!$B452))</f>
        <v>340679.81204383564</v>
      </c>
      <c r="R452" s="117">
        <f t="shared" ref="R452:R515" si="89">IF(AND(H452=TRUE,I452=FALSE),Q452,0)</f>
        <v>0</v>
      </c>
      <c r="S452" s="117">
        <f>SUMIFS(Investors!$M:$M,Investors!$O:$O,TRUE,Investors!$A:$A,'Investor Exit List'!$A452,Investors!$E:$E,'Investor Exit List'!$C452,Investors!$L:$L,'Investor Exit List'!$B452)+SUMIFS(Investors!$S:$S,Investors!$O:$O,TRUE,Investors!$A:$A,'Investor Exit List'!$A452,Investors!$E:$E,'Investor Exit List'!$C452,Investors!$L:$L,'Investor Exit List'!$B452)</f>
        <v>0</v>
      </c>
      <c r="T452" s="118" t="str">
        <f t="shared" ref="T452:T515" si="90">IF(U452=TRUE,$J452,"")</f>
        <v/>
      </c>
      <c r="U452" s="116" t="b">
        <v>0</v>
      </c>
      <c r="V452" s="117">
        <f t="shared" ref="V452:V515" si="91">IF(AND(H452=TRUE,OR(K452="",K452&gt;M452)),S452,0)</f>
        <v>0</v>
      </c>
      <c r="W452" s="116">
        <v>0</v>
      </c>
      <c r="X452" s="116" t="b">
        <v>0</v>
      </c>
      <c r="Y452" s="119">
        <f>IF(H452=FALSE,VLOOKUP($C452,Sales!$C:$F,4,FALSE),1)</f>
        <v>0</v>
      </c>
      <c r="Z452" s="116" t="str">
        <f t="shared" ref="Z452:Z515" si="92">IF(Y452=0,"Release",IF(AND(L452&lt;J452,Y452=1,H452=FALSE,U452=FALSE,MONTH(L452)&amp;"/"&amp;YEAR(L452)&lt;&gt;MONTH(J452)&amp;"/"&amp;YEAR(J452)),"Release",""))</f>
        <v>Release</v>
      </c>
      <c r="AA452" s="118">
        <f t="shared" ref="AA452:AA515" si="93">_xlfn.MINIFS($L:$L,$C:$C,$C452,$F:$F,"&lt;&gt;0")</f>
        <v>46003</v>
      </c>
      <c r="AB452" s="118" t="str">
        <f t="shared" ref="AB452:AB515" si="94">C452&amp;"-"&amp;A452</f>
        <v>HVL203-ZHUT01</v>
      </c>
      <c r="AC452" s="118">
        <f t="shared" ref="AC452:AC515" si="95">L452</f>
        <v>46101</v>
      </c>
    </row>
    <row r="453" spans="1:29" ht="16" x14ac:dyDescent="0.2">
      <c r="A453" s="116" t="s">
        <v>806</v>
      </c>
      <c r="B453" s="116">
        <v>3</v>
      </c>
      <c r="C453" s="116" t="s">
        <v>805</v>
      </c>
      <c r="D453" s="116" t="s">
        <v>790</v>
      </c>
      <c r="E453" s="116" t="s">
        <v>2215</v>
      </c>
      <c r="F453" s="117">
        <f>SUMIFS(Investors!$M:$M,Investors!$O:$O,FALSE,Investors!$P:$P,FALSE,Investors!$K:$K,"&gt;"&amp;'NSST Print'!$B$3,Investors!$I:$I,"&lt;="&amp;'NSST Print'!$B$3,Investors!$A:$A,'Investor Exit List'!$A453,Investors!$E:$E,'Investor Exit List'!$C453,Investors!$L:$L,'Investor Exit List'!$B453)-(SUMIFS(Investors!$M:$M,Investors!$I:$I,"&lt;="&amp;'NSST Print'!$B$3,Investors!$J:$J,"&gt;"&amp;'NSST Print'!$B$3,Investors!$A:$A,'Investor Exit List'!$A453,Investors!$E:$E,'Investor Exit List'!$C453,Investors!$L:$L,'Investor Exit List'!$B453)+SUMIFS(Investors!$M:$M,Investors!$I:$I,"&lt;="&amp;'NSST Print'!$B$3,Investors!$J:$J,"",Investors!$A:$A,'Investor Exit List'!$A453,Investors!$E:$E,'Investor Exit List'!$C453,Investors!$L:$L,'Investor Exit List'!$B453))</f>
        <v>139986.32</v>
      </c>
      <c r="G453" s="118">
        <v>45363</v>
      </c>
      <c r="H453" s="116" t="b">
        <f>VLOOKUP($C453,Sales!$C:$E,2,FALSE)</f>
        <v>0</v>
      </c>
      <c r="I453" s="116" t="b">
        <f>VLOOKUP($C453,Sales!$C:$E,3,FALSE)</f>
        <v>0</v>
      </c>
      <c r="J453" s="118">
        <f>SUMIFS(Sales!$H:$H,Sales!$C:$C,'Investor Exit List'!$C453)</f>
        <v>45716</v>
      </c>
      <c r="K453" s="118" t="str">
        <f t="shared" si="84"/>
        <v/>
      </c>
      <c r="L453" s="118">
        <f t="shared" si="85"/>
        <v>46093</v>
      </c>
      <c r="M453" s="118">
        <v>45443</v>
      </c>
      <c r="N453" s="119">
        <f t="shared" si="86"/>
        <v>650</v>
      </c>
      <c r="O453" s="119">
        <f t="shared" si="87"/>
        <v>0</v>
      </c>
      <c r="P453" s="117">
        <f t="shared" si="88"/>
        <v>0</v>
      </c>
      <c r="Q453" s="117">
        <f>SUMIFS(Investors!$M:$M,Investors!$O:$O,FALSE,Investors!$P:$P,FALSE,Investors!$K:$K,"&gt;"&amp;'NSST Print'!$B$3,Investors!$I:$I,"&lt;="&amp;'NSST Print'!$B$3,Investors!$A:$A,'Investor Exit List'!$A453,Investors!$E:$E,'Investor Exit List'!$C453,Investors!$L:$L,'Investor Exit List'!$B453)-(SUMIFS(Investors!$M:$M,Investors!$I:$I,"&lt;="&amp;'NSST Print'!$B$3,Investors!$J:$J,"&gt;"&amp;'NSST Print'!$B$3,Investors!$A:$A,'Investor Exit List'!$A453,Investors!$E:$E,'Investor Exit List'!$C453,Investors!$L:$L,'Investor Exit List'!$B453)+SUMIFS(Investors!$M:$M,Investors!$I:$I,"&lt;="&amp;'NSST Print'!$B$3,Investors!$J:$J,"",Investors!$A:$A,'Investor Exit List'!$A453,Investors!$E:$E,'Investor Exit List'!$C453,Investors!$L:$L,'Investor Exit List'!$B453))+SUMIFS(Investors!$S:$S,Investors!$O:$O,FALSE,Investors!$P:$P,FALSE,Investors!$K:$K,"&gt;"&amp;'NSST Print'!$B$3,Investors!$I:$I,"&lt;="&amp;'NSST Print'!$B$3,Investors!$A:$A,'Investor Exit List'!$A453,Investors!$E:$E,'Investor Exit List'!$C453,Investors!$L:$L,'Investor Exit List'!$B453)-(SUMIFS(Investors!$S:$S,Investors!$I:$I,"&lt;="&amp;'NSST Print'!$B$3,Investors!$J:$J,"&gt;"&amp;'NSST Print'!$B$3,Investors!$A:$A,'Investor Exit List'!$A453,Investors!$E:$E,'Investor Exit List'!$C453,Investors!$L:$L,'Investor Exit List'!$B453)+SUMIFS(Investors!$S:$S,Investors!$I:$I,"&lt;="&amp;'NSST Print'!$B$3,Investors!$J:$J,"",Investors!$A:$A,'Investor Exit List'!$A453,Investors!$E:$E,'Investor Exit List'!$C453,Investors!$L:$L,'Investor Exit List'!$B453))</f>
        <v>152174.71794410961</v>
      </c>
      <c r="R453" s="117">
        <f t="shared" si="89"/>
        <v>0</v>
      </c>
      <c r="S453" s="117">
        <f>SUMIFS(Investors!$M:$M,Investors!$O:$O,TRUE,Investors!$A:$A,'Investor Exit List'!$A453,Investors!$E:$E,'Investor Exit List'!$C453,Investors!$L:$L,'Investor Exit List'!$B453)+SUMIFS(Investors!$S:$S,Investors!$O:$O,TRUE,Investors!$A:$A,'Investor Exit List'!$A453,Investors!$E:$E,'Investor Exit List'!$C453,Investors!$L:$L,'Investor Exit List'!$B453)</f>
        <v>0</v>
      </c>
      <c r="T453" s="118" t="str">
        <f t="shared" si="90"/>
        <v/>
      </c>
      <c r="U453" s="116" t="b">
        <v>0</v>
      </c>
      <c r="V453" s="117">
        <f t="shared" si="91"/>
        <v>0</v>
      </c>
      <c r="W453" s="116">
        <v>0</v>
      </c>
      <c r="X453" s="116" t="b">
        <v>0</v>
      </c>
      <c r="Y453" s="119">
        <f>IF(H453=FALSE,VLOOKUP($C453,Sales!$C:$F,4,FALSE),1)</f>
        <v>0</v>
      </c>
      <c r="Z453" s="116" t="str">
        <f t="shared" si="92"/>
        <v>Release</v>
      </c>
      <c r="AA453" s="118">
        <f t="shared" si="93"/>
        <v>46003</v>
      </c>
      <c r="AB453" s="118" t="str">
        <f t="shared" si="94"/>
        <v>HVL203-ZROD01</v>
      </c>
      <c r="AC453" s="118">
        <f t="shared" si="95"/>
        <v>46093</v>
      </c>
    </row>
    <row r="454" spans="1:29" ht="16" x14ac:dyDescent="0.2">
      <c r="A454" s="116" t="s">
        <v>123</v>
      </c>
      <c r="B454" s="116">
        <v>12</v>
      </c>
      <c r="C454" s="116" t="s">
        <v>809</v>
      </c>
      <c r="D454" s="116" t="s">
        <v>790</v>
      </c>
      <c r="E454" s="116" t="s">
        <v>2039</v>
      </c>
      <c r="F454" s="117">
        <f>SUMIFS(Investors!$M:$M,Investors!$O:$O,FALSE,Investors!$P:$P,FALSE,Investors!$K:$K,"&gt;"&amp;'NSST Print'!$B$3,Investors!$I:$I,"&lt;="&amp;'NSST Print'!$B$3,Investors!$A:$A,'Investor Exit List'!$A454,Investors!$E:$E,'Investor Exit List'!$C454,Investors!$L:$L,'Investor Exit List'!$B454)-(SUMIFS(Investors!$M:$M,Investors!$I:$I,"&lt;="&amp;'NSST Print'!$B$3,Investors!$J:$J,"&gt;"&amp;'NSST Print'!$B$3,Investors!$A:$A,'Investor Exit List'!$A454,Investors!$E:$E,'Investor Exit List'!$C454,Investors!$L:$L,'Investor Exit List'!$B454)+SUMIFS(Investors!$M:$M,Investors!$I:$I,"&lt;="&amp;'NSST Print'!$B$3,Investors!$J:$J,"",Investors!$A:$A,'Investor Exit List'!$A454,Investors!$E:$E,'Investor Exit List'!$C454,Investors!$L:$L,'Investor Exit List'!$B454))</f>
        <v>984516</v>
      </c>
      <c r="G454" s="118">
        <v>45371</v>
      </c>
      <c r="H454" s="116" t="b">
        <f>VLOOKUP($C454,Sales!$C:$E,2,FALSE)</f>
        <v>0</v>
      </c>
      <c r="I454" s="116" t="b">
        <f>VLOOKUP($C454,Sales!$C:$E,3,FALSE)</f>
        <v>0</v>
      </c>
      <c r="J454" s="118">
        <f>SUMIFS(Sales!$H:$H,Sales!$C:$C,'Investor Exit List'!$C454)</f>
        <v>45716</v>
      </c>
      <c r="K454" s="118" t="str">
        <f t="shared" si="84"/>
        <v/>
      </c>
      <c r="L454" s="118">
        <f t="shared" si="85"/>
        <v>46101</v>
      </c>
      <c r="M454" s="118">
        <v>45443</v>
      </c>
      <c r="N454" s="119">
        <f t="shared" si="86"/>
        <v>658</v>
      </c>
      <c r="O454" s="119">
        <f t="shared" si="87"/>
        <v>0</v>
      </c>
      <c r="P454" s="117">
        <f t="shared" si="88"/>
        <v>0</v>
      </c>
      <c r="Q454" s="117">
        <f>SUMIFS(Investors!$M:$M,Investors!$O:$O,FALSE,Investors!$P:$P,FALSE,Investors!$K:$K,"&gt;"&amp;'NSST Print'!$B$3,Investors!$I:$I,"&lt;="&amp;'NSST Print'!$B$3,Investors!$A:$A,'Investor Exit List'!$A454,Investors!$E:$E,'Investor Exit List'!$C454,Investors!$L:$L,'Investor Exit List'!$B454)-(SUMIFS(Investors!$M:$M,Investors!$I:$I,"&lt;="&amp;'NSST Print'!$B$3,Investors!$J:$J,"&gt;"&amp;'NSST Print'!$B$3,Investors!$A:$A,'Investor Exit List'!$A454,Investors!$E:$E,'Investor Exit List'!$C454,Investors!$L:$L,'Investor Exit List'!$B454)+SUMIFS(Investors!$M:$M,Investors!$I:$I,"&lt;="&amp;'NSST Print'!$B$3,Investors!$J:$J,"",Investors!$A:$A,'Investor Exit List'!$A454,Investors!$E:$E,'Investor Exit List'!$C454,Investors!$L:$L,'Investor Exit List'!$B454))+SUMIFS(Investors!$S:$S,Investors!$O:$O,FALSE,Investors!$P:$P,FALSE,Investors!$K:$K,"&gt;"&amp;'NSST Print'!$B$3,Investors!$I:$I,"&lt;="&amp;'NSST Print'!$B$3,Investors!$A:$A,'Investor Exit List'!$A454,Investors!$E:$E,'Investor Exit List'!$C454,Investors!$L:$L,'Investor Exit List'!$B454)-(SUMIFS(Investors!$S:$S,Investors!$I:$I,"&lt;="&amp;'NSST Print'!$B$3,Investors!$J:$J,"&gt;"&amp;'NSST Print'!$B$3,Investors!$A:$A,'Investor Exit List'!$A454,Investors!$E:$E,'Investor Exit List'!$C454,Investors!$L:$L,'Investor Exit List'!$B454)+SUMIFS(Investors!$S:$S,Investors!$I:$I,"&lt;="&amp;'NSST Print'!$B$3,Investors!$J:$J,"",Investors!$A:$A,'Investor Exit List'!$A454,Investors!$E:$E,'Investor Exit List'!$C454,Investors!$L:$L,'Investor Exit List'!$B454))</f>
        <v>1086096.4727671233</v>
      </c>
      <c r="R454" s="117">
        <f t="shared" si="89"/>
        <v>0</v>
      </c>
      <c r="S454" s="117">
        <f>SUMIFS(Investors!$M:$M,Investors!$O:$O,TRUE,Investors!$A:$A,'Investor Exit List'!$A454,Investors!$E:$E,'Investor Exit List'!$C454,Investors!$L:$L,'Investor Exit List'!$B454)+SUMIFS(Investors!$S:$S,Investors!$O:$O,TRUE,Investors!$A:$A,'Investor Exit List'!$A454,Investors!$E:$E,'Investor Exit List'!$C454,Investors!$L:$L,'Investor Exit List'!$B454)</f>
        <v>0</v>
      </c>
      <c r="T454" s="118" t="str">
        <f t="shared" si="90"/>
        <v/>
      </c>
      <c r="U454" s="116" t="b">
        <v>0</v>
      </c>
      <c r="V454" s="117">
        <f t="shared" si="91"/>
        <v>0</v>
      </c>
      <c r="W454" s="116">
        <v>0</v>
      </c>
      <c r="X454" s="116" t="b">
        <v>0</v>
      </c>
      <c r="Y454" s="119">
        <f>IF(H454=FALSE,VLOOKUP($C454,Sales!$C:$F,4,FALSE),1)</f>
        <v>0</v>
      </c>
      <c r="Z454" s="116" t="str">
        <f t="shared" si="92"/>
        <v>Release</v>
      </c>
      <c r="AA454" s="118">
        <f t="shared" si="93"/>
        <v>45891</v>
      </c>
      <c r="AB454" s="118" t="str">
        <f t="shared" si="94"/>
        <v>HVL204-ZHEI01</v>
      </c>
      <c r="AC454" s="118">
        <f t="shared" si="95"/>
        <v>46101</v>
      </c>
    </row>
    <row r="455" spans="1:29" ht="16" x14ac:dyDescent="0.2">
      <c r="A455" s="116" t="s">
        <v>207</v>
      </c>
      <c r="B455" s="116">
        <v>17</v>
      </c>
      <c r="C455" s="116" t="s">
        <v>809</v>
      </c>
      <c r="D455" s="116" t="s">
        <v>790</v>
      </c>
      <c r="E455" s="116" t="s">
        <v>2017</v>
      </c>
      <c r="F455" s="117">
        <f>SUMIFS(Investors!$M:$M,Investors!$O:$O,FALSE,Investors!$P:$P,FALSE,Investors!$K:$K,"&gt;"&amp;'NSST Print'!$B$3,Investors!$I:$I,"&lt;="&amp;'NSST Print'!$B$3,Investors!$A:$A,'Investor Exit List'!$A455,Investors!$E:$E,'Investor Exit List'!$C455,Investors!$L:$L,'Investor Exit List'!$B455)-(SUMIFS(Investors!$M:$M,Investors!$I:$I,"&lt;="&amp;'NSST Print'!$B$3,Investors!$J:$J,"&gt;"&amp;'NSST Print'!$B$3,Investors!$A:$A,'Investor Exit List'!$A455,Investors!$E:$E,'Investor Exit List'!$C455,Investors!$L:$L,'Investor Exit List'!$B455)+SUMIFS(Investors!$M:$M,Investors!$I:$I,"&lt;="&amp;'NSST Print'!$B$3,Investors!$J:$J,"",Investors!$A:$A,'Investor Exit List'!$A455,Investors!$E:$E,'Investor Exit List'!$C455,Investors!$L:$L,'Investor Exit List'!$B455))</f>
        <v>106997.26</v>
      </c>
      <c r="G455" s="118">
        <v>45161</v>
      </c>
      <c r="H455" s="116" t="b">
        <f>VLOOKUP($C455,Sales!$C:$E,2,FALSE)</f>
        <v>0</v>
      </c>
      <c r="I455" s="116" t="b">
        <f>VLOOKUP($C455,Sales!$C:$E,3,FALSE)</f>
        <v>0</v>
      </c>
      <c r="J455" s="118">
        <f>SUMIFS(Sales!$H:$H,Sales!$C:$C,'Investor Exit List'!$C455)</f>
        <v>45716</v>
      </c>
      <c r="K455" s="118" t="str">
        <f t="shared" si="84"/>
        <v/>
      </c>
      <c r="L455" s="118">
        <f t="shared" si="85"/>
        <v>45891</v>
      </c>
      <c r="M455" s="118">
        <v>45443</v>
      </c>
      <c r="N455" s="119">
        <f t="shared" si="86"/>
        <v>448</v>
      </c>
      <c r="O455" s="119">
        <f t="shared" si="87"/>
        <v>0</v>
      </c>
      <c r="P455" s="117">
        <f t="shared" si="88"/>
        <v>0</v>
      </c>
      <c r="Q455" s="117">
        <f>SUMIFS(Investors!$M:$M,Investors!$O:$O,FALSE,Investors!$P:$P,FALSE,Investors!$K:$K,"&gt;"&amp;'NSST Print'!$B$3,Investors!$I:$I,"&lt;="&amp;'NSST Print'!$B$3,Investors!$A:$A,'Investor Exit List'!$A455,Investors!$E:$E,'Investor Exit List'!$C455,Investors!$L:$L,'Investor Exit List'!$B455)-(SUMIFS(Investors!$M:$M,Investors!$I:$I,"&lt;="&amp;'NSST Print'!$B$3,Investors!$J:$J,"&gt;"&amp;'NSST Print'!$B$3,Investors!$A:$A,'Investor Exit List'!$A455,Investors!$E:$E,'Investor Exit List'!$C455,Investors!$L:$L,'Investor Exit List'!$B455)+SUMIFS(Investors!$M:$M,Investors!$I:$I,"&lt;="&amp;'NSST Print'!$B$3,Investors!$J:$J,"",Investors!$A:$A,'Investor Exit List'!$A455,Investors!$E:$E,'Investor Exit List'!$C455,Investors!$L:$L,'Investor Exit List'!$B455))+SUMIFS(Investors!$S:$S,Investors!$O:$O,FALSE,Investors!$P:$P,FALSE,Investors!$K:$K,"&gt;"&amp;'NSST Print'!$B$3,Investors!$I:$I,"&lt;="&amp;'NSST Print'!$B$3,Investors!$A:$A,'Investor Exit List'!$A455,Investors!$E:$E,'Investor Exit List'!$C455,Investors!$L:$L,'Investor Exit List'!$B455)-(SUMIFS(Investors!$S:$S,Investors!$I:$I,"&lt;="&amp;'NSST Print'!$B$3,Investors!$J:$J,"&gt;"&amp;'NSST Print'!$B$3,Investors!$A:$A,'Investor Exit List'!$A455,Investors!$E:$E,'Investor Exit List'!$C455,Investors!$L:$L,'Investor Exit List'!$B455)+SUMIFS(Investors!$S:$S,Investors!$I:$I,"&lt;="&amp;'NSST Print'!$B$3,Investors!$J:$J,"",Investors!$A:$A,'Investor Exit List'!$A455,Investors!$E:$E,'Investor Exit List'!$C455,Investors!$L:$L,'Investor Exit List'!$B455))</f>
        <v>126215.72675506849</v>
      </c>
      <c r="R455" s="117">
        <f t="shared" si="89"/>
        <v>0</v>
      </c>
      <c r="S455" s="117">
        <f>SUMIFS(Investors!$M:$M,Investors!$O:$O,TRUE,Investors!$A:$A,'Investor Exit List'!$A455,Investors!$E:$E,'Investor Exit List'!$C455,Investors!$L:$L,'Investor Exit List'!$B455)+SUMIFS(Investors!$S:$S,Investors!$O:$O,TRUE,Investors!$A:$A,'Investor Exit List'!$A455,Investors!$E:$E,'Investor Exit List'!$C455,Investors!$L:$L,'Investor Exit List'!$B455)</f>
        <v>0</v>
      </c>
      <c r="T455" s="118" t="str">
        <f t="shared" si="90"/>
        <v/>
      </c>
      <c r="U455" s="116" t="b">
        <v>0</v>
      </c>
      <c r="V455" s="117">
        <f t="shared" si="91"/>
        <v>0</v>
      </c>
      <c r="W455" s="116">
        <v>0</v>
      </c>
      <c r="X455" s="116" t="b">
        <v>0</v>
      </c>
      <c r="Y455" s="119">
        <f>IF(H455=FALSE,VLOOKUP($C455,Sales!$C:$F,4,FALSE),1)</f>
        <v>0</v>
      </c>
      <c r="Z455" s="116" t="str">
        <f t="shared" si="92"/>
        <v>Release</v>
      </c>
      <c r="AA455" s="118">
        <f t="shared" si="93"/>
        <v>45891</v>
      </c>
      <c r="AB455" s="118" t="str">
        <f t="shared" si="94"/>
        <v>HVL204-ZINT01</v>
      </c>
      <c r="AC455" s="118">
        <f t="shared" si="95"/>
        <v>45891</v>
      </c>
    </row>
    <row r="456" spans="1:29" ht="16" x14ac:dyDescent="0.2">
      <c r="A456" s="116" t="s">
        <v>443</v>
      </c>
      <c r="B456" s="116">
        <v>3</v>
      </c>
      <c r="C456" s="116" t="s">
        <v>809</v>
      </c>
      <c r="D456" s="116" t="s">
        <v>790</v>
      </c>
      <c r="E456" s="116" t="s">
        <v>2130</v>
      </c>
      <c r="F456" s="117">
        <f>SUMIFS(Investors!$M:$M,Investors!$O:$O,FALSE,Investors!$P:$P,FALSE,Investors!$K:$K,"&gt;"&amp;'NSST Print'!$B$3,Investors!$I:$I,"&lt;="&amp;'NSST Print'!$B$3,Investors!$A:$A,'Investor Exit List'!$A456,Investors!$E:$E,'Investor Exit List'!$C456,Investors!$L:$L,'Investor Exit List'!$B456)-(SUMIFS(Investors!$M:$M,Investors!$I:$I,"&lt;="&amp;'NSST Print'!$B$3,Investors!$J:$J,"&gt;"&amp;'NSST Print'!$B$3,Investors!$A:$A,'Investor Exit List'!$A456,Investors!$E:$E,'Investor Exit List'!$C456,Investors!$L:$L,'Investor Exit List'!$B456)+SUMIFS(Investors!$M:$M,Investors!$I:$I,"&lt;="&amp;'NSST Print'!$B$3,Investors!$J:$J,"",Investors!$A:$A,'Investor Exit List'!$A456,Investors!$E:$E,'Investor Exit List'!$C456,Investors!$L:$L,'Investor Exit List'!$B456))</f>
        <v>100000</v>
      </c>
      <c r="G456" s="118">
        <v>45273</v>
      </c>
      <c r="H456" s="116" t="b">
        <f>VLOOKUP($C456,Sales!$C:$E,2,FALSE)</f>
        <v>0</v>
      </c>
      <c r="I456" s="116" t="b">
        <f>VLOOKUP($C456,Sales!$C:$E,3,FALSE)</f>
        <v>0</v>
      </c>
      <c r="J456" s="118">
        <f>SUMIFS(Sales!$H:$H,Sales!$C:$C,'Investor Exit List'!$C456)</f>
        <v>45716</v>
      </c>
      <c r="K456" s="118" t="str">
        <f t="shared" si="84"/>
        <v/>
      </c>
      <c r="L456" s="118">
        <f t="shared" si="85"/>
        <v>46003</v>
      </c>
      <c r="M456" s="118">
        <v>45443</v>
      </c>
      <c r="N456" s="119">
        <f t="shared" si="86"/>
        <v>560</v>
      </c>
      <c r="O456" s="119">
        <f t="shared" si="87"/>
        <v>0</v>
      </c>
      <c r="P456" s="117">
        <f t="shared" si="88"/>
        <v>0</v>
      </c>
      <c r="Q456" s="117">
        <f>SUMIFS(Investors!$M:$M,Investors!$O:$O,FALSE,Investors!$P:$P,FALSE,Investors!$K:$K,"&gt;"&amp;'NSST Print'!$B$3,Investors!$I:$I,"&lt;="&amp;'NSST Print'!$B$3,Investors!$A:$A,'Investor Exit List'!$A456,Investors!$E:$E,'Investor Exit List'!$C456,Investors!$L:$L,'Investor Exit List'!$B456)-(SUMIFS(Investors!$M:$M,Investors!$I:$I,"&lt;="&amp;'NSST Print'!$B$3,Investors!$J:$J,"&gt;"&amp;'NSST Print'!$B$3,Investors!$A:$A,'Investor Exit List'!$A456,Investors!$E:$E,'Investor Exit List'!$C456,Investors!$L:$L,'Investor Exit List'!$B456)+SUMIFS(Investors!$M:$M,Investors!$I:$I,"&lt;="&amp;'NSST Print'!$B$3,Investors!$J:$J,"",Investors!$A:$A,'Investor Exit List'!$A456,Investors!$E:$E,'Investor Exit List'!$C456,Investors!$L:$L,'Investor Exit List'!$B456))+SUMIFS(Investors!$S:$S,Investors!$O:$O,FALSE,Investors!$P:$P,FALSE,Investors!$K:$K,"&gt;"&amp;'NSST Print'!$B$3,Investors!$I:$I,"&lt;="&amp;'NSST Print'!$B$3,Investors!$A:$A,'Investor Exit List'!$A456,Investors!$E:$E,'Investor Exit List'!$C456,Investors!$L:$L,'Investor Exit List'!$B456)-(SUMIFS(Investors!$S:$S,Investors!$I:$I,"&lt;="&amp;'NSST Print'!$B$3,Investors!$J:$J,"&gt;"&amp;'NSST Print'!$B$3,Investors!$A:$A,'Investor Exit List'!$A456,Investors!$E:$E,'Investor Exit List'!$C456,Investors!$L:$L,'Investor Exit List'!$B456)+SUMIFS(Investors!$S:$S,Investors!$I:$I,"&lt;="&amp;'NSST Print'!$B$3,Investors!$J:$J,"",Investors!$A:$A,'Investor Exit List'!$A456,Investors!$E:$E,'Investor Exit List'!$C456,Investors!$L:$L,'Investor Exit List'!$B456))</f>
        <v>113032.87671232875</v>
      </c>
      <c r="R456" s="117">
        <f t="shared" si="89"/>
        <v>0</v>
      </c>
      <c r="S456" s="117">
        <f>SUMIFS(Investors!$M:$M,Investors!$O:$O,TRUE,Investors!$A:$A,'Investor Exit List'!$A456,Investors!$E:$E,'Investor Exit List'!$C456,Investors!$L:$L,'Investor Exit List'!$B456)+SUMIFS(Investors!$S:$S,Investors!$O:$O,TRUE,Investors!$A:$A,'Investor Exit List'!$A456,Investors!$E:$E,'Investor Exit List'!$C456,Investors!$L:$L,'Investor Exit List'!$B456)</f>
        <v>0</v>
      </c>
      <c r="T456" s="118" t="str">
        <f t="shared" si="90"/>
        <v/>
      </c>
      <c r="U456" s="116" t="b">
        <v>0</v>
      </c>
      <c r="V456" s="117">
        <f t="shared" si="91"/>
        <v>0</v>
      </c>
      <c r="W456" s="116">
        <v>0</v>
      </c>
      <c r="X456" s="116" t="b">
        <v>0</v>
      </c>
      <c r="Y456" s="119">
        <f>IF(H456=FALSE,VLOOKUP($C456,Sales!$C:$F,4,FALSE),1)</f>
        <v>0</v>
      </c>
      <c r="Z456" s="116" t="str">
        <f t="shared" si="92"/>
        <v>Release</v>
      </c>
      <c r="AA456" s="118">
        <f t="shared" si="93"/>
        <v>45891</v>
      </c>
      <c r="AB456" s="118" t="str">
        <f t="shared" si="94"/>
        <v>HVL204-ZNIE02</v>
      </c>
      <c r="AC456" s="118">
        <f t="shared" si="95"/>
        <v>46003</v>
      </c>
    </row>
    <row r="457" spans="1:29" ht="16" x14ac:dyDescent="0.2">
      <c r="A457" s="116" t="s">
        <v>326</v>
      </c>
      <c r="B457" s="116">
        <v>4</v>
      </c>
      <c r="C457" s="116" t="s">
        <v>810</v>
      </c>
      <c r="D457" s="116" t="s">
        <v>811</v>
      </c>
      <c r="E457" s="116" t="s">
        <v>2099</v>
      </c>
      <c r="F457" s="117">
        <f>SUMIFS(Investors!$M:$M,Investors!$O:$O,FALSE,Investors!$P:$P,FALSE,Investors!$K:$K,"&gt;"&amp;'NSST Print'!$B$3,Investors!$I:$I,"&lt;="&amp;'NSST Print'!$B$3,Investors!$A:$A,'Investor Exit List'!$A457,Investors!$E:$E,'Investor Exit List'!$C457,Investors!$L:$L,'Investor Exit List'!$B457)-(SUMIFS(Investors!$M:$M,Investors!$I:$I,"&lt;="&amp;'NSST Print'!$B$3,Investors!$J:$J,"&gt;"&amp;'NSST Print'!$B$3,Investors!$A:$A,'Investor Exit List'!$A457,Investors!$E:$E,'Investor Exit List'!$C457,Investors!$L:$L,'Investor Exit List'!$B457)+SUMIFS(Investors!$M:$M,Investors!$I:$I,"&lt;="&amp;'NSST Print'!$B$3,Investors!$J:$J,"",Investors!$A:$A,'Investor Exit List'!$A457,Investors!$E:$E,'Investor Exit List'!$C457,Investors!$L:$L,'Investor Exit List'!$B457))</f>
        <v>300931.51</v>
      </c>
      <c r="G457" s="118">
        <v>45129</v>
      </c>
      <c r="H457" s="116" t="b">
        <f>VLOOKUP($C457,Sales!$C:$E,2,FALSE)</f>
        <v>0</v>
      </c>
      <c r="I457" s="116" t="b">
        <f>VLOOKUP($C457,Sales!$C:$E,3,FALSE)</f>
        <v>0</v>
      </c>
      <c r="J457" s="118">
        <f>SUMIFS(Sales!$H:$H,Sales!$C:$C,'Investor Exit List'!$C457)</f>
        <v>45583</v>
      </c>
      <c r="K457" s="118" t="str">
        <f t="shared" si="84"/>
        <v/>
      </c>
      <c r="L457" s="118">
        <f t="shared" si="85"/>
        <v>45859</v>
      </c>
      <c r="M457" s="118">
        <v>45443</v>
      </c>
      <c r="N457" s="119">
        <f t="shared" si="86"/>
        <v>416</v>
      </c>
      <c r="O457" s="119">
        <f t="shared" si="87"/>
        <v>0</v>
      </c>
      <c r="P457" s="117">
        <f t="shared" si="88"/>
        <v>0</v>
      </c>
      <c r="Q457" s="117">
        <f>SUMIFS(Investors!$M:$M,Investors!$O:$O,FALSE,Investors!$P:$P,FALSE,Investors!$K:$K,"&gt;"&amp;'NSST Print'!$B$3,Investors!$I:$I,"&lt;="&amp;'NSST Print'!$B$3,Investors!$A:$A,'Investor Exit List'!$A457,Investors!$E:$E,'Investor Exit List'!$C457,Investors!$L:$L,'Investor Exit List'!$B457)-(SUMIFS(Investors!$M:$M,Investors!$I:$I,"&lt;="&amp;'NSST Print'!$B$3,Investors!$J:$J,"&gt;"&amp;'NSST Print'!$B$3,Investors!$A:$A,'Investor Exit List'!$A457,Investors!$E:$E,'Investor Exit List'!$C457,Investors!$L:$L,'Investor Exit List'!$B457)+SUMIFS(Investors!$M:$M,Investors!$I:$I,"&lt;="&amp;'NSST Print'!$B$3,Investors!$J:$J,"",Investors!$A:$A,'Investor Exit List'!$A457,Investors!$E:$E,'Investor Exit List'!$C457,Investors!$L:$L,'Investor Exit List'!$B457))+SUMIFS(Investors!$S:$S,Investors!$O:$O,FALSE,Investors!$P:$P,FALSE,Investors!$K:$K,"&gt;"&amp;'NSST Print'!$B$3,Investors!$I:$I,"&lt;="&amp;'NSST Print'!$B$3,Investors!$A:$A,'Investor Exit List'!$A457,Investors!$E:$E,'Investor Exit List'!$C457,Investors!$L:$L,'Investor Exit List'!$B457)-(SUMIFS(Investors!$S:$S,Investors!$I:$I,"&lt;="&amp;'NSST Print'!$B$3,Investors!$J:$J,"&gt;"&amp;'NSST Print'!$B$3,Investors!$A:$A,'Investor Exit List'!$A457,Investors!$E:$E,'Investor Exit List'!$C457,Investors!$L:$L,'Investor Exit List'!$B457)+SUMIFS(Investors!$S:$S,Investors!$I:$I,"&lt;="&amp;'NSST Print'!$B$3,Investors!$J:$J,"",Investors!$A:$A,'Investor Exit List'!$A457,Investors!$E:$E,'Investor Exit List'!$C457,Investors!$L:$L,'Investor Exit List'!$B457))</f>
        <v>374692.70874561643</v>
      </c>
      <c r="R457" s="117">
        <f t="shared" si="89"/>
        <v>0</v>
      </c>
      <c r="S457" s="117">
        <f>SUMIFS(Investors!$M:$M,Investors!$O:$O,TRUE,Investors!$A:$A,'Investor Exit List'!$A457,Investors!$E:$E,'Investor Exit List'!$C457,Investors!$L:$L,'Investor Exit List'!$B457)+SUMIFS(Investors!$S:$S,Investors!$O:$O,TRUE,Investors!$A:$A,'Investor Exit List'!$A457,Investors!$E:$E,'Investor Exit List'!$C457,Investors!$L:$L,'Investor Exit List'!$B457)</f>
        <v>0</v>
      </c>
      <c r="T457" s="118" t="str">
        <f t="shared" si="90"/>
        <v/>
      </c>
      <c r="U457" s="116" t="b">
        <v>0</v>
      </c>
      <c r="V457" s="117">
        <f t="shared" si="91"/>
        <v>0</v>
      </c>
      <c r="W457" s="116">
        <v>0</v>
      </c>
      <c r="X457" s="116" t="b">
        <v>0</v>
      </c>
      <c r="Y457" s="119">
        <f>IF(H457=FALSE,VLOOKUP($C457,Sales!$C:$F,4,FALSE),1)</f>
        <v>0</v>
      </c>
      <c r="Z457" s="116" t="str">
        <f t="shared" si="92"/>
        <v>Release</v>
      </c>
      <c r="AA457" s="118">
        <f t="shared" si="93"/>
        <v>45859</v>
      </c>
      <c r="AB457" s="118" t="str">
        <f t="shared" si="94"/>
        <v>HVM101-ZAFR01</v>
      </c>
      <c r="AC457" s="118">
        <f t="shared" si="95"/>
        <v>45859</v>
      </c>
    </row>
    <row r="458" spans="1:29" ht="16" x14ac:dyDescent="0.2">
      <c r="A458" s="116" t="s">
        <v>117</v>
      </c>
      <c r="B458" s="116">
        <v>3</v>
      </c>
      <c r="C458" s="116" t="s">
        <v>810</v>
      </c>
      <c r="D458" s="116" t="s">
        <v>811</v>
      </c>
      <c r="E458" s="116" t="s">
        <v>2037</v>
      </c>
      <c r="F458" s="117">
        <f>SUMIFS(Investors!$M:$M,Investors!$O:$O,FALSE,Investors!$P:$P,FALSE,Investors!$K:$K,"&gt;"&amp;'NSST Print'!$B$3,Investors!$I:$I,"&lt;="&amp;'NSST Print'!$B$3,Investors!$A:$A,'Investor Exit List'!$A458,Investors!$E:$E,'Investor Exit List'!$C458,Investors!$L:$L,'Investor Exit List'!$B458)-(SUMIFS(Investors!$M:$M,Investors!$I:$I,"&lt;="&amp;'NSST Print'!$B$3,Investors!$J:$J,"&gt;"&amp;'NSST Print'!$B$3,Investors!$A:$A,'Investor Exit List'!$A458,Investors!$E:$E,'Investor Exit List'!$C458,Investors!$L:$L,'Investor Exit List'!$B458)+SUMIFS(Investors!$M:$M,Investors!$I:$I,"&lt;="&amp;'NSST Print'!$B$3,Investors!$J:$J,"",Investors!$A:$A,'Investor Exit List'!$A458,Investors!$E:$E,'Investor Exit List'!$C458,Investors!$L:$L,'Investor Exit List'!$B458))</f>
        <v>500000</v>
      </c>
      <c r="G458" s="118">
        <v>45161</v>
      </c>
      <c r="H458" s="116" t="b">
        <f>VLOOKUP($C458,Sales!$C:$E,2,FALSE)</f>
        <v>0</v>
      </c>
      <c r="I458" s="116" t="b">
        <f>VLOOKUP($C458,Sales!$C:$E,3,FALSE)</f>
        <v>0</v>
      </c>
      <c r="J458" s="118">
        <f>SUMIFS(Sales!$H:$H,Sales!$C:$C,'Investor Exit List'!$C458)</f>
        <v>45583</v>
      </c>
      <c r="K458" s="118" t="str">
        <f t="shared" si="84"/>
        <v/>
      </c>
      <c r="L458" s="118">
        <f t="shared" si="85"/>
        <v>45891</v>
      </c>
      <c r="M458" s="118">
        <v>45443</v>
      </c>
      <c r="N458" s="119">
        <f t="shared" si="86"/>
        <v>448</v>
      </c>
      <c r="O458" s="119">
        <f t="shared" si="87"/>
        <v>0</v>
      </c>
      <c r="P458" s="117">
        <f t="shared" si="88"/>
        <v>0</v>
      </c>
      <c r="Q458" s="117">
        <f>SUMIFS(Investors!$M:$M,Investors!$O:$O,FALSE,Investors!$P:$P,FALSE,Investors!$K:$K,"&gt;"&amp;'NSST Print'!$B$3,Investors!$I:$I,"&lt;="&amp;'NSST Print'!$B$3,Investors!$A:$A,'Investor Exit List'!$A458,Investors!$E:$E,'Investor Exit List'!$C458,Investors!$L:$L,'Investor Exit List'!$B458)-(SUMIFS(Investors!$M:$M,Investors!$I:$I,"&lt;="&amp;'NSST Print'!$B$3,Investors!$J:$J,"&gt;"&amp;'NSST Print'!$B$3,Investors!$A:$A,'Investor Exit List'!$A458,Investors!$E:$E,'Investor Exit List'!$C458,Investors!$L:$L,'Investor Exit List'!$B458)+SUMIFS(Investors!$M:$M,Investors!$I:$I,"&lt;="&amp;'NSST Print'!$B$3,Investors!$J:$J,"",Investors!$A:$A,'Investor Exit List'!$A458,Investors!$E:$E,'Investor Exit List'!$C458,Investors!$L:$L,'Investor Exit List'!$B458))+SUMIFS(Investors!$S:$S,Investors!$O:$O,FALSE,Investors!$P:$P,FALSE,Investors!$K:$K,"&gt;"&amp;'NSST Print'!$B$3,Investors!$I:$I,"&lt;="&amp;'NSST Print'!$B$3,Investors!$A:$A,'Investor Exit List'!$A458,Investors!$E:$E,'Investor Exit List'!$C458,Investors!$L:$L,'Investor Exit List'!$B458)-(SUMIFS(Investors!$S:$S,Investors!$I:$I,"&lt;="&amp;'NSST Print'!$B$3,Investors!$J:$J,"&gt;"&amp;'NSST Print'!$B$3,Investors!$A:$A,'Investor Exit List'!$A458,Investors!$E:$E,'Investor Exit List'!$C458,Investors!$L:$L,'Investor Exit List'!$B458)+SUMIFS(Investors!$S:$S,Investors!$I:$I,"&lt;="&amp;'NSST Print'!$B$3,Investors!$J:$J,"",Investors!$A:$A,'Investor Exit List'!$A458,Investors!$E:$E,'Investor Exit List'!$C458,Investors!$L:$L,'Investor Exit List'!$B458))</f>
        <v>608671.23287671234</v>
      </c>
      <c r="R458" s="117">
        <f t="shared" si="89"/>
        <v>0</v>
      </c>
      <c r="S458" s="117">
        <f>SUMIFS(Investors!$M:$M,Investors!$O:$O,TRUE,Investors!$A:$A,'Investor Exit List'!$A458,Investors!$E:$E,'Investor Exit List'!$C458,Investors!$L:$L,'Investor Exit List'!$B458)+SUMIFS(Investors!$S:$S,Investors!$O:$O,TRUE,Investors!$A:$A,'Investor Exit List'!$A458,Investors!$E:$E,'Investor Exit List'!$C458,Investors!$L:$L,'Investor Exit List'!$B458)</f>
        <v>0</v>
      </c>
      <c r="T458" s="118" t="str">
        <f t="shared" si="90"/>
        <v/>
      </c>
      <c r="U458" s="116" t="b">
        <v>0</v>
      </c>
      <c r="V458" s="117">
        <f t="shared" si="91"/>
        <v>0</v>
      </c>
      <c r="W458" s="116">
        <v>0</v>
      </c>
      <c r="X458" s="116" t="b">
        <v>0</v>
      </c>
      <c r="Y458" s="119">
        <f>IF(H458=FALSE,VLOOKUP($C458,Sales!$C:$F,4,FALSE),1)</f>
        <v>0</v>
      </c>
      <c r="Z458" s="116" t="str">
        <f t="shared" si="92"/>
        <v>Release</v>
      </c>
      <c r="AA458" s="118">
        <f t="shared" si="93"/>
        <v>45859</v>
      </c>
      <c r="AB458" s="118" t="str">
        <f t="shared" si="94"/>
        <v>HVM101-ZKOO01</v>
      </c>
      <c r="AC458" s="118">
        <f t="shared" si="95"/>
        <v>45891</v>
      </c>
    </row>
    <row r="459" spans="1:29" ht="16" x14ac:dyDescent="0.2">
      <c r="A459" s="116" t="s">
        <v>419</v>
      </c>
      <c r="B459" s="116">
        <v>12</v>
      </c>
      <c r="C459" s="116" t="s">
        <v>810</v>
      </c>
      <c r="D459" s="116" t="s">
        <v>811</v>
      </c>
      <c r="E459" s="116" t="s">
        <v>2123</v>
      </c>
      <c r="F459" s="117">
        <f>SUMIFS(Investors!$M:$M,Investors!$O:$O,FALSE,Investors!$P:$P,FALSE,Investors!$K:$K,"&gt;"&amp;'NSST Print'!$B$3,Investors!$I:$I,"&lt;="&amp;'NSST Print'!$B$3,Investors!$A:$A,'Investor Exit List'!$A459,Investors!$E:$E,'Investor Exit List'!$C459,Investors!$L:$L,'Investor Exit List'!$B459)-(SUMIFS(Investors!$M:$M,Investors!$I:$I,"&lt;="&amp;'NSST Print'!$B$3,Investors!$J:$J,"&gt;"&amp;'NSST Print'!$B$3,Investors!$A:$A,'Investor Exit List'!$A459,Investors!$E:$E,'Investor Exit List'!$C459,Investors!$L:$L,'Investor Exit List'!$B459)+SUMIFS(Investors!$M:$M,Investors!$I:$I,"&lt;="&amp;'NSST Print'!$B$3,Investors!$J:$J,"",Investors!$A:$A,'Investor Exit List'!$A459,Investors!$E:$E,'Investor Exit List'!$C459,Investors!$L:$L,'Investor Exit List'!$B459))</f>
        <v>300000</v>
      </c>
      <c r="G459" s="118">
        <v>45161</v>
      </c>
      <c r="H459" s="116" t="b">
        <f>VLOOKUP($C459,Sales!$C:$E,2,FALSE)</f>
        <v>0</v>
      </c>
      <c r="I459" s="116" t="b">
        <f>VLOOKUP($C459,Sales!$C:$E,3,FALSE)</f>
        <v>0</v>
      </c>
      <c r="J459" s="118">
        <f>SUMIFS(Sales!$H:$H,Sales!$C:$C,'Investor Exit List'!$C459)</f>
        <v>45583</v>
      </c>
      <c r="K459" s="118" t="str">
        <f t="shared" si="84"/>
        <v/>
      </c>
      <c r="L459" s="118">
        <f t="shared" si="85"/>
        <v>45891</v>
      </c>
      <c r="M459" s="118">
        <v>45443</v>
      </c>
      <c r="N459" s="119">
        <f t="shared" si="86"/>
        <v>448</v>
      </c>
      <c r="O459" s="119">
        <f t="shared" si="87"/>
        <v>0</v>
      </c>
      <c r="P459" s="117">
        <f t="shared" si="88"/>
        <v>0</v>
      </c>
      <c r="Q459" s="117">
        <f>SUMIFS(Investors!$M:$M,Investors!$O:$O,FALSE,Investors!$P:$P,FALSE,Investors!$K:$K,"&gt;"&amp;'NSST Print'!$B$3,Investors!$I:$I,"&lt;="&amp;'NSST Print'!$B$3,Investors!$A:$A,'Investor Exit List'!$A459,Investors!$E:$E,'Investor Exit List'!$C459,Investors!$L:$L,'Investor Exit List'!$B459)-(SUMIFS(Investors!$M:$M,Investors!$I:$I,"&lt;="&amp;'NSST Print'!$B$3,Investors!$J:$J,"&gt;"&amp;'NSST Print'!$B$3,Investors!$A:$A,'Investor Exit List'!$A459,Investors!$E:$E,'Investor Exit List'!$C459,Investors!$L:$L,'Investor Exit List'!$B459)+SUMIFS(Investors!$M:$M,Investors!$I:$I,"&lt;="&amp;'NSST Print'!$B$3,Investors!$J:$J,"",Investors!$A:$A,'Investor Exit List'!$A459,Investors!$E:$E,'Investor Exit List'!$C459,Investors!$L:$L,'Investor Exit List'!$B459))+SUMIFS(Investors!$S:$S,Investors!$O:$O,FALSE,Investors!$P:$P,FALSE,Investors!$K:$K,"&gt;"&amp;'NSST Print'!$B$3,Investors!$I:$I,"&lt;="&amp;'NSST Print'!$B$3,Investors!$A:$A,'Investor Exit List'!$A459,Investors!$E:$E,'Investor Exit List'!$C459,Investors!$L:$L,'Investor Exit List'!$B459)-(SUMIFS(Investors!$S:$S,Investors!$I:$I,"&lt;="&amp;'NSST Print'!$B$3,Investors!$J:$J,"&gt;"&amp;'NSST Print'!$B$3,Investors!$A:$A,'Investor Exit List'!$A459,Investors!$E:$E,'Investor Exit List'!$C459,Investors!$L:$L,'Investor Exit List'!$B459)+SUMIFS(Investors!$S:$S,Investors!$I:$I,"&lt;="&amp;'NSST Print'!$B$3,Investors!$J:$J,"",Investors!$A:$A,'Investor Exit List'!$A459,Investors!$E:$E,'Investor Exit List'!$C459,Investors!$L:$L,'Investor Exit List'!$B459))</f>
        <v>372283.56164383562</v>
      </c>
      <c r="R459" s="117">
        <f t="shared" si="89"/>
        <v>0</v>
      </c>
      <c r="S459" s="117">
        <f>SUMIFS(Investors!$M:$M,Investors!$O:$O,TRUE,Investors!$A:$A,'Investor Exit List'!$A459,Investors!$E:$E,'Investor Exit List'!$C459,Investors!$L:$L,'Investor Exit List'!$B459)+SUMIFS(Investors!$S:$S,Investors!$O:$O,TRUE,Investors!$A:$A,'Investor Exit List'!$A459,Investors!$E:$E,'Investor Exit List'!$C459,Investors!$L:$L,'Investor Exit List'!$B459)</f>
        <v>0</v>
      </c>
      <c r="T459" s="118" t="str">
        <f t="shared" si="90"/>
        <v/>
      </c>
      <c r="U459" s="116" t="b">
        <v>0</v>
      </c>
      <c r="V459" s="117">
        <f t="shared" si="91"/>
        <v>0</v>
      </c>
      <c r="W459" s="116">
        <v>0</v>
      </c>
      <c r="X459" s="116" t="b">
        <v>0</v>
      </c>
      <c r="Y459" s="119">
        <f>IF(H459=FALSE,VLOOKUP($C459,Sales!$C:$F,4,FALSE),1)</f>
        <v>0</v>
      </c>
      <c r="Z459" s="116" t="str">
        <f t="shared" si="92"/>
        <v>Release</v>
      </c>
      <c r="AA459" s="118">
        <f t="shared" si="93"/>
        <v>45859</v>
      </c>
      <c r="AB459" s="118" t="str">
        <f t="shared" si="94"/>
        <v>HVM101-ZRIT01</v>
      </c>
      <c r="AC459" s="118">
        <f t="shared" si="95"/>
        <v>45891</v>
      </c>
    </row>
    <row r="460" spans="1:29" ht="16" x14ac:dyDescent="0.2">
      <c r="A460" s="116" t="s">
        <v>412</v>
      </c>
      <c r="B460" s="116">
        <v>9</v>
      </c>
      <c r="C460" s="116" t="s">
        <v>812</v>
      </c>
      <c r="D460" s="116" t="s">
        <v>811</v>
      </c>
      <c r="E460" s="116" t="s">
        <v>2121</v>
      </c>
      <c r="F460" s="117">
        <f>SUMIFS(Investors!$M:$M,Investors!$O:$O,FALSE,Investors!$P:$P,FALSE,Investors!$K:$K,"&gt;"&amp;'NSST Print'!$B$3,Investors!$I:$I,"&lt;="&amp;'NSST Print'!$B$3,Investors!$A:$A,'Investor Exit List'!$A460,Investors!$E:$E,'Investor Exit List'!$C460,Investors!$L:$L,'Investor Exit List'!$B460)-(SUMIFS(Investors!$M:$M,Investors!$I:$I,"&lt;="&amp;'NSST Print'!$B$3,Investors!$J:$J,"&gt;"&amp;'NSST Print'!$B$3,Investors!$A:$A,'Investor Exit List'!$A460,Investors!$E:$E,'Investor Exit List'!$C460,Investors!$L:$L,'Investor Exit List'!$B460)+SUMIFS(Investors!$M:$M,Investors!$I:$I,"&lt;="&amp;'NSST Print'!$B$3,Investors!$J:$J,"",Investors!$A:$A,'Investor Exit List'!$A460,Investors!$E:$E,'Investor Exit List'!$C460,Investors!$L:$L,'Investor Exit List'!$B460))</f>
        <v>304366.44</v>
      </c>
      <c r="G460" s="118">
        <v>45129</v>
      </c>
      <c r="H460" s="116" t="b">
        <f>VLOOKUP($C460,Sales!$C:$E,2,FALSE)</f>
        <v>0</v>
      </c>
      <c r="I460" s="116" t="b">
        <f>VLOOKUP($C460,Sales!$C:$E,3,FALSE)</f>
        <v>0</v>
      </c>
      <c r="J460" s="118">
        <f>SUMIFS(Sales!$H:$H,Sales!$C:$C,'Investor Exit List'!$C460)</f>
        <v>45583</v>
      </c>
      <c r="K460" s="118" t="str">
        <f t="shared" si="84"/>
        <v/>
      </c>
      <c r="L460" s="118">
        <f t="shared" si="85"/>
        <v>45859</v>
      </c>
      <c r="M460" s="118">
        <v>45443</v>
      </c>
      <c r="N460" s="119">
        <f t="shared" si="86"/>
        <v>416</v>
      </c>
      <c r="O460" s="119">
        <f t="shared" si="87"/>
        <v>0</v>
      </c>
      <c r="P460" s="117">
        <f t="shared" si="88"/>
        <v>0</v>
      </c>
      <c r="Q460" s="117">
        <f>SUMIFS(Investors!$M:$M,Investors!$O:$O,FALSE,Investors!$P:$P,FALSE,Investors!$K:$K,"&gt;"&amp;'NSST Print'!$B$3,Investors!$I:$I,"&lt;="&amp;'NSST Print'!$B$3,Investors!$A:$A,'Investor Exit List'!$A460,Investors!$E:$E,'Investor Exit List'!$C460,Investors!$L:$L,'Investor Exit List'!$B460)-(SUMIFS(Investors!$M:$M,Investors!$I:$I,"&lt;="&amp;'NSST Print'!$B$3,Investors!$J:$J,"&gt;"&amp;'NSST Print'!$B$3,Investors!$A:$A,'Investor Exit List'!$A460,Investors!$E:$E,'Investor Exit List'!$C460,Investors!$L:$L,'Investor Exit List'!$B460)+SUMIFS(Investors!$M:$M,Investors!$I:$I,"&lt;="&amp;'NSST Print'!$B$3,Investors!$J:$J,"",Investors!$A:$A,'Investor Exit List'!$A460,Investors!$E:$E,'Investor Exit List'!$C460,Investors!$L:$L,'Investor Exit List'!$B460))+SUMIFS(Investors!$S:$S,Investors!$O:$O,FALSE,Investors!$P:$P,FALSE,Investors!$K:$K,"&gt;"&amp;'NSST Print'!$B$3,Investors!$I:$I,"&lt;="&amp;'NSST Print'!$B$3,Investors!$A:$A,'Investor Exit List'!$A460,Investors!$E:$E,'Investor Exit List'!$C460,Investors!$L:$L,'Investor Exit List'!$B460)-(SUMIFS(Investors!$S:$S,Investors!$I:$I,"&lt;="&amp;'NSST Print'!$B$3,Investors!$J:$J,"&gt;"&amp;'NSST Print'!$B$3,Investors!$A:$A,'Investor Exit List'!$A460,Investors!$E:$E,'Investor Exit List'!$C460,Investors!$L:$L,'Investor Exit List'!$B460)+SUMIFS(Investors!$S:$S,Investors!$I:$I,"&lt;="&amp;'NSST Print'!$B$3,Investors!$J:$J,"",Investors!$A:$A,'Investor Exit List'!$A460,Investors!$E:$E,'Investor Exit List'!$C460,Investors!$L:$L,'Investor Exit List'!$B460))</f>
        <v>378093.99833589041</v>
      </c>
      <c r="R460" s="117">
        <f t="shared" si="89"/>
        <v>0</v>
      </c>
      <c r="S460" s="117">
        <f>SUMIFS(Investors!$M:$M,Investors!$O:$O,TRUE,Investors!$A:$A,'Investor Exit List'!$A460,Investors!$E:$E,'Investor Exit List'!$C460,Investors!$L:$L,'Investor Exit List'!$B460)+SUMIFS(Investors!$S:$S,Investors!$O:$O,TRUE,Investors!$A:$A,'Investor Exit List'!$A460,Investors!$E:$E,'Investor Exit List'!$C460,Investors!$L:$L,'Investor Exit List'!$B460)</f>
        <v>0</v>
      </c>
      <c r="T460" s="118" t="str">
        <f t="shared" si="90"/>
        <v/>
      </c>
      <c r="U460" s="116" t="b">
        <v>0</v>
      </c>
      <c r="V460" s="117">
        <f t="shared" si="91"/>
        <v>0</v>
      </c>
      <c r="W460" s="116">
        <v>0</v>
      </c>
      <c r="X460" s="116" t="b">
        <v>0</v>
      </c>
      <c r="Y460" s="119">
        <f>IF(H460=FALSE,VLOOKUP($C460,Sales!$C:$F,4,FALSE),1)</f>
        <v>0</v>
      </c>
      <c r="Z460" s="116" t="str">
        <f t="shared" si="92"/>
        <v>Release</v>
      </c>
      <c r="AA460" s="118">
        <f t="shared" si="93"/>
        <v>45859</v>
      </c>
      <c r="AB460" s="118" t="str">
        <f t="shared" si="94"/>
        <v>HVM102-ZNUN01</v>
      </c>
      <c r="AC460" s="118">
        <f t="shared" si="95"/>
        <v>45859</v>
      </c>
    </row>
    <row r="461" spans="1:29" ht="16" x14ac:dyDescent="0.2">
      <c r="A461" s="116" t="s">
        <v>419</v>
      </c>
      <c r="B461" s="116">
        <v>13</v>
      </c>
      <c r="C461" s="116" t="s">
        <v>812</v>
      </c>
      <c r="D461" s="116" t="s">
        <v>811</v>
      </c>
      <c r="E461" s="116" t="s">
        <v>2123</v>
      </c>
      <c r="F461" s="117">
        <f>SUMIFS(Investors!$M:$M,Investors!$O:$O,FALSE,Investors!$P:$P,FALSE,Investors!$K:$K,"&gt;"&amp;'NSST Print'!$B$3,Investors!$I:$I,"&lt;="&amp;'NSST Print'!$B$3,Investors!$A:$A,'Investor Exit List'!$A461,Investors!$E:$E,'Investor Exit List'!$C461,Investors!$L:$L,'Investor Exit List'!$B461)-(SUMIFS(Investors!$M:$M,Investors!$I:$I,"&lt;="&amp;'NSST Print'!$B$3,Investors!$J:$J,"&gt;"&amp;'NSST Print'!$B$3,Investors!$A:$A,'Investor Exit List'!$A461,Investors!$E:$E,'Investor Exit List'!$C461,Investors!$L:$L,'Investor Exit List'!$B461)+SUMIFS(Investors!$M:$M,Investors!$I:$I,"&lt;="&amp;'NSST Print'!$B$3,Investors!$J:$J,"",Investors!$A:$A,'Investor Exit List'!$A461,Investors!$E:$E,'Investor Exit List'!$C461,Investors!$L:$L,'Investor Exit List'!$B461))</f>
        <v>300000</v>
      </c>
      <c r="G461" s="118">
        <v>45161</v>
      </c>
      <c r="H461" s="116" t="b">
        <f>VLOOKUP($C461,Sales!$C:$E,2,FALSE)</f>
        <v>0</v>
      </c>
      <c r="I461" s="116" t="b">
        <f>VLOOKUP($C461,Sales!$C:$E,3,FALSE)</f>
        <v>0</v>
      </c>
      <c r="J461" s="118">
        <f>SUMIFS(Sales!$H:$H,Sales!$C:$C,'Investor Exit List'!$C461)</f>
        <v>45583</v>
      </c>
      <c r="K461" s="118" t="str">
        <f t="shared" si="84"/>
        <v/>
      </c>
      <c r="L461" s="118">
        <f t="shared" si="85"/>
        <v>45891</v>
      </c>
      <c r="M461" s="118">
        <v>45443</v>
      </c>
      <c r="N461" s="119">
        <f t="shared" si="86"/>
        <v>448</v>
      </c>
      <c r="O461" s="119">
        <f t="shared" si="87"/>
        <v>0</v>
      </c>
      <c r="P461" s="117">
        <f t="shared" si="88"/>
        <v>0</v>
      </c>
      <c r="Q461" s="117">
        <f>SUMIFS(Investors!$M:$M,Investors!$O:$O,FALSE,Investors!$P:$P,FALSE,Investors!$K:$K,"&gt;"&amp;'NSST Print'!$B$3,Investors!$I:$I,"&lt;="&amp;'NSST Print'!$B$3,Investors!$A:$A,'Investor Exit List'!$A461,Investors!$E:$E,'Investor Exit List'!$C461,Investors!$L:$L,'Investor Exit List'!$B461)-(SUMIFS(Investors!$M:$M,Investors!$I:$I,"&lt;="&amp;'NSST Print'!$B$3,Investors!$J:$J,"&gt;"&amp;'NSST Print'!$B$3,Investors!$A:$A,'Investor Exit List'!$A461,Investors!$E:$E,'Investor Exit List'!$C461,Investors!$L:$L,'Investor Exit List'!$B461)+SUMIFS(Investors!$M:$M,Investors!$I:$I,"&lt;="&amp;'NSST Print'!$B$3,Investors!$J:$J,"",Investors!$A:$A,'Investor Exit List'!$A461,Investors!$E:$E,'Investor Exit List'!$C461,Investors!$L:$L,'Investor Exit List'!$B461))+SUMIFS(Investors!$S:$S,Investors!$O:$O,FALSE,Investors!$P:$P,FALSE,Investors!$K:$K,"&gt;"&amp;'NSST Print'!$B$3,Investors!$I:$I,"&lt;="&amp;'NSST Print'!$B$3,Investors!$A:$A,'Investor Exit List'!$A461,Investors!$E:$E,'Investor Exit List'!$C461,Investors!$L:$L,'Investor Exit List'!$B461)-(SUMIFS(Investors!$S:$S,Investors!$I:$I,"&lt;="&amp;'NSST Print'!$B$3,Investors!$J:$J,"&gt;"&amp;'NSST Print'!$B$3,Investors!$A:$A,'Investor Exit List'!$A461,Investors!$E:$E,'Investor Exit List'!$C461,Investors!$L:$L,'Investor Exit List'!$B461)+SUMIFS(Investors!$S:$S,Investors!$I:$I,"&lt;="&amp;'NSST Print'!$B$3,Investors!$J:$J,"",Investors!$A:$A,'Investor Exit List'!$A461,Investors!$E:$E,'Investor Exit List'!$C461,Investors!$L:$L,'Investor Exit List'!$B461))</f>
        <v>372283.56164383562</v>
      </c>
      <c r="R461" s="117">
        <f t="shared" si="89"/>
        <v>0</v>
      </c>
      <c r="S461" s="117">
        <f>SUMIFS(Investors!$M:$M,Investors!$O:$O,TRUE,Investors!$A:$A,'Investor Exit List'!$A461,Investors!$E:$E,'Investor Exit List'!$C461,Investors!$L:$L,'Investor Exit List'!$B461)+SUMIFS(Investors!$S:$S,Investors!$O:$O,TRUE,Investors!$A:$A,'Investor Exit List'!$A461,Investors!$E:$E,'Investor Exit List'!$C461,Investors!$L:$L,'Investor Exit List'!$B461)</f>
        <v>0</v>
      </c>
      <c r="T461" s="118" t="str">
        <f t="shared" si="90"/>
        <v/>
      </c>
      <c r="U461" s="116" t="b">
        <v>0</v>
      </c>
      <c r="V461" s="117">
        <f t="shared" si="91"/>
        <v>0</v>
      </c>
      <c r="W461" s="116">
        <v>0</v>
      </c>
      <c r="X461" s="116" t="b">
        <v>0</v>
      </c>
      <c r="Y461" s="119">
        <f>IF(H461=FALSE,VLOOKUP($C461,Sales!$C:$F,4,FALSE),1)</f>
        <v>0</v>
      </c>
      <c r="Z461" s="116" t="str">
        <f t="shared" si="92"/>
        <v>Release</v>
      </c>
      <c r="AA461" s="118">
        <f t="shared" si="93"/>
        <v>45859</v>
      </c>
      <c r="AB461" s="118" t="str">
        <f t="shared" si="94"/>
        <v>HVM102-ZRIT01</v>
      </c>
      <c r="AC461" s="118">
        <f t="shared" si="95"/>
        <v>45891</v>
      </c>
    </row>
    <row r="462" spans="1:29" ht="16" x14ac:dyDescent="0.2">
      <c r="A462" s="116" t="s">
        <v>355</v>
      </c>
      <c r="B462" s="116">
        <v>2</v>
      </c>
      <c r="C462" s="116" t="s">
        <v>812</v>
      </c>
      <c r="D462" s="116" t="s">
        <v>811</v>
      </c>
      <c r="E462" s="116" t="s">
        <v>2107</v>
      </c>
      <c r="F462" s="117">
        <f>SUMIFS(Investors!$M:$M,Investors!$O:$O,FALSE,Investors!$P:$P,FALSE,Investors!$K:$K,"&gt;"&amp;'NSST Print'!$B$3,Investors!$I:$I,"&lt;="&amp;'NSST Print'!$B$3,Investors!$A:$A,'Investor Exit List'!$A462,Investors!$E:$E,'Investor Exit List'!$C462,Investors!$L:$L,'Investor Exit List'!$B462)-(SUMIFS(Investors!$M:$M,Investors!$I:$I,"&lt;="&amp;'NSST Print'!$B$3,Investors!$J:$J,"&gt;"&amp;'NSST Print'!$B$3,Investors!$A:$A,'Investor Exit List'!$A462,Investors!$E:$E,'Investor Exit List'!$C462,Investors!$L:$L,'Investor Exit List'!$B462)+SUMIFS(Investors!$M:$M,Investors!$I:$I,"&lt;="&amp;'NSST Print'!$B$3,Investors!$J:$J,"",Investors!$A:$A,'Investor Exit List'!$A462,Investors!$E:$E,'Investor Exit List'!$C462,Investors!$L:$L,'Investor Exit List'!$B462))</f>
        <v>500000</v>
      </c>
      <c r="G462" s="118">
        <v>45129</v>
      </c>
      <c r="H462" s="116" t="b">
        <f>VLOOKUP($C462,Sales!$C:$E,2,FALSE)</f>
        <v>0</v>
      </c>
      <c r="I462" s="116" t="b">
        <f>VLOOKUP($C462,Sales!$C:$E,3,FALSE)</f>
        <v>0</v>
      </c>
      <c r="J462" s="118">
        <f>SUMIFS(Sales!$H:$H,Sales!$C:$C,'Investor Exit List'!$C462)</f>
        <v>45583</v>
      </c>
      <c r="K462" s="118" t="str">
        <f t="shared" si="84"/>
        <v/>
      </c>
      <c r="L462" s="118">
        <f t="shared" si="85"/>
        <v>45859</v>
      </c>
      <c r="M462" s="118">
        <v>45443</v>
      </c>
      <c r="N462" s="119">
        <f t="shared" si="86"/>
        <v>416</v>
      </c>
      <c r="O462" s="119">
        <f t="shared" si="87"/>
        <v>0</v>
      </c>
      <c r="P462" s="117">
        <f t="shared" si="88"/>
        <v>0</v>
      </c>
      <c r="Q462" s="117">
        <f>SUMIFS(Investors!$M:$M,Investors!$O:$O,FALSE,Investors!$P:$P,FALSE,Investors!$K:$K,"&gt;"&amp;'NSST Print'!$B$3,Investors!$I:$I,"&lt;="&amp;'NSST Print'!$B$3,Investors!$A:$A,'Investor Exit List'!$A462,Investors!$E:$E,'Investor Exit List'!$C462,Investors!$L:$L,'Investor Exit List'!$B462)-(SUMIFS(Investors!$M:$M,Investors!$I:$I,"&lt;="&amp;'NSST Print'!$B$3,Investors!$J:$J,"&gt;"&amp;'NSST Print'!$B$3,Investors!$A:$A,'Investor Exit List'!$A462,Investors!$E:$E,'Investor Exit List'!$C462,Investors!$L:$L,'Investor Exit List'!$B462)+SUMIFS(Investors!$M:$M,Investors!$I:$I,"&lt;="&amp;'NSST Print'!$B$3,Investors!$J:$J,"",Investors!$A:$A,'Investor Exit List'!$A462,Investors!$E:$E,'Investor Exit List'!$C462,Investors!$L:$L,'Investor Exit List'!$B462))+SUMIFS(Investors!$S:$S,Investors!$O:$O,FALSE,Investors!$P:$P,FALSE,Investors!$K:$K,"&gt;"&amp;'NSST Print'!$B$3,Investors!$I:$I,"&lt;="&amp;'NSST Print'!$B$3,Investors!$A:$A,'Investor Exit List'!$A462,Investors!$E:$E,'Investor Exit List'!$C462,Investors!$L:$L,'Investor Exit List'!$B462)-(SUMIFS(Investors!$S:$S,Investors!$I:$I,"&lt;="&amp;'NSST Print'!$B$3,Investors!$J:$J,"&gt;"&amp;'NSST Print'!$B$3,Investors!$A:$A,'Investor Exit List'!$A462,Investors!$E:$E,'Investor Exit List'!$C462,Investors!$L:$L,'Investor Exit List'!$B462)+SUMIFS(Investors!$S:$S,Investors!$I:$I,"&lt;="&amp;'NSST Print'!$B$3,Investors!$J:$J,"",Investors!$A:$A,'Investor Exit List'!$A462,Investors!$E:$E,'Investor Exit List'!$C462,Investors!$L:$L,'Investor Exit List'!$B462))</f>
        <v>621116.43835616426</v>
      </c>
      <c r="R462" s="117">
        <f t="shared" si="89"/>
        <v>0</v>
      </c>
      <c r="S462" s="117">
        <f>SUMIFS(Investors!$M:$M,Investors!$O:$O,TRUE,Investors!$A:$A,'Investor Exit List'!$A462,Investors!$E:$E,'Investor Exit List'!$C462,Investors!$L:$L,'Investor Exit List'!$B462)+SUMIFS(Investors!$S:$S,Investors!$O:$O,TRUE,Investors!$A:$A,'Investor Exit List'!$A462,Investors!$E:$E,'Investor Exit List'!$C462,Investors!$L:$L,'Investor Exit List'!$B462)</f>
        <v>0</v>
      </c>
      <c r="T462" s="118" t="str">
        <f t="shared" si="90"/>
        <v/>
      </c>
      <c r="U462" s="116" t="b">
        <v>0</v>
      </c>
      <c r="V462" s="117">
        <f t="shared" si="91"/>
        <v>0</v>
      </c>
      <c r="W462" s="116">
        <v>0</v>
      </c>
      <c r="X462" s="116" t="b">
        <v>0</v>
      </c>
      <c r="Y462" s="119">
        <f>IF(H462=FALSE,VLOOKUP($C462,Sales!$C:$F,4,FALSE),1)</f>
        <v>0</v>
      </c>
      <c r="Z462" s="116" t="str">
        <f t="shared" si="92"/>
        <v>Release</v>
      </c>
      <c r="AA462" s="118">
        <f t="shared" si="93"/>
        <v>45859</v>
      </c>
      <c r="AB462" s="118" t="str">
        <f t="shared" si="94"/>
        <v>HVM102-ZSCH04</v>
      </c>
      <c r="AC462" s="118">
        <f t="shared" si="95"/>
        <v>45859</v>
      </c>
    </row>
    <row r="463" spans="1:29" ht="16" x14ac:dyDescent="0.2">
      <c r="A463" s="116" t="s">
        <v>419</v>
      </c>
      <c r="B463" s="116">
        <v>14</v>
      </c>
      <c r="C463" s="116" t="s">
        <v>813</v>
      </c>
      <c r="D463" s="116" t="s">
        <v>811</v>
      </c>
      <c r="E463" s="116" t="s">
        <v>2123</v>
      </c>
      <c r="F463" s="117">
        <f>SUMIFS(Investors!$M:$M,Investors!$O:$O,FALSE,Investors!$P:$P,FALSE,Investors!$K:$K,"&gt;"&amp;'NSST Print'!$B$3,Investors!$I:$I,"&lt;="&amp;'NSST Print'!$B$3,Investors!$A:$A,'Investor Exit List'!$A463,Investors!$E:$E,'Investor Exit List'!$C463,Investors!$L:$L,'Investor Exit List'!$B463)-(SUMIFS(Investors!$M:$M,Investors!$I:$I,"&lt;="&amp;'NSST Print'!$B$3,Investors!$J:$J,"&gt;"&amp;'NSST Print'!$B$3,Investors!$A:$A,'Investor Exit List'!$A463,Investors!$E:$E,'Investor Exit List'!$C463,Investors!$L:$L,'Investor Exit List'!$B463)+SUMIFS(Investors!$M:$M,Investors!$I:$I,"&lt;="&amp;'NSST Print'!$B$3,Investors!$J:$J,"",Investors!$A:$A,'Investor Exit List'!$A463,Investors!$E:$E,'Investor Exit List'!$C463,Investors!$L:$L,'Investor Exit List'!$B463))</f>
        <v>300000</v>
      </c>
      <c r="G463" s="118">
        <v>45161</v>
      </c>
      <c r="H463" s="116" t="b">
        <f>VLOOKUP($C463,Sales!$C:$E,2,FALSE)</f>
        <v>0</v>
      </c>
      <c r="I463" s="116" t="b">
        <f>VLOOKUP($C463,Sales!$C:$E,3,FALSE)</f>
        <v>0</v>
      </c>
      <c r="J463" s="118">
        <f>SUMIFS(Sales!$H:$H,Sales!$C:$C,'Investor Exit List'!$C463)</f>
        <v>45583</v>
      </c>
      <c r="K463" s="118" t="str">
        <f t="shared" si="84"/>
        <v/>
      </c>
      <c r="L463" s="118">
        <f t="shared" si="85"/>
        <v>45891</v>
      </c>
      <c r="M463" s="118">
        <v>45443</v>
      </c>
      <c r="N463" s="119">
        <f t="shared" si="86"/>
        <v>448</v>
      </c>
      <c r="O463" s="119">
        <f t="shared" si="87"/>
        <v>0</v>
      </c>
      <c r="P463" s="117">
        <f t="shared" si="88"/>
        <v>0</v>
      </c>
      <c r="Q463" s="117">
        <f>SUMIFS(Investors!$M:$M,Investors!$O:$O,FALSE,Investors!$P:$P,FALSE,Investors!$K:$K,"&gt;"&amp;'NSST Print'!$B$3,Investors!$I:$I,"&lt;="&amp;'NSST Print'!$B$3,Investors!$A:$A,'Investor Exit List'!$A463,Investors!$E:$E,'Investor Exit List'!$C463,Investors!$L:$L,'Investor Exit List'!$B463)-(SUMIFS(Investors!$M:$M,Investors!$I:$I,"&lt;="&amp;'NSST Print'!$B$3,Investors!$J:$J,"&gt;"&amp;'NSST Print'!$B$3,Investors!$A:$A,'Investor Exit List'!$A463,Investors!$E:$E,'Investor Exit List'!$C463,Investors!$L:$L,'Investor Exit List'!$B463)+SUMIFS(Investors!$M:$M,Investors!$I:$I,"&lt;="&amp;'NSST Print'!$B$3,Investors!$J:$J,"",Investors!$A:$A,'Investor Exit List'!$A463,Investors!$E:$E,'Investor Exit List'!$C463,Investors!$L:$L,'Investor Exit List'!$B463))+SUMIFS(Investors!$S:$S,Investors!$O:$O,FALSE,Investors!$P:$P,FALSE,Investors!$K:$K,"&gt;"&amp;'NSST Print'!$B$3,Investors!$I:$I,"&lt;="&amp;'NSST Print'!$B$3,Investors!$A:$A,'Investor Exit List'!$A463,Investors!$E:$E,'Investor Exit List'!$C463,Investors!$L:$L,'Investor Exit List'!$B463)-(SUMIFS(Investors!$S:$S,Investors!$I:$I,"&lt;="&amp;'NSST Print'!$B$3,Investors!$J:$J,"&gt;"&amp;'NSST Print'!$B$3,Investors!$A:$A,'Investor Exit List'!$A463,Investors!$E:$E,'Investor Exit List'!$C463,Investors!$L:$L,'Investor Exit List'!$B463)+SUMIFS(Investors!$S:$S,Investors!$I:$I,"&lt;="&amp;'NSST Print'!$B$3,Investors!$J:$J,"",Investors!$A:$A,'Investor Exit List'!$A463,Investors!$E:$E,'Investor Exit List'!$C463,Investors!$L:$L,'Investor Exit List'!$B463))</f>
        <v>372283.56164383562</v>
      </c>
      <c r="R463" s="117">
        <f t="shared" si="89"/>
        <v>0</v>
      </c>
      <c r="S463" s="117">
        <f>SUMIFS(Investors!$M:$M,Investors!$O:$O,TRUE,Investors!$A:$A,'Investor Exit List'!$A463,Investors!$E:$E,'Investor Exit List'!$C463,Investors!$L:$L,'Investor Exit List'!$B463)+SUMIFS(Investors!$S:$S,Investors!$O:$O,TRUE,Investors!$A:$A,'Investor Exit List'!$A463,Investors!$E:$E,'Investor Exit List'!$C463,Investors!$L:$L,'Investor Exit List'!$B463)</f>
        <v>0</v>
      </c>
      <c r="T463" s="118" t="str">
        <f t="shared" si="90"/>
        <v/>
      </c>
      <c r="U463" s="116" t="b">
        <v>0</v>
      </c>
      <c r="V463" s="117">
        <f t="shared" si="91"/>
        <v>0</v>
      </c>
      <c r="W463" s="116">
        <v>0</v>
      </c>
      <c r="X463" s="116" t="b">
        <v>0</v>
      </c>
      <c r="Y463" s="119">
        <f>IF(H463=FALSE,VLOOKUP($C463,Sales!$C:$F,4,FALSE),1)</f>
        <v>0</v>
      </c>
      <c r="Z463" s="116" t="str">
        <f t="shared" si="92"/>
        <v>Release</v>
      </c>
      <c r="AA463" s="118">
        <f t="shared" si="93"/>
        <v>45859</v>
      </c>
      <c r="AB463" s="118" t="str">
        <f t="shared" si="94"/>
        <v>HVM103-ZRIT01</v>
      </c>
      <c r="AC463" s="118">
        <f t="shared" si="95"/>
        <v>45891</v>
      </c>
    </row>
    <row r="464" spans="1:29" ht="16" x14ac:dyDescent="0.2">
      <c r="A464" s="116" t="s">
        <v>359</v>
      </c>
      <c r="B464" s="116">
        <v>2</v>
      </c>
      <c r="C464" s="116" t="s">
        <v>813</v>
      </c>
      <c r="D464" s="116" t="s">
        <v>811</v>
      </c>
      <c r="E464" s="116" t="s">
        <v>2108</v>
      </c>
      <c r="F464" s="117">
        <f>SUMIFS(Investors!$M:$M,Investors!$O:$O,FALSE,Investors!$P:$P,FALSE,Investors!$K:$K,"&gt;"&amp;'NSST Print'!$B$3,Investors!$I:$I,"&lt;="&amp;'NSST Print'!$B$3,Investors!$A:$A,'Investor Exit List'!$A464,Investors!$E:$E,'Investor Exit List'!$C464,Investors!$L:$L,'Investor Exit List'!$B464)-(SUMIFS(Investors!$M:$M,Investors!$I:$I,"&lt;="&amp;'NSST Print'!$B$3,Investors!$J:$J,"&gt;"&amp;'NSST Print'!$B$3,Investors!$A:$A,'Investor Exit List'!$A464,Investors!$E:$E,'Investor Exit List'!$C464,Investors!$L:$L,'Investor Exit List'!$B464)+SUMIFS(Investors!$M:$M,Investors!$I:$I,"&lt;="&amp;'NSST Print'!$B$3,Investors!$J:$J,"",Investors!$A:$A,'Investor Exit List'!$A464,Investors!$E:$E,'Investor Exit List'!$C464,Investors!$L:$L,'Investor Exit List'!$B464))</f>
        <v>234453.42</v>
      </c>
      <c r="G464" s="118">
        <v>45129</v>
      </c>
      <c r="H464" s="116" t="b">
        <f>VLOOKUP($C464,Sales!$C:$E,2,FALSE)</f>
        <v>0</v>
      </c>
      <c r="I464" s="116" t="b">
        <f>VLOOKUP($C464,Sales!$C:$E,3,FALSE)</f>
        <v>0</v>
      </c>
      <c r="J464" s="118">
        <f>SUMIFS(Sales!$H:$H,Sales!$C:$C,'Investor Exit List'!$C464)</f>
        <v>45583</v>
      </c>
      <c r="K464" s="118" t="str">
        <f t="shared" si="84"/>
        <v/>
      </c>
      <c r="L464" s="118">
        <f t="shared" si="85"/>
        <v>45859</v>
      </c>
      <c r="M464" s="118">
        <v>45443</v>
      </c>
      <c r="N464" s="119">
        <f t="shared" si="86"/>
        <v>416</v>
      </c>
      <c r="O464" s="119">
        <f t="shared" si="87"/>
        <v>0</v>
      </c>
      <c r="P464" s="117">
        <f t="shared" si="88"/>
        <v>0</v>
      </c>
      <c r="Q464" s="117">
        <f>SUMIFS(Investors!$M:$M,Investors!$O:$O,FALSE,Investors!$P:$P,FALSE,Investors!$K:$K,"&gt;"&amp;'NSST Print'!$B$3,Investors!$I:$I,"&lt;="&amp;'NSST Print'!$B$3,Investors!$A:$A,'Investor Exit List'!$A464,Investors!$E:$E,'Investor Exit List'!$C464,Investors!$L:$L,'Investor Exit List'!$B464)-(SUMIFS(Investors!$M:$M,Investors!$I:$I,"&lt;="&amp;'NSST Print'!$B$3,Investors!$J:$J,"&gt;"&amp;'NSST Print'!$B$3,Investors!$A:$A,'Investor Exit List'!$A464,Investors!$E:$E,'Investor Exit List'!$C464,Investors!$L:$L,'Investor Exit List'!$B464)+SUMIFS(Investors!$M:$M,Investors!$I:$I,"&lt;="&amp;'NSST Print'!$B$3,Investors!$J:$J,"",Investors!$A:$A,'Investor Exit List'!$A464,Investors!$E:$E,'Investor Exit List'!$C464,Investors!$L:$L,'Investor Exit List'!$B464))+SUMIFS(Investors!$S:$S,Investors!$O:$O,FALSE,Investors!$P:$P,FALSE,Investors!$K:$K,"&gt;"&amp;'NSST Print'!$B$3,Investors!$I:$I,"&lt;="&amp;'NSST Print'!$B$3,Investors!$A:$A,'Investor Exit List'!$A464,Investors!$E:$E,'Investor Exit List'!$C464,Investors!$L:$L,'Investor Exit List'!$B464)-(SUMIFS(Investors!$S:$S,Investors!$I:$I,"&lt;="&amp;'NSST Print'!$B$3,Investors!$J:$J,"&gt;"&amp;'NSST Print'!$B$3,Investors!$A:$A,'Investor Exit List'!$A464,Investors!$E:$E,'Investor Exit List'!$C464,Investors!$L:$L,'Investor Exit List'!$B464)+SUMIFS(Investors!$S:$S,Investors!$I:$I,"&lt;="&amp;'NSST Print'!$B$3,Investors!$J:$J,"",Investors!$A:$A,'Investor Exit List'!$A464,Investors!$E:$E,'Investor Exit List'!$C464,Investors!$L:$L,'Investor Exit List'!$B464))</f>
        <v>280146.14337452053</v>
      </c>
      <c r="R464" s="117">
        <f t="shared" si="89"/>
        <v>0</v>
      </c>
      <c r="S464" s="117">
        <f>SUMIFS(Investors!$M:$M,Investors!$O:$O,TRUE,Investors!$A:$A,'Investor Exit List'!$A464,Investors!$E:$E,'Investor Exit List'!$C464,Investors!$L:$L,'Investor Exit List'!$B464)+SUMIFS(Investors!$S:$S,Investors!$O:$O,TRUE,Investors!$A:$A,'Investor Exit List'!$A464,Investors!$E:$E,'Investor Exit List'!$C464,Investors!$L:$L,'Investor Exit List'!$B464)</f>
        <v>0</v>
      </c>
      <c r="T464" s="118" t="str">
        <f t="shared" si="90"/>
        <v/>
      </c>
      <c r="U464" s="116" t="b">
        <v>0</v>
      </c>
      <c r="V464" s="117">
        <f t="shared" si="91"/>
        <v>0</v>
      </c>
      <c r="W464" s="116">
        <v>0</v>
      </c>
      <c r="X464" s="116" t="b">
        <v>0</v>
      </c>
      <c r="Y464" s="119">
        <f>IF(H464=FALSE,VLOOKUP($C464,Sales!$C:$F,4,FALSE),1)</f>
        <v>0</v>
      </c>
      <c r="Z464" s="116" t="str">
        <f t="shared" si="92"/>
        <v>Release</v>
      </c>
      <c r="AA464" s="118">
        <f t="shared" si="93"/>
        <v>45859</v>
      </c>
      <c r="AB464" s="118" t="str">
        <f t="shared" si="94"/>
        <v>HVM103-ZROU01</v>
      </c>
      <c r="AC464" s="118">
        <f t="shared" si="95"/>
        <v>45859</v>
      </c>
    </row>
    <row r="465" spans="1:29" ht="16" x14ac:dyDescent="0.2">
      <c r="A465" s="116" t="s">
        <v>355</v>
      </c>
      <c r="B465" s="116">
        <v>3</v>
      </c>
      <c r="C465" s="116" t="s">
        <v>813</v>
      </c>
      <c r="D465" s="116" t="s">
        <v>811</v>
      </c>
      <c r="E465" s="116" t="s">
        <v>2107</v>
      </c>
      <c r="F465" s="117">
        <f>SUMIFS(Investors!$M:$M,Investors!$O:$O,FALSE,Investors!$P:$P,FALSE,Investors!$K:$K,"&gt;"&amp;'NSST Print'!$B$3,Investors!$I:$I,"&lt;="&amp;'NSST Print'!$B$3,Investors!$A:$A,'Investor Exit List'!$A465,Investors!$E:$E,'Investor Exit List'!$C465,Investors!$L:$L,'Investor Exit List'!$B465)-(SUMIFS(Investors!$M:$M,Investors!$I:$I,"&lt;="&amp;'NSST Print'!$B$3,Investors!$J:$J,"&gt;"&amp;'NSST Print'!$B$3,Investors!$A:$A,'Investor Exit List'!$A465,Investors!$E:$E,'Investor Exit List'!$C465,Investors!$L:$L,'Investor Exit List'!$B465)+SUMIFS(Investors!$M:$M,Investors!$I:$I,"&lt;="&amp;'NSST Print'!$B$3,Investors!$J:$J,"",Investors!$A:$A,'Investor Exit List'!$A465,Investors!$E:$E,'Investor Exit List'!$C465,Investors!$L:$L,'Investor Exit List'!$B465))</f>
        <v>500000</v>
      </c>
      <c r="G465" s="118">
        <v>45161</v>
      </c>
      <c r="H465" s="116" t="b">
        <f>VLOOKUP($C465,Sales!$C:$E,2,FALSE)</f>
        <v>0</v>
      </c>
      <c r="I465" s="116" t="b">
        <f>VLOOKUP($C465,Sales!$C:$E,3,FALSE)</f>
        <v>0</v>
      </c>
      <c r="J465" s="118">
        <f>SUMIFS(Sales!$H:$H,Sales!$C:$C,'Investor Exit List'!$C465)</f>
        <v>45583</v>
      </c>
      <c r="K465" s="118" t="str">
        <f t="shared" si="84"/>
        <v/>
      </c>
      <c r="L465" s="118">
        <f t="shared" si="85"/>
        <v>45891</v>
      </c>
      <c r="M465" s="118">
        <v>45443</v>
      </c>
      <c r="N465" s="119">
        <f t="shared" si="86"/>
        <v>448</v>
      </c>
      <c r="O465" s="119">
        <f t="shared" si="87"/>
        <v>0</v>
      </c>
      <c r="P465" s="117">
        <f t="shared" si="88"/>
        <v>0</v>
      </c>
      <c r="Q465" s="117">
        <f>SUMIFS(Investors!$M:$M,Investors!$O:$O,FALSE,Investors!$P:$P,FALSE,Investors!$K:$K,"&gt;"&amp;'NSST Print'!$B$3,Investors!$I:$I,"&lt;="&amp;'NSST Print'!$B$3,Investors!$A:$A,'Investor Exit List'!$A465,Investors!$E:$E,'Investor Exit List'!$C465,Investors!$L:$L,'Investor Exit List'!$B465)-(SUMIFS(Investors!$M:$M,Investors!$I:$I,"&lt;="&amp;'NSST Print'!$B$3,Investors!$J:$J,"&gt;"&amp;'NSST Print'!$B$3,Investors!$A:$A,'Investor Exit List'!$A465,Investors!$E:$E,'Investor Exit List'!$C465,Investors!$L:$L,'Investor Exit List'!$B465)+SUMIFS(Investors!$M:$M,Investors!$I:$I,"&lt;="&amp;'NSST Print'!$B$3,Investors!$J:$J,"",Investors!$A:$A,'Investor Exit List'!$A465,Investors!$E:$E,'Investor Exit List'!$C465,Investors!$L:$L,'Investor Exit List'!$B465))+SUMIFS(Investors!$S:$S,Investors!$O:$O,FALSE,Investors!$P:$P,FALSE,Investors!$K:$K,"&gt;"&amp;'NSST Print'!$B$3,Investors!$I:$I,"&lt;="&amp;'NSST Print'!$B$3,Investors!$A:$A,'Investor Exit List'!$A465,Investors!$E:$E,'Investor Exit List'!$C465,Investors!$L:$L,'Investor Exit List'!$B465)-(SUMIFS(Investors!$S:$S,Investors!$I:$I,"&lt;="&amp;'NSST Print'!$B$3,Investors!$J:$J,"&gt;"&amp;'NSST Print'!$B$3,Investors!$A:$A,'Investor Exit List'!$A465,Investors!$E:$E,'Investor Exit List'!$C465,Investors!$L:$L,'Investor Exit List'!$B465)+SUMIFS(Investors!$S:$S,Investors!$I:$I,"&lt;="&amp;'NSST Print'!$B$3,Investors!$J:$J,"",Investors!$A:$A,'Investor Exit List'!$A465,Investors!$E:$E,'Investor Exit List'!$C465,Investors!$L:$L,'Investor Exit List'!$B465))</f>
        <v>618047.94520547939</v>
      </c>
      <c r="R465" s="117">
        <f t="shared" si="89"/>
        <v>0</v>
      </c>
      <c r="S465" s="117">
        <f>SUMIFS(Investors!$M:$M,Investors!$O:$O,TRUE,Investors!$A:$A,'Investor Exit List'!$A465,Investors!$E:$E,'Investor Exit List'!$C465,Investors!$L:$L,'Investor Exit List'!$B465)+SUMIFS(Investors!$S:$S,Investors!$O:$O,TRUE,Investors!$A:$A,'Investor Exit List'!$A465,Investors!$E:$E,'Investor Exit List'!$C465,Investors!$L:$L,'Investor Exit List'!$B465)</f>
        <v>0</v>
      </c>
      <c r="T465" s="118" t="str">
        <f t="shared" si="90"/>
        <v/>
      </c>
      <c r="U465" s="116" t="b">
        <v>0</v>
      </c>
      <c r="V465" s="117">
        <f t="shared" si="91"/>
        <v>0</v>
      </c>
      <c r="W465" s="116">
        <v>0</v>
      </c>
      <c r="X465" s="116" t="b">
        <v>0</v>
      </c>
      <c r="Y465" s="119">
        <f>IF(H465=FALSE,VLOOKUP($C465,Sales!$C:$F,4,FALSE),1)</f>
        <v>0</v>
      </c>
      <c r="Z465" s="116" t="str">
        <f t="shared" si="92"/>
        <v>Release</v>
      </c>
      <c r="AA465" s="118">
        <f t="shared" si="93"/>
        <v>45859</v>
      </c>
      <c r="AB465" s="118" t="str">
        <f t="shared" si="94"/>
        <v>HVM103-ZSCH04</v>
      </c>
      <c r="AC465" s="118">
        <f t="shared" si="95"/>
        <v>45891</v>
      </c>
    </row>
    <row r="466" spans="1:29" ht="16" x14ac:dyDescent="0.2">
      <c r="A466" s="116" t="s">
        <v>44</v>
      </c>
      <c r="B466" s="116">
        <v>8</v>
      </c>
      <c r="C466" s="116" t="s">
        <v>814</v>
      </c>
      <c r="D466" s="116" t="s">
        <v>811</v>
      </c>
      <c r="E466" s="116" t="s">
        <v>2015</v>
      </c>
      <c r="F466" s="117">
        <f>SUMIFS(Investors!$M:$M,Investors!$O:$O,FALSE,Investors!$P:$P,FALSE,Investors!$K:$K,"&gt;"&amp;'NSST Print'!$B$3,Investors!$I:$I,"&lt;="&amp;'NSST Print'!$B$3,Investors!$A:$A,'Investor Exit List'!$A466,Investors!$E:$E,'Investor Exit List'!$C466,Investors!$L:$L,'Investor Exit List'!$B466)-(SUMIFS(Investors!$M:$M,Investors!$I:$I,"&lt;="&amp;'NSST Print'!$B$3,Investors!$J:$J,"&gt;"&amp;'NSST Print'!$B$3,Investors!$A:$A,'Investor Exit List'!$A466,Investors!$E:$E,'Investor Exit List'!$C466,Investors!$L:$L,'Investor Exit List'!$B466)+SUMIFS(Investors!$M:$M,Investors!$I:$I,"&lt;="&amp;'NSST Print'!$B$3,Investors!$J:$J,"",Investors!$A:$A,'Investor Exit List'!$A466,Investors!$E:$E,'Investor Exit List'!$C466,Investors!$L:$L,'Investor Exit List'!$B466))</f>
        <v>1100000</v>
      </c>
      <c r="G466" s="118">
        <v>45107</v>
      </c>
      <c r="H466" s="116" t="b">
        <f>VLOOKUP($C466,Sales!$C:$E,2,FALSE)</f>
        <v>0</v>
      </c>
      <c r="I466" s="116" t="b">
        <f>VLOOKUP($C466,Sales!$C:$E,3,FALSE)</f>
        <v>0</v>
      </c>
      <c r="J466" s="118">
        <f>SUMIFS(Sales!$H:$H,Sales!$C:$C,'Investor Exit List'!$C466)</f>
        <v>45583</v>
      </c>
      <c r="K466" s="118" t="str">
        <f t="shared" si="84"/>
        <v/>
      </c>
      <c r="L466" s="118">
        <f t="shared" si="85"/>
        <v>45837</v>
      </c>
      <c r="M466" s="118">
        <v>45443</v>
      </c>
      <c r="N466" s="119">
        <f t="shared" si="86"/>
        <v>394</v>
      </c>
      <c r="O466" s="119">
        <f t="shared" si="87"/>
        <v>0</v>
      </c>
      <c r="P466" s="117">
        <f t="shared" si="88"/>
        <v>0</v>
      </c>
      <c r="Q466" s="117">
        <f>SUMIFS(Investors!$M:$M,Investors!$O:$O,FALSE,Investors!$P:$P,FALSE,Investors!$K:$K,"&gt;"&amp;'NSST Print'!$B$3,Investors!$I:$I,"&lt;="&amp;'NSST Print'!$B$3,Investors!$A:$A,'Investor Exit List'!$A466,Investors!$E:$E,'Investor Exit List'!$C466,Investors!$L:$L,'Investor Exit List'!$B466)-(SUMIFS(Investors!$M:$M,Investors!$I:$I,"&lt;="&amp;'NSST Print'!$B$3,Investors!$J:$J,"&gt;"&amp;'NSST Print'!$B$3,Investors!$A:$A,'Investor Exit List'!$A466,Investors!$E:$E,'Investor Exit List'!$C466,Investors!$L:$L,'Investor Exit List'!$B466)+SUMIFS(Investors!$M:$M,Investors!$I:$I,"&lt;="&amp;'NSST Print'!$B$3,Investors!$J:$J,"",Investors!$A:$A,'Investor Exit List'!$A466,Investors!$E:$E,'Investor Exit List'!$C466,Investors!$L:$L,'Investor Exit List'!$B466))+SUMIFS(Investors!$S:$S,Investors!$O:$O,FALSE,Investors!$P:$P,FALSE,Investors!$K:$K,"&gt;"&amp;'NSST Print'!$B$3,Investors!$I:$I,"&lt;="&amp;'NSST Print'!$B$3,Investors!$A:$A,'Investor Exit List'!$A466,Investors!$E:$E,'Investor Exit List'!$C466,Investors!$L:$L,'Investor Exit List'!$B466)-(SUMIFS(Investors!$S:$S,Investors!$I:$I,"&lt;="&amp;'NSST Print'!$B$3,Investors!$J:$J,"&gt;"&amp;'NSST Print'!$B$3,Investors!$A:$A,'Investor Exit List'!$A466,Investors!$E:$E,'Investor Exit List'!$C466,Investors!$L:$L,'Investor Exit List'!$B466)+SUMIFS(Investors!$S:$S,Investors!$I:$I,"&lt;="&amp;'NSST Print'!$B$3,Investors!$J:$J,"",Investors!$A:$A,'Investor Exit List'!$A466,Investors!$E:$E,'Investor Exit List'!$C466,Investors!$L:$L,'Investor Exit List'!$B466))</f>
        <v>1380047.9452054794</v>
      </c>
      <c r="R466" s="117">
        <f t="shared" si="89"/>
        <v>0</v>
      </c>
      <c r="S466" s="117">
        <f>SUMIFS(Investors!$M:$M,Investors!$O:$O,TRUE,Investors!$A:$A,'Investor Exit List'!$A466,Investors!$E:$E,'Investor Exit List'!$C466,Investors!$L:$L,'Investor Exit List'!$B466)+SUMIFS(Investors!$S:$S,Investors!$O:$O,TRUE,Investors!$A:$A,'Investor Exit List'!$A466,Investors!$E:$E,'Investor Exit List'!$C466,Investors!$L:$L,'Investor Exit List'!$B466)</f>
        <v>0</v>
      </c>
      <c r="T466" s="118" t="str">
        <f t="shared" si="90"/>
        <v/>
      </c>
      <c r="U466" s="116" t="b">
        <v>0</v>
      </c>
      <c r="V466" s="117">
        <f t="shared" si="91"/>
        <v>0</v>
      </c>
      <c r="W466" s="116">
        <v>0</v>
      </c>
      <c r="X466" s="116" t="b">
        <v>0</v>
      </c>
      <c r="Y466" s="119">
        <f>IF(H466=FALSE,VLOOKUP($C466,Sales!$C:$F,4,FALSE),1)</f>
        <v>0</v>
      </c>
      <c r="Z466" s="116" t="str">
        <f t="shared" si="92"/>
        <v>Release</v>
      </c>
      <c r="AA466" s="118">
        <f t="shared" si="93"/>
        <v>45837</v>
      </c>
      <c r="AB466" s="118" t="str">
        <f t="shared" si="94"/>
        <v>HVM104-ZDEB01</v>
      </c>
      <c r="AC466" s="118">
        <f t="shared" si="95"/>
        <v>45837</v>
      </c>
    </row>
    <row r="467" spans="1:29" ht="16" x14ac:dyDescent="0.2">
      <c r="A467" s="116" t="s">
        <v>366</v>
      </c>
      <c r="B467" s="116">
        <v>2</v>
      </c>
      <c r="C467" s="116" t="s">
        <v>815</v>
      </c>
      <c r="D467" s="116" t="s">
        <v>811</v>
      </c>
      <c r="E467" s="116" t="s">
        <v>2110</v>
      </c>
      <c r="F467" s="117">
        <f>SUMIFS(Investors!$M:$M,Investors!$O:$O,FALSE,Investors!$P:$P,FALSE,Investors!$K:$K,"&gt;"&amp;'NSST Print'!$B$3,Investors!$I:$I,"&lt;="&amp;'NSST Print'!$B$3,Investors!$A:$A,'Investor Exit List'!$A467,Investors!$E:$E,'Investor Exit List'!$C467,Investors!$L:$L,'Investor Exit List'!$B467)-(SUMIFS(Investors!$M:$M,Investors!$I:$I,"&lt;="&amp;'NSST Print'!$B$3,Investors!$J:$J,"&gt;"&amp;'NSST Print'!$B$3,Investors!$A:$A,'Investor Exit List'!$A467,Investors!$E:$E,'Investor Exit List'!$C467,Investors!$L:$L,'Investor Exit List'!$B467)+SUMIFS(Investors!$M:$M,Investors!$I:$I,"&lt;="&amp;'NSST Print'!$B$3,Investors!$J:$J,"",Investors!$A:$A,'Investor Exit List'!$A467,Investors!$E:$E,'Investor Exit List'!$C467,Investors!$L:$L,'Investor Exit List'!$B467))</f>
        <v>1100000</v>
      </c>
      <c r="G467" s="118">
        <v>45129</v>
      </c>
      <c r="H467" s="116" t="b">
        <f>VLOOKUP($C467,Sales!$C:$E,2,FALSE)</f>
        <v>0</v>
      </c>
      <c r="I467" s="116" t="b">
        <f>VLOOKUP($C467,Sales!$C:$E,3,FALSE)</f>
        <v>0</v>
      </c>
      <c r="J467" s="118">
        <f>SUMIFS(Sales!$H:$H,Sales!$C:$C,'Investor Exit List'!$C467)</f>
        <v>45583</v>
      </c>
      <c r="K467" s="118" t="str">
        <f t="shared" si="84"/>
        <v/>
      </c>
      <c r="L467" s="118">
        <f t="shared" si="85"/>
        <v>45859</v>
      </c>
      <c r="M467" s="118">
        <v>45443</v>
      </c>
      <c r="N467" s="119">
        <f t="shared" si="86"/>
        <v>416</v>
      </c>
      <c r="O467" s="119">
        <f t="shared" si="87"/>
        <v>0</v>
      </c>
      <c r="P467" s="117">
        <f t="shared" si="88"/>
        <v>0</v>
      </c>
      <c r="Q467" s="117">
        <f>SUMIFS(Investors!$M:$M,Investors!$O:$O,FALSE,Investors!$P:$P,FALSE,Investors!$K:$K,"&gt;"&amp;'NSST Print'!$B$3,Investors!$I:$I,"&lt;="&amp;'NSST Print'!$B$3,Investors!$A:$A,'Investor Exit List'!$A467,Investors!$E:$E,'Investor Exit List'!$C467,Investors!$L:$L,'Investor Exit List'!$B467)-(SUMIFS(Investors!$M:$M,Investors!$I:$I,"&lt;="&amp;'NSST Print'!$B$3,Investors!$J:$J,"&gt;"&amp;'NSST Print'!$B$3,Investors!$A:$A,'Investor Exit List'!$A467,Investors!$E:$E,'Investor Exit List'!$C467,Investors!$L:$L,'Investor Exit List'!$B467)+SUMIFS(Investors!$M:$M,Investors!$I:$I,"&lt;="&amp;'NSST Print'!$B$3,Investors!$J:$J,"",Investors!$A:$A,'Investor Exit List'!$A467,Investors!$E:$E,'Investor Exit List'!$C467,Investors!$L:$L,'Investor Exit List'!$B467))+SUMIFS(Investors!$S:$S,Investors!$O:$O,FALSE,Investors!$P:$P,FALSE,Investors!$K:$K,"&gt;"&amp;'NSST Print'!$B$3,Investors!$I:$I,"&lt;="&amp;'NSST Print'!$B$3,Investors!$A:$A,'Investor Exit List'!$A467,Investors!$E:$E,'Investor Exit List'!$C467,Investors!$L:$L,'Investor Exit List'!$B467)-(SUMIFS(Investors!$S:$S,Investors!$I:$I,"&lt;="&amp;'NSST Print'!$B$3,Investors!$J:$J,"&gt;"&amp;'NSST Print'!$B$3,Investors!$A:$A,'Investor Exit List'!$A467,Investors!$E:$E,'Investor Exit List'!$C467,Investors!$L:$L,'Investor Exit List'!$B467)+SUMIFS(Investors!$S:$S,Investors!$I:$I,"&lt;="&amp;'NSST Print'!$B$3,Investors!$J:$J,"",Investors!$A:$A,'Investor Exit List'!$A467,Investors!$E:$E,'Investor Exit List'!$C467,Investors!$L:$L,'Investor Exit List'!$B467))</f>
        <v>1369936.98630137</v>
      </c>
      <c r="R467" s="117">
        <f t="shared" si="89"/>
        <v>0</v>
      </c>
      <c r="S467" s="117">
        <f>SUMIFS(Investors!$M:$M,Investors!$O:$O,TRUE,Investors!$A:$A,'Investor Exit List'!$A467,Investors!$E:$E,'Investor Exit List'!$C467,Investors!$L:$L,'Investor Exit List'!$B467)+SUMIFS(Investors!$S:$S,Investors!$O:$O,TRUE,Investors!$A:$A,'Investor Exit List'!$A467,Investors!$E:$E,'Investor Exit List'!$C467,Investors!$L:$L,'Investor Exit List'!$B467)</f>
        <v>0</v>
      </c>
      <c r="T467" s="118" t="str">
        <f t="shared" si="90"/>
        <v/>
      </c>
      <c r="U467" s="116" t="b">
        <v>0</v>
      </c>
      <c r="V467" s="117">
        <f t="shared" si="91"/>
        <v>0</v>
      </c>
      <c r="W467" s="116">
        <v>0</v>
      </c>
      <c r="X467" s="116" t="b">
        <v>0</v>
      </c>
      <c r="Y467" s="119">
        <f>IF(H467=FALSE,VLOOKUP($C467,Sales!$C:$F,4,FALSE),1)</f>
        <v>0</v>
      </c>
      <c r="Z467" s="116" t="str">
        <f t="shared" si="92"/>
        <v>Release</v>
      </c>
      <c r="AA467" s="118">
        <f t="shared" si="93"/>
        <v>45859</v>
      </c>
      <c r="AB467" s="118" t="str">
        <f t="shared" si="94"/>
        <v>HVM201-ZGOF01</v>
      </c>
      <c r="AC467" s="118">
        <f t="shared" si="95"/>
        <v>45859</v>
      </c>
    </row>
    <row r="468" spans="1:29" ht="16" x14ac:dyDescent="0.2">
      <c r="A468" s="116" t="s">
        <v>326</v>
      </c>
      <c r="B468" s="116">
        <v>5</v>
      </c>
      <c r="C468" s="116" t="s">
        <v>816</v>
      </c>
      <c r="D468" s="116" t="s">
        <v>811</v>
      </c>
      <c r="E468" s="116" t="s">
        <v>2099</v>
      </c>
      <c r="F468" s="117">
        <f>SUMIFS(Investors!$M:$M,Investors!$O:$O,FALSE,Investors!$P:$P,FALSE,Investors!$K:$K,"&gt;"&amp;'NSST Print'!$B$3,Investors!$I:$I,"&lt;="&amp;'NSST Print'!$B$3,Investors!$A:$A,'Investor Exit List'!$A468,Investors!$E:$E,'Investor Exit List'!$C468,Investors!$L:$L,'Investor Exit List'!$B468)-(SUMIFS(Investors!$M:$M,Investors!$I:$I,"&lt;="&amp;'NSST Print'!$B$3,Investors!$J:$J,"&gt;"&amp;'NSST Print'!$B$3,Investors!$A:$A,'Investor Exit List'!$A468,Investors!$E:$E,'Investor Exit List'!$C468,Investors!$L:$L,'Investor Exit List'!$B468)+SUMIFS(Investors!$M:$M,Investors!$I:$I,"&lt;="&amp;'NSST Print'!$B$3,Investors!$J:$J,"",Investors!$A:$A,'Investor Exit List'!$A468,Investors!$E:$E,'Investor Exit List'!$C468,Investors!$L:$L,'Investor Exit List'!$B468))</f>
        <v>1100000</v>
      </c>
      <c r="G468" s="118">
        <v>45129</v>
      </c>
      <c r="H468" s="116" t="b">
        <f>VLOOKUP($C468,Sales!$C:$E,2,FALSE)</f>
        <v>0</v>
      </c>
      <c r="I468" s="116" t="b">
        <f>VLOOKUP($C468,Sales!$C:$E,3,FALSE)</f>
        <v>0</v>
      </c>
      <c r="J468" s="118">
        <f>SUMIFS(Sales!$H:$H,Sales!$C:$C,'Investor Exit List'!$C468)</f>
        <v>45583</v>
      </c>
      <c r="K468" s="118" t="str">
        <f t="shared" si="84"/>
        <v/>
      </c>
      <c r="L468" s="118">
        <f t="shared" si="85"/>
        <v>45859</v>
      </c>
      <c r="M468" s="118">
        <v>45443</v>
      </c>
      <c r="N468" s="119">
        <f t="shared" si="86"/>
        <v>416</v>
      </c>
      <c r="O468" s="119">
        <f t="shared" si="87"/>
        <v>0</v>
      </c>
      <c r="P468" s="117">
        <f t="shared" si="88"/>
        <v>0</v>
      </c>
      <c r="Q468" s="117">
        <f>SUMIFS(Investors!$M:$M,Investors!$O:$O,FALSE,Investors!$P:$P,FALSE,Investors!$K:$K,"&gt;"&amp;'NSST Print'!$B$3,Investors!$I:$I,"&lt;="&amp;'NSST Print'!$B$3,Investors!$A:$A,'Investor Exit List'!$A468,Investors!$E:$E,'Investor Exit List'!$C468,Investors!$L:$L,'Investor Exit List'!$B468)-(SUMIFS(Investors!$M:$M,Investors!$I:$I,"&lt;="&amp;'NSST Print'!$B$3,Investors!$J:$J,"&gt;"&amp;'NSST Print'!$B$3,Investors!$A:$A,'Investor Exit List'!$A468,Investors!$E:$E,'Investor Exit List'!$C468,Investors!$L:$L,'Investor Exit List'!$B468)+SUMIFS(Investors!$M:$M,Investors!$I:$I,"&lt;="&amp;'NSST Print'!$B$3,Investors!$J:$J,"",Investors!$A:$A,'Investor Exit List'!$A468,Investors!$E:$E,'Investor Exit List'!$C468,Investors!$L:$L,'Investor Exit List'!$B468))+SUMIFS(Investors!$S:$S,Investors!$O:$O,FALSE,Investors!$P:$P,FALSE,Investors!$K:$K,"&gt;"&amp;'NSST Print'!$B$3,Investors!$I:$I,"&lt;="&amp;'NSST Print'!$B$3,Investors!$A:$A,'Investor Exit List'!$A468,Investors!$E:$E,'Investor Exit List'!$C468,Investors!$L:$L,'Investor Exit List'!$B468)-(SUMIFS(Investors!$S:$S,Investors!$I:$I,"&lt;="&amp;'NSST Print'!$B$3,Investors!$J:$J,"&gt;"&amp;'NSST Print'!$B$3,Investors!$A:$A,'Investor Exit List'!$A468,Investors!$E:$E,'Investor Exit List'!$C468,Investors!$L:$L,'Investor Exit List'!$B468)+SUMIFS(Investors!$S:$S,Investors!$I:$I,"&lt;="&amp;'NSST Print'!$B$3,Investors!$J:$J,"",Investors!$A:$A,'Investor Exit List'!$A468,Investors!$E:$E,'Investor Exit List'!$C468,Investors!$L:$L,'Investor Exit List'!$B468))</f>
        <v>1369620.5479452056</v>
      </c>
      <c r="R468" s="117">
        <f t="shared" si="89"/>
        <v>0</v>
      </c>
      <c r="S468" s="117">
        <f>SUMIFS(Investors!$M:$M,Investors!$O:$O,TRUE,Investors!$A:$A,'Investor Exit List'!$A468,Investors!$E:$E,'Investor Exit List'!$C468,Investors!$L:$L,'Investor Exit List'!$B468)+SUMIFS(Investors!$S:$S,Investors!$O:$O,TRUE,Investors!$A:$A,'Investor Exit List'!$A468,Investors!$E:$E,'Investor Exit List'!$C468,Investors!$L:$L,'Investor Exit List'!$B468)</f>
        <v>0</v>
      </c>
      <c r="T468" s="118" t="str">
        <f t="shared" si="90"/>
        <v/>
      </c>
      <c r="U468" s="116" t="b">
        <v>0</v>
      </c>
      <c r="V468" s="117">
        <f t="shared" si="91"/>
        <v>0</v>
      </c>
      <c r="W468" s="116">
        <v>0</v>
      </c>
      <c r="X468" s="116" t="b">
        <v>0</v>
      </c>
      <c r="Y468" s="119">
        <f>IF(H468=FALSE,VLOOKUP($C468,Sales!$C:$F,4,FALSE),1)</f>
        <v>0</v>
      </c>
      <c r="Z468" s="116" t="str">
        <f t="shared" si="92"/>
        <v>Release</v>
      </c>
      <c r="AA468" s="118">
        <f t="shared" si="93"/>
        <v>45859</v>
      </c>
      <c r="AB468" s="118" t="str">
        <f t="shared" si="94"/>
        <v>HVM202-ZAFR01</v>
      </c>
      <c r="AC468" s="118">
        <f t="shared" si="95"/>
        <v>45859</v>
      </c>
    </row>
    <row r="469" spans="1:29" ht="16" x14ac:dyDescent="0.2">
      <c r="A469" s="116" t="s">
        <v>179</v>
      </c>
      <c r="B469" s="116">
        <v>4</v>
      </c>
      <c r="C469" s="116" t="s">
        <v>817</v>
      </c>
      <c r="D469" s="116" t="s">
        <v>811</v>
      </c>
      <c r="E469" s="116" t="s">
        <v>2056</v>
      </c>
      <c r="F469" s="117">
        <f>SUMIFS(Investors!$M:$M,Investors!$O:$O,FALSE,Investors!$P:$P,FALSE,Investors!$K:$K,"&gt;"&amp;'NSST Print'!$B$3,Investors!$I:$I,"&lt;="&amp;'NSST Print'!$B$3,Investors!$A:$A,'Investor Exit List'!$A469,Investors!$E:$E,'Investor Exit List'!$C469,Investors!$L:$L,'Investor Exit List'!$B469)-(SUMIFS(Investors!$M:$M,Investors!$I:$I,"&lt;="&amp;'NSST Print'!$B$3,Investors!$J:$J,"&gt;"&amp;'NSST Print'!$B$3,Investors!$A:$A,'Investor Exit List'!$A469,Investors!$E:$E,'Investor Exit List'!$C469,Investors!$L:$L,'Investor Exit List'!$B469)+SUMIFS(Investors!$M:$M,Investors!$I:$I,"&lt;="&amp;'NSST Print'!$B$3,Investors!$J:$J,"",Investors!$A:$A,'Investor Exit List'!$A469,Investors!$E:$E,'Investor Exit List'!$C469,Investors!$L:$L,'Investor Exit List'!$B469))</f>
        <v>1100000</v>
      </c>
      <c r="G469" s="118">
        <v>45129</v>
      </c>
      <c r="H469" s="116" t="b">
        <f>VLOOKUP($C469,Sales!$C:$E,2,FALSE)</f>
        <v>0</v>
      </c>
      <c r="I469" s="116" t="b">
        <f>VLOOKUP($C469,Sales!$C:$E,3,FALSE)</f>
        <v>0</v>
      </c>
      <c r="J469" s="118">
        <f>SUMIFS(Sales!$H:$H,Sales!$C:$C,'Investor Exit List'!$C469)</f>
        <v>45583</v>
      </c>
      <c r="K469" s="118" t="str">
        <f t="shared" si="84"/>
        <v/>
      </c>
      <c r="L469" s="118">
        <f t="shared" si="85"/>
        <v>45859</v>
      </c>
      <c r="M469" s="118">
        <v>45443</v>
      </c>
      <c r="N469" s="119">
        <f t="shared" si="86"/>
        <v>416</v>
      </c>
      <c r="O469" s="119">
        <f t="shared" si="87"/>
        <v>0</v>
      </c>
      <c r="P469" s="117">
        <f t="shared" si="88"/>
        <v>0</v>
      </c>
      <c r="Q469" s="117">
        <f>SUMIFS(Investors!$M:$M,Investors!$O:$O,FALSE,Investors!$P:$P,FALSE,Investors!$K:$K,"&gt;"&amp;'NSST Print'!$B$3,Investors!$I:$I,"&lt;="&amp;'NSST Print'!$B$3,Investors!$A:$A,'Investor Exit List'!$A469,Investors!$E:$E,'Investor Exit List'!$C469,Investors!$L:$L,'Investor Exit List'!$B469)-(SUMIFS(Investors!$M:$M,Investors!$I:$I,"&lt;="&amp;'NSST Print'!$B$3,Investors!$J:$J,"&gt;"&amp;'NSST Print'!$B$3,Investors!$A:$A,'Investor Exit List'!$A469,Investors!$E:$E,'Investor Exit List'!$C469,Investors!$L:$L,'Investor Exit List'!$B469)+SUMIFS(Investors!$M:$M,Investors!$I:$I,"&lt;="&amp;'NSST Print'!$B$3,Investors!$J:$J,"",Investors!$A:$A,'Investor Exit List'!$A469,Investors!$E:$E,'Investor Exit List'!$C469,Investors!$L:$L,'Investor Exit List'!$B469))+SUMIFS(Investors!$S:$S,Investors!$O:$O,FALSE,Investors!$P:$P,FALSE,Investors!$K:$K,"&gt;"&amp;'NSST Print'!$B$3,Investors!$I:$I,"&lt;="&amp;'NSST Print'!$B$3,Investors!$A:$A,'Investor Exit List'!$A469,Investors!$E:$E,'Investor Exit List'!$C469,Investors!$L:$L,'Investor Exit List'!$B469)-(SUMIFS(Investors!$S:$S,Investors!$I:$I,"&lt;="&amp;'NSST Print'!$B$3,Investors!$J:$J,"&gt;"&amp;'NSST Print'!$B$3,Investors!$A:$A,'Investor Exit List'!$A469,Investors!$E:$E,'Investor Exit List'!$C469,Investors!$L:$L,'Investor Exit List'!$B469)+SUMIFS(Investors!$S:$S,Investors!$I:$I,"&lt;="&amp;'NSST Print'!$B$3,Investors!$J:$J,"",Investors!$A:$A,'Investor Exit List'!$A469,Investors!$E:$E,'Investor Exit List'!$C469,Investors!$L:$L,'Investor Exit List'!$B469))</f>
        <v>1367405.4794520547</v>
      </c>
      <c r="R469" s="117">
        <f t="shared" si="89"/>
        <v>0</v>
      </c>
      <c r="S469" s="117">
        <f>SUMIFS(Investors!$M:$M,Investors!$O:$O,TRUE,Investors!$A:$A,'Investor Exit List'!$A469,Investors!$E:$E,'Investor Exit List'!$C469,Investors!$L:$L,'Investor Exit List'!$B469)+SUMIFS(Investors!$S:$S,Investors!$O:$O,TRUE,Investors!$A:$A,'Investor Exit List'!$A469,Investors!$E:$E,'Investor Exit List'!$C469,Investors!$L:$L,'Investor Exit List'!$B469)</f>
        <v>0</v>
      </c>
      <c r="T469" s="118" t="str">
        <f t="shared" si="90"/>
        <v/>
      </c>
      <c r="U469" s="116" t="b">
        <v>0</v>
      </c>
      <c r="V469" s="117">
        <f t="shared" si="91"/>
        <v>0</v>
      </c>
      <c r="W469" s="116">
        <v>0</v>
      </c>
      <c r="X469" s="116" t="b">
        <v>0</v>
      </c>
      <c r="Y469" s="119">
        <f>IF(H469=FALSE,VLOOKUP($C469,Sales!$C:$F,4,FALSE),1)</f>
        <v>0</v>
      </c>
      <c r="Z469" s="116" t="str">
        <f t="shared" si="92"/>
        <v>Release</v>
      </c>
      <c r="AA469" s="118">
        <f t="shared" si="93"/>
        <v>45859</v>
      </c>
      <c r="AB469" s="118" t="str">
        <f t="shared" si="94"/>
        <v>HVM203-ZPED01</v>
      </c>
      <c r="AC469" s="118">
        <f t="shared" si="95"/>
        <v>45859</v>
      </c>
    </row>
    <row r="470" spans="1:29" ht="16" x14ac:dyDescent="0.2">
      <c r="A470" s="116" t="s">
        <v>78</v>
      </c>
      <c r="B470" s="116">
        <v>5</v>
      </c>
      <c r="C470" s="116" t="s">
        <v>818</v>
      </c>
      <c r="D470" s="116" t="s">
        <v>811</v>
      </c>
      <c r="E470" s="116" t="s">
        <v>2025</v>
      </c>
      <c r="F470" s="117">
        <f>SUMIFS(Investors!$M:$M,Investors!$O:$O,FALSE,Investors!$P:$P,FALSE,Investors!$K:$K,"&gt;"&amp;'NSST Print'!$B$3,Investors!$I:$I,"&lt;="&amp;'NSST Print'!$B$3,Investors!$A:$A,'Investor Exit List'!$A470,Investors!$E:$E,'Investor Exit List'!$C470,Investors!$L:$L,'Investor Exit List'!$B470)-(SUMIFS(Investors!$M:$M,Investors!$I:$I,"&lt;="&amp;'NSST Print'!$B$3,Investors!$J:$J,"&gt;"&amp;'NSST Print'!$B$3,Investors!$A:$A,'Investor Exit List'!$A470,Investors!$E:$E,'Investor Exit List'!$C470,Investors!$L:$L,'Investor Exit List'!$B470)+SUMIFS(Investors!$M:$M,Investors!$I:$I,"&lt;="&amp;'NSST Print'!$B$3,Investors!$J:$J,"",Investors!$A:$A,'Investor Exit List'!$A470,Investors!$E:$E,'Investor Exit List'!$C470,Investors!$L:$L,'Investor Exit List'!$B470))</f>
        <v>200000</v>
      </c>
      <c r="G470" s="118">
        <v>45129</v>
      </c>
      <c r="H470" s="116" t="b">
        <f>VLOOKUP($C470,Sales!$C:$E,2,FALSE)</f>
        <v>0</v>
      </c>
      <c r="I470" s="116" t="b">
        <f>VLOOKUP($C470,Sales!$C:$E,3,FALSE)</f>
        <v>0</v>
      </c>
      <c r="J470" s="118">
        <f>SUMIFS(Sales!$H:$H,Sales!$C:$C,'Investor Exit List'!$C470)</f>
        <v>45583</v>
      </c>
      <c r="K470" s="118" t="str">
        <f t="shared" si="84"/>
        <v/>
      </c>
      <c r="L470" s="118">
        <f t="shared" si="85"/>
        <v>45859</v>
      </c>
      <c r="M470" s="118">
        <v>45443</v>
      </c>
      <c r="N470" s="119">
        <f t="shared" si="86"/>
        <v>416</v>
      </c>
      <c r="O470" s="119">
        <f t="shared" si="87"/>
        <v>0</v>
      </c>
      <c r="P470" s="117">
        <f t="shared" si="88"/>
        <v>0</v>
      </c>
      <c r="Q470" s="117">
        <f>SUMIFS(Investors!$M:$M,Investors!$O:$O,FALSE,Investors!$P:$P,FALSE,Investors!$K:$K,"&gt;"&amp;'NSST Print'!$B$3,Investors!$I:$I,"&lt;="&amp;'NSST Print'!$B$3,Investors!$A:$A,'Investor Exit List'!$A470,Investors!$E:$E,'Investor Exit List'!$C470,Investors!$L:$L,'Investor Exit List'!$B470)-(SUMIFS(Investors!$M:$M,Investors!$I:$I,"&lt;="&amp;'NSST Print'!$B$3,Investors!$J:$J,"&gt;"&amp;'NSST Print'!$B$3,Investors!$A:$A,'Investor Exit List'!$A470,Investors!$E:$E,'Investor Exit List'!$C470,Investors!$L:$L,'Investor Exit List'!$B470)+SUMIFS(Investors!$M:$M,Investors!$I:$I,"&lt;="&amp;'NSST Print'!$B$3,Investors!$J:$J,"",Investors!$A:$A,'Investor Exit List'!$A470,Investors!$E:$E,'Investor Exit List'!$C470,Investors!$L:$L,'Investor Exit List'!$B470))+SUMIFS(Investors!$S:$S,Investors!$O:$O,FALSE,Investors!$P:$P,FALSE,Investors!$K:$K,"&gt;"&amp;'NSST Print'!$B$3,Investors!$I:$I,"&lt;="&amp;'NSST Print'!$B$3,Investors!$A:$A,'Investor Exit List'!$A470,Investors!$E:$E,'Investor Exit List'!$C470,Investors!$L:$L,'Investor Exit List'!$B470)-(SUMIFS(Investors!$S:$S,Investors!$I:$I,"&lt;="&amp;'NSST Print'!$B$3,Investors!$J:$J,"&gt;"&amp;'NSST Print'!$B$3,Investors!$A:$A,'Investor Exit List'!$A470,Investors!$E:$E,'Investor Exit List'!$C470,Investors!$L:$L,'Investor Exit List'!$B470)+SUMIFS(Investors!$S:$S,Investors!$I:$I,"&lt;="&amp;'NSST Print'!$B$3,Investors!$J:$J,"",Investors!$A:$A,'Investor Exit List'!$A470,Investors!$E:$E,'Investor Exit List'!$C470,Investors!$L:$L,'Investor Exit List'!$B470))</f>
        <v>247756.16438356164</v>
      </c>
      <c r="R470" s="117">
        <f t="shared" si="89"/>
        <v>0</v>
      </c>
      <c r="S470" s="117">
        <f>SUMIFS(Investors!$M:$M,Investors!$O:$O,TRUE,Investors!$A:$A,'Investor Exit List'!$A470,Investors!$E:$E,'Investor Exit List'!$C470,Investors!$L:$L,'Investor Exit List'!$B470)+SUMIFS(Investors!$S:$S,Investors!$O:$O,TRUE,Investors!$A:$A,'Investor Exit List'!$A470,Investors!$E:$E,'Investor Exit List'!$C470,Investors!$L:$L,'Investor Exit List'!$B470)</f>
        <v>0</v>
      </c>
      <c r="T470" s="118" t="str">
        <f t="shared" si="90"/>
        <v/>
      </c>
      <c r="U470" s="116" t="b">
        <v>0</v>
      </c>
      <c r="V470" s="117">
        <f t="shared" si="91"/>
        <v>0</v>
      </c>
      <c r="W470" s="116">
        <v>0</v>
      </c>
      <c r="X470" s="116" t="b">
        <v>0</v>
      </c>
      <c r="Y470" s="119">
        <f>IF(H470=FALSE,VLOOKUP($C470,Sales!$C:$F,4,FALSE),1)</f>
        <v>0</v>
      </c>
      <c r="Z470" s="116" t="str">
        <f t="shared" si="92"/>
        <v>Release</v>
      </c>
      <c r="AA470" s="118">
        <f t="shared" si="93"/>
        <v>45859</v>
      </c>
      <c r="AB470" s="118" t="str">
        <f t="shared" si="94"/>
        <v>HVM204-ZDAD01</v>
      </c>
      <c r="AC470" s="118">
        <f t="shared" si="95"/>
        <v>45859</v>
      </c>
    </row>
    <row r="471" spans="1:29" ht="16" x14ac:dyDescent="0.2">
      <c r="A471" s="116" t="s">
        <v>819</v>
      </c>
      <c r="B471" s="116">
        <v>2</v>
      </c>
      <c r="C471" s="116" t="s">
        <v>818</v>
      </c>
      <c r="D471" s="116" t="s">
        <v>811</v>
      </c>
      <c r="E471" s="116" t="s">
        <v>2216</v>
      </c>
      <c r="F471" s="117">
        <f>SUMIFS(Investors!$M:$M,Investors!$O:$O,FALSE,Investors!$P:$P,FALSE,Investors!$K:$K,"&gt;"&amp;'NSST Print'!$B$3,Investors!$I:$I,"&lt;="&amp;'NSST Print'!$B$3,Investors!$A:$A,'Investor Exit List'!$A471,Investors!$E:$E,'Investor Exit List'!$C471,Investors!$L:$L,'Investor Exit List'!$B471)-(SUMIFS(Investors!$M:$M,Investors!$I:$I,"&lt;="&amp;'NSST Print'!$B$3,Investors!$J:$J,"&gt;"&amp;'NSST Print'!$B$3,Investors!$A:$A,'Investor Exit List'!$A471,Investors!$E:$E,'Investor Exit List'!$C471,Investors!$L:$L,'Investor Exit List'!$B471)+SUMIFS(Investors!$M:$M,Investors!$I:$I,"&lt;="&amp;'NSST Print'!$B$3,Investors!$J:$J,"",Investors!$A:$A,'Investor Exit List'!$A471,Investors!$E:$E,'Investor Exit List'!$C471,Investors!$L:$L,'Investor Exit List'!$B471))</f>
        <v>900000</v>
      </c>
      <c r="G471" s="118">
        <v>45168</v>
      </c>
      <c r="H471" s="116" t="b">
        <f>VLOOKUP($C471,Sales!$C:$E,2,FALSE)</f>
        <v>0</v>
      </c>
      <c r="I471" s="116" t="b">
        <f>VLOOKUP($C471,Sales!$C:$E,3,FALSE)</f>
        <v>0</v>
      </c>
      <c r="J471" s="118">
        <f>SUMIFS(Sales!$H:$H,Sales!$C:$C,'Investor Exit List'!$C471)</f>
        <v>45583</v>
      </c>
      <c r="K471" s="118" t="str">
        <f t="shared" si="84"/>
        <v/>
      </c>
      <c r="L471" s="118">
        <f t="shared" si="85"/>
        <v>45898</v>
      </c>
      <c r="M471" s="118">
        <v>45443</v>
      </c>
      <c r="N471" s="119">
        <f t="shared" si="86"/>
        <v>455</v>
      </c>
      <c r="O471" s="119">
        <f t="shared" si="87"/>
        <v>0</v>
      </c>
      <c r="P471" s="117">
        <f t="shared" si="88"/>
        <v>0</v>
      </c>
      <c r="Q471" s="117">
        <f>SUMIFS(Investors!$M:$M,Investors!$O:$O,FALSE,Investors!$P:$P,FALSE,Investors!$K:$K,"&gt;"&amp;'NSST Print'!$B$3,Investors!$I:$I,"&lt;="&amp;'NSST Print'!$B$3,Investors!$A:$A,'Investor Exit List'!$A471,Investors!$E:$E,'Investor Exit List'!$C471,Investors!$L:$L,'Investor Exit List'!$B471)-(SUMIFS(Investors!$M:$M,Investors!$I:$I,"&lt;="&amp;'NSST Print'!$B$3,Investors!$J:$J,"&gt;"&amp;'NSST Print'!$B$3,Investors!$A:$A,'Investor Exit List'!$A471,Investors!$E:$E,'Investor Exit List'!$C471,Investors!$L:$L,'Investor Exit List'!$B471)+SUMIFS(Investors!$M:$M,Investors!$I:$I,"&lt;="&amp;'NSST Print'!$B$3,Investors!$J:$J,"",Investors!$A:$A,'Investor Exit List'!$A471,Investors!$E:$E,'Investor Exit List'!$C471,Investors!$L:$L,'Investor Exit List'!$B471))+SUMIFS(Investors!$S:$S,Investors!$O:$O,FALSE,Investors!$P:$P,FALSE,Investors!$K:$K,"&gt;"&amp;'NSST Print'!$B$3,Investors!$I:$I,"&lt;="&amp;'NSST Print'!$B$3,Investors!$A:$A,'Investor Exit List'!$A471,Investors!$E:$E,'Investor Exit List'!$C471,Investors!$L:$L,'Investor Exit List'!$B471)-(SUMIFS(Investors!$S:$S,Investors!$I:$I,"&lt;="&amp;'NSST Print'!$B$3,Investors!$J:$J,"&gt;"&amp;'NSST Print'!$B$3,Investors!$A:$A,'Investor Exit List'!$A471,Investors!$E:$E,'Investor Exit List'!$C471,Investors!$L:$L,'Investor Exit List'!$B471)+SUMIFS(Investors!$S:$S,Investors!$I:$I,"&lt;="&amp;'NSST Print'!$B$3,Investors!$J:$J,"",Investors!$A:$A,'Investor Exit List'!$A471,Investors!$E:$E,'Investor Exit List'!$C471,Investors!$L:$L,'Investor Exit List'!$B471))</f>
        <v>1091120.5479452054</v>
      </c>
      <c r="R471" s="117">
        <f t="shared" si="89"/>
        <v>0</v>
      </c>
      <c r="S471" s="117">
        <f>SUMIFS(Investors!$M:$M,Investors!$O:$O,TRUE,Investors!$A:$A,'Investor Exit List'!$A471,Investors!$E:$E,'Investor Exit List'!$C471,Investors!$L:$L,'Investor Exit List'!$B471)+SUMIFS(Investors!$S:$S,Investors!$O:$O,TRUE,Investors!$A:$A,'Investor Exit List'!$A471,Investors!$E:$E,'Investor Exit List'!$C471,Investors!$L:$L,'Investor Exit List'!$B471)</f>
        <v>0</v>
      </c>
      <c r="T471" s="118" t="str">
        <f t="shared" si="90"/>
        <v/>
      </c>
      <c r="U471" s="116" t="b">
        <v>0</v>
      </c>
      <c r="V471" s="117">
        <f t="shared" si="91"/>
        <v>0</v>
      </c>
      <c r="W471" s="116">
        <v>0</v>
      </c>
      <c r="X471" s="116" t="b">
        <v>0</v>
      </c>
      <c r="Y471" s="119">
        <f>IF(H471=FALSE,VLOOKUP($C471,Sales!$C:$F,4,FALSE),1)</f>
        <v>0</v>
      </c>
      <c r="Z471" s="116" t="str">
        <f t="shared" si="92"/>
        <v>Release</v>
      </c>
      <c r="AA471" s="118">
        <f t="shared" si="93"/>
        <v>45859</v>
      </c>
      <c r="AB471" s="118" t="str">
        <f t="shared" si="94"/>
        <v>HVM204-ZKRI03</v>
      </c>
      <c r="AC471" s="118">
        <f t="shared" si="95"/>
        <v>45898</v>
      </c>
    </row>
    <row r="472" spans="1:29" ht="16" x14ac:dyDescent="0.2">
      <c r="A472" s="116" t="s">
        <v>530</v>
      </c>
      <c r="B472" s="116">
        <v>1</v>
      </c>
      <c r="C472" s="116" t="s">
        <v>821</v>
      </c>
      <c r="D472" s="116" t="s">
        <v>822</v>
      </c>
      <c r="E472" s="116" t="s">
        <v>2156</v>
      </c>
      <c r="F472" s="117">
        <f>SUMIFS(Investors!$M:$M,Investors!$O:$O,FALSE,Investors!$P:$P,FALSE,Investors!$K:$K,"&gt;"&amp;'NSST Print'!$B$3,Investors!$I:$I,"&lt;="&amp;'NSST Print'!$B$3,Investors!$A:$A,'Investor Exit List'!$A472,Investors!$E:$E,'Investor Exit List'!$C472,Investors!$L:$L,'Investor Exit List'!$B472)-(SUMIFS(Investors!$M:$M,Investors!$I:$I,"&lt;="&amp;'NSST Print'!$B$3,Investors!$J:$J,"&gt;"&amp;'NSST Print'!$B$3,Investors!$A:$A,'Investor Exit List'!$A472,Investors!$E:$E,'Investor Exit List'!$C472,Investors!$L:$L,'Investor Exit List'!$B472)+SUMIFS(Investors!$M:$M,Investors!$I:$I,"&lt;="&amp;'NSST Print'!$B$3,Investors!$J:$J,"",Investors!$A:$A,'Investor Exit List'!$A472,Investors!$E:$E,'Investor Exit List'!$C472,Investors!$L:$L,'Investor Exit List'!$B472))</f>
        <v>0</v>
      </c>
      <c r="G472" s="118">
        <v>44783</v>
      </c>
      <c r="H472" s="116" t="b">
        <f>VLOOKUP($C472,Sales!$C:$E,2,FALSE)</f>
        <v>1</v>
      </c>
      <c r="I472" s="116" t="b">
        <f>VLOOKUP($C472,Sales!$C:$E,3,FALSE)</f>
        <v>1</v>
      </c>
      <c r="J472" s="118">
        <f>SUMIFS(Sales!$H:$H,Sales!$C:$C,'Investor Exit List'!$C472)</f>
        <v>45688</v>
      </c>
      <c r="K472" s="118">
        <f t="shared" si="84"/>
        <v>45688</v>
      </c>
      <c r="L472" s="118">
        <f t="shared" si="85"/>
        <v>45513</v>
      </c>
      <c r="M472" s="118">
        <v>45443</v>
      </c>
      <c r="N472" s="119">
        <f t="shared" si="86"/>
        <v>0</v>
      </c>
      <c r="O472" s="119">
        <f t="shared" si="87"/>
        <v>0</v>
      </c>
      <c r="P472" s="117">
        <f t="shared" si="88"/>
        <v>0</v>
      </c>
      <c r="Q472" s="117">
        <f>SUMIFS(Investors!$M:$M,Investors!$O:$O,FALSE,Investors!$P:$P,FALSE,Investors!$K:$K,"&gt;"&amp;'NSST Print'!$B$3,Investors!$I:$I,"&lt;="&amp;'NSST Print'!$B$3,Investors!$A:$A,'Investor Exit List'!$A472,Investors!$E:$E,'Investor Exit List'!$C472,Investors!$L:$L,'Investor Exit List'!$B472)-(SUMIFS(Investors!$M:$M,Investors!$I:$I,"&lt;="&amp;'NSST Print'!$B$3,Investors!$J:$J,"&gt;"&amp;'NSST Print'!$B$3,Investors!$A:$A,'Investor Exit List'!$A472,Investors!$E:$E,'Investor Exit List'!$C472,Investors!$L:$L,'Investor Exit List'!$B472)+SUMIFS(Investors!$M:$M,Investors!$I:$I,"&lt;="&amp;'NSST Print'!$B$3,Investors!$J:$J,"",Investors!$A:$A,'Investor Exit List'!$A472,Investors!$E:$E,'Investor Exit List'!$C472,Investors!$L:$L,'Investor Exit List'!$B472))+SUMIFS(Investors!$S:$S,Investors!$O:$O,FALSE,Investors!$P:$P,FALSE,Investors!$K:$K,"&gt;"&amp;'NSST Print'!$B$3,Investors!$I:$I,"&lt;="&amp;'NSST Print'!$B$3,Investors!$A:$A,'Investor Exit List'!$A472,Investors!$E:$E,'Investor Exit List'!$C472,Investors!$L:$L,'Investor Exit List'!$B472)-(SUMIFS(Investors!$S:$S,Investors!$I:$I,"&lt;="&amp;'NSST Print'!$B$3,Investors!$J:$J,"&gt;"&amp;'NSST Print'!$B$3,Investors!$A:$A,'Investor Exit List'!$A472,Investors!$E:$E,'Investor Exit List'!$C472,Investors!$L:$L,'Investor Exit List'!$B472)+SUMIFS(Investors!$S:$S,Investors!$I:$I,"&lt;="&amp;'NSST Print'!$B$3,Investors!$J:$J,"",Investors!$A:$A,'Investor Exit List'!$A472,Investors!$E:$E,'Investor Exit List'!$C472,Investors!$L:$L,'Investor Exit List'!$B472))</f>
        <v>0</v>
      </c>
      <c r="R472" s="117">
        <f t="shared" si="89"/>
        <v>0</v>
      </c>
      <c r="S472" s="117">
        <f>SUMIFS(Investors!$M:$M,Investors!$O:$O,TRUE,Investors!$A:$A,'Investor Exit List'!$A472,Investors!$E:$E,'Investor Exit List'!$C472,Investors!$L:$L,'Investor Exit List'!$B472)+SUMIFS(Investors!$S:$S,Investors!$O:$O,TRUE,Investors!$A:$A,'Investor Exit List'!$A472,Investors!$E:$E,'Investor Exit List'!$C472,Investors!$L:$L,'Investor Exit List'!$B472)</f>
        <v>0</v>
      </c>
      <c r="T472" s="118" t="str">
        <f t="shared" si="90"/>
        <v/>
      </c>
      <c r="U472" s="116" t="b">
        <v>0</v>
      </c>
      <c r="V472" s="117">
        <f t="shared" si="91"/>
        <v>0</v>
      </c>
      <c r="W472" s="116">
        <v>0</v>
      </c>
      <c r="X472" s="116" t="b">
        <v>0</v>
      </c>
      <c r="Y472" s="119">
        <f>IF(H472=FALSE,VLOOKUP($C472,Sales!$C:$F,4,FALSE),1)</f>
        <v>1</v>
      </c>
      <c r="Z472" s="116" t="str">
        <f t="shared" si="92"/>
        <v/>
      </c>
      <c r="AA472" s="118">
        <f t="shared" si="93"/>
        <v>0</v>
      </c>
      <c r="AB472" s="118" t="str">
        <f t="shared" si="94"/>
        <v>HVN101-ZFER01</v>
      </c>
      <c r="AC472" s="118">
        <f t="shared" si="95"/>
        <v>45513</v>
      </c>
    </row>
    <row r="473" spans="1:29" ht="16" x14ac:dyDescent="0.2">
      <c r="A473" s="116" t="s">
        <v>823</v>
      </c>
      <c r="B473" s="116">
        <v>1</v>
      </c>
      <c r="C473" s="116" t="s">
        <v>821</v>
      </c>
      <c r="D473" s="116" t="s">
        <v>822</v>
      </c>
      <c r="E473" s="116" t="s">
        <v>2217</v>
      </c>
      <c r="F473" s="117">
        <f>SUMIFS(Investors!$M:$M,Investors!$O:$O,FALSE,Investors!$P:$P,FALSE,Investors!$K:$K,"&gt;"&amp;'NSST Print'!$B$3,Investors!$I:$I,"&lt;="&amp;'NSST Print'!$B$3,Investors!$A:$A,'Investor Exit List'!$A473,Investors!$E:$E,'Investor Exit List'!$C473,Investors!$L:$L,'Investor Exit List'!$B473)-(SUMIFS(Investors!$M:$M,Investors!$I:$I,"&lt;="&amp;'NSST Print'!$B$3,Investors!$J:$J,"&gt;"&amp;'NSST Print'!$B$3,Investors!$A:$A,'Investor Exit List'!$A473,Investors!$E:$E,'Investor Exit List'!$C473,Investors!$L:$L,'Investor Exit List'!$B473)+SUMIFS(Investors!$M:$M,Investors!$I:$I,"&lt;="&amp;'NSST Print'!$B$3,Investors!$J:$J,"",Investors!$A:$A,'Investor Exit List'!$A473,Investors!$E:$E,'Investor Exit List'!$C473,Investors!$L:$L,'Investor Exit List'!$B473))</f>
        <v>0</v>
      </c>
      <c r="G473" s="118">
        <v>44783</v>
      </c>
      <c r="H473" s="116" t="b">
        <f>VLOOKUP($C473,Sales!$C:$E,2,FALSE)</f>
        <v>1</v>
      </c>
      <c r="I473" s="116" t="b">
        <f>VLOOKUP($C473,Sales!$C:$E,3,FALSE)</f>
        <v>1</v>
      </c>
      <c r="J473" s="118">
        <f>SUMIFS(Sales!$H:$H,Sales!$C:$C,'Investor Exit List'!$C473)</f>
        <v>45688</v>
      </c>
      <c r="K473" s="118">
        <f t="shared" si="84"/>
        <v>45688</v>
      </c>
      <c r="L473" s="118">
        <f t="shared" si="85"/>
        <v>45513</v>
      </c>
      <c r="M473" s="118">
        <v>45443</v>
      </c>
      <c r="N473" s="119">
        <f t="shared" si="86"/>
        <v>0</v>
      </c>
      <c r="O473" s="119">
        <f t="shared" si="87"/>
        <v>0</v>
      </c>
      <c r="P473" s="117">
        <f t="shared" si="88"/>
        <v>0</v>
      </c>
      <c r="Q473" s="117">
        <f>SUMIFS(Investors!$M:$M,Investors!$O:$O,FALSE,Investors!$P:$P,FALSE,Investors!$K:$K,"&gt;"&amp;'NSST Print'!$B$3,Investors!$I:$I,"&lt;="&amp;'NSST Print'!$B$3,Investors!$A:$A,'Investor Exit List'!$A473,Investors!$E:$E,'Investor Exit List'!$C473,Investors!$L:$L,'Investor Exit List'!$B473)-(SUMIFS(Investors!$M:$M,Investors!$I:$I,"&lt;="&amp;'NSST Print'!$B$3,Investors!$J:$J,"&gt;"&amp;'NSST Print'!$B$3,Investors!$A:$A,'Investor Exit List'!$A473,Investors!$E:$E,'Investor Exit List'!$C473,Investors!$L:$L,'Investor Exit List'!$B473)+SUMIFS(Investors!$M:$M,Investors!$I:$I,"&lt;="&amp;'NSST Print'!$B$3,Investors!$J:$J,"",Investors!$A:$A,'Investor Exit List'!$A473,Investors!$E:$E,'Investor Exit List'!$C473,Investors!$L:$L,'Investor Exit List'!$B473))+SUMIFS(Investors!$S:$S,Investors!$O:$O,FALSE,Investors!$P:$P,FALSE,Investors!$K:$K,"&gt;"&amp;'NSST Print'!$B$3,Investors!$I:$I,"&lt;="&amp;'NSST Print'!$B$3,Investors!$A:$A,'Investor Exit List'!$A473,Investors!$E:$E,'Investor Exit List'!$C473,Investors!$L:$L,'Investor Exit List'!$B473)-(SUMIFS(Investors!$S:$S,Investors!$I:$I,"&lt;="&amp;'NSST Print'!$B$3,Investors!$J:$J,"&gt;"&amp;'NSST Print'!$B$3,Investors!$A:$A,'Investor Exit List'!$A473,Investors!$E:$E,'Investor Exit List'!$C473,Investors!$L:$L,'Investor Exit List'!$B473)+SUMIFS(Investors!$S:$S,Investors!$I:$I,"&lt;="&amp;'NSST Print'!$B$3,Investors!$J:$J,"",Investors!$A:$A,'Investor Exit List'!$A473,Investors!$E:$E,'Investor Exit List'!$C473,Investors!$L:$L,'Investor Exit List'!$B473))</f>
        <v>0</v>
      </c>
      <c r="R473" s="117">
        <f t="shared" si="89"/>
        <v>0</v>
      </c>
      <c r="S473" s="117">
        <f>SUMIFS(Investors!$M:$M,Investors!$O:$O,TRUE,Investors!$A:$A,'Investor Exit List'!$A473,Investors!$E:$E,'Investor Exit List'!$C473,Investors!$L:$L,'Investor Exit List'!$B473)+SUMIFS(Investors!$S:$S,Investors!$O:$O,TRUE,Investors!$A:$A,'Investor Exit List'!$A473,Investors!$E:$E,'Investor Exit List'!$C473,Investors!$L:$L,'Investor Exit List'!$B473)</f>
        <v>0</v>
      </c>
      <c r="T473" s="118" t="str">
        <f t="shared" si="90"/>
        <v/>
      </c>
      <c r="U473" s="116" t="b">
        <v>0</v>
      </c>
      <c r="V473" s="117">
        <f t="shared" si="91"/>
        <v>0</v>
      </c>
      <c r="W473" s="116">
        <v>0</v>
      </c>
      <c r="X473" s="116" t="b">
        <v>0</v>
      </c>
      <c r="Y473" s="119">
        <f>IF(H473=FALSE,VLOOKUP($C473,Sales!$C:$F,4,FALSE),1)</f>
        <v>1</v>
      </c>
      <c r="Z473" s="116" t="str">
        <f t="shared" si="92"/>
        <v/>
      </c>
      <c r="AA473" s="118">
        <f t="shared" si="93"/>
        <v>0</v>
      </c>
      <c r="AB473" s="118" t="str">
        <f t="shared" si="94"/>
        <v>HVN101-ZMAQ01</v>
      </c>
      <c r="AC473" s="118">
        <f t="shared" si="95"/>
        <v>45513</v>
      </c>
    </row>
    <row r="474" spans="1:29" ht="16" x14ac:dyDescent="0.2">
      <c r="A474" s="116" t="s">
        <v>145</v>
      </c>
      <c r="B474" s="116">
        <v>5</v>
      </c>
      <c r="C474" s="116" t="s">
        <v>821</v>
      </c>
      <c r="D474" s="116" t="s">
        <v>822</v>
      </c>
      <c r="E474" s="116" t="s">
        <v>2046</v>
      </c>
      <c r="F474" s="117">
        <f>SUMIFS(Investors!$M:$M,Investors!$O:$O,FALSE,Investors!$P:$P,FALSE,Investors!$K:$K,"&gt;"&amp;'NSST Print'!$B$3,Investors!$I:$I,"&lt;="&amp;'NSST Print'!$B$3,Investors!$A:$A,'Investor Exit List'!$A474,Investors!$E:$E,'Investor Exit List'!$C474,Investors!$L:$L,'Investor Exit List'!$B474)-(SUMIFS(Investors!$M:$M,Investors!$I:$I,"&lt;="&amp;'NSST Print'!$B$3,Investors!$J:$J,"&gt;"&amp;'NSST Print'!$B$3,Investors!$A:$A,'Investor Exit List'!$A474,Investors!$E:$E,'Investor Exit List'!$C474,Investors!$L:$L,'Investor Exit List'!$B474)+SUMIFS(Investors!$M:$M,Investors!$I:$I,"&lt;="&amp;'NSST Print'!$B$3,Investors!$J:$J,"",Investors!$A:$A,'Investor Exit List'!$A474,Investors!$E:$E,'Investor Exit List'!$C474,Investors!$L:$L,'Investor Exit List'!$B474))</f>
        <v>0</v>
      </c>
      <c r="G474" s="118">
        <v>44777</v>
      </c>
      <c r="H474" s="116" t="b">
        <f>VLOOKUP($C474,Sales!$C:$E,2,FALSE)</f>
        <v>1</v>
      </c>
      <c r="I474" s="116" t="b">
        <f>VLOOKUP($C474,Sales!$C:$E,3,FALSE)</f>
        <v>1</v>
      </c>
      <c r="J474" s="118">
        <f>SUMIFS(Sales!$H:$H,Sales!$C:$C,'Investor Exit List'!$C474)</f>
        <v>45688</v>
      </c>
      <c r="K474" s="118">
        <f t="shared" si="84"/>
        <v>45688</v>
      </c>
      <c r="L474" s="118">
        <f t="shared" si="85"/>
        <v>45507</v>
      </c>
      <c r="M474" s="118">
        <v>45443</v>
      </c>
      <c r="N474" s="119">
        <f t="shared" si="86"/>
        <v>0</v>
      </c>
      <c r="O474" s="119">
        <f t="shared" si="87"/>
        <v>0</v>
      </c>
      <c r="P474" s="117">
        <f t="shared" si="88"/>
        <v>0</v>
      </c>
      <c r="Q474" s="117">
        <f>SUMIFS(Investors!$M:$M,Investors!$O:$O,FALSE,Investors!$P:$P,FALSE,Investors!$K:$K,"&gt;"&amp;'NSST Print'!$B$3,Investors!$I:$I,"&lt;="&amp;'NSST Print'!$B$3,Investors!$A:$A,'Investor Exit List'!$A474,Investors!$E:$E,'Investor Exit List'!$C474,Investors!$L:$L,'Investor Exit List'!$B474)-(SUMIFS(Investors!$M:$M,Investors!$I:$I,"&lt;="&amp;'NSST Print'!$B$3,Investors!$J:$J,"&gt;"&amp;'NSST Print'!$B$3,Investors!$A:$A,'Investor Exit List'!$A474,Investors!$E:$E,'Investor Exit List'!$C474,Investors!$L:$L,'Investor Exit List'!$B474)+SUMIFS(Investors!$M:$M,Investors!$I:$I,"&lt;="&amp;'NSST Print'!$B$3,Investors!$J:$J,"",Investors!$A:$A,'Investor Exit List'!$A474,Investors!$E:$E,'Investor Exit List'!$C474,Investors!$L:$L,'Investor Exit List'!$B474))+SUMIFS(Investors!$S:$S,Investors!$O:$O,FALSE,Investors!$P:$P,FALSE,Investors!$K:$K,"&gt;"&amp;'NSST Print'!$B$3,Investors!$I:$I,"&lt;="&amp;'NSST Print'!$B$3,Investors!$A:$A,'Investor Exit List'!$A474,Investors!$E:$E,'Investor Exit List'!$C474,Investors!$L:$L,'Investor Exit List'!$B474)-(SUMIFS(Investors!$S:$S,Investors!$I:$I,"&lt;="&amp;'NSST Print'!$B$3,Investors!$J:$J,"&gt;"&amp;'NSST Print'!$B$3,Investors!$A:$A,'Investor Exit List'!$A474,Investors!$E:$E,'Investor Exit List'!$C474,Investors!$L:$L,'Investor Exit List'!$B474)+SUMIFS(Investors!$S:$S,Investors!$I:$I,"&lt;="&amp;'NSST Print'!$B$3,Investors!$J:$J,"",Investors!$A:$A,'Investor Exit List'!$A474,Investors!$E:$E,'Investor Exit List'!$C474,Investors!$L:$L,'Investor Exit List'!$B474))</f>
        <v>0</v>
      </c>
      <c r="R474" s="117">
        <f t="shared" si="89"/>
        <v>0</v>
      </c>
      <c r="S474" s="117">
        <f>SUMIFS(Investors!$M:$M,Investors!$O:$O,TRUE,Investors!$A:$A,'Investor Exit List'!$A474,Investors!$E:$E,'Investor Exit List'!$C474,Investors!$L:$L,'Investor Exit List'!$B474)+SUMIFS(Investors!$S:$S,Investors!$O:$O,TRUE,Investors!$A:$A,'Investor Exit List'!$A474,Investors!$E:$E,'Investor Exit List'!$C474,Investors!$L:$L,'Investor Exit List'!$B474)</f>
        <v>0</v>
      </c>
      <c r="T474" s="118" t="str">
        <f t="shared" si="90"/>
        <v/>
      </c>
      <c r="U474" s="116" t="b">
        <v>0</v>
      </c>
      <c r="V474" s="117">
        <f t="shared" si="91"/>
        <v>0</v>
      </c>
      <c r="W474" s="116">
        <v>0</v>
      </c>
      <c r="X474" s="116" t="b">
        <v>0</v>
      </c>
      <c r="Y474" s="119">
        <f>IF(H474=FALSE,VLOOKUP($C474,Sales!$C:$F,4,FALSE),1)</f>
        <v>1</v>
      </c>
      <c r="Z474" s="116" t="str">
        <f t="shared" si="92"/>
        <v/>
      </c>
      <c r="AA474" s="118">
        <f t="shared" si="93"/>
        <v>0</v>
      </c>
      <c r="AB474" s="118" t="str">
        <f t="shared" si="94"/>
        <v>HVN101-ZMAT01</v>
      </c>
      <c r="AC474" s="118">
        <f t="shared" si="95"/>
        <v>45507</v>
      </c>
    </row>
    <row r="475" spans="1:29" ht="16" x14ac:dyDescent="0.2">
      <c r="A475" s="116" t="s">
        <v>826</v>
      </c>
      <c r="B475" s="116">
        <v>2</v>
      </c>
      <c r="C475" s="116" t="s">
        <v>821</v>
      </c>
      <c r="D475" s="116" t="s">
        <v>822</v>
      </c>
      <c r="E475" s="116" t="s">
        <v>2218</v>
      </c>
      <c r="F475" s="117">
        <f>SUMIFS(Investors!$M:$M,Investors!$O:$O,FALSE,Investors!$P:$P,FALSE,Investors!$K:$K,"&gt;"&amp;'NSST Print'!$B$3,Investors!$I:$I,"&lt;="&amp;'NSST Print'!$B$3,Investors!$A:$A,'Investor Exit List'!$A475,Investors!$E:$E,'Investor Exit List'!$C475,Investors!$L:$L,'Investor Exit List'!$B475)-(SUMIFS(Investors!$M:$M,Investors!$I:$I,"&lt;="&amp;'NSST Print'!$B$3,Investors!$J:$J,"&gt;"&amp;'NSST Print'!$B$3,Investors!$A:$A,'Investor Exit List'!$A475,Investors!$E:$E,'Investor Exit List'!$C475,Investors!$L:$L,'Investor Exit List'!$B475)+SUMIFS(Investors!$M:$M,Investors!$I:$I,"&lt;="&amp;'NSST Print'!$B$3,Investors!$J:$J,"",Investors!$A:$A,'Investor Exit List'!$A475,Investors!$E:$E,'Investor Exit List'!$C475,Investors!$L:$L,'Investor Exit List'!$B475))</f>
        <v>0</v>
      </c>
      <c r="G475" s="118">
        <v>44743</v>
      </c>
      <c r="H475" s="116" t="b">
        <f>VLOOKUP($C475,Sales!$C:$E,2,FALSE)</f>
        <v>1</v>
      </c>
      <c r="I475" s="116" t="b">
        <f>VLOOKUP($C475,Sales!$C:$E,3,FALSE)</f>
        <v>1</v>
      </c>
      <c r="J475" s="118">
        <f>SUMIFS(Sales!$H:$H,Sales!$C:$C,'Investor Exit List'!$C475)</f>
        <v>45688</v>
      </c>
      <c r="K475" s="118">
        <f t="shared" si="84"/>
        <v>45688</v>
      </c>
      <c r="L475" s="118">
        <f t="shared" si="85"/>
        <v>45473</v>
      </c>
      <c r="M475" s="118">
        <v>45443</v>
      </c>
      <c r="N475" s="119">
        <f t="shared" si="86"/>
        <v>0</v>
      </c>
      <c r="O475" s="119">
        <f t="shared" si="87"/>
        <v>0</v>
      </c>
      <c r="P475" s="117">
        <f t="shared" si="88"/>
        <v>0</v>
      </c>
      <c r="Q475" s="117">
        <f>SUMIFS(Investors!$M:$M,Investors!$O:$O,FALSE,Investors!$P:$P,FALSE,Investors!$K:$K,"&gt;"&amp;'NSST Print'!$B$3,Investors!$I:$I,"&lt;="&amp;'NSST Print'!$B$3,Investors!$A:$A,'Investor Exit List'!$A475,Investors!$E:$E,'Investor Exit List'!$C475,Investors!$L:$L,'Investor Exit List'!$B475)-(SUMIFS(Investors!$M:$M,Investors!$I:$I,"&lt;="&amp;'NSST Print'!$B$3,Investors!$J:$J,"&gt;"&amp;'NSST Print'!$B$3,Investors!$A:$A,'Investor Exit List'!$A475,Investors!$E:$E,'Investor Exit List'!$C475,Investors!$L:$L,'Investor Exit List'!$B475)+SUMIFS(Investors!$M:$M,Investors!$I:$I,"&lt;="&amp;'NSST Print'!$B$3,Investors!$J:$J,"",Investors!$A:$A,'Investor Exit List'!$A475,Investors!$E:$E,'Investor Exit List'!$C475,Investors!$L:$L,'Investor Exit List'!$B475))+SUMIFS(Investors!$S:$S,Investors!$O:$O,FALSE,Investors!$P:$P,FALSE,Investors!$K:$K,"&gt;"&amp;'NSST Print'!$B$3,Investors!$I:$I,"&lt;="&amp;'NSST Print'!$B$3,Investors!$A:$A,'Investor Exit List'!$A475,Investors!$E:$E,'Investor Exit List'!$C475,Investors!$L:$L,'Investor Exit List'!$B475)-(SUMIFS(Investors!$S:$S,Investors!$I:$I,"&lt;="&amp;'NSST Print'!$B$3,Investors!$J:$J,"&gt;"&amp;'NSST Print'!$B$3,Investors!$A:$A,'Investor Exit List'!$A475,Investors!$E:$E,'Investor Exit List'!$C475,Investors!$L:$L,'Investor Exit List'!$B475)+SUMIFS(Investors!$S:$S,Investors!$I:$I,"&lt;="&amp;'NSST Print'!$B$3,Investors!$J:$J,"",Investors!$A:$A,'Investor Exit List'!$A475,Investors!$E:$E,'Investor Exit List'!$C475,Investors!$L:$L,'Investor Exit List'!$B475))</f>
        <v>0</v>
      </c>
      <c r="R475" s="117">
        <f t="shared" si="89"/>
        <v>0</v>
      </c>
      <c r="S475" s="117">
        <f>SUMIFS(Investors!$M:$M,Investors!$O:$O,TRUE,Investors!$A:$A,'Investor Exit List'!$A475,Investors!$E:$E,'Investor Exit List'!$C475,Investors!$L:$L,'Investor Exit List'!$B475)+SUMIFS(Investors!$S:$S,Investors!$O:$O,TRUE,Investors!$A:$A,'Investor Exit List'!$A475,Investors!$E:$E,'Investor Exit List'!$C475,Investors!$L:$L,'Investor Exit List'!$B475)</f>
        <v>0</v>
      </c>
      <c r="T475" s="118" t="str">
        <f t="shared" si="90"/>
        <v/>
      </c>
      <c r="U475" s="116" t="b">
        <v>0</v>
      </c>
      <c r="V475" s="117">
        <f t="shared" si="91"/>
        <v>0</v>
      </c>
      <c r="W475" s="116">
        <v>0</v>
      </c>
      <c r="X475" s="116" t="b">
        <v>0</v>
      </c>
      <c r="Y475" s="119">
        <f>IF(H475=FALSE,VLOOKUP($C475,Sales!$C:$F,4,FALSE),1)</f>
        <v>1</v>
      </c>
      <c r="Z475" s="116" t="str">
        <f t="shared" si="92"/>
        <v/>
      </c>
      <c r="AA475" s="118">
        <f t="shared" si="93"/>
        <v>0</v>
      </c>
      <c r="AB475" s="118" t="str">
        <f t="shared" si="94"/>
        <v>HVN101-ZVAN03</v>
      </c>
      <c r="AC475" s="118">
        <f t="shared" si="95"/>
        <v>45473</v>
      </c>
    </row>
    <row r="476" spans="1:29" ht="16" x14ac:dyDescent="0.2">
      <c r="A476" s="116" t="s">
        <v>574</v>
      </c>
      <c r="B476" s="116">
        <v>4</v>
      </c>
      <c r="C476" s="116" t="s">
        <v>821</v>
      </c>
      <c r="D476" s="116" t="s">
        <v>822</v>
      </c>
      <c r="E476" s="116" t="s">
        <v>2099</v>
      </c>
      <c r="F476" s="117">
        <f>SUMIFS(Investors!$M:$M,Investors!$O:$O,FALSE,Investors!$P:$P,FALSE,Investors!$K:$K,"&gt;"&amp;'NSST Print'!$B$3,Investors!$I:$I,"&lt;="&amp;'NSST Print'!$B$3,Investors!$A:$A,'Investor Exit List'!$A476,Investors!$E:$E,'Investor Exit List'!$C476,Investors!$L:$L,'Investor Exit List'!$B476)-(SUMIFS(Investors!$M:$M,Investors!$I:$I,"&lt;="&amp;'NSST Print'!$B$3,Investors!$J:$J,"&gt;"&amp;'NSST Print'!$B$3,Investors!$A:$A,'Investor Exit List'!$A476,Investors!$E:$E,'Investor Exit List'!$C476,Investors!$L:$L,'Investor Exit List'!$B476)+SUMIFS(Investors!$M:$M,Investors!$I:$I,"&lt;="&amp;'NSST Print'!$B$3,Investors!$J:$J,"",Investors!$A:$A,'Investor Exit List'!$A476,Investors!$E:$E,'Investor Exit List'!$C476,Investors!$L:$L,'Investor Exit List'!$B476))</f>
        <v>0</v>
      </c>
      <c r="G476" s="118">
        <v>44763</v>
      </c>
      <c r="H476" s="116" t="b">
        <f>VLOOKUP($C476,Sales!$C:$E,2,FALSE)</f>
        <v>1</v>
      </c>
      <c r="I476" s="116" t="b">
        <f>VLOOKUP($C476,Sales!$C:$E,3,FALSE)</f>
        <v>1</v>
      </c>
      <c r="J476" s="118">
        <f>SUMIFS(Sales!$H:$H,Sales!$C:$C,'Investor Exit List'!$C476)</f>
        <v>45688</v>
      </c>
      <c r="K476" s="118">
        <f t="shared" si="84"/>
        <v>45688</v>
      </c>
      <c r="L476" s="118">
        <f t="shared" si="85"/>
        <v>45493</v>
      </c>
      <c r="M476" s="118">
        <v>45443</v>
      </c>
      <c r="N476" s="119">
        <f t="shared" si="86"/>
        <v>0</v>
      </c>
      <c r="O476" s="119">
        <f t="shared" si="87"/>
        <v>0</v>
      </c>
      <c r="P476" s="117">
        <f t="shared" si="88"/>
        <v>0</v>
      </c>
      <c r="Q476" s="117">
        <f>SUMIFS(Investors!$M:$M,Investors!$O:$O,FALSE,Investors!$P:$P,FALSE,Investors!$K:$K,"&gt;"&amp;'NSST Print'!$B$3,Investors!$I:$I,"&lt;="&amp;'NSST Print'!$B$3,Investors!$A:$A,'Investor Exit List'!$A476,Investors!$E:$E,'Investor Exit List'!$C476,Investors!$L:$L,'Investor Exit List'!$B476)-(SUMIFS(Investors!$M:$M,Investors!$I:$I,"&lt;="&amp;'NSST Print'!$B$3,Investors!$J:$J,"&gt;"&amp;'NSST Print'!$B$3,Investors!$A:$A,'Investor Exit List'!$A476,Investors!$E:$E,'Investor Exit List'!$C476,Investors!$L:$L,'Investor Exit List'!$B476)+SUMIFS(Investors!$M:$M,Investors!$I:$I,"&lt;="&amp;'NSST Print'!$B$3,Investors!$J:$J,"",Investors!$A:$A,'Investor Exit List'!$A476,Investors!$E:$E,'Investor Exit List'!$C476,Investors!$L:$L,'Investor Exit List'!$B476))+SUMIFS(Investors!$S:$S,Investors!$O:$O,FALSE,Investors!$P:$P,FALSE,Investors!$K:$K,"&gt;"&amp;'NSST Print'!$B$3,Investors!$I:$I,"&lt;="&amp;'NSST Print'!$B$3,Investors!$A:$A,'Investor Exit List'!$A476,Investors!$E:$E,'Investor Exit List'!$C476,Investors!$L:$L,'Investor Exit List'!$B476)-(SUMIFS(Investors!$S:$S,Investors!$I:$I,"&lt;="&amp;'NSST Print'!$B$3,Investors!$J:$J,"&gt;"&amp;'NSST Print'!$B$3,Investors!$A:$A,'Investor Exit List'!$A476,Investors!$E:$E,'Investor Exit List'!$C476,Investors!$L:$L,'Investor Exit List'!$B476)+SUMIFS(Investors!$S:$S,Investors!$I:$I,"&lt;="&amp;'NSST Print'!$B$3,Investors!$J:$J,"",Investors!$A:$A,'Investor Exit List'!$A476,Investors!$E:$E,'Investor Exit List'!$C476,Investors!$L:$L,'Investor Exit List'!$B476))</f>
        <v>0</v>
      </c>
      <c r="R476" s="117">
        <f t="shared" si="89"/>
        <v>0</v>
      </c>
      <c r="S476" s="117">
        <f>SUMIFS(Investors!$M:$M,Investors!$O:$O,TRUE,Investors!$A:$A,'Investor Exit List'!$A476,Investors!$E:$E,'Investor Exit List'!$C476,Investors!$L:$L,'Investor Exit List'!$B476)+SUMIFS(Investors!$S:$S,Investors!$O:$O,TRUE,Investors!$A:$A,'Investor Exit List'!$A476,Investors!$E:$E,'Investor Exit List'!$C476,Investors!$L:$L,'Investor Exit List'!$B476)</f>
        <v>0</v>
      </c>
      <c r="T476" s="118" t="str">
        <f t="shared" si="90"/>
        <v/>
      </c>
      <c r="U476" s="116" t="b">
        <v>0</v>
      </c>
      <c r="V476" s="117">
        <f t="shared" si="91"/>
        <v>0</v>
      </c>
      <c r="W476" s="116">
        <v>0</v>
      </c>
      <c r="X476" s="116" t="b">
        <v>0</v>
      </c>
      <c r="Y476" s="119">
        <f>IF(H476=FALSE,VLOOKUP($C476,Sales!$C:$F,4,FALSE),1)</f>
        <v>1</v>
      </c>
      <c r="Z476" s="116" t="str">
        <f t="shared" si="92"/>
        <v/>
      </c>
      <c r="AA476" s="118">
        <f t="shared" si="93"/>
        <v>0</v>
      </c>
      <c r="AB476" s="118" t="str">
        <f t="shared" si="94"/>
        <v>HVN101-ZZYL01</v>
      </c>
      <c r="AC476" s="118">
        <f t="shared" si="95"/>
        <v>45493</v>
      </c>
    </row>
    <row r="477" spans="1:29" ht="16" x14ac:dyDescent="0.2">
      <c r="A477" s="116" t="s">
        <v>574</v>
      </c>
      <c r="B477" s="116">
        <v>5</v>
      </c>
      <c r="C477" s="116" t="s">
        <v>829</v>
      </c>
      <c r="D477" s="116" t="s">
        <v>822</v>
      </c>
      <c r="E477" s="116" t="s">
        <v>2099</v>
      </c>
      <c r="F477" s="117">
        <f>SUMIFS(Investors!$M:$M,Investors!$O:$O,FALSE,Investors!$P:$P,FALSE,Investors!$K:$K,"&gt;"&amp;'NSST Print'!$B$3,Investors!$I:$I,"&lt;="&amp;'NSST Print'!$B$3,Investors!$A:$A,'Investor Exit List'!$A477,Investors!$E:$E,'Investor Exit List'!$C477,Investors!$L:$L,'Investor Exit List'!$B477)-(SUMIFS(Investors!$M:$M,Investors!$I:$I,"&lt;="&amp;'NSST Print'!$B$3,Investors!$J:$J,"&gt;"&amp;'NSST Print'!$B$3,Investors!$A:$A,'Investor Exit List'!$A477,Investors!$E:$E,'Investor Exit List'!$C477,Investors!$L:$L,'Investor Exit List'!$B477)+SUMIFS(Investors!$M:$M,Investors!$I:$I,"&lt;="&amp;'NSST Print'!$B$3,Investors!$J:$J,"",Investors!$A:$A,'Investor Exit List'!$A477,Investors!$E:$E,'Investor Exit List'!$C477,Investors!$L:$L,'Investor Exit List'!$B477))</f>
        <v>0</v>
      </c>
      <c r="G477" s="118">
        <v>44770</v>
      </c>
      <c r="H477" s="116" t="b">
        <f>VLOOKUP($C477,Sales!$C:$E,2,FALSE)</f>
        <v>1</v>
      </c>
      <c r="I477" s="116" t="b">
        <f>VLOOKUP($C477,Sales!$C:$E,3,FALSE)</f>
        <v>1</v>
      </c>
      <c r="J477" s="118">
        <f>SUMIFS(Sales!$H:$H,Sales!$C:$C,'Investor Exit List'!$C477)</f>
        <v>45420</v>
      </c>
      <c r="K477" s="118">
        <f t="shared" si="84"/>
        <v>45420</v>
      </c>
      <c r="L477" s="118">
        <f t="shared" si="85"/>
        <v>45500</v>
      </c>
      <c r="M477" s="118">
        <v>45443</v>
      </c>
      <c r="N477" s="119">
        <f t="shared" si="86"/>
        <v>0</v>
      </c>
      <c r="O477" s="119">
        <f t="shared" si="87"/>
        <v>0</v>
      </c>
      <c r="P477" s="117">
        <f t="shared" si="88"/>
        <v>0</v>
      </c>
      <c r="Q477" s="117">
        <f>SUMIFS(Investors!$M:$M,Investors!$O:$O,FALSE,Investors!$P:$P,FALSE,Investors!$K:$K,"&gt;"&amp;'NSST Print'!$B$3,Investors!$I:$I,"&lt;="&amp;'NSST Print'!$B$3,Investors!$A:$A,'Investor Exit List'!$A477,Investors!$E:$E,'Investor Exit List'!$C477,Investors!$L:$L,'Investor Exit List'!$B477)-(SUMIFS(Investors!$M:$M,Investors!$I:$I,"&lt;="&amp;'NSST Print'!$B$3,Investors!$J:$J,"&gt;"&amp;'NSST Print'!$B$3,Investors!$A:$A,'Investor Exit List'!$A477,Investors!$E:$E,'Investor Exit List'!$C477,Investors!$L:$L,'Investor Exit List'!$B477)+SUMIFS(Investors!$M:$M,Investors!$I:$I,"&lt;="&amp;'NSST Print'!$B$3,Investors!$J:$J,"",Investors!$A:$A,'Investor Exit List'!$A477,Investors!$E:$E,'Investor Exit List'!$C477,Investors!$L:$L,'Investor Exit List'!$B477))+SUMIFS(Investors!$S:$S,Investors!$O:$O,FALSE,Investors!$P:$P,FALSE,Investors!$K:$K,"&gt;"&amp;'NSST Print'!$B$3,Investors!$I:$I,"&lt;="&amp;'NSST Print'!$B$3,Investors!$A:$A,'Investor Exit List'!$A477,Investors!$E:$E,'Investor Exit List'!$C477,Investors!$L:$L,'Investor Exit List'!$B477)-(SUMIFS(Investors!$S:$S,Investors!$I:$I,"&lt;="&amp;'NSST Print'!$B$3,Investors!$J:$J,"&gt;"&amp;'NSST Print'!$B$3,Investors!$A:$A,'Investor Exit List'!$A477,Investors!$E:$E,'Investor Exit List'!$C477,Investors!$L:$L,'Investor Exit List'!$B477)+SUMIFS(Investors!$S:$S,Investors!$I:$I,"&lt;="&amp;'NSST Print'!$B$3,Investors!$J:$J,"",Investors!$A:$A,'Investor Exit List'!$A477,Investors!$E:$E,'Investor Exit List'!$C477,Investors!$L:$L,'Investor Exit List'!$B477))</f>
        <v>0</v>
      </c>
      <c r="R477" s="117">
        <f t="shared" si="89"/>
        <v>0</v>
      </c>
      <c r="S477" s="117">
        <f>SUMIFS(Investors!$M:$M,Investors!$O:$O,TRUE,Investors!$A:$A,'Investor Exit List'!$A477,Investors!$E:$E,'Investor Exit List'!$C477,Investors!$L:$L,'Investor Exit List'!$B477)+SUMIFS(Investors!$S:$S,Investors!$O:$O,TRUE,Investors!$A:$A,'Investor Exit List'!$A477,Investors!$E:$E,'Investor Exit List'!$C477,Investors!$L:$L,'Investor Exit List'!$B477)</f>
        <v>0</v>
      </c>
      <c r="T477" s="118" t="str">
        <f t="shared" si="90"/>
        <v/>
      </c>
      <c r="U477" s="116" t="b">
        <v>0</v>
      </c>
      <c r="V477" s="117">
        <f t="shared" si="91"/>
        <v>0</v>
      </c>
      <c r="W477" s="116">
        <v>0</v>
      </c>
      <c r="X477" s="116" t="b">
        <v>0</v>
      </c>
      <c r="Y477" s="119">
        <f>IF(H477=FALSE,VLOOKUP($C477,Sales!$C:$F,4,FALSE),1)</f>
        <v>1</v>
      </c>
      <c r="Z477" s="116" t="str">
        <f t="shared" si="92"/>
        <v/>
      </c>
      <c r="AA477" s="118">
        <f t="shared" si="93"/>
        <v>0</v>
      </c>
      <c r="AB477" s="118" t="str">
        <f t="shared" si="94"/>
        <v>HVN102-ZZYL01</v>
      </c>
      <c r="AC477" s="118">
        <f t="shared" si="95"/>
        <v>45500</v>
      </c>
    </row>
    <row r="478" spans="1:29" ht="16" x14ac:dyDescent="0.2">
      <c r="A478" s="116" t="s">
        <v>830</v>
      </c>
      <c r="B478" s="116">
        <v>1</v>
      </c>
      <c r="C478" s="116" t="s">
        <v>833</v>
      </c>
      <c r="D478" s="116" t="s">
        <v>822</v>
      </c>
      <c r="E478" s="116" t="s">
        <v>2219</v>
      </c>
      <c r="F478" s="117">
        <f>SUMIFS(Investors!$M:$M,Investors!$O:$O,FALSE,Investors!$P:$P,FALSE,Investors!$K:$K,"&gt;"&amp;'NSST Print'!$B$3,Investors!$I:$I,"&lt;="&amp;'NSST Print'!$B$3,Investors!$A:$A,'Investor Exit List'!$A478,Investors!$E:$E,'Investor Exit List'!$C478,Investors!$L:$L,'Investor Exit List'!$B478)-(SUMIFS(Investors!$M:$M,Investors!$I:$I,"&lt;="&amp;'NSST Print'!$B$3,Investors!$J:$J,"&gt;"&amp;'NSST Print'!$B$3,Investors!$A:$A,'Investor Exit List'!$A478,Investors!$E:$E,'Investor Exit List'!$C478,Investors!$L:$L,'Investor Exit List'!$B478)+SUMIFS(Investors!$M:$M,Investors!$I:$I,"&lt;="&amp;'NSST Print'!$B$3,Investors!$J:$J,"",Investors!$A:$A,'Investor Exit List'!$A478,Investors!$E:$E,'Investor Exit List'!$C478,Investors!$L:$L,'Investor Exit List'!$B478))</f>
        <v>0</v>
      </c>
      <c r="G478" s="118">
        <v>44763</v>
      </c>
      <c r="H478" s="116" t="b">
        <f>VLOOKUP($C478,Sales!$C:$E,2,FALSE)</f>
        <v>1</v>
      </c>
      <c r="I478" s="116" t="b">
        <f>VLOOKUP($C478,Sales!$C:$E,3,FALSE)</f>
        <v>1</v>
      </c>
      <c r="J478" s="118">
        <f>SUMIFS(Sales!$H:$H,Sales!$C:$C,'Investor Exit List'!$C478)</f>
        <v>45688</v>
      </c>
      <c r="K478" s="118">
        <f t="shared" si="84"/>
        <v>45688</v>
      </c>
      <c r="L478" s="118">
        <f t="shared" si="85"/>
        <v>45493</v>
      </c>
      <c r="M478" s="118">
        <v>45443</v>
      </c>
      <c r="N478" s="119">
        <f t="shared" si="86"/>
        <v>0</v>
      </c>
      <c r="O478" s="119">
        <f t="shared" si="87"/>
        <v>0</v>
      </c>
      <c r="P478" s="117">
        <f t="shared" si="88"/>
        <v>0</v>
      </c>
      <c r="Q478" s="117">
        <f>SUMIFS(Investors!$M:$M,Investors!$O:$O,FALSE,Investors!$P:$P,FALSE,Investors!$K:$K,"&gt;"&amp;'NSST Print'!$B$3,Investors!$I:$I,"&lt;="&amp;'NSST Print'!$B$3,Investors!$A:$A,'Investor Exit List'!$A478,Investors!$E:$E,'Investor Exit List'!$C478,Investors!$L:$L,'Investor Exit List'!$B478)-(SUMIFS(Investors!$M:$M,Investors!$I:$I,"&lt;="&amp;'NSST Print'!$B$3,Investors!$J:$J,"&gt;"&amp;'NSST Print'!$B$3,Investors!$A:$A,'Investor Exit List'!$A478,Investors!$E:$E,'Investor Exit List'!$C478,Investors!$L:$L,'Investor Exit List'!$B478)+SUMIFS(Investors!$M:$M,Investors!$I:$I,"&lt;="&amp;'NSST Print'!$B$3,Investors!$J:$J,"",Investors!$A:$A,'Investor Exit List'!$A478,Investors!$E:$E,'Investor Exit List'!$C478,Investors!$L:$L,'Investor Exit List'!$B478))+SUMIFS(Investors!$S:$S,Investors!$O:$O,FALSE,Investors!$P:$P,FALSE,Investors!$K:$K,"&gt;"&amp;'NSST Print'!$B$3,Investors!$I:$I,"&lt;="&amp;'NSST Print'!$B$3,Investors!$A:$A,'Investor Exit List'!$A478,Investors!$E:$E,'Investor Exit List'!$C478,Investors!$L:$L,'Investor Exit List'!$B478)-(SUMIFS(Investors!$S:$S,Investors!$I:$I,"&lt;="&amp;'NSST Print'!$B$3,Investors!$J:$J,"&gt;"&amp;'NSST Print'!$B$3,Investors!$A:$A,'Investor Exit List'!$A478,Investors!$E:$E,'Investor Exit List'!$C478,Investors!$L:$L,'Investor Exit List'!$B478)+SUMIFS(Investors!$S:$S,Investors!$I:$I,"&lt;="&amp;'NSST Print'!$B$3,Investors!$J:$J,"",Investors!$A:$A,'Investor Exit List'!$A478,Investors!$E:$E,'Investor Exit List'!$C478,Investors!$L:$L,'Investor Exit List'!$B478))</f>
        <v>0</v>
      </c>
      <c r="R478" s="117">
        <f t="shared" si="89"/>
        <v>0</v>
      </c>
      <c r="S478" s="117">
        <f>SUMIFS(Investors!$M:$M,Investors!$O:$O,TRUE,Investors!$A:$A,'Investor Exit List'!$A478,Investors!$E:$E,'Investor Exit List'!$C478,Investors!$L:$L,'Investor Exit List'!$B478)+SUMIFS(Investors!$S:$S,Investors!$O:$O,TRUE,Investors!$A:$A,'Investor Exit List'!$A478,Investors!$E:$E,'Investor Exit List'!$C478,Investors!$L:$L,'Investor Exit List'!$B478)</f>
        <v>0</v>
      </c>
      <c r="T478" s="118" t="str">
        <f t="shared" si="90"/>
        <v/>
      </c>
      <c r="U478" s="116" t="b">
        <v>0</v>
      </c>
      <c r="V478" s="117">
        <f t="shared" si="91"/>
        <v>0</v>
      </c>
      <c r="W478" s="116">
        <v>0</v>
      </c>
      <c r="X478" s="116" t="b">
        <v>0</v>
      </c>
      <c r="Y478" s="119">
        <f>IF(H478=FALSE,VLOOKUP($C478,Sales!$C:$F,4,FALSE),1)</f>
        <v>1</v>
      </c>
      <c r="Z478" s="116" t="str">
        <f t="shared" si="92"/>
        <v/>
      </c>
      <c r="AA478" s="118">
        <f t="shared" si="93"/>
        <v>0</v>
      </c>
      <c r="AB478" s="118" t="str">
        <f t="shared" si="94"/>
        <v>HVN103-ZLER01</v>
      </c>
      <c r="AC478" s="118">
        <f t="shared" si="95"/>
        <v>45493</v>
      </c>
    </row>
    <row r="479" spans="1:29" ht="16" x14ac:dyDescent="0.2">
      <c r="A479" s="116" t="s">
        <v>498</v>
      </c>
      <c r="B479" s="116">
        <v>12</v>
      </c>
      <c r="C479" s="116" t="s">
        <v>833</v>
      </c>
      <c r="D479" s="116" t="s">
        <v>822</v>
      </c>
      <c r="E479" s="116" t="s">
        <v>2146</v>
      </c>
      <c r="F479" s="117">
        <f>SUMIFS(Investors!$M:$M,Investors!$O:$O,FALSE,Investors!$P:$P,FALSE,Investors!$K:$K,"&gt;"&amp;'NSST Print'!$B$3,Investors!$I:$I,"&lt;="&amp;'NSST Print'!$B$3,Investors!$A:$A,'Investor Exit List'!$A479,Investors!$E:$E,'Investor Exit List'!$C479,Investors!$L:$L,'Investor Exit List'!$B479)-(SUMIFS(Investors!$M:$M,Investors!$I:$I,"&lt;="&amp;'NSST Print'!$B$3,Investors!$J:$J,"&gt;"&amp;'NSST Print'!$B$3,Investors!$A:$A,'Investor Exit List'!$A479,Investors!$E:$E,'Investor Exit List'!$C479,Investors!$L:$L,'Investor Exit List'!$B479)+SUMIFS(Investors!$M:$M,Investors!$I:$I,"&lt;="&amp;'NSST Print'!$B$3,Investors!$J:$J,"",Investors!$A:$A,'Investor Exit List'!$A479,Investors!$E:$E,'Investor Exit List'!$C479,Investors!$L:$L,'Investor Exit List'!$B479))</f>
        <v>0</v>
      </c>
      <c r="G479" s="118">
        <v>44743</v>
      </c>
      <c r="H479" s="116" t="b">
        <f>VLOOKUP($C479,Sales!$C:$E,2,FALSE)</f>
        <v>1</v>
      </c>
      <c r="I479" s="116" t="b">
        <f>VLOOKUP($C479,Sales!$C:$E,3,FALSE)</f>
        <v>1</v>
      </c>
      <c r="J479" s="118">
        <f>SUMIFS(Sales!$H:$H,Sales!$C:$C,'Investor Exit List'!$C479)</f>
        <v>45688</v>
      </c>
      <c r="K479" s="118">
        <f t="shared" si="84"/>
        <v>45688</v>
      </c>
      <c r="L479" s="118">
        <f t="shared" si="85"/>
        <v>45473</v>
      </c>
      <c r="M479" s="118">
        <v>45443</v>
      </c>
      <c r="N479" s="119">
        <f t="shared" si="86"/>
        <v>0</v>
      </c>
      <c r="O479" s="119">
        <f t="shared" si="87"/>
        <v>0</v>
      </c>
      <c r="P479" s="117">
        <f t="shared" si="88"/>
        <v>0</v>
      </c>
      <c r="Q479" s="117">
        <f>SUMIFS(Investors!$M:$M,Investors!$O:$O,FALSE,Investors!$P:$P,FALSE,Investors!$K:$K,"&gt;"&amp;'NSST Print'!$B$3,Investors!$I:$I,"&lt;="&amp;'NSST Print'!$B$3,Investors!$A:$A,'Investor Exit List'!$A479,Investors!$E:$E,'Investor Exit List'!$C479,Investors!$L:$L,'Investor Exit List'!$B479)-(SUMIFS(Investors!$M:$M,Investors!$I:$I,"&lt;="&amp;'NSST Print'!$B$3,Investors!$J:$J,"&gt;"&amp;'NSST Print'!$B$3,Investors!$A:$A,'Investor Exit List'!$A479,Investors!$E:$E,'Investor Exit List'!$C479,Investors!$L:$L,'Investor Exit List'!$B479)+SUMIFS(Investors!$M:$M,Investors!$I:$I,"&lt;="&amp;'NSST Print'!$B$3,Investors!$J:$J,"",Investors!$A:$A,'Investor Exit List'!$A479,Investors!$E:$E,'Investor Exit List'!$C479,Investors!$L:$L,'Investor Exit List'!$B479))+SUMIFS(Investors!$S:$S,Investors!$O:$O,FALSE,Investors!$P:$P,FALSE,Investors!$K:$K,"&gt;"&amp;'NSST Print'!$B$3,Investors!$I:$I,"&lt;="&amp;'NSST Print'!$B$3,Investors!$A:$A,'Investor Exit List'!$A479,Investors!$E:$E,'Investor Exit List'!$C479,Investors!$L:$L,'Investor Exit List'!$B479)-(SUMIFS(Investors!$S:$S,Investors!$I:$I,"&lt;="&amp;'NSST Print'!$B$3,Investors!$J:$J,"&gt;"&amp;'NSST Print'!$B$3,Investors!$A:$A,'Investor Exit List'!$A479,Investors!$E:$E,'Investor Exit List'!$C479,Investors!$L:$L,'Investor Exit List'!$B479)+SUMIFS(Investors!$S:$S,Investors!$I:$I,"&lt;="&amp;'NSST Print'!$B$3,Investors!$J:$J,"",Investors!$A:$A,'Investor Exit List'!$A479,Investors!$E:$E,'Investor Exit List'!$C479,Investors!$L:$L,'Investor Exit List'!$B479))</f>
        <v>0</v>
      </c>
      <c r="R479" s="117">
        <f t="shared" si="89"/>
        <v>0</v>
      </c>
      <c r="S479" s="117">
        <f>SUMIFS(Investors!$M:$M,Investors!$O:$O,TRUE,Investors!$A:$A,'Investor Exit List'!$A479,Investors!$E:$E,'Investor Exit List'!$C479,Investors!$L:$L,'Investor Exit List'!$B479)+SUMIFS(Investors!$S:$S,Investors!$O:$O,TRUE,Investors!$A:$A,'Investor Exit List'!$A479,Investors!$E:$E,'Investor Exit List'!$C479,Investors!$L:$L,'Investor Exit List'!$B479)</f>
        <v>889121.53007794521</v>
      </c>
      <c r="T479" s="118">
        <f t="shared" si="90"/>
        <v>45688</v>
      </c>
      <c r="U479" s="116" t="b">
        <v>1</v>
      </c>
      <c r="V479" s="117">
        <f t="shared" si="91"/>
        <v>889121.53007794521</v>
      </c>
      <c r="W479" s="116">
        <v>0</v>
      </c>
      <c r="X479" s="116" t="b">
        <v>0</v>
      </c>
      <c r="Y479" s="119">
        <f>IF(H479=FALSE,VLOOKUP($C479,Sales!$C:$F,4,FALSE),1)</f>
        <v>1</v>
      </c>
      <c r="Z479" s="116" t="str">
        <f t="shared" si="92"/>
        <v/>
      </c>
      <c r="AA479" s="118">
        <f t="shared" si="93"/>
        <v>0</v>
      </c>
      <c r="AB479" s="118" t="str">
        <f t="shared" si="94"/>
        <v>HVN103-ZWAT01</v>
      </c>
      <c r="AC479" s="118">
        <f t="shared" si="95"/>
        <v>45473</v>
      </c>
    </row>
    <row r="480" spans="1:29" ht="16" x14ac:dyDescent="0.2">
      <c r="A480" s="116" t="s">
        <v>304</v>
      </c>
      <c r="B480" s="116">
        <v>4</v>
      </c>
      <c r="C480" s="116" t="s">
        <v>834</v>
      </c>
      <c r="D480" s="116" t="s">
        <v>822</v>
      </c>
      <c r="E480" s="116" t="s">
        <v>2093</v>
      </c>
      <c r="F480" s="117">
        <f>SUMIFS(Investors!$M:$M,Investors!$O:$O,FALSE,Investors!$P:$P,FALSE,Investors!$K:$K,"&gt;"&amp;'NSST Print'!$B$3,Investors!$I:$I,"&lt;="&amp;'NSST Print'!$B$3,Investors!$A:$A,'Investor Exit List'!$A480,Investors!$E:$E,'Investor Exit List'!$C480,Investors!$L:$L,'Investor Exit List'!$B480)-(SUMIFS(Investors!$M:$M,Investors!$I:$I,"&lt;="&amp;'NSST Print'!$B$3,Investors!$J:$J,"&gt;"&amp;'NSST Print'!$B$3,Investors!$A:$A,'Investor Exit List'!$A480,Investors!$E:$E,'Investor Exit List'!$C480,Investors!$L:$L,'Investor Exit List'!$B480)+SUMIFS(Investors!$M:$M,Investors!$I:$I,"&lt;="&amp;'NSST Print'!$B$3,Investors!$J:$J,"",Investors!$A:$A,'Investor Exit List'!$A480,Investors!$E:$E,'Investor Exit List'!$C480,Investors!$L:$L,'Investor Exit List'!$B480))</f>
        <v>0</v>
      </c>
      <c r="G480" s="118">
        <v>44743</v>
      </c>
      <c r="H480" s="116" t="b">
        <f>VLOOKUP($C480,Sales!$C:$E,2,FALSE)</f>
        <v>1</v>
      </c>
      <c r="I480" s="116" t="b">
        <f>VLOOKUP($C480,Sales!$C:$E,3,FALSE)</f>
        <v>1</v>
      </c>
      <c r="J480" s="118">
        <f>SUMIFS(Sales!$H:$H,Sales!$C:$C,'Investor Exit List'!$C480)</f>
        <v>45369</v>
      </c>
      <c r="K480" s="118">
        <f t="shared" si="84"/>
        <v>45369</v>
      </c>
      <c r="L480" s="118">
        <f t="shared" si="85"/>
        <v>45473</v>
      </c>
      <c r="M480" s="118">
        <v>45443</v>
      </c>
      <c r="N480" s="119">
        <f t="shared" si="86"/>
        <v>0</v>
      </c>
      <c r="O480" s="119">
        <f t="shared" si="87"/>
        <v>0</v>
      </c>
      <c r="P480" s="117">
        <f t="shared" si="88"/>
        <v>0</v>
      </c>
      <c r="Q480" s="117">
        <f>SUMIFS(Investors!$M:$M,Investors!$O:$O,FALSE,Investors!$P:$P,FALSE,Investors!$K:$K,"&gt;"&amp;'NSST Print'!$B$3,Investors!$I:$I,"&lt;="&amp;'NSST Print'!$B$3,Investors!$A:$A,'Investor Exit List'!$A480,Investors!$E:$E,'Investor Exit List'!$C480,Investors!$L:$L,'Investor Exit List'!$B480)-(SUMIFS(Investors!$M:$M,Investors!$I:$I,"&lt;="&amp;'NSST Print'!$B$3,Investors!$J:$J,"&gt;"&amp;'NSST Print'!$B$3,Investors!$A:$A,'Investor Exit List'!$A480,Investors!$E:$E,'Investor Exit List'!$C480,Investors!$L:$L,'Investor Exit List'!$B480)+SUMIFS(Investors!$M:$M,Investors!$I:$I,"&lt;="&amp;'NSST Print'!$B$3,Investors!$J:$J,"",Investors!$A:$A,'Investor Exit List'!$A480,Investors!$E:$E,'Investor Exit List'!$C480,Investors!$L:$L,'Investor Exit List'!$B480))+SUMIFS(Investors!$S:$S,Investors!$O:$O,FALSE,Investors!$P:$P,FALSE,Investors!$K:$K,"&gt;"&amp;'NSST Print'!$B$3,Investors!$I:$I,"&lt;="&amp;'NSST Print'!$B$3,Investors!$A:$A,'Investor Exit List'!$A480,Investors!$E:$E,'Investor Exit List'!$C480,Investors!$L:$L,'Investor Exit List'!$B480)-(SUMIFS(Investors!$S:$S,Investors!$I:$I,"&lt;="&amp;'NSST Print'!$B$3,Investors!$J:$J,"&gt;"&amp;'NSST Print'!$B$3,Investors!$A:$A,'Investor Exit List'!$A480,Investors!$E:$E,'Investor Exit List'!$C480,Investors!$L:$L,'Investor Exit List'!$B480)+SUMIFS(Investors!$S:$S,Investors!$I:$I,"&lt;="&amp;'NSST Print'!$B$3,Investors!$J:$J,"",Investors!$A:$A,'Investor Exit List'!$A480,Investors!$E:$E,'Investor Exit List'!$C480,Investors!$L:$L,'Investor Exit List'!$B480))</f>
        <v>0</v>
      </c>
      <c r="R480" s="117">
        <f t="shared" si="89"/>
        <v>0</v>
      </c>
      <c r="S480" s="117">
        <f>SUMIFS(Investors!$M:$M,Investors!$O:$O,TRUE,Investors!$A:$A,'Investor Exit List'!$A480,Investors!$E:$E,'Investor Exit List'!$C480,Investors!$L:$L,'Investor Exit List'!$B480)+SUMIFS(Investors!$S:$S,Investors!$O:$O,TRUE,Investors!$A:$A,'Investor Exit List'!$A480,Investors!$E:$E,'Investor Exit List'!$C480,Investors!$L:$L,'Investor Exit List'!$B480)</f>
        <v>0</v>
      </c>
      <c r="T480" s="118" t="str">
        <f t="shared" si="90"/>
        <v/>
      </c>
      <c r="U480" s="116" t="b">
        <v>0</v>
      </c>
      <c r="V480" s="117">
        <f t="shared" si="91"/>
        <v>0</v>
      </c>
      <c r="W480" s="116">
        <v>0</v>
      </c>
      <c r="X480" s="116" t="b">
        <v>0</v>
      </c>
      <c r="Y480" s="119">
        <f>IF(H480=FALSE,VLOOKUP($C480,Sales!$C:$F,4,FALSE),1)</f>
        <v>1</v>
      </c>
      <c r="Z480" s="116" t="str">
        <f t="shared" si="92"/>
        <v/>
      </c>
      <c r="AA480" s="118">
        <f t="shared" si="93"/>
        <v>0</v>
      </c>
      <c r="AB480" s="118" t="str">
        <f t="shared" si="94"/>
        <v>HVN104-ZDEL01</v>
      </c>
      <c r="AC480" s="118">
        <f t="shared" si="95"/>
        <v>45473</v>
      </c>
    </row>
    <row r="481" spans="1:29" ht="16" x14ac:dyDescent="0.2">
      <c r="A481" s="116" t="s">
        <v>505</v>
      </c>
      <c r="B481" s="116">
        <v>12</v>
      </c>
      <c r="C481" s="116" t="s">
        <v>834</v>
      </c>
      <c r="D481" s="116" t="s">
        <v>822</v>
      </c>
      <c r="E481" s="116" t="s">
        <v>2148</v>
      </c>
      <c r="F481" s="117">
        <f>SUMIFS(Investors!$M:$M,Investors!$O:$O,FALSE,Investors!$P:$P,FALSE,Investors!$K:$K,"&gt;"&amp;'NSST Print'!$B$3,Investors!$I:$I,"&lt;="&amp;'NSST Print'!$B$3,Investors!$A:$A,'Investor Exit List'!$A481,Investors!$E:$E,'Investor Exit List'!$C481,Investors!$L:$L,'Investor Exit List'!$B481)-(SUMIFS(Investors!$M:$M,Investors!$I:$I,"&lt;="&amp;'NSST Print'!$B$3,Investors!$J:$J,"&gt;"&amp;'NSST Print'!$B$3,Investors!$A:$A,'Investor Exit List'!$A481,Investors!$E:$E,'Investor Exit List'!$C481,Investors!$L:$L,'Investor Exit List'!$B481)+SUMIFS(Investors!$M:$M,Investors!$I:$I,"&lt;="&amp;'NSST Print'!$B$3,Investors!$J:$J,"",Investors!$A:$A,'Investor Exit List'!$A481,Investors!$E:$E,'Investor Exit List'!$C481,Investors!$L:$L,'Investor Exit List'!$B481))</f>
        <v>0</v>
      </c>
      <c r="G481" s="118">
        <v>44743</v>
      </c>
      <c r="H481" s="116" t="b">
        <f>VLOOKUP($C481,Sales!$C:$E,2,FALSE)</f>
        <v>1</v>
      </c>
      <c r="I481" s="116" t="b">
        <f>VLOOKUP($C481,Sales!$C:$E,3,FALSE)</f>
        <v>1</v>
      </c>
      <c r="J481" s="118">
        <f>SUMIFS(Sales!$H:$H,Sales!$C:$C,'Investor Exit List'!$C481)</f>
        <v>45369</v>
      </c>
      <c r="K481" s="118">
        <f t="shared" si="84"/>
        <v>45369</v>
      </c>
      <c r="L481" s="118">
        <f t="shared" si="85"/>
        <v>45473</v>
      </c>
      <c r="M481" s="118">
        <v>45443</v>
      </c>
      <c r="N481" s="119">
        <f t="shared" si="86"/>
        <v>0</v>
      </c>
      <c r="O481" s="119">
        <f t="shared" si="87"/>
        <v>0</v>
      </c>
      <c r="P481" s="117">
        <f t="shared" si="88"/>
        <v>0</v>
      </c>
      <c r="Q481" s="117">
        <f>SUMIFS(Investors!$M:$M,Investors!$O:$O,FALSE,Investors!$P:$P,FALSE,Investors!$K:$K,"&gt;"&amp;'NSST Print'!$B$3,Investors!$I:$I,"&lt;="&amp;'NSST Print'!$B$3,Investors!$A:$A,'Investor Exit List'!$A481,Investors!$E:$E,'Investor Exit List'!$C481,Investors!$L:$L,'Investor Exit List'!$B481)-(SUMIFS(Investors!$M:$M,Investors!$I:$I,"&lt;="&amp;'NSST Print'!$B$3,Investors!$J:$J,"&gt;"&amp;'NSST Print'!$B$3,Investors!$A:$A,'Investor Exit List'!$A481,Investors!$E:$E,'Investor Exit List'!$C481,Investors!$L:$L,'Investor Exit List'!$B481)+SUMIFS(Investors!$M:$M,Investors!$I:$I,"&lt;="&amp;'NSST Print'!$B$3,Investors!$J:$J,"",Investors!$A:$A,'Investor Exit List'!$A481,Investors!$E:$E,'Investor Exit List'!$C481,Investors!$L:$L,'Investor Exit List'!$B481))+SUMIFS(Investors!$S:$S,Investors!$O:$O,FALSE,Investors!$P:$P,FALSE,Investors!$K:$K,"&gt;"&amp;'NSST Print'!$B$3,Investors!$I:$I,"&lt;="&amp;'NSST Print'!$B$3,Investors!$A:$A,'Investor Exit List'!$A481,Investors!$E:$E,'Investor Exit List'!$C481,Investors!$L:$L,'Investor Exit List'!$B481)-(SUMIFS(Investors!$S:$S,Investors!$I:$I,"&lt;="&amp;'NSST Print'!$B$3,Investors!$J:$J,"&gt;"&amp;'NSST Print'!$B$3,Investors!$A:$A,'Investor Exit List'!$A481,Investors!$E:$E,'Investor Exit List'!$C481,Investors!$L:$L,'Investor Exit List'!$B481)+SUMIFS(Investors!$S:$S,Investors!$I:$I,"&lt;="&amp;'NSST Print'!$B$3,Investors!$J:$J,"",Investors!$A:$A,'Investor Exit List'!$A481,Investors!$E:$E,'Investor Exit List'!$C481,Investors!$L:$L,'Investor Exit List'!$B481))</f>
        <v>0</v>
      </c>
      <c r="R481" s="117">
        <f t="shared" si="89"/>
        <v>0</v>
      </c>
      <c r="S481" s="117">
        <f>SUMIFS(Investors!$M:$M,Investors!$O:$O,TRUE,Investors!$A:$A,'Investor Exit List'!$A481,Investors!$E:$E,'Investor Exit List'!$C481,Investors!$L:$L,'Investor Exit List'!$B481)+SUMIFS(Investors!$S:$S,Investors!$O:$O,TRUE,Investors!$A:$A,'Investor Exit List'!$A481,Investors!$E:$E,'Investor Exit List'!$C481,Investors!$L:$L,'Investor Exit List'!$B481)</f>
        <v>0</v>
      </c>
      <c r="T481" s="118" t="str">
        <f t="shared" si="90"/>
        <v/>
      </c>
      <c r="U481" s="116" t="b">
        <v>0</v>
      </c>
      <c r="V481" s="117">
        <f t="shared" si="91"/>
        <v>0</v>
      </c>
      <c r="W481" s="116">
        <v>0</v>
      </c>
      <c r="X481" s="116" t="b">
        <v>0</v>
      </c>
      <c r="Y481" s="119">
        <f>IF(H481=FALSE,VLOOKUP($C481,Sales!$C:$F,4,FALSE),1)</f>
        <v>1</v>
      </c>
      <c r="Z481" s="116" t="str">
        <f t="shared" si="92"/>
        <v/>
      </c>
      <c r="AA481" s="118">
        <f t="shared" si="93"/>
        <v>0</v>
      </c>
      <c r="AB481" s="118" t="str">
        <f t="shared" si="94"/>
        <v>HVN104-ZLEB01</v>
      </c>
      <c r="AC481" s="118">
        <f t="shared" si="95"/>
        <v>45473</v>
      </c>
    </row>
    <row r="482" spans="1:29" ht="16" x14ac:dyDescent="0.2">
      <c r="A482" s="116" t="s">
        <v>304</v>
      </c>
      <c r="B482" s="116">
        <v>5</v>
      </c>
      <c r="C482" s="116" t="s">
        <v>835</v>
      </c>
      <c r="D482" s="116" t="s">
        <v>822</v>
      </c>
      <c r="E482" s="116" t="s">
        <v>2093</v>
      </c>
      <c r="F482" s="117">
        <f>SUMIFS(Investors!$M:$M,Investors!$O:$O,FALSE,Investors!$P:$P,FALSE,Investors!$K:$K,"&gt;"&amp;'NSST Print'!$B$3,Investors!$I:$I,"&lt;="&amp;'NSST Print'!$B$3,Investors!$A:$A,'Investor Exit List'!$A482,Investors!$E:$E,'Investor Exit List'!$C482,Investors!$L:$L,'Investor Exit List'!$B482)-(SUMIFS(Investors!$M:$M,Investors!$I:$I,"&lt;="&amp;'NSST Print'!$B$3,Investors!$J:$J,"&gt;"&amp;'NSST Print'!$B$3,Investors!$A:$A,'Investor Exit List'!$A482,Investors!$E:$E,'Investor Exit List'!$C482,Investors!$L:$L,'Investor Exit List'!$B482)+SUMIFS(Investors!$M:$M,Investors!$I:$I,"&lt;="&amp;'NSST Print'!$B$3,Investors!$J:$J,"",Investors!$A:$A,'Investor Exit List'!$A482,Investors!$E:$E,'Investor Exit List'!$C482,Investors!$L:$L,'Investor Exit List'!$B482))</f>
        <v>0</v>
      </c>
      <c r="G482" s="118">
        <v>44743</v>
      </c>
      <c r="H482" s="116" t="b">
        <f>VLOOKUP($C482,Sales!$C:$E,2,FALSE)</f>
        <v>1</v>
      </c>
      <c r="I482" s="116" t="b">
        <f>VLOOKUP($C482,Sales!$C:$E,3,FALSE)</f>
        <v>1</v>
      </c>
      <c r="J482" s="118">
        <f>SUMIFS(Sales!$H:$H,Sales!$C:$C,'Investor Exit List'!$C482)</f>
        <v>45688</v>
      </c>
      <c r="K482" s="118">
        <f t="shared" si="84"/>
        <v>45688</v>
      </c>
      <c r="L482" s="118">
        <f t="shared" si="85"/>
        <v>45473</v>
      </c>
      <c r="M482" s="118">
        <v>45443</v>
      </c>
      <c r="N482" s="119">
        <f t="shared" si="86"/>
        <v>0</v>
      </c>
      <c r="O482" s="119">
        <f t="shared" si="87"/>
        <v>0</v>
      </c>
      <c r="P482" s="117">
        <f t="shared" si="88"/>
        <v>0</v>
      </c>
      <c r="Q482" s="117">
        <f>SUMIFS(Investors!$M:$M,Investors!$O:$O,FALSE,Investors!$P:$P,FALSE,Investors!$K:$K,"&gt;"&amp;'NSST Print'!$B$3,Investors!$I:$I,"&lt;="&amp;'NSST Print'!$B$3,Investors!$A:$A,'Investor Exit List'!$A482,Investors!$E:$E,'Investor Exit List'!$C482,Investors!$L:$L,'Investor Exit List'!$B482)-(SUMIFS(Investors!$M:$M,Investors!$I:$I,"&lt;="&amp;'NSST Print'!$B$3,Investors!$J:$J,"&gt;"&amp;'NSST Print'!$B$3,Investors!$A:$A,'Investor Exit List'!$A482,Investors!$E:$E,'Investor Exit List'!$C482,Investors!$L:$L,'Investor Exit List'!$B482)+SUMIFS(Investors!$M:$M,Investors!$I:$I,"&lt;="&amp;'NSST Print'!$B$3,Investors!$J:$J,"",Investors!$A:$A,'Investor Exit List'!$A482,Investors!$E:$E,'Investor Exit List'!$C482,Investors!$L:$L,'Investor Exit List'!$B482))+SUMIFS(Investors!$S:$S,Investors!$O:$O,FALSE,Investors!$P:$P,FALSE,Investors!$K:$K,"&gt;"&amp;'NSST Print'!$B$3,Investors!$I:$I,"&lt;="&amp;'NSST Print'!$B$3,Investors!$A:$A,'Investor Exit List'!$A482,Investors!$E:$E,'Investor Exit List'!$C482,Investors!$L:$L,'Investor Exit List'!$B482)-(SUMIFS(Investors!$S:$S,Investors!$I:$I,"&lt;="&amp;'NSST Print'!$B$3,Investors!$J:$J,"&gt;"&amp;'NSST Print'!$B$3,Investors!$A:$A,'Investor Exit List'!$A482,Investors!$E:$E,'Investor Exit List'!$C482,Investors!$L:$L,'Investor Exit List'!$B482)+SUMIFS(Investors!$S:$S,Investors!$I:$I,"&lt;="&amp;'NSST Print'!$B$3,Investors!$J:$J,"",Investors!$A:$A,'Investor Exit List'!$A482,Investors!$E:$E,'Investor Exit List'!$C482,Investors!$L:$L,'Investor Exit List'!$B482))</f>
        <v>0</v>
      </c>
      <c r="R482" s="117">
        <f t="shared" si="89"/>
        <v>0</v>
      </c>
      <c r="S482" s="117">
        <f>SUMIFS(Investors!$M:$M,Investors!$O:$O,TRUE,Investors!$A:$A,'Investor Exit List'!$A482,Investors!$E:$E,'Investor Exit List'!$C482,Investors!$L:$L,'Investor Exit List'!$B482)+SUMIFS(Investors!$S:$S,Investors!$O:$O,TRUE,Investors!$A:$A,'Investor Exit List'!$A482,Investors!$E:$E,'Investor Exit List'!$C482,Investors!$L:$L,'Investor Exit List'!$B482)</f>
        <v>0</v>
      </c>
      <c r="T482" s="118" t="str">
        <f t="shared" si="90"/>
        <v/>
      </c>
      <c r="U482" s="116" t="b">
        <v>0</v>
      </c>
      <c r="V482" s="117">
        <f t="shared" si="91"/>
        <v>0</v>
      </c>
      <c r="W482" s="116">
        <v>0</v>
      </c>
      <c r="X482" s="116" t="b">
        <v>0</v>
      </c>
      <c r="Y482" s="119">
        <f>IF(H482=FALSE,VLOOKUP($C482,Sales!$C:$F,4,FALSE),1)</f>
        <v>1</v>
      </c>
      <c r="Z482" s="116" t="str">
        <f t="shared" si="92"/>
        <v/>
      </c>
      <c r="AA482" s="118">
        <f t="shared" si="93"/>
        <v>0</v>
      </c>
      <c r="AB482" s="118" t="str">
        <f t="shared" si="94"/>
        <v>HVN201-ZDEL01</v>
      </c>
      <c r="AC482" s="118">
        <f t="shared" si="95"/>
        <v>45473</v>
      </c>
    </row>
    <row r="483" spans="1:29" ht="16" x14ac:dyDescent="0.2">
      <c r="A483" s="116" t="s">
        <v>836</v>
      </c>
      <c r="B483" s="116">
        <v>1</v>
      </c>
      <c r="C483" s="116" t="s">
        <v>838</v>
      </c>
      <c r="D483" s="116" t="s">
        <v>822</v>
      </c>
      <c r="E483" s="116" t="s">
        <v>2220</v>
      </c>
      <c r="F483" s="117">
        <f>SUMIFS(Investors!$M:$M,Investors!$O:$O,FALSE,Investors!$P:$P,FALSE,Investors!$K:$K,"&gt;"&amp;'NSST Print'!$B$3,Investors!$I:$I,"&lt;="&amp;'NSST Print'!$B$3,Investors!$A:$A,'Investor Exit List'!$A483,Investors!$E:$E,'Investor Exit List'!$C483,Investors!$L:$L,'Investor Exit List'!$B483)-(SUMIFS(Investors!$M:$M,Investors!$I:$I,"&lt;="&amp;'NSST Print'!$B$3,Investors!$J:$J,"&gt;"&amp;'NSST Print'!$B$3,Investors!$A:$A,'Investor Exit List'!$A483,Investors!$E:$E,'Investor Exit List'!$C483,Investors!$L:$L,'Investor Exit List'!$B483)+SUMIFS(Investors!$M:$M,Investors!$I:$I,"&lt;="&amp;'NSST Print'!$B$3,Investors!$J:$J,"",Investors!$A:$A,'Investor Exit List'!$A483,Investors!$E:$E,'Investor Exit List'!$C483,Investors!$L:$L,'Investor Exit List'!$B483))</f>
        <v>0</v>
      </c>
      <c r="G483" s="118">
        <v>44770</v>
      </c>
      <c r="H483" s="116" t="b">
        <f>VLOOKUP($C483,Sales!$C:$E,2,FALSE)</f>
        <v>1</v>
      </c>
      <c r="I483" s="116" t="b">
        <f>VLOOKUP($C483,Sales!$C:$E,3,FALSE)</f>
        <v>1</v>
      </c>
      <c r="J483" s="118">
        <f>SUMIFS(Sales!$H:$H,Sales!$C:$C,'Investor Exit List'!$C483)</f>
        <v>45688</v>
      </c>
      <c r="K483" s="118">
        <f t="shared" si="84"/>
        <v>45688</v>
      </c>
      <c r="L483" s="118">
        <f t="shared" si="85"/>
        <v>45500</v>
      </c>
      <c r="M483" s="118">
        <v>45443</v>
      </c>
      <c r="N483" s="119">
        <f t="shared" si="86"/>
        <v>0</v>
      </c>
      <c r="O483" s="119">
        <f t="shared" si="87"/>
        <v>0</v>
      </c>
      <c r="P483" s="117">
        <f t="shared" si="88"/>
        <v>0</v>
      </c>
      <c r="Q483" s="117">
        <f>SUMIFS(Investors!$M:$M,Investors!$O:$O,FALSE,Investors!$P:$P,FALSE,Investors!$K:$K,"&gt;"&amp;'NSST Print'!$B$3,Investors!$I:$I,"&lt;="&amp;'NSST Print'!$B$3,Investors!$A:$A,'Investor Exit List'!$A483,Investors!$E:$E,'Investor Exit List'!$C483,Investors!$L:$L,'Investor Exit List'!$B483)-(SUMIFS(Investors!$M:$M,Investors!$I:$I,"&lt;="&amp;'NSST Print'!$B$3,Investors!$J:$J,"&gt;"&amp;'NSST Print'!$B$3,Investors!$A:$A,'Investor Exit List'!$A483,Investors!$E:$E,'Investor Exit List'!$C483,Investors!$L:$L,'Investor Exit List'!$B483)+SUMIFS(Investors!$M:$M,Investors!$I:$I,"&lt;="&amp;'NSST Print'!$B$3,Investors!$J:$J,"",Investors!$A:$A,'Investor Exit List'!$A483,Investors!$E:$E,'Investor Exit List'!$C483,Investors!$L:$L,'Investor Exit List'!$B483))+SUMIFS(Investors!$S:$S,Investors!$O:$O,FALSE,Investors!$P:$P,FALSE,Investors!$K:$K,"&gt;"&amp;'NSST Print'!$B$3,Investors!$I:$I,"&lt;="&amp;'NSST Print'!$B$3,Investors!$A:$A,'Investor Exit List'!$A483,Investors!$E:$E,'Investor Exit List'!$C483,Investors!$L:$L,'Investor Exit List'!$B483)-(SUMIFS(Investors!$S:$S,Investors!$I:$I,"&lt;="&amp;'NSST Print'!$B$3,Investors!$J:$J,"&gt;"&amp;'NSST Print'!$B$3,Investors!$A:$A,'Investor Exit List'!$A483,Investors!$E:$E,'Investor Exit List'!$C483,Investors!$L:$L,'Investor Exit List'!$B483)+SUMIFS(Investors!$S:$S,Investors!$I:$I,"&lt;="&amp;'NSST Print'!$B$3,Investors!$J:$J,"",Investors!$A:$A,'Investor Exit List'!$A483,Investors!$E:$E,'Investor Exit List'!$C483,Investors!$L:$L,'Investor Exit List'!$B483))</f>
        <v>0</v>
      </c>
      <c r="R483" s="117">
        <f t="shared" si="89"/>
        <v>0</v>
      </c>
      <c r="S483" s="117">
        <f>SUMIFS(Investors!$M:$M,Investors!$O:$O,TRUE,Investors!$A:$A,'Investor Exit List'!$A483,Investors!$E:$E,'Investor Exit List'!$C483,Investors!$L:$L,'Investor Exit List'!$B483)+SUMIFS(Investors!$S:$S,Investors!$O:$O,TRUE,Investors!$A:$A,'Investor Exit List'!$A483,Investors!$E:$E,'Investor Exit List'!$C483,Investors!$L:$L,'Investor Exit List'!$B483)</f>
        <v>0</v>
      </c>
      <c r="T483" s="118" t="str">
        <f t="shared" si="90"/>
        <v/>
      </c>
      <c r="U483" s="116" t="b">
        <v>0</v>
      </c>
      <c r="V483" s="117">
        <f t="shared" si="91"/>
        <v>0</v>
      </c>
      <c r="W483" s="116">
        <v>0</v>
      </c>
      <c r="X483" s="116" t="b">
        <v>0</v>
      </c>
      <c r="Y483" s="119">
        <f>IF(H483=FALSE,VLOOKUP($C483,Sales!$C:$F,4,FALSE),1)</f>
        <v>1</v>
      </c>
      <c r="Z483" s="116" t="str">
        <f t="shared" si="92"/>
        <v/>
      </c>
      <c r="AA483" s="118">
        <f t="shared" si="93"/>
        <v>0</v>
      </c>
      <c r="AB483" s="118" t="str">
        <f t="shared" si="94"/>
        <v>HVN202-ZERF01</v>
      </c>
      <c r="AC483" s="118">
        <f t="shared" si="95"/>
        <v>45500</v>
      </c>
    </row>
    <row r="484" spans="1:29" ht="16" x14ac:dyDescent="0.2">
      <c r="A484" s="116" t="s">
        <v>304</v>
      </c>
      <c r="B484" s="116">
        <v>6</v>
      </c>
      <c r="C484" s="116" t="s">
        <v>839</v>
      </c>
      <c r="D484" s="116" t="s">
        <v>822</v>
      </c>
      <c r="E484" s="116" t="s">
        <v>2093</v>
      </c>
      <c r="F484" s="117">
        <f>SUMIFS(Investors!$M:$M,Investors!$O:$O,FALSE,Investors!$P:$P,FALSE,Investors!$K:$K,"&gt;"&amp;'NSST Print'!$B$3,Investors!$I:$I,"&lt;="&amp;'NSST Print'!$B$3,Investors!$A:$A,'Investor Exit List'!$A484,Investors!$E:$E,'Investor Exit List'!$C484,Investors!$L:$L,'Investor Exit List'!$B484)-(SUMIFS(Investors!$M:$M,Investors!$I:$I,"&lt;="&amp;'NSST Print'!$B$3,Investors!$J:$J,"&gt;"&amp;'NSST Print'!$B$3,Investors!$A:$A,'Investor Exit List'!$A484,Investors!$E:$E,'Investor Exit List'!$C484,Investors!$L:$L,'Investor Exit List'!$B484)+SUMIFS(Investors!$M:$M,Investors!$I:$I,"&lt;="&amp;'NSST Print'!$B$3,Investors!$J:$J,"",Investors!$A:$A,'Investor Exit List'!$A484,Investors!$E:$E,'Investor Exit List'!$C484,Investors!$L:$L,'Investor Exit List'!$B484))</f>
        <v>0</v>
      </c>
      <c r="G484" s="118">
        <v>44743</v>
      </c>
      <c r="H484" s="116" t="b">
        <f>VLOOKUP($C484,Sales!$C:$E,2,FALSE)</f>
        <v>1</v>
      </c>
      <c r="I484" s="116" t="b">
        <f>VLOOKUP($C484,Sales!$C:$E,3,FALSE)</f>
        <v>1</v>
      </c>
      <c r="J484" s="118">
        <f>SUMIFS(Sales!$H:$H,Sales!$C:$C,'Investor Exit List'!$C484)</f>
        <v>45688</v>
      </c>
      <c r="K484" s="118">
        <f t="shared" si="84"/>
        <v>45688</v>
      </c>
      <c r="L484" s="118">
        <f t="shared" si="85"/>
        <v>45473</v>
      </c>
      <c r="M484" s="118">
        <v>45443</v>
      </c>
      <c r="N484" s="119">
        <f t="shared" si="86"/>
        <v>0</v>
      </c>
      <c r="O484" s="119">
        <f t="shared" si="87"/>
        <v>0</v>
      </c>
      <c r="P484" s="117">
        <f t="shared" si="88"/>
        <v>0</v>
      </c>
      <c r="Q484" s="117">
        <f>SUMIFS(Investors!$M:$M,Investors!$O:$O,FALSE,Investors!$P:$P,FALSE,Investors!$K:$K,"&gt;"&amp;'NSST Print'!$B$3,Investors!$I:$I,"&lt;="&amp;'NSST Print'!$B$3,Investors!$A:$A,'Investor Exit List'!$A484,Investors!$E:$E,'Investor Exit List'!$C484,Investors!$L:$L,'Investor Exit List'!$B484)-(SUMIFS(Investors!$M:$M,Investors!$I:$I,"&lt;="&amp;'NSST Print'!$B$3,Investors!$J:$J,"&gt;"&amp;'NSST Print'!$B$3,Investors!$A:$A,'Investor Exit List'!$A484,Investors!$E:$E,'Investor Exit List'!$C484,Investors!$L:$L,'Investor Exit List'!$B484)+SUMIFS(Investors!$M:$M,Investors!$I:$I,"&lt;="&amp;'NSST Print'!$B$3,Investors!$J:$J,"",Investors!$A:$A,'Investor Exit List'!$A484,Investors!$E:$E,'Investor Exit List'!$C484,Investors!$L:$L,'Investor Exit List'!$B484))+SUMIFS(Investors!$S:$S,Investors!$O:$O,FALSE,Investors!$P:$P,FALSE,Investors!$K:$K,"&gt;"&amp;'NSST Print'!$B$3,Investors!$I:$I,"&lt;="&amp;'NSST Print'!$B$3,Investors!$A:$A,'Investor Exit List'!$A484,Investors!$E:$E,'Investor Exit List'!$C484,Investors!$L:$L,'Investor Exit List'!$B484)-(SUMIFS(Investors!$S:$S,Investors!$I:$I,"&lt;="&amp;'NSST Print'!$B$3,Investors!$J:$J,"&gt;"&amp;'NSST Print'!$B$3,Investors!$A:$A,'Investor Exit List'!$A484,Investors!$E:$E,'Investor Exit List'!$C484,Investors!$L:$L,'Investor Exit List'!$B484)+SUMIFS(Investors!$S:$S,Investors!$I:$I,"&lt;="&amp;'NSST Print'!$B$3,Investors!$J:$J,"",Investors!$A:$A,'Investor Exit List'!$A484,Investors!$E:$E,'Investor Exit List'!$C484,Investors!$L:$L,'Investor Exit List'!$B484))</f>
        <v>0</v>
      </c>
      <c r="R484" s="117">
        <f t="shared" si="89"/>
        <v>0</v>
      </c>
      <c r="S484" s="117">
        <f>SUMIFS(Investors!$M:$M,Investors!$O:$O,TRUE,Investors!$A:$A,'Investor Exit List'!$A484,Investors!$E:$E,'Investor Exit List'!$C484,Investors!$L:$L,'Investor Exit List'!$B484)+SUMIFS(Investors!$S:$S,Investors!$O:$O,TRUE,Investors!$A:$A,'Investor Exit List'!$A484,Investors!$E:$E,'Investor Exit List'!$C484,Investors!$L:$L,'Investor Exit List'!$B484)</f>
        <v>323047.94520547945</v>
      </c>
      <c r="T484" s="118">
        <f t="shared" si="90"/>
        <v>45688</v>
      </c>
      <c r="U484" s="116" t="b">
        <v>1</v>
      </c>
      <c r="V484" s="117">
        <f t="shared" si="91"/>
        <v>323047.94520547945</v>
      </c>
      <c r="W484" s="116">
        <v>0</v>
      </c>
      <c r="X484" s="116" t="b">
        <v>0</v>
      </c>
      <c r="Y484" s="119">
        <f>IF(H484=FALSE,VLOOKUP($C484,Sales!$C:$F,4,FALSE),1)</f>
        <v>1</v>
      </c>
      <c r="Z484" s="116" t="str">
        <f t="shared" si="92"/>
        <v/>
      </c>
      <c r="AA484" s="118">
        <f t="shared" si="93"/>
        <v>0</v>
      </c>
      <c r="AB484" s="118" t="str">
        <f t="shared" si="94"/>
        <v>HVN203-ZDEL01</v>
      </c>
      <c r="AC484" s="118">
        <f t="shared" si="95"/>
        <v>45473</v>
      </c>
    </row>
    <row r="485" spans="1:29" ht="16" x14ac:dyDescent="0.2">
      <c r="A485" s="116" t="s">
        <v>830</v>
      </c>
      <c r="B485" s="116">
        <v>2</v>
      </c>
      <c r="C485" s="116" t="s">
        <v>839</v>
      </c>
      <c r="D485" s="116" t="s">
        <v>822</v>
      </c>
      <c r="E485" s="116" t="s">
        <v>2219</v>
      </c>
      <c r="F485" s="117">
        <f>SUMIFS(Investors!$M:$M,Investors!$O:$O,FALSE,Investors!$P:$P,FALSE,Investors!$K:$K,"&gt;"&amp;'NSST Print'!$B$3,Investors!$I:$I,"&lt;="&amp;'NSST Print'!$B$3,Investors!$A:$A,'Investor Exit List'!$A485,Investors!$E:$E,'Investor Exit List'!$C485,Investors!$L:$L,'Investor Exit List'!$B485)-(SUMIFS(Investors!$M:$M,Investors!$I:$I,"&lt;="&amp;'NSST Print'!$B$3,Investors!$J:$J,"&gt;"&amp;'NSST Print'!$B$3,Investors!$A:$A,'Investor Exit List'!$A485,Investors!$E:$E,'Investor Exit List'!$C485,Investors!$L:$L,'Investor Exit List'!$B485)+SUMIFS(Investors!$M:$M,Investors!$I:$I,"&lt;="&amp;'NSST Print'!$B$3,Investors!$J:$J,"",Investors!$A:$A,'Investor Exit List'!$A485,Investors!$E:$E,'Investor Exit List'!$C485,Investors!$L:$L,'Investor Exit List'!$B485))</f>
        <v>0</v>
      </c>
      <c r="G485" s="118">
        <v>44757</v>
      </c>
      <c r="H485" s="116" t="b">
        <f>VLOOKUP($C485,Sales!$C:$E,2,FALSE)</f>
        <v>1</v>
      </c>
      <c r="I485" s="116" t="b">
        <f>VLOOKUP($C485,Sales!$C:$E,3,FALSE)</f>
        <v>1</v>
      </c>
      <c r="J485" s="118">
        <f>SUMIFS(Sales!$H:$H,Sales!$C:$C,'Investor Exit List'!$C485)</f>
        <v>45688</v>
      </c>
      <c r="K485" s="118">
        <f t="shared" si="84"/>
        <v>45688</v>
      </c>
      <c r="L485" s="118">
        <f t="shared" si="85"/>
        <v>45487</v>
      </c>
      <c r="M485" s="118">
        <v>45443</v>
      </c>
      <c r="N485" s="119">
        <f t="shared" si="86"/>
        <v>0</v>
      </c>
      <c r="O485" s="119">
        <f t="shared" si="87"/>
        <v>0</v>
      </c>
      <c r="P485" s="117">
        <f t="shared" si="88"/>
        <v>0</v>
      </c>
      <c r="Q485" s="117">
        <f>SUMIFS(Investors!$M:$M,Investors!$O:$O,FALSE,Investors!$P:$P,FALSE,Investors!$K:$K,"&gt;"&amp;'NSST Print'!$B$3,Investors!$I:$I,"&lt;="&amp;'NSST Print'!$B$3,Investors!$A:$A,'Investor Exit List'!$A485,Investors!$E:$E,'Investor Exit List'!$C485,Investors!$L:$L,'Investor Exit List'!$B485)-(SUMIFS(Investors!$M:$M,Investors!$I:$I,"&lt;="&amp;'NSST Print'!$B$3,Investors!$J:$J,"&gt;"&amp;'NSST Print'!$B$3,Investors!$A:$A,'Investor Exit List'!$A485,Investors!$E:$E,'Investor Exit List'!$C485,Investors!$L:$L,'Investor Exit List'!$B485)+SUMIFS(Investors!$M:$M,Investors!$I:$I,"&lt;="&amp;'NSST Print'!$B$3,Investors!$J:$J,"",Investors!$A:$A,'Investor Exit List'!$A485,Investors!$E:$E,'Investor Exit List'!$C485,Investors!$L:$L,'Investor Exit List'!$B485))+SUMIFS(Investors!$S:$S,Investors!$O:$O,FALSE,Investors!$P:$P,FALSE,Investors!$K:$K,"&gt;"&amp;'NSST Print'!$B$3,Investors!$I:$I,"&lt;="&amp;'NSST Print'!$B$3,Investors!$A:$A,'Investor Exit List'!$A485,Investors!$E:$E,'Investor Exit List'!$C485,Investors!$L:$L,'Investor Exit List'!$B485)-(SUMIFS(Investors!$S:$S,Investors!$I:$I,"&lt;="&amp;'NSST Print'!$B$3,Investors!$J:$J,"&gt;"&amp;'NSST Print'!$B$3,Investors!$A:$A,'Investor Exit List'!$A485,Investors!$E:$E,'Investor Exit List'!$C485,Investors!$L:$L,'Investor Exit List'!$B485)+SUMIFS(Investors!$S:$S,Investors!$I:$I,"&lt;="&amp;'NSST Print'!$B$3,Investors!$J:$J,"",Investors!$A:$A,'Investor Exit List'!$A485,Investors!$E:$E,'Investor Exit List'!$C485,Investors!$L:$L,'Investor Exit List'!$B485))</f>
        <v>0</v>
      </c>
      <c r="R485" s="117">
        <f t="shared" si="89"/>
        <v>0</v>
      </c>
      <c r="S485" s="117">
        <f>SUMIFS(Investors!$M:$M,Investors!$O:$O,TRUE,Investors!$A:$A,'Investor Exit List'!$A485,Investors!$E:$E,'Investor Exit List'!$C485,Investors!$L:$L,'Investor Exit List'!$B485)+SUMIFS(Investors!$S:$S,Investors!$O:$O,TRUE,Investors!$A:$A,'Investor Exit List'!$A485,Investors!$E:$E,'Investor Exit List'!$C485,Investors!$L:$L,'Investor Exit List'!$B485)</f>
        <v>0</v>
      </c>
      <c r="T485" s="118" t="str">
        <f t="shared" si="90"/>
        <v/>
      </c>
      <c r="U485" s="116" t="b">
        <v>0</v>
      </c>
      <c r="V485" s="117">
        <f t="shared" si="91"/>
        <v>0</v>
      </c>
      <c r="W485" s="116">
        <v>0</v>
      </c>
      <c r="X485" s="116" t="b">
        <v>0</v>
      </c>
      <c r="Y485" s="119">
        <f>IF(H485=FALSE,VLOOKUP($C485,Sales!$C:$F,4,FALSE),1)</f>
        <v>1</v>
      </c>
      <c r="Z485" s="116" t="str">
        <f t="shared" si="92"/>
        <v/>
      </c>
      <c r="AA485" s="118">
        <f t="shared" si="93"/>
        <v>0</v>
      </c>
      <c r="AB485" s="118" t="str">
        <f t="shared" si="94"/>
        <v>HVN203-ZLER01</v>
      </c>
      <c r="AC485" s="118">
        <f t="shared" si="95"/>
        <v>45487</v>
      </c>
    </row>
    <row r="486" spans="1:29" ht="16" x14ac:dyDescent="0.2">
      <c r="A486" s="116" t="s">
        <v>840</v>
      </c>
      <c r="B486" s="116">
        <v>1</v>
      </c>
      <c r="C486" s="116" t="s">
        <v>843</v>
      </c>
      <c r="D486" s="116" t="s">
        <v>822</v>
      </c>
      <c r="E486" s="116" t="s">
        <v>2221</v>
      </c>
      <c r="F486" s="117">
        <f>SUMIFS(Investors!$M:$M,Investors!$O:$O,FALSE,Investors!$P:$P,FALSE,Investors!$K:$K,"&gt;"&amp;'NSST Print'!$B$3,Investors!$I:$I,"&lt;="&amp;'NSST Print'!$B$3,Investors!$A:$A,'Investor Exit List'!$A486,Investors!$E:$E,'Investor Exit List'!$C486,Investors!$L:$L,'Investor Exit List'!$B486)-(SUMIFS(Investors!$M:$M,Investors!$I:$I,"&lt;="&amp;'NSST Print'!$B$3,Investors!$J:$J,"&gt;"&amp;'NSST Print'!$B$3,Investors!$A:$A,'Investor Exit List'!$A486,Investors!$E:$E,'Investor Exit List'!$C486,Investors!$L:$L,'Investor Exit List'!$B486)+SUMIFS(Investors!$M:$M,Investors!$I:$I,"&lt;="&amp;'NSST Print'!$B$3,Investors!$J:$J,"",Investors!$A:$A,'Investor Exit List'!$A486,Investors!$E:$E,'Investor Exit List'!$C486,Investors!$L:$L,'Investor Exit List'!$B486))</f>
        <v>0</v>
      </c>
      <c r="G486" s="118">
        <v>44763</v>
      </c>
      <c r="H486" s="116" t="b">
        <f>VLOOKUP($C486,Sales!$C:$E,2,FALSE)</f>
        <v>1</v>
      </c>
      <c r="I486" s="116" t="b">
        <f>VLOOKUP($C486,Sales!$C:$E,3,FALSE)</f>
        <v>1</v>
      </c>
      <c r="J486" s="118">
        <f>SUMIFS(Sales!$H:$H,Sales!$C:$C,'Investor Exit List'!$C486)</f>
        <v>45688</v>
      </c>
      <c r="K486" s="118">
        <f t="shared" si="84"/>
        <v>45688</v>
      </c>
      <c r="L486" s="118">
        <f t="shared" si="85"/>
        <v>45493</v>
      </c>
      <c r="M486" s="118">
        <v>45443</v>
      </c>
      <c r="N486" s="119">
        <f t="shared" si="86"/>
        <v>0</v>
      </c>
      <c r="O486" s="119">
        <f t="shared" si="87"/>
        <v>0</v>
      </c>
      <c r="P486" s="117">
        <f t="shared" si="88"/>
        <v>0</v>
      </c>
      <c r="Q486" s="117">
        <f>SUMIFS(Investors!$M:$M,Investors!$O:$O,FALSE,Investors!$P:$P,FALSE,Investors!$K:$K,"&gt;"&amp;'NSST Print'!$B$3,Investors!$I:$I,"&lt;="&amp;'NSST Print'!$B$3,Investors!$A:$A,'Investor Exit List'!$A486,Investors!$E:$E,'Investor Exit List'!$C486,Investors!$L:$L,'Investor Exit List'!$B486)-(SUMIFS(Investors!$M:$M,Investors!$I:$I,"&lt;="&amp;'NSST Print'!$B$3,Investors!$J:$J,"&gt;"&amp;'NSST Print'!$B$3,Investors!$A:$A,'Investor Exit List'!$A486,Investors!$E:$E,'Investor Exit List'!$C486,Investors!$L:$L,'Investor Exit List'!$B486)+SUMIFS(Investors!$M:$M,Investors!$I:$I,"&lt;="&amp;'NSST Print'!$B$3,Investors!$J:$J,"",Investors!$A:$A,'Investor Exit List'!$A486,Investors!$E:$E,'Investor Exit List'!$C486,Investors!$L:$L,'Investor Exit List'!$B486))+SUMIFS(Investors!$S:$S,Investors!$O:$O,FALSE,Investors!$P:$P,FALSE,Investors!$K:$K,"&gt;"&amp;'NSST Print'!$B$3,Investors!$I:$I,"&lt;="&amp;'NSST Print'!$B$3,Investors!$A:$A,'Investor Exit List'!$A486,Investors!$E:$E,'Investor Exit List'!$C486,Investors!$L:$L,'Investor Exit List'!$B486)-(SUMIFS(Investors!$S:$S,Investors!$I:$I,"&lt;="&amp;'NSST Print'!$B$3,Investors!$J:$J,"&gt;"&amp;'NSST Print'!$B$3,Investors!$A:$A,'Investor Exit List'!$A486,Investors!$E:$E,'Investor Exit List'!$C486,Investors!$L:$L,'Investor Exit List'!$B486)+SUMIFS(Investors!$S:$S,Investors!$I:$I,"&lt;="&amp;'NSST Print'!$B$3,Investors!$J:$J,"",Investors!$A:$A,'Investor Exit List'!$A486,Investors!$E:$E,'Investor Exit List'!$C486,Investors!$L:$L,'Investor Exit List'!$B486))</f>
        <v>0</v>
      </c>
      <c r="R486" s="117">
        <f t="shared" si="89"/>
        <v>0</v>
      </c>
      <c r="S486" s="117">
        <f>SUMIFS(Investors!$M:$M,Investors!$O:$O,TRUE,Investors!$A:$A,'Investor Exit List'!$A486,Investors!$E:$E,'Investor Exit List'!$C486,Investors!$L:$L,'Investor Exit List'!$B486)+SUMIFS(Investors!$S:$S,Investors!$O:$O,TRUE,Investors!$A:$A,'Investor Exit List'!$A486,Investors!$E:$E,'Investor Exit List'!$C486,Investors!$L:$L,'Investor Exit List'!$B486)</f>
        <v>0</v>
      </c>
      <c r="T486" s="118" t="str">
        <f t="shared" si="90"/>
        <v/>
      </c>
      <c r="U486" s="116" t="b">
        <v>0</v>
      </c>
      <c r="V486" s="117">
        <f t="shared" si="91"/>
        <v>0</v>
      </c>
      <c r="W486" s="116">
        <v>0</v>
      </c>
      <c r="X486" s="116" t="b">
        <v>0</v>
      </c>
      <c r="Y486" s="119">
        <f>IF(H486=FALSE,VLOOKUP($C486,Sales!$C:$F,4,FALSE),1)</f>
        <v>1</v>
      </c>
      <c r="Z486" s="116" t="str">
        <f t="shared" si="92"/>
        <v/>
      </c>
      <c r="AA486" s="118">
        <f t="shared" si="93"/>
        <v>0</v>
      </c>
      <c r="AB486" s="118" t="str">
        <f t="shared" si="94"/>
        <v>HVN204-ZVAL03</v>
      </c>
      <c r="AC486" s="118">
        <f t="shared" si="95"/>
        <v>45493</v>
      </c>
    </row>
    <row r="487" spans="1:29" ht="16" x14ac:dyDescent="0.2">
      <c r="A487" s="116" t="s">
        <v>304</v>
      </c>
      <c r="B487" s="116">
        <v>7</v>
      </c>
      <c r="C487" s="116" t="s">
        <v>844</v>
      </c>
      <c r="D487" s="116" t="s">
        <v>822</v>
      </c>
      <c r="E487" s="116" t="s">
        <v>2093</v>
      </c>
      <c r="F487" s="117">
        <f>SUMIFS(Investors!$M:$M,Investors!$O:$O,FALSE,Investors!$P:$P,FALSE,Investors!$K:$K,"&gt;"&amp;'NSST Print'!$B$3,Investors!$I:$I,"&lt;="&amp;'NSST Print'!$B$3,Investors!$A:$A,'Investor Exit List'!$A487,Investors!$E:$E,'Investor Exit List'!$C487,Investors!$L:$L,'Investor Exit List'!$B487)-(SUMIFS(Investors!$M:$M,Investors!$I:$I,"&lt;="&amp;'NSST Print'!$B$3,Investors!$J:$J,"&gt;"&amp;'NSST Print'!$B$3,Investors!$A:$A,'Investor Exit List'!$A487,Investors!$E:$E,'Investor Exit List'!$C487,Investors!$L:$L,'Investor Exit List'!$B487)+SUMIFS(Investors!$M:$M,Investors!$I:$I,"&lt;="&amp;'NSST Print'!$B$3,Investors!$J:$J,"",Investors!$A:$A,'Investor Exit List'!$A487,Investors!$E:$E,'Investor Exit List'!$C487,Investors!$L:$L,'Investor Exit List'!$B487))</f>
        <v>1000000</v>
      </c>
      <c r="G487" s="118">
        <v>44743</v>
      </c>
      <c r="H487" s="116" t="b">
        <f>VLOOKUP($C487,Sales!$C:$E,2,FALSE)</f>
        <v>1</v>
      </c>
      <c r="I487" s="116" t="b">
        <f>VLOOKUP($C487,Sales!$C:$E,3,FALSE)</f>
        <v>0</v>
      </c>
      <c r="J487" s="118">
        <f>SUMIFS(Sales!$H:$H,Sales!$C:$C,'Investor Exit List'!$C487)</f>
        <v>45449</v>
      </c>
      <c r="K487" s="118" t="str">
        <f t="shared" si="84"/>
        <v/>
      </c>
      <c r="L487" s="118">
        <f t="shared" si="85"/>
        <v>45473</v>
      </c>
      <c r="M487" s="118">
        <v>45443</v>
      </c>
      <c r="N487" s="119">
        <f t="shared" si="86"/>
        <v>30</v>
      </c>
      <c r="O487" s="119">
        <f t="shared" si="87"/>
        <v>30</v>
      </c>
      <c r="P487" s="117">
        <f t="shared" si="88"/>
        <v>1354328.7671232878</v>
      </c>
      <c r="Q487" s="117">
        <f>SUMIFS(Investors!$M:$M,Investors!$O:$O,FALSE,Investors!$P:$P,FALSE,Investors!$K:$K,"&gt;"&amp;'NSST Print'!$B$3,Investors!$I:$I,"&lt;="&amp;'NSST Print'!$B$3,Investors!$A:$A,'Investor Exit List'!$A487,Investors!$E:$E,'Investor Exit List'!$C487,Investors!$L:$L,'Investor Exit List'!$B487)-(SUMIFS(Investors!$M:$M,Investors!$I:$I,"&lt;="&amp;'NSST Print'!$B$3,Investors!$J:$J,"&gt;"&amp;'NSST Print'!$B$3,Investors!$A:$A,'Investor Exit List'!$A487,Investors!$E:$E,'Investor Exit List'!$C487,Investors!$L:$L,'Investor Exit List'!$B487)+SUMIFS(Investors!$M:$M,Investors!$I:$I,"&lt;="&amp;'NSST Print'!$B$3,Investors!$J:$J,"",Investors!$A:$A,'Investor Exit List'!$A487,Investors!$E:$E,'Investor Exit List'!$C487,Investors!$L:$L,'Investor Exit List'!$B487))+SUMIFS(Investors!$S:$S,Investors!$O:$O,FALSE,Investors!$P:$P,FALSE,Investors!$K:$K,"&gt;"&amp;'NSST Print'!$B$3,Investors!$I:$I,"&lt;="&amp;'NSST Print'!$B$3,Investors!$A:$A,'Investor Exit List'!$A487,Investors!$E:$E,'Investor Exit List'!$C487,Investors!$L:$L,'Investor Exit List'!$B487)-(SUMIFS(Investors!$S:$S,Investors!$I:$I,"&lt;="&amp;'NSST Print'!$B$3,Investors!$J:$J,"&gt;"&amp;'NSST Print'!$B$3,Investors!$A:$A,'Investor Exit List'!$A487,Investors!$E:$E,'Investor Exit List'!$C487,Investors!$L:$L,'Investor Exit List'!$B487)+SUMIFS(Investors!$S:$S,Investors!$I:$I,"&lt;="&amp;'NSST Print'!$B$3,Investors!$J:$J,"",Investors!$A:$A,'Investor Exit List'!$A487,Investors!$E:$E,'Investor Exit List'!$C487,Investors!$L:$L,'Investor Exit List'!$B487))</f>
        <v>1354328.7671232878</v>
      </c>
      <c r="R487" s="117">
        <f t="shared" si="89"/>
        <v>1354328.7671232878</v>
      </c>
      <c r="S487" s="117">
        <f>SUMIFS(Investors!$M:$M,Investors!$O:$O,TRUE,Investors!$A:$A,'Investor Exit List'!$A487,Investors!$E:$E,'Investor Exit List'!$C487,Investors!$L:$L,'Investor Exit List'!$B487)+SUMIFS(Investors!$S:$S,Investors!$O:$O,TRUE,Investors!$A:$A,'Investor Exit List'!$A487,Investors!$E:$E,'Investor Exit List'!$C487,Investors!$L:$L,'Investor Exit List'!$B487)</f>
        <v>0</v>
      </c>
      <c r="T487" s="118" t="str">
        <f t="shared" si="90"/>
        <v/>
      </c>
      <c r="U487" s="116" t="b">
        <v>0</v>
      </c>
      <c r="V487" s="117">
        <f t="shared" si="91"/>
        <v>0</v>
      </c>
      <c r="W487" s="116">
        <v>0</v>
      </c>
      <c r="X487" s="116" t="b">
        <v>0</v>
      </c>
      <c r="Y487" s="119">
        <f>IF(H487=FALSE,VLOOKUP($C487,Sales!$C:$F,4,FALSE),1)</f>
        <v>1</v>
      </c>
      <c r="Z487" s="116" t="str">
        <f t="shared" si="92"/>
        <v/>
      </c>
      <c r="AA487" s="118">
        <f t="shared" si="93"/>
        <v>45473</v>
      </c>
      <c r="AB487" s="118" t="str">
        <f t="shared" si="94"/>
        <v>HVN301-ZDEL01</v>
      </c>
      <c r="AC487" s="118">
        <f t="shared" si="95"/>
        <v>45473</v>
      </c>
    </row>
    <row r="488" spans="1:29" ht="16" x14ac:dyDescent="0.2">
      <c r="A488" s="116" t="s">
        <v>845</v>
      </c>
      <c r="B488" s="116">
        <v>1</v>
      </c>
      <c r="C488" s="116" t="s">
        <v>848</v>
      </c>
      <c r="D488" s="116" t="s">
        <v>822</v>
      </c>
      <c r="E488" s="116" t="s">
        <v>2222</v>
      </c>
      <c r="F488" s="117">
        <f>SUMIFS(Investors!$M:$M,Investors!$O:$O,FALSE,Investors!$P:$P,FALSE,Investors!$K:$K,"&gt;"&amp;'NSST Print'!$B$3,Investors!$I:$I,"&lt;="&amp;'NSST Print'!$B$3,Investors!$A:$A,'Investor Exit List'!$A488,Investors!$E:$E,'Investor Exit List'!$C488,Investors!$L:$L,'Investor Exit List'!$B488)-(SUMIFS(Investors!$M:$M,Investors!$I:$I,"&lt;="&amp;'NSST Print'!$B$3,Investors!$J:$J,"&gt;"&amp;'NSST Print'!$B$3,Investors!$A:$A,'Investor Exit List'!$A488,Investors!$E:$E,'Investor Exit List'!$C488,Investors!$L:$L,'Investor Exit List'!$B488)+SUMIFS(Investors!$M:$M,Investors!$I:$I,"&lt;="&amp;'NSST Print'!$B$3,Investors!$J:$J,"",Investors!$A:$A,'Investor Exit List'!$A488,Investors!$E:$E,'Investor Exit List'!$C488,Investors!$L:$L,'Investor Exit List'!$B488))</f>
        <v>1000000</v>
      </c>
      <c r="G488" s="118">
        <v>44763</v>
      </c>
      <c r="H488" s="116" t="b">
        <f>VLOOKUP($C488,Sales!$C:$E,2,FALSE)</f>
        <v>0</v>
      </c>
      <c r="I488" s="116" t="b">
        <f>VLOOKUP($C488,Sales!$C:$E,3,FALSE)</f>
        <v>0</v>
      </c>
      <c r="J488" s="118">
        <f>SUMIFS(Sales!$H:$H,Sales!$C:$C,'Investor Exit List'!$C488)</f>
        <v>45464</v>
      </c>
      <c r="K488" s="118" t="str">
        <f t="shared" si="84"/>
        <v/>
      </c>
      <c r="L488" s="118">
        <f t="shared" si="85"/>
        <v>45493</v>
      </c>
      <c r="M488" s="118">
        <v>45443</v>
      </c>
      <c r="N488" s="119">
        <f t="shared" si="86"/>
        <v>50</v>
      </c>
      <c r="O488" s="119">
        <f t="shared" si="87"/>
        <v>50</v>
      </c>
      <c r="P488" s="117">
        <f t="shared" si="88"/>
        <v>1354739.7260273974</v>
      </c>
      <c r="Q488" s="117">
        <f>SUMIFS(Investors!$M:$M,Investors!$O:$O,FALSE,Investors!$P:$P,FALSE,Investors!$K:$K,"&gt;"&amp;'NSST Print'!$B$3,Investors!$I:$I,"&lt;="&amp;'NSST Print'!$B$3,Investors!$A:$A,'Investor Exit List'!$A488,Investors!$E:$E,'Investor Exit List'!$C488,Investors!$L:$L,'Investor Exit List'!$B488)-(SUMIFS(Investors!$M:$M,Investors!$I:$I,"&lt;="&amp;'NSST Print'!$B$3,Investors!$J:$J,"&gt;"&amp;'NSST Print'!$B$3,Investors!$A:$A,'Investor Exit List'!$A488,Investors!$E:$E,'Investor Exit List'!$C488,Investors!$L:$L,'Investor Exit List'!$B488)+SUMIFS(Investors!$M:$M,Investors!$I:$I,"&lt;="&amp;'NSST Print'!$B$3,Investors!$J:$J,"",Investors!$A:$A,'Investor Exit List'!$A488,Investors!$E:$E,'Investor Exit List'!$C488,Investors!$L:$L,'Investor Exit List'!$B488))+SUMIFS(Investors!$S:$S,Investors!$O:$O,FALSE,Investors!$P:$P,FALSE,Investors!$K:$K,"&gt;"&amp;'NSST Print'!$B$3,Investors!$I:$I,"&lt;="&amp;'NSST Print'!$B$3,Investors!$A:$A,'Investor Exit List'!$A488,Investors!$E:$E,'Investor Exit List'!$C488,Investors!$L:$L,'Investor Exit List'!$B488)-(SUMIFS(Investors!$S:$S,Investors!$I:$I,"&lt;="&amp;'NSST Print'!$B$3,Investors!$J:$J,"&gt;"&amp;'NSST Print'!$B$3,Investors!$A:$A,'Investor Exit List'!$A488,Investors!$E:$E,'Investor Exit List'!$C488,Investors!$L:$L,'Investor Exit List'!$B488)+SUMIFS(Investors!$S:$S,Investors!$I:$I,"&lt;="&amp;'NSST Print'!$B$3,Investors!$J:$J,"",Investors!$A:$A,'Investor Exit List'!$A488,Investors!$E:$E,'Investor Exit List'!$C488,Investors!$L:$L,'Investor Exit List'!$B488))</f>
        <v>1354739.7260273974</v>
      </c>
      <c r="R488" s="117">
        <f t="shared" si="89"/>
        <v>0</v>
      </c>
      <c r="S488" s="117">
        <f>SUMIFS(Investors!$M:$M,Investors!$O:$O,TRUE,Investors!$A:$A,'Investor Exit List'!$A488,Investors!$E:$E,'Investor Exit List'!$C488,Investors!$L:$L,'Investor Exit List'!$B488)+SUMIFS(Investors!$S:$S,Investors!$O:$O,TRUE,Investors!$A:$A,'Investor Exit List'!$A488,Investors!$E:$E,'Investor Exit List'!$C488,Investors!$L:$L,'Investor Exit List'!$B488)</f>
        <v>0</v>
      </c>
      <c r="T488" s="118" t="str">
        <f t="shared" si="90"/>
        <v/>
      </c>
      <c r="U488" s="116" t="b">
        <v>0</v>
      </c>
      <c r="V488" s="117">
        <f t="shared" si="91"/>
        <v>0</v>
      </c>
      <c r="W488" s="116">
        <v>0</v>
      </c>
      <c r="X488" s="116" t="b">
        <v>0</v>
      </c>
      <c r="Y488" s="119">
        <f>IF(H488=FALSE,VLOOKUP($C488,Sales!$C:$F,4,FALSE),1)</f>
        <v>1</v>
      </c>
      <c r="Z488" s="116" t="str">
        <f t="shared" si="92"/>
        <v/>
      </c>
      <c r="AA488" s="118">
        <f t="shared" si="93"/>
        <v>45493</v>
      </c>
      <c r="AB488" s="118" t="str">
        <f t="shared" si="94"/>
        <v>HVN302-ZAMP01</v>
      </c>
      <c r="AC488" s="118">
        <f t="shared" si="95"/>
        <v>45493</v>
      </c>
    </row>
    <row r="489" spans="1:29" ht="16" x14ac:dyDescent="0.2">
      <c r="A489" s="116" t="s">
        <v>836</v>
      </c>
      <c r="B489" s="116">
        <v>2</v>
      </c>
      <c r="C489" s="116" t="s">
        <v>849</v>
      </c>
      <c r="D489" s="116" t="s">
        <v>822</v>
      </c>
      <c r="E489" s="116" t="s">
        <v>2220</v>
      </c>
      <c r="F489" s="117">
        <f>SUMIFS(Investors!$M:$M,Investors!$O:$O,FALSE,Investors!$P:$P,FALSE,Investors!$K:$K,"&gt;"&amp;'NSST Print'!$B$3,Investors!$I:$I,"&lt;="&amp;'NSST Print'!$B$3,Investors!$A:$A,'Investor Exit List'!$A489,Investors!$E:$E,'Investor Exit List'!$C489,Investors!$L:$L,'Investor Exit List'!$B489)-(SUMIFS(Investors!$M:$M,Investors!$I:$I,"&lt;="&amp;'NSST Print'!$B$3,Investors!$J:$J,"&gt;"&amp;'NSST Print'!$B$3,Investors!$A:$A,'Investor Exit List'!$A489,Investors!$E:$E,'Investor Exit List'!$C489,Investors!$L:$L,'Investor Exit List'!$B489)+SUMIFS(Investors!$M:$M,Investors!$I:$I,"&lt;="&amp;'NSST Print'!$B$3,Investors!$J:$J,"",Investors!$A:$A,'Investor Exit List'!$A489,Investors!$E:$E,'Investor Exit List'!$C489,Investors!$L:$L,'Investor Exit List'!$B489))</f>
        <v>1000000</v>
      </c>
      <c r="G489" s="118">
        <v>44777</v>
      </c>
      <c r="H489" s="116" t="b">
        <f>VLOOKUP($C489,Sales!$C:$E,2,FALSE)</f>
        <v>0</v>
      </c>
      <c r="I489" s="116" t="b">
        <f>VLOOKUP($C489,Sales!$C:$E,3,FALSE)</f>
        <v>0</v>
      </c>
      <c r="J489" s="118">
        <f>SUMIFS(Sales!$H:$H,Sales!$C:$C,'Investor Exit List'!$C489)</f>
        <v>45498</v>
      </c>
      <c r="K489" s="118" t="str">
        <f t="shared" si="84"/>
        <v/>
      </c>
      <c r="L489" s="118">
        <f t="shared" si="85"/>
        <v>45507</v>
      </c>
      <c r="M489" s="118">
        <v>45443</v>
      </c>
      <c r="N489" s="119">
        <f t="shared" si="86"/>
        <v>64</v>
      </c>
      <c r="O489" s="119">
        <f t="shared" si="87"/>
        <v>64</v>
      </c>
      <c r="P489" s="117">
        <f t="shared" si="88"/>
        <v>1365917.8082191781</v>
      </c>
      <c r="Q489" s="117">
        <f>SUMIFS(Investors!$M:$M,Investors!$O:$O,FALSE,Investors!$P:$P,FALSE,Investors!$K:$K,"&gt;"&amp;'NSST Print'!$B$3,Investors!$I:$I,"&lt;="&amp;'NSST Print'!$B$3,Investors!$A:$A,'Investor Exit List'!$A489,Investors!$E:$E,'Investor Exit List'!$C489,Investors!$L:$L,'Investor Exit List'!$B489)-(SUMIFS(Investors!$M:$M,Investors!$I:$I,"&lt;="&amp;'NSST Print'!$B$3,Investors!$J:$J,"&gt;"&amp;'NSST Print'!$B$3,Investors!$A:$A,'Investor Exit List'!$A489,Investors!$E:$E,'Investor Exit List'!$C489,Investors!$L:$L,'Investor Exit List'!$B489)+SUMIFS(Investors!$M:$M,Investors!$I:$I,"&lt;="&amp;'NSST Print'!$B$3,Investors!$J:$J,"",Investors!$A:$A,'Investor Exit List'!$A489,Investors!$E:$E,'Investor Exit List'!$C489,Investors!$L:$L,'Investor Exit List'!$B489))+SUMIFS(Investors!$S:$S,Investors!$O:$O,FALSE,Investors!$P:$P,FALSE,Investors!$K:$K,"&gt;"&amp;'NSST Print'!$B$3,Investors!$I:$I,"&lt;="&amp;'NSST Print'!$B$3,Investors!$A:$A,'Investor Exit List'!$A489,Investors!$E:$E,'Investor Exit List'!$C489,Investors!$L:$L,'Investor Exit List'!$B489)-(SUMIFS(Investors!$S:$S,Investors!$I:$I,"&lt;="&amp;'NSST Print'!$B$3,Investors!$J:$J,"&gt;"&amp;'NSST Print'!$B$3,Investors!$A:$A,'Investor Exit List'!$A489,Investors!$E:$E,'Investor Exit List'!$C489,Investors!$L:$L,'Investor Exit List'!$B489)+SUMIFS(Investors!$S:$S,Investors!$I:$I,"&lt;="&amp;'NSST Print'!$B$3,Investors!$J:$J,"",Investors!$A:$A,'Investor Exit List'!$A489,Investors!$E:$E,'Investor Exit List'!$C489,Investors!$L:$L,'Investor Exit List'!$B489))</f>
        <v>1365917.8082191781</v>
      </c>
      <c r="R489" s="117">
        <f t="shared" si="89"/>
        <v>0</v>
      </c>
      <c r="S489" s="117">
        <f>SUMIFS(Investors!$M:$M,Investors!$O:$O,TRUE,Investors!$A:$A,'Investor Exit List'!$A489,Investors!$E:$E,'Investor Exit List'!$C489,Investors!$L:$L,'Investor Exit List'!$B489)+SUMIFS(Investors!$S:$S,Investors!$O:$O,TRUE,Investors!$A:$A,'Investor Exit List'!$A489,Investors!$E:$E,'Investor Exit List'!$C489,Investors!$L:$L,'Investor Exit List'!$B489)</f>
        <v>0</v>
      </c>
      <c r="T489" s="118" t="str">
        <f t="shared" si="90"/>
        <v/>
      </c>
      <c r="U489" s="116" t="b">
        <v>0</v>
      </c>
      <c r="V489" s="117">
        <f t="shared" si="91"/>
        <v>0</v>
      </c>
      <c r="W489" s="116">
        <v>0</v>
      </c>
      <c r="X489" s="116" t="b">
        <v>0</v>
      </c>
      <c r="Y489" s="119">
        <f>IF(H489=FALSE,VLOOKUP($C489,Sales!$C:$F,4,FALSE),1)</f>
        <v>1</v>
      </c>
      <c r="Z489" s="116" t="str">
        <f t="shared" si="92"/>
        <v/>
      </c>
      <c r="AA489" s="118">
        <f t="shared" si="93"/>
        <v>45507</v>
      </c>
      <c r="AB489" s="118" t="str">
        <f t="shared" si="94"/>
        <v>HVN303-ZERF01</v>
      </c>
      <c r="AC489" s="118">
        <f t="shared" si="95"/>
        <v>45507</v>
      </c>
    </row>
    <row r="490" spans="1:29" ht="16" x14ac:dyDescent="0.2">
      <c r="A490" s="116" t="s">
        <v>48</v>
      </c>
      <c r="B490" s="116">
        <v>4</v>
      </c>
      <c r="C490" s="116" t="s">
        <v>850</v>
      </c>
      <c r="D490" s="116" t="s">
        <v>822</v>
      </c>
      <c r="E490" s="116" t="s">
        <v>2016</v>
      </c>
      <c r="F490" s="117">
        <f>SUMIFS(Investors!$M:$M,Investors!$O:$O,FALSE,Investors!$P:$P,FALSE,Investors!$K:$K,"&gt;"&amp;'NSST Print'!$B$3,Investors!$I:$I,"&lt;="&amp;'NSST Print'!$B$3,Investors!$A:$A,'Investor Exit List'!$A490,Investors!$E:$E,'Investor Exit List'!$C490,Investors!$L:$L,'Investor Exit List'!$B490)-(SUMIFS(Investors!$M:$M,Investors!$I:$I,"&lt;="&amp;'NSST Print'!$B$3,Investors!$J:$J,"&gt;"&amp;'NSST Print'!$B$3,Investors!$A:$A,'Investor Exit List'!$A490,Investors!$E:$E,'Investor Exit List'!$C490,Investors!$L:$L,'Investor Exit List'!$B490)+SUMIFS(Investors!$M:$M,Investors!$I:$I,"&lt;="&amp;'NSST Print'!$B$3,Investors!$J:$J,"",Investors!$A:$A,'Investor Exit List'!$A490,Investors!$E:$E,'Investor Exit List'!$C490,Investors!$L:$L,'Investor Exit List'!$B490))</f>
        <v>100000</v>
      </c>
      <c r="G490" s="118">
        <v>45016</v>
      </c>
      <c r="H490" s="116" t="b">
        <f>VLOOKUP($C490,Sales!$C:$E,2,FALSE)</f>
        <v>1</v>
      </c>
      <c r="I490" s="116" t="b">
        <f>VLOOKUP($C490,Sales!$C:$E,3,FALSE)</f>
        <v>0</v>
      </c>
      <c r="J490" s="118">
        <f>SUMIFS(Sales!$H:$H,Sales!$C:$C,'Investor Exit List'!$C490)</f>
        <v>45498</v>
      </c>
      <c r="K490" s="118" t="str">
        <f t="shared" si="84"/>
        <v/>
      </c>
      <c r="L490" s="118">
        <f t="shared" si="85"/>
        <v>45746</v>
      </c>
      <c r="M490" s="118">
        <v>45443</v>
      </c>
      <c r="N490" s="119">
        <f t="shared" si="86"/>
        <v>303</v>
      </c>
      <c r="O490" s="119">
        <f t="shared" si="87"/>
        <v>0</v>
      </c>
      <c r="P490" s="117">
        <f t="shared" si="88"/>
        <v>0</v>
      </c>
      <c r="Q490" s="117">
        <f>SUMIFS(Investors!$M:$M,Investors!$O:$O,FALSE,Investors!$P:$P,FALSE,Investors!$K:$K,"&gt;"&amp;'NSST Print'!$B$3,Investors!$I:$I,"&lt;="&amp;'NSST Print'!$B$3,Investors!$A:$A,'Investor Exit List'!$A490,Investors!$E:$E,'Investor Exit List'!$C490,Investors!$L:$L,'Investor Exit List'!$B490)-(SUMIFS(Investors!$M:$M,Investors!$I:$I,"&lt;="&amp;'NSST Print'!$B$3,Investors!$J:$J,"&gt;"&amp;'NSST Print'!$B$3,Investors!$A:$A,'Investor Exit List'!$A490,Investors!$E:$E,'Investor Exit List'!$C490,Investors!$L:$L,'Investor Exit List'!$B490)+SUMIFS(Investors!$M:$M,Investors!$I:$I,"&lt;="&amp;'NSST Print'!$B$3,Investors!$J:$J,"",Investors!$A:$A,'Investor Exit List'!$A490,Investors!$E:$E,'Investor Exit List'!$C490,Investors!$L:$L,'Investor Exit List'!$B490))+SUMIFS(Investors!$S:$S,Investors!$O:$O,FALSE,Investors!$P:$P,FALSE,Investors!$K:$K,"&gt;"&amp;'NSST Print'!$B$3,Investors!$I:$I,"&lt;="&amp;'NSST Print'!$B$3,Investors!$A:$A,'Investor Exit List'!$A490,Investors!$E:$E,'Investor Exit List'!$C490,Investors!$L:$L,'Investor Exit List'!$B490)-(SUMIFS(Investors!$S:$S,Investors!$I:$I,"&lt;="&amp;'NSST Print'!$B$3,Investors!$J:$J,"&gt;"&amp;'NSST Print'!$B$3,Investors!$A:$A,'Investor Exit List'!$A490,Investors!$E:$E,'Investor Exit List'!$C490,Investors!$L:$L,'Investor Exit List'!$B490)+SUMIFS(Investors!$S:$S,Investors!$I:$I,"&lt;="&amp;'NSST Print'!$B$3,Investors!$J:$J,"",Investors!$A:$A,'Investor Exit List'!$A490,Investors!$E:$E,'Investor Exit List'!$C490,Investors!$L:$L,'Investor Exit List'!$B490))</f>
        <v>120397.94520547945</v>
      </c>
      <c r="R490" s="117">
        <f t="shared" si="89"/>
        <v>120397.94520547945</v>
      </c>
      <c r="S490" s="117">
        <f>SUMIFS(Investors!$M:$M,Investors!$O:$O,TRUE,Investors!$A:$A,'Investor Exit List'!$A490,Investors!$E:$E,'Investor Exit List'!$C490,Investors!$L:$L,'Investor Exit List'!$B490)+SUMIFS(Investors!$S:$S,Investors!$O:$O,TRUE,Investors!$A:$A,'Investor Exit List'!$A490,Investors!$E:$E,'Investor Exit List'!$C490,Investors!$L:$L,'Investor Exit List'!$B490)</f>
        <v>0</v>
      </c>
      <c r="T490" s="118" t="str">
        <f t="shared" si="90"/>
        <v/>
      </c>
      <c r="U490" s="116" t="b">
        <v>0</v>
      </c>
      <c r="V490" s="117">
        <f t="shared" si="91"/>
        <v>0</v>
      </c>
      <c r="W490" s="116">
        <v>0</v>
      </c>
      <c r="X490" s="116" t="b">
        <v>0</v>
      </c>
      <c r="Y490" s="119">
        <f>IF(H490=FALSE,VLOOKUP($C490,Sales!$C:$F,4,FALSE),1)</f>
        <v>1</v>
      </c>
      <c r="Z490" s="116" t="str">
        <f t="shared" si="92"/>
        <v/>
      </c>
      <c r="AA490" s="118">
        <f t="shared" si="93"/>
        <v>45473</v>
      </c>
      <c r="AB490" s="118" t="str">
        <f t="shared" si="94"/>
        <v>HVN304-ZBLO01</v>
      </c>
      <c r="AC490" s="118">
        <f t="shared" si="95"/>
        <v>45746</v>
      </c>
    </row>
    <row r="491" spans="1:29" ht="16" x14ac:dyDescent="0.2">
      <c r="A491" s="116" t="s">
        <v>304</v>
      </c>
      <c r="B491" s="116">
        <v>8</v>
      </c>
      <c r="C491" s="116" t="s">
        <v>850</v>
      </c>
      <c r="D491" s="116" t="s">
        <v>822</v>
      </c>
      <c r="E491" s="116" t="s">
        <v>2093</v>
      </c>
      <c r="F491" s="117">
        <f>SUMIFS(Investors!$M:$M,Investors!$O:$O,FALSE,Investors!$P:$P,FALSE,Investors!$K:$K,"&gt;"&amp;'NSST Print'!$B$3,Investors!$I:$I,"&lt;="&amp;'NSST Print'!$B$3,Investors!$A:$A,'Investor Exit List'!$A491,Investors!$E:$E,'Investor Exit List'!$C491,Investors!$L:$L,'Investor Exit List'!$B491)-(SUMIFS(Investors!$M:$M,Investors!$I:$I,"&lt;="&amp;'NSST Print'!$B$3,Investors!$J:$J,"&gt;"&amp;'NSST Print'!$B$3,Investors!$A:$A,'Investor Exit List'!$A491,Investors!$E:$E,'Investor Exit List'!$C491,Investors!$L:$L,'Investor Exit List'!$B491)+SUMIFS(Investors!$M:$M,Investors!$I:$I,"&lt;="&amp;'NSST Print'!$B$3,Investors!$J:$J,"",Investors!$A:$A,'Investor Exit List'!$A491,Investors!$E:$E,'Investor Exit List'!$C491,Investors!$L:$L,'Investor Exit List'!$B491))</f>
        <v>265000</v>
      </c>
      <c r="G491" s="118">
        <v>44743</v>
      </c>
      <c r="H491" s="116" t="b">
        <f>VLOOKUP($C491,Sales!$C:$E,2,FALSE)</f>
        <v>1</v>
      </c>
      <c r="I491" s="116" t="b">
        <f>VLOOKUP($C491,Sales!$C:$E,3,FALSE)</f>
        <v>0</v>
      </c>
      <c r="J491" s="118">
        <f>SUMIFS(Sales!$H:$H,Sales!$C:$C,'Investor Exit List'!$C491)</f>
        <v>45498</v>
      </c>
      <c r="K491" s="118" t="str">
        <f t="shared" si="84"/>
        <v/>
      </c>
      <c r="L491" s="118">
        <f t="shared" si="85"/>
        <v>45473</v>
      </c>
      <c r="M491" s="118">
        <v>45443</v>
      </c>
      <c r="N491" s="119">
        <f t="shared" si="86"/>
        <v>30</v>
      </c>
      <c r="O491" s="119">
        <f t="shared" si="87"/>
        <v>30</v>
      </c>
      <c r="P491" s="117">
        <f t="shared" si="88"/>
        <v>365300.68493150687</v>
      </c>
      <c r="Q491" s="117">
        <f>SUMIFS(Investors!$M:$M,Investors!$O:$O,FALSE,Investors!$P:$P,FALSE,Investors!$K:$K,"&gt;"&amp;'NSST Print'!$B$3,Investors!$I:$I,"&lt;="&amp;'NSST Print'!$B$3,Investors!$A:$A,'Investor Exit List'!$A491,Investors!$E:$E,'Investor Exit List'!$C491,Investors!$L:$L,'Investor Exit List'!$B491)-(SUMIFS(Investors!$M:$M,Investors!$I:$I,"&lt;="&amp;'NSST Print'!$B$3,Investors!$J:$J,"&gt;"&amp;'NSST Print'!$B$3,Investors!$A:$A,'Investor Exit List'!$A491,Investors!$E:$E,'Investor Exit List'!$C491,Investors!$L:$L,'Investor Exit List'!$B491)+SUMIFS(Investors!$M:$M,Investors!$I:$I,"&lt;="&amp;'NSST Print'!$B$3,Investors!$J:$J,"",Investors!$A:$A,'Investor Exit List'!$A491,Investors!$E:$E,'Investor Exit List'!$C491,Investors!$L:$L,'Investor Exit List'!$B491))+SUMIFS(Investors!$S:$S,Investors!$O:$O,FALSE,Investors!$P:$P,FALSE,Investors!$K:$K,"&gt;"&amp;'NSST Print'!$B$3,Investors!$I:$I,"&lt;="&amp;'NSST Print'!$B$3,Investors!$A:$A,'Investor Exit List'!$A491,Investors!$E:$E,'Investor Exit List'!$C491,Investors!$L:$L,'Investor Exit List'!$B491)-(SUMIFS(Investors!$S:$S,Investors!$I:$I,"&lt;="&amp;'NSST Print'!$B$3,Investors!$J:$J,"&gt;"&amp;'NSST Print'!$B$3,Investors!$A:$A,'Investor Exit List'!$A491,Investors!$E:$E,'Investor Exit List'!$C491,Investors!$L:$L,'Investor Exit List'!$B491)+SUMIFS(Investors!$S:$S,Investors!$I:$I,"&lt;="&amp;'NSST Print'!$B$3,Investors!$J:$J,"",Investors!$A:$A,'Investor Exit List'!$A491,Investors!$E:$E,'Investor Exit List'!$C491,Investors!$L:$L,'Investor Exit List'!$B491))</f>
        <v>365300.68493150687</v>
      </c>
      <c r="R491" s="117">
        <f t="shared" si="89"/>
        <v>365300.68493150687</v>
      </c>
      <c r="S491" s="117">
        <f>SUMIFS(Investors!$M:$M,Investors!$O:$O,TRUE,Investors!$A:$A,'Investor Exit List'!$A491,Investors!$E:$E,'Investor Exit List'!$C491,Investors!$L:$L,'Investor Exit List'!$B491)+SUMIFS(Investors!$S:$S,Investors!$O:$O,TRUE,Investors!$A:$A,'Investor Exit List'!$A491,Investors!$E:$E,'Investor Exit List'!$C491,Investors!$L:$L,'Investor Exit List'!$B491)</f>
        <v>0</v>
      </c>
      <c r="T491" s="118" t="str">
        <f t="shared" si="90"/>
        <v/>
      </c>
      <c r="U491" s="116" t="b">
        <v>0</v>
      </c>
      <c r="V491" s="117">
        <f t="shared" si="91"/>
        <v>0</v>
      </c>
      <c r="W491" s="116">
        <v>0</v>
      </c>
      <c r="X491" s="116" t="b">
        <v>0</v>
      </c>
      <c r="Y491" s="119">
        <f>IF(H491=FALSE,VLOOKUP($C491,Sales!$C:$F,4,FALSE),1)</f>
        <v>1</v>
      </c>
      <c r="Z491" s="116" t="str">
        <f t="shared" si="92"/>
        <v/>
      </c>
      <c r="AA491" s="118">
        <f t="shared" si="93"/>
        <v>45473</v>
      </c>
      <c r="AB491" s="118" t="str">
        <f t="shared" si="94"/>
        <v>HVN304-ZDEL01</v>
      </c>
      <c r="AC491" s="118">
        <f t="shared" si="95"/>
        <v>45473</v>
      </c>
    </row>
    <row r="492" spans="1:29" ht="16" x14ac:dyDescent="0.2">
      <c r="A492" s="116" t="s">
        <v>851</v>
      </c>
      <c r="B492" s="116">
        <v>2</v>
      </c>
      <c r="C492" s="116" t="s">
        <v>850</v>
      </c>
      <c r="D492" s="116" t="s">
        <v>822</v>
      </c>
      <c r="E492" s="116" t="s">
        <v>2223</v>
      </c>
      <c r="F492" s="117">
        <f>SUMIFS(Investors!$M:$M,Investors!$O:$O,FALSE,Investors!$P:$P,FALSE,Investors!$K:$K,"&gt;"&amp;'NSST Print'!$B$3,Investors!$I:$I,"&lt;="&amp;'NSST Print'!$B$3,Investors!$A:$A,'Investor Exit List'!$A492,Investors!$E:$E,'Investor Exit List'!$C492,Investors!$L:$L,'Investor Exit List'!$B492)-(SUMIFS(Investors!$M:$M,Investors!$I:$I,"&lt;="&amp;'NSST Print'!$B$3,Investors!$J:$J,"&gt;"&amp;'NSST Print'!$B$3,Investors!$A:$A,'Investor Exit List'!$A492,Investors!$E:$E,'Investor Exit List'!$C492,Investors!$L:$L,'Investor Exit List'!$B492)+SUMIFS(Investors!$M:$M,Investors!$I:$I,"&lt;="&amp;'NSST Print'!$B$3,Investors!$J:$J,"",Investors!$A:$A,'Investor Exit List'!$A492,Investors!$E:$E,'Investor Exit List'!$C492,Investors!$L:$L,'Investor Exit List'!$B492))</f>
        <v>147910.96</v>
      </c>
      <c r="G492" s="118">
        <v>44743</v>
      </c>
      <c r="H492" s="116" t="b">
        <f>VLOOKUP($C492,Sales!$C:$E,2,FALSE)</f>
        <v>1</v>
      </c>
      <c r="I492" s="116" t="b">
        <f>VLOOKUP($C492,Sales!$C:$E,3,FALSE)</f>
        <v>0</v>
      </c>
      <c r="J492" s="118">
        <f>SUMIFS(Sales!$H:$H,Sales!$C:$C,'Investor Exit List'!$C492)</f>
        <v>45498</v>
      </c>
      <c r="K492" s="118" t="str">
        <f t="shared" si="84"/>
        <v/>
      </c>
      <c r="L492" s="118">
        <f t="shared" si="85"/>
        <v>45473</v>
      </c>
      <c r="M492" s="118">
        <v>45443</v>
      </c>
      <c r="N492" s="119">
        <f t="shared" si="86"/>
        <v>30</v>
      </c>
      <c r="O492" s="119">
        <f t="shared" si="87"/>
        <v>30</v>
      </c>
      <c r="P492" s="117">
        <f t="shared" si="88"/>
        <v>191656.13296438355</v>
      </c>
      <c r="Q492" s="117">
        <f>SUMIFS(Investors!$M:$M,Investors!$O:$O,FALSE,Investors!$P:$P,FALSE,Investors!$K:$K,"&gt;"&amp;'NSST Print'!$B$3,Investors!$I:$I,"&lt;="&amp;'NSST Print'!$B$3,Investors!$A:$A,'Investor Exit List'!$A492,Investors!$E:$E,'Investor Exit List'!$C492,Investors!$L:$L,'Investor Exit List'!$B492)-(SUMIFS(Investors!$M:$M,Investors!$I:$I,"&lt;="&amp;'NSST Print'!$B$3,Investors!$J:$J,"&gt;"&amp;'NSST Print'!$B$3,Investors!$A:$A,'Investor Exit List'!$A492,Investors!$E:$E,'Investor Exit List'!$C492,Investors!$L:$L,'Investor Exit List'!$B492)+SUMIFS(Investors!$M:$M,Investors!$I:$I,"&lt;="&amp;'NSST Print'!$B$3,Investors!$J:$J,"",Investors!$A:$A,'Investor Exit List'!$A492,Investors!$E:$E,'Investor Exit List'!$C492,Investors!$L:$L,'Investor Exit List'!$B492))+SUMIFS(Investors!$S:$S,Investors!$O:$O,FALSE,Investors!$P:$P,FALSE,Investors!$K:$K,"&gt;"&amp;'NSST Print'!$B$3,Investors!$I:$I,"&lt;="&amp;'NSST Print'!$B$3,Investors!$A:$A,'Investor Exit List'!$A492,Investors!$E:$E,'Investor Exit List'!$C492,Investors!$L:$L,'Investor Exit List'!$B492)-(SUMIFS(Investors!$S:$S,Investors!$I:$I,"&lt;="&amp;'NSST Print'!$B$3,Investors!$J:$J,"&gt;"&amp;'NSST Print'!$B$3,Investors!$A:$A,'Investor Exit List'!$A492,Investors!$E:$E,'Investor Exit List'!$C492,Investors!$L:$L,'Investor Exit List'!$B492)+SUMIFS(Investors!$S:$S,Investors!$I:$I,"&lt;="&amp;'NSST Print'!$B$3,Investors!$J:$J,"",Investors!$A:$A,'Investor Exit List'!$A492,Investors!$E:$E,'Investor Exit List'!$C492,Investors!$L:$L,'Investor Exit List'!$B492))</f>
        <v>191656.13296438355</v>
      </c>
      <c r="R492" s="117">
        <f t="shared" si="89"/>
        <v>191656.13296438355</v>
      </c>
      <c r="S492" s="117">
        <f>SUMIFS(Investors!$M:$M,Investors!$O:$O,TRUE,Investors!$A:$A,'Investor Exit List'!$A492,Investors!$E:$E,'Investor Exit List'!$C492,Investors!$L:$L,'Investor Exit List'!$B492)+SUMIFS(Investors!$S:$S,Investors!$O:$O,TRUE,Investors!$A:$A,'Investor Exit List'!$A492,Investors!$E:$E,'Investor Exit List'!$C492,Investors!$L:$L,'Investor Exit List'!$B492)</f>
        <v>0</v>
      </c>
      <c r="T492" s="118" t="str">
        <f t="shared" si="90"/>
        <v/>
      </c>
      <c r="U492" s="116" t="b">
        <v>0</v>
      </c>
      <c r="V492" s="117">
        <f t="shared" si="91"/>
        <v>0</v>
      </c>
      <c r="W492" s="116">
        <v>0</v>
      </c>
      <c r="X492" s="116" t="b">
        <v>0</v>
      </c>
      <c r="Y492" s="119">
        <f>IF(H492=FALSE,VLOOKUP($C492,Sales!$C:$F,4,FALSE),1)</f>
        <v>1</v>
      </c>
      <c r="Z492" s="116" t="str">
        <f t="shared" si="92"/>
        <v/>
      </c>
      <c r="AA492" s="118">
        <f t="shared" si="93"/>
        <v>45473</v>
      </c>
      <c r="AB492" s="118" t="str">
        <f t="shared" si="94"/>
        <v>HVN304-ZMAD01</v>
      </c>
      <c r="AC492" s="118">
        <f t="shared" si="95"/>
        <v>45473</v>
      </c>
    </row>
    <row r="493" spans="1:29" ht="16" x14ac:dyDescent="0.2">
      <c r="A493" s="116" t="s">
        <v>27</v>
      </c>
      <c r="B493" s="116">
        <v>15</v>
      </c>
      <c r="C493" s="116" t="s">
        <v>850</v>
      </c>
      <c r="D493" s="116" t="s">
        <v>822</v>
      </c>
      <c r="E493" s="116" t="s">
        <v>2010</v>
      </c>
      <c r="F493" s="117">
        <f>SUMIFS(Investors!$M:$M,Investors!$O:$O,FALSE,Investors!$P:$P,FALSE,Investors!$K:$K,"&gt;"&amp;'NSST Print'!$B$3,Investors!$I:$I,"&lt;="&amp;'NSST Print'!$B$3,Investors!$A:$A,'Investor Exit List'!$A493,Investors!$E:$E,'Investor Exit List'!$C493,Investors!$L:$L,'Investor Exit List'!$B493)-(SUMIFS(Investors!$M:$M,Investors!$I:$I,"&lt;="&amp;'NSST Print'!$B$3,Investors!$J:$J,"&gt;"&amp;'NSST Print'!$B$3,Investors!$A:$A,'Investor Exit List'!$A493,Investors!$E:$E,'Investor Exit List'!$C493,Investors!$L:$L,'Investor Exit List'!$B493)+SUMIFS(Investors!$M:$M,Investors!$I:$I,"&lt;="&amp;'NSST Print'!$B$3,Investors!$J:$J,"",Investors!$A:$A,'Investor Exit List'!$A493,Investors!$E:$E,'Investor Exit List'!$C493,Investors!$L:$L,'Investor Exit List'!$B493))</f>
        <v>400000</v>
      </c>
      <c r="G493" s="118">
        <v>44763</v>
      </c>
      <c r="H493" s="116" t="b">
        <f>VLOOKUP($C493,Sales!$C:$E,2,FALSE)</f>
        <v>1</v>
      </c>
      <c r="I493" s="116" t="b">
        <f>VLOOKUP($C493,Sales!$C:$E,3,FALSE)</f>
        <v>0</v>
      </c>
      <c r="J493" s="118">
        <f>SUMIFS(Sales!$H:$H,Sales!$C:$C,'Investor Exit List'!$C493)</f>
        <v>45498</v>
      </c>
      <c r="K493" s="118" t="str">
        <f t="shared" si="84"/>
        <v/>
      </c>
      <c r="L493" s="118">
        <f t="shared" si="85"/>
        <v>45493</v>
      </c>
      <c r="M493" s="118">
        <v>45443</v>
      </c>
      <c r="N493" s="119">
        <f t="shared" si="86"/>
        <v>50</v>
      </c>
      <c r="O493" s="119">
        <f t="shared" si="87"/>
        <v>50</v>
      </c>
      <c r="P493" s="117">
        <f t="shared" si="88"/>
        <v>548602.73972602736</v>
      </c>
      <c r="Q493" s="117">
        <f>SUMIFS(Investors!$M:$M,Investors!$O:$O,FALSE,Investors!$P:$P,FALSE,Investors!$K:$K,"&gt;"&amp;'NSST Print'!$B$3,Investors!$I:$I,"&lt;="&amp;'NSST Print'!$B$3,Investors!$A:$A,'Investor Exit List'!$A493,Investors!$E:$E,'Investor Exit List'!$C493,Investors!$L:$L,'Investor Exit List'!$B493)-(SUMIFS(Investors!$M:$M,Investors!$I:$I,"&lt;="&amp;'NSST Print'!$B$3,Investors!$J:$J,"&gt;"&amp;'NSST Print'!$B$3,Investors!$A:$A,'Investor Exit List'!$A493,Investors!$E:$E,'Investor Exit List'!$C493,Investors!$L:$L,'Investor Exit List'!$B493)+SUMIFS(Investors!$M:$M,Investors!$I:$I,"&lt;="&amp;'NSST Print'!$B$3,Investors!$J:$J,"",Investors!$A:$A,'Investor Exit List'!$A493,Investors!$E:$E,'Investor Exit List'!$C493,Investors!$L:$L,'Investor Exit List'!$B493))+SUMIFS(Investors!$S:$S,Investors!$O:$O,FALSE,Investors!$P:$P,FALSE,Investors!$K:$K,"&gt;"&amp;'NSST Print'!$B$3,Investors!$I:$I,"&lt;="&amp;'NSST Print'!$B$3,Investors!$A:$A,'Investor Exit List'!$A493,Investors!$E:$E,'Investor Exit List'!$C493,Investors!$L:$L,'Investor Exit List'!$B493)-(SUMIFS(Investors!$S:$S,Investors!$I:$I,"&lt;="&amp;'NSST Print'!$B$3,Investors!$J:$J,"&gt;"&amp;'NSST Print'!$B$3,Investors!$A:$A,'Investor Exit List'!$A493,Investors!$E:$E,'Investor Exit List'!$C493,Investors!$L:$L,'Investor Exit List'!$B493)+SUMIFS(Investors!$S:$S,Investors!$I:$I,"&lt;="&amp;'NSST Print'!$B$3,Investors!$J:$J,"",Investors!$A:$A,'Investor Exit List'!$A493,Investors!$E:$E,'Investor Exit List'!$C493,Investors!$L:$L,'Investor Exit List'!$B493))</f>
        <v>548602.73972602736</v>
      </c>
      <c r="R493" s="117">
        <f t="shared" si="89"/>
        <v>548602.73972602736</v>
      </c>
      <c r="S493" s="117">
        <f>SUMIFS(Investors!$M:$M,Investors!$O:$O,TRUE,Investors!$A:$A,'Investor Exit List'!$A493,Investors!$E:$E,'Investor Exit List'!$C493,Investors!$L:$L,'Investor Exit List'!$B493)+SUMIFS(Investors!$S:$S,Investors!$O:$O,TRUE,Investors!$A:$A,'Investor Exit List'!$A493,Investors!$E:$E,'Investor Exit List'!$C493,Investors!$L:$L,'Investor Exit List'!$B493)</f>
        <v>0</v>
      </c>
      <c r="T493" s="118" t="str">
        <f t="shared" si="90"/>
        <v/>
      </c>
      <c r="U493" s="116" t="b">
        <v>0</v>
      </c>
      <c r="V493" s="117">
        <f t="shared" si="91"/>
        <v>0</v>
      </c>
      <c r="W493" s="116">
        <v>0</v>
      </c>
      <c r="X493" s="116" t="b">
        <v>0</v>
      </c>
      <c r="Y493" s="119">
        <f>IF(H493=FALSE,VLOOKUP($C493,Sales!$C:$F,4,FALSE),1)</f>
        <v>1</v>
      </c>
      <c r="Z493" s="116" t="str">
        <f t="shared" si="92"/>
        <v/>
      </c>
      <c r="AA493" s="118">
        <f t="shared" si="93"/>
        <v>45473</v>
      </c>
      <c r="AB493" s="118" t="str">
        <f t="shared" si="94"/>
        <v>HVN304-ZSCH01</v>
      </c>
      <c r="AC493" s="118">
        <f t="shared" si="95"/>
        <v>45493</v>
      </c>
    </row>
    <row r="494" spans="1:29" ht="16" x14ac:dyDescent="0.2">
      <c r="A494" s="116" t="s">
        <v>142</v>
      </c>
      <c r="B494" s="116">
        <v>4</v>
      </c>
      <c r="C494" s="116" t="s">
        <v>850</v>
      </c>
      <c r="D494" s="116" t="s">
        <v>822</v>
      </c>
      <c r="E494" s="116" t="s">
        <v>2045</v>
      </c>
      <c r="F494" s="117">
        <f>SUMIFS(Investors!$M:$M,Investors!$O:$O,FALSE,Investors!$P:$P,FALSE,Investors!$K:$K,"&gt;"&amp;'NSST Print'!$B$3,Investors!$I:$I,"&lt;="&amp;'NSST Print'!$B$3,Investors!$A:$A,'Investor Exit List'!$A494,Investors!$E:$E,'Investor Exit List'!$C494,Investors!$L:$L,'Investor Exit List'!$B494)-(SUMIFS(Investors!$M:$M,Investors!$I:$I,"&lt;="&amp;'NSST Print'!$B$3,Investors!$J:$J,"&gt;"&amp;'NSST Print'!$B$3,Investors!$A:$A,'Investor Exit List'!$A494,Investors!$E:$E,'Investor Exit List'!$C494,Investors!$L:$L,'Investor Exit List'!$B494)+SUMIFS(Investors!$M:$M,Investors!$I:$I,"&lt;="&amp;'NSST Print'!$B$3,Investors!$J:$J,"",Investors!$A:$A,'Investor Exit List'!$A494,Investors!$E:$E,'Investor Exit List'!$C494,Investors!$L:$L,'Investor Exit List'!$B494))</f>
        <v>100000</v>
      </c>
      <c r="G494" s="118">
        <v>44743</v>
      </c>
      <c r="H494" s="116" t="b">
        <f>VLOOKUP($C494,Sales!$C:$E,2,FALSE)</f>
        <v>1</v>
      </c>
      <c r="I494" s="116" t="b">
        <f>VLOOKUP($C494,Sales!$C:$E,3,FALSE)</f>
        <v>0</v>
      </c>
      <c r="J494" s="118">
        <f>SUMIFS(Sales!$H:$H,Sales!$C:$C,'Investor Exit List'!$C494)</f>
        <v>45498</v>
      </c>
      <c r="K494" s="118" t="str">
        <f t="shared" si="84"/>
        <v/>
      </c>
      <c r="L494" s="118">
        <f t="shared" si="85"/>
        <v>45473</v>
      </c>
      <c r="M494" s="118">
        <v>45443</v>
      </c>
      <c r="N494" s="119">
        <f t="shared" si="86"/>
        <v>30</v>
      </c>
      <c r="O494" s="119">
        <f t="shared" si="87"/>
        <v>30</v>
      </c>
      <c r="P494" s="117">
        <f t="shared" si="88"/>
        <v>129452.05479452055</v>
      </c>
      <c r="Q494" s="117">
        <f>SUMIFS(Investors!$M:$M,Investors!$O:$O,FALSE,Investors!$P:$P,FALSE,Investors!$K:$K,"&gt;"&amp;'NSST Print'!$B$3,Investors!$I:$I,"&lt;="&amp;'NSST Print'!$B$3,Investors!$A:$A,'Investor Exit List'!$A494,Investors!$E:$E,'Investor Exit List'!$C494,Investors!$L:$L,'Investor Exit List'!$B494)-(SUMIFS(Investors!$M:$M,Investors!$I:$I,"&lt;="&amp;'NSST Print'!$B$3,Investors!$J:$J,"&gt;"&amp;'NSST Print'!$B$3,Investors!$A:$A,'Investor Exit List'!$A494,Investors!$E:$E,'Investor Exit List'!$C494,Investors!$L:$L,'Investor Exit List'!$B494)+SUMIFS(Investors!$M:$M,Investors!$I:$I,"&lt;="&amp;'NSST Print'!$B$3,Investors!$J:$J,"",Investors!$A:$A,'Investor Exit List'!$A494,Investors!$E:$E,'Investor Exit List'!$C494,Investors!$L:$L,'Investor Exit List'!$B494))+SUMIFS(Investors!$S:$S,Investors!$O:$O,FALSE,Investors!$P:$P,FALSE,Investors!$K:$K,"&gt;"&amp;'NSST Print'!$B$3,Investors!$I:$I,"&lt;="&amp;'NSST Print'!$B$3,Investors!$A:$A,'Investor Exit List'!$A494,Investors!$E:$E,'Investor Exit List'!$C494,Investors!$L:$L,'Investor Exit List'!$B494)-(SUMIFS(Investors!$S:$S,Investors!$I:$I,"&lt;="&amp;'NSST Print'!$B$3,Investors!$J:$J,"&gt;"&amp;'NSST Print'!$B$3,Investors!$A:$A,'Investor Exit List'!$A494,Investors!$E:$E,'Investor Exit List'!$C494,Investors!$L:$L,'Investor Exit List'!$B494)+SUMIFS(Investors!$S:$S,Investors!$I:$I,"&lt;="&amp;'NSST Print'!$B$3,Investors!$J:$J,"",Investors!$A:$A,'Investor Exit List'!$A494,Investors!$E:$E,'Investor Exit List'!$C494,Investors!$L:$L,'Investor Exit List'!$B494))</f>
        <v>129452.05479452055</v>
      </c>
      <c r="R494" s="117">
        <f t="shared" si="89"/>
        <v>129452.05479452055</v>
      </c>
      <c r="S494" s="117">
        <f>SUMIFS(Investors!$M:$M,Investors!$O:$O,TRUE,Investors!$A:$A,'Investor Exit List'!$A494,Investors!$E:$E,'Investor Exit List'!$C494,Investors!$L:$L,'Investor Exit List'!$B494)+SUMIFS(Investors!$S:$S,Investors!$O:$O,TRUE,Investors!$A:$A,'Investor Exit List'!$A494,Investors!$E:$E,'Investor Exit List'!$C494,Investors!$L:$L,'Investor Exit List'!$B494)</f>
        <v>0</v>
      </c>
      <c r="T494" s="118" t="str">
        <f t="shared" si="90"/>
        <v/>
      </c>
      <c r="U494" s="116" t="b">
        <v>0</v>
      </c>
      <c r="V494" s="117">
        <f t="shared" si="91"/>
        <v>0</v>
      </c>
      <c r="W494" s="116">
        <v>0</v>
      </c>
      <c r="X494" s="116" t="b">
        <v>0</v>
      </c>
      <c r="Y494" s="119">
        <f>IF(H494=FALSE,VLOOKUP($C494,Sales!$C:$F,4,FALSE),1)</f>
        <v>1</v>
      </c>
      <c r="Z494" s="116" t="str">
        <f t="shared" si="92"/>
        <v/>
      </c>
      <c r="AA494" s="118">
        <f t="shared" si="93"/>
        <v>45473</v>
      </c>
      <c r="AB494" s="118" t="str">
        <f t="shared" si="94"/>
        <v>HVN304-ZVDM01</v>
      </c>
      <c r="AC494" s="118">
        <f t="shared" si="95"/>
        <v>45473</v>
      </c>
    </row>
    <row r="495" spans="1:29" ht="16" x14ac:dyDescent="0.2">
      <c r="A495" s="116" t="s">
        <v>426</v>
      </c>
      <c r="B495" s="116">
        <v>7</v>
      </c>
      <c r="C495" s="116" t="s">
        <v>853</v>
      </c>
      <c r="D495" s="116" t="s">
        <v>854</v>
      </c>
      <c r="E495" s="116" t="s">
        <v>2017</v>
      </c>
      <c r="F495" s="117">
        <f>SUMIFS(Investors!$M:$M,Investors!$O:$O,FALSE,Investors!$P:$P,FALSE,Investors!$K:$K,"&gt;"&amp;'NSST Print'!$B$3,Investors!$I:$I,"&lt;="&amp;'NSST Print'!$B$3,Investors!$A:$A,'Investor Exit List'!$A495,Investors!$E:$E,'Investor Exit List'!$C495,Investors!$L:$L,'Investor Exit List'!$B495)-(SUMIFS(Investors!$M:$M,Investors!$I:$I,"&lt;="&amp;'NSST Print'!$B$3,Investors!$J:$J,"&gt;"&amp;'NSST Print'!$B$3,Investors!$A:$A,'Investor Exit List'!$A495,Investors!$E:$E,'Investor Exit List'!$C495,Investors!$L:$L,'Investor Exit List'!$B495)+SUMIFS(Investors!$M:$M,Investors!$I:$I,"&lt;="&amp;'NSST Print'!$B$3,Investors!$J:$J,"",Investors!$A:$A,'Investor Exit List'!$A495,Investors!$E:$E,'Investor Exit List'!$C495,Investors!$L:$L,'Investor Exit List'!$B495))</f>
        <v>100000</v>
      </c>
      <c r="G495" s="118">
        <v>44980</v>
      </c>
      <c r="H495" s="116" t="b">
        <f>VLOOKUP($C495,Sales!$C:$E,2,FALSE)</f>
        <v>1</v>
      </c>
      <c r="I495" s="116" t="b">
        <f>VLOOKUP($C495,Sales!$C:$E,3,FALSE)</f>
        <v>0</v>
      </c>
      <c r="J495" s="118">
        <f>SUMIFS(Sales!$H:$H,Sales!$C:$C,'Investor Exit List'!$C495)</f>
        <v>45518</v>
      </c>
      <c r="K495" s="118" t="str">
        <f t="shared" si="84"/>
        <v/>
      </c>
      <c r="L495" s="118">
        <f t="shared" si="85"/>
        <v>45710</v>
      </c>
      <c r="M495" s="118">
        <v>45443</v>
      </c>
      <c r="N495" s="119">
        <f t="shared" si="86"/>
        <v>267</v>
      </c>
      <c r="O495" s="119">
        <f t="shared" si="87"/>
        <v>0</v>
      </c>
      <c r="P495" s="117">
        <f t="shared" si="88"/>
        <v>0</v>
      </c>
      <c r="Q495" s="117">
        <f>SUMIFS(Investors!$M:$M,Investors!$O:$O,FALSE,Investors!$P:$P,FALSE,Investors!$K:$K,"&gt;"&amp;'NSST Print'!$B$3,Investors!$I:$I,"&lt;="&amp;'NSST Print'!$B$3,Investors!$A:$A,'Investor Exit List'!$A495,Investors!$E:$E,'Investor Exit List'!$C495,Investors!$L:$L,'Investor Exit List'!$B495)-(SUMIFS(Investors!$M:$M,Investors!$I:$I,"&lt;="&amp;'NSST Print'!$B$3,Investors!$J:$J,"&gt;"&amp;'NSST Print'!$B$3,Investors!$A:$A,'Investor Exit List'!$A495,Investors!$E:$E,'Investor Exit List'!$C495,Investors!$L:$L,'Investor Exit List'!$B495)+SUMIFS(Investors!$M:$M,Investors!$I:$I,"&lt;="&amp;'NSST Print'!$B$3,Investors!$J:$J,"",Investors!$A:$A,'Investor Exit List'!$A495,Investors!$E:$E,'Investor Exit List'!$C495,Investors!$L:$L,'Investor Exit List'!$B495))+SUMIFS(Investors!$S:$S,Investors!$O:$O,FALSE,Investors!$P:$P,FALSE,Investors!$K:$K,"&gt;"&amp;'NSST Print'!$B$3,Investors!$I:$I,"&lt;="&amp;'NSST Print'!$B$3,Investors!$A:$A,'Investor Exit List'!$A495,Investors!$E:$E,'Investor Exit List'!$C495,Investors!$L:$L,'Investor Exit List'!$B495)-(SUMIFS(Investors!$S:$S,Investors!$I:$I,"&lt;="&amp;'NSST Print'!$B$3,Investors!$J:$J,"&gt;"&amp;'NSST Print'!$B$3,Investors!$A:$A,'Investor Exit List'!$A495,Investors!$E:$E,'Investor Exit List'!$C495,Investors!$L:$L,'Investor Exit List'!$B495)+SUMIFS(Investors!$S:$S,Investors!$I:$I,"&lt;="&amp;'NSST Print'!$B$3,Investors!$J:$J,"",Investors!$A:$A,'Investor Exit List'!$A495,Investors!$E:$E,'Investor Exit List'!$C495,Investors!$L:$L,'Investor Exit List'!$B495))</f>
        <v>128470.54794520547</v>
      </c>
      <c r="R495" s="117">
        <f t="shared" si="89"/>
        <v>128470.54794520547</v>
      </c>
      <c r="S495" s="117">
        <f>SUMIFS(Investors!$M:$M,Investors!$O:$O,TRUE,Investors!$A:$A,'Investor Exit List'!$A495,Investors!$E:$E,'Investor Exit List'!$C495,Investors!$L:$L,'Investor Exit List'!$B495)+SUMIFS(Investors!$S:$S,Investors!$O:$O,TRUE,Investors!$A:$A,'Investor Exit List'!$A495,Investors!$E:$E,'Investor Exit List'!$C495,Investors!$L:$L,'Investor Exit List'!$B495)</f>
        <v>0</v>
      </c>
      <c r="T495" s="118" t="str">
        <f t="shared" si="90"/>
        <v/>
      </c>
      <c r="U495" s="116" t="b">
        <v>0</v>
      </c>
      <c r="V495" s="117">
        <f t="shared" si="91"/>
        <v>0</v>
      </c>
      <c r="W495" s="116">
        <v>0</v>
      </c>
      <c r="X495" s="116" t="b">
        <v>0</v>
      </c>
      <c r="Y495" s="119">
        <f>IF(H495=FALSE,VLOOKUP($C495,Sales!$C:$F,4,FALSE),1)</f>
        <v>1</v>
      </c>
      <c r="Z495" s="116" t="str">
        <f t="shared" si="92"/>
        <v/>
      </c>
      <c r="AA495" s="118">
        <f t="shared" si="93"/>
        <v>45710</v>
      </c>
      <c r="AB495" s="118" t="str">
        <f t="shared" si="94"/>
        <v>HVO101-ZALM01</v>
      </c>
      <c r="AC495" s="118">
        <f t="shared" si="95"/>
        <v>45710</v>
      </c>
    </row>
    <row r="496" spans="1:29" ht="16" x14ac:dyDescent="0.2">
      <c r="A496" s="116" t="s">
        <v>52</v>
      </c>
      <c r="B496" s="116">
        <v>12</v>
      </c>
      <c r="C496" s="116" t="s">
        <v>853</v>
      </c>
      <c r="D496" s="116" t="s">
        <v>854</v>
      </c>
      <c r="E496" s="116" t="s">
        <v>2017</v>
      </c>
      <c r="F496" s="117">
        <f>SUMIFS(Investors!$M:$M,Investors!$O:$O,FALSE,Investors!$P:$P,FALSE,Investors!$K:$K,"&gt;"&amp;'NSST Print'!$B$3,Investors!$I:$I,"&lt;="&amp;'NSST Print'!$B$3,Investors!$A:$A,'Investor Exit List'!$A496,Investors!$E:$E,'Investor Exit List'!$C496,Investors!$L:$L,'Investor Exit List'!$B496)-(SUMIFS(Investors!$M:$M,Investors!$I:$I,"&lt;="&amp;'NSST Print'!$B$3,Investors!$J:$J,"&gt;"&amp;'NSST Print'!$B$3,Investors!$A:$A,'Investor Exit List'!$A496,Investors!$E:$E,'Investor Exit List'!$C496,Investors!$L:$L,'Investor Exit List'!$B496)+SUMIFS(Investors!$M:$M,Investors!$I:$I,"&lt;="&amp;'NSST Print'!$B$3,Investors!$J:$J,"",Investors!$A:$A,'Investor Exit List'!$A496,Investors!$E:$E,'Investor Exit List'!$C496,Investors!$L:$L,'Investor Exit List'!$B496))</f>
        <v>120000</v>
      </c>
      <c r="G496" s="118">
        <v>45072</v>
      </c>
      <c r="H496" s="116" t="b">
        <f>VLOOKUP($C496,Sales!$C:$E,2,FALSE)</f>
        <v>1</v>
      </c>
      <c r="I496" s="116" t="b">
        <f>VLOOKUP($C496,Sales!$C:$E,3,FALSE)</f>
        <v>0</v>
      </c>
      <c r="J496" s="118">
        <f>SUMIFS(Sales!$H:$H,Sales!$C:$C,'Investor Exit List'!$C496)</f>
        <v>45518</v>
      </c>
      <c r="K496" s="118" t="str">
        <f t="shared" si="84"/>
        <v/>
      </c>
      <c r="L496" s="118">
        <f t="shared" si="85"/>
        <v>45802</v>
      </c>
      <c r="M496" s="118">
        <v>45443</v>
      </c>
      <c r="N496" s="119">
        <f t="shared" si="86"/>
        <v>359</v>
      </c>
      <c r="O496" s="119">
        <f t="shared" si="87"/>
        <v>0</v>
      </c>
      <c r="P496" s="117">
        <f t="shared" si="88"/>
        <v>0</v>
      </c>
      <c r="Q496" s="117">
        <f>SUMIFS(Investors!$M:$M,Investors!$O:$O,FALSE,Investors!$P:$P,FALSE,Investors!$K:$K,"&gt;"&amp;'NSST Print'!$B$3,Investors!$I:$I,"&lt;="&amp;'NSST Print'!$B$3,Investors!$A:$A,'Investor Exit List'!$A496,Investors!$E:$E,'Investor Exit List'!$C496,Investors!$L:$L,'Investor Exit List'!$B496)-(SUMIFS(Investors!$M:$M,Investors!$I:$I,"&lt;="&amp;'NSST Print'!$B$3,Investors!$J:$J,"&gt;"&amp;'NSST Print'!$B$3,Investors!$A:$A,'Investor Exit List'!$A496,Investors!$E:$E,'Investor Exit List'!$C496,Investors!$L:$L,'Investor Exit List'!$B496)+SUMIFS(Investors!$M:$M,Investors!$I:$I,"&lt;="&amp;'NSST Print'!$B$3,Investors!$J:$J,"",Investors!$A:$A,'Investor Exit List'!$A496,Investors!$E:$E,'Investor Exit List'!$C496,Investors!$L:$L,'Investor Exit List'!$B496))+SUMIFS(Investors!$S:$S,Investors!$O:$O,FALSE,Investors!$P:$P,FALSE,Investors!$K:$K,"&gt;"&amp;'NSST Print'!$B$3,Investors!$I:$I,"&lt;="&amp;'NSST Print'!$B$3,Investors!$A:$A,'Investor Exit List'!$A496,Investors!$E:$E,'Investor Exit List'!$C496,Investors!$L:$L,'Investor Exit List'!$B496)-(SUMIFS(Investors!$S:$S,Investors!$I:$I,"&lt;="&amp;'NSST Print'!$B$3,Investors!$J:$J,"&gt;"&amp;'NSST Print'!$B$3,Investors!$A:$A,'Investor Exit List'!$A496,Investors!$E:$E,'Investor Exit List'!$C496,Investors!$L:$L,'Investor Exit List'!$B496)+SUMIFS(Investors!$S:$S,Investors!$I:$I,"&lt;="&amp;'NSST Print'!$B$3,Investors!$J:$J,"",Investors!$A:$A,'Investor Exit List'!$A496,Investors!$E:$E,'Investor Exit List'!$C496,Investors!$L:$L,'Investor Exit List'!$B496))</f>
        <v>149575.89041095891</v>
      </c>
      <c r="R496" s="117">
        <f t="shared" si="89"/>
        <v>149575.89041095891</v>
      </c>
      <c r="S496" s="117">
        <f>SUMIFS(Investors!$M:$M,Investors!$O:$O,TRUE,Investors!$A:$A,'Investor Exit List'!$A496,Investors!$E:$E,'Investor Exit List'!$C496,Investors!$L:$L,'Investor Exit List'!$B496)+SUMIFS(Investors!$S:$S,Investors!$O:$O,TRUE,Investors!$A:$A,'Investor Exit List'!$A496,Investors!$E:$E,'Investor Exit List'!$C496,Investors!$L:$L,'Investor Exit List'!$B496)</f>
        <v>0</v>
      </c>
      <c r="T496" s="118" t="str">
        <f t="shared" si="90"/>
        <v/>
      </c>
      <c r="U496" s="116" t="b">
        <v>0</v>
      </c>
      <c r="V496" s="117">
        <f t="shared" si="91"/>
        <v>0</v>
      </c>
      <c r="W496" s="116">
        <v>0</v>
      </c>
      <c r="X496" s="116" t="b">
        <v>0</v>
      </c>
      <c r="Y496" s="119">
        <f>IF(H496=FALSE,VLOOKUP($C496,Sales!$C:$F,4,FALSE),1)</f>
        <v>1</v>
      </c>
      <c r="Z496" s="116" t="str">
        <f t="shared" si="92"/>
        <v/>
      </c>
      <c r="AA496" s="118">
        <f t="shared" si="93"/>
        <v>45710</v>
      </c>
      <c r="AB496" s="118" t="str">
        <f t="shared" si="94"/>
        <v>HVO101-ZCRO01</v>
      </c>
      <c r="AC496" s="118">
        <f t="shared" si="95"/>
        <v>45802</v>
      </c>
    </row>
    <row r="497" spans="1:29" ht="16" x14ac:dyDescent="0.2">
      <c r="A497" s="116" t="s">
        <v>207</v>
      </c>
      <c r="B497" s="116">
        <v>13</v>
      </c>
      <c r="C497" s="116" t="s">
        <v>853</v>
      </c>
      <c r="D497" s="116" t="s">
        <v>854</v>
      </c>
      <c r="E497" s="116" t="s">
        <v>2017</v>
      </c>
      <c r="F497" s="117">
        <f>SUMIFS(Investors!$M:$M,Investors!$O:$O,FALSE,Investors!$P:$P,FALSE,Investors!$K:$K,"&gt;"&amp;'NSST Print'!$B$3,Investors!$I:$I,"&lt;="&amp;'NSST Print'!$B$3,Investors!$A:$A,'Investor Exit List'!$A497,Investors!$E:$E,'Investor Exit List'!$C497,Investors!$L:$L,'Investor Exit List'!$B497)-(SUMIFS(Investors!$M:$M,Investors!$I:$I,"&lt;="&amp;'NSST Print'!$B$3,Investors!$J:$J,"&gt;"&amp;'NSST Print'!$B$3,Investors!$A:$A,'Investor Exit List'!$A497,Investors!$E:$E,'Investor Exit List'!$C497,Investors!$L:$L,'Investor Exit List'!$B497)+SUMIFS(Investors!$M:$M,Investors!$I:$I,"&lt;="&amp;'NSST Print'!$B$3,Investors!$J:$J,"",Investors!$A:$A,'Investor Exit List'!$A497,Investors!$E:$E,'Investor Exit List'!$C497,Investors!$L:$L,'Investor Exit List'!$B497))</f>
        <v>100000</v>
      </c>
      <c r="G497" s="118">
        <v>45072</v>
      </c>
      <c r="H497" s="116" t="b">
        <f>VLOOKUP($C497,Sales!$C:$E,2,FALSE)</f>
        <v>1</v>
      </c>
      <c r="I497" s="116" t="b">
        <f>VLOOKUP($C497,Sales!$C:$E,3,FALSE)</f>
        <v>0</v>
      </c>
      <c r="J497" s="118">
        <f>SUMIFS(Sales!$H:$H,Sales!$C:$C,'Investor Exit List'!$C497)</f>
        <v>45518</v>
      </c>
      <c r="K497" s="118" t="str">
        <f t="shared" si="84"/>
        <v/>
      </c>
      <c r="L497" s="118">
        <f t="shared" si="85"/>
        <v>45802</v>
      </c>
      <c r="M497" s="118">
        <v>45443</v>
      </c>
      <c r="N497" s="119">
        <f t="shared" si="86"/>
        <v>359</v>
      </c>
      <c r="O497" s="119">
        <f t="shared" si="87"/>
        <v>0</v>
      </c>
      <c r="P497" s="117">
        <f t="shared" si="88"/>
        <v>0</v>
      </c>
      <c r="Q497" s="117">
        <f>SUMIFS(Investors!$M:$M,Investors!$O:$O,FALSE,Investors!$P:$P,FALSE,Investors!$K:$K,"&gt;"&amp;'NSST Print'!$B$3,Investors!$I:$I,"&lt;="&amp;'NSST Print'!$B$3,Investors!$A:$A,'Investor Exit List'!$A497,Investors!$E:$E,'Investor Exit List'!$C497,Investors!$L:$L,'Investor Exit List'!$B497)-(SUMIFS(Investors!$M:$M,Investors!$I:$I,"&lt;="&amp;'NSST Print'!$B$3,Investors!$J:$J,"&gt;"&amp;'NSST Print'!$B$3,Investors!$A:$A,'Investor Exit List'!$A497,Investors!$E:$E,'Investor Exit List'!$C497,Investors!$L:$L,'Investor Exit List'!$B497)+SUMIFS(Investors!$M:$M,Investors!$I:$I,"&lt;="&amp;'NSST Print'!$B$3,Investors!$J:$J,"",Investors!$A:$A,'Investor Exit List'!$A497,Investors!$E:$E,'Investor Exit List'!$C497,Investors!$L:$L,'Investor Exit List'!$B497))+SUMIFS(Investors!$S:$S,Investors!$O:$O,FALSE,Investors!$P:$P,FALSE,Investors!$K:$K,"&gt;"&amp;'NSST Print'!$B$3,Investors!$I:$I,"&lt;="&amp;'NSST Print'!$B$3,Investors!$A:$A,'Investor Exit List'!$A497,Investors!$E:$E,'Investor Exit List'!$C497,Investors!$L:$L,'Investor Exit List'!$B497)-(SUMIFS(Investors!$S:$S,Investors!$I:$I,"&lt;="&amp;'NSST Print'!$B$3,Investors!$J:$J,"&gt;"&amp;'NSST Print'!$B$3,Investors!$A:$A,'Investor Exit List'!$A497,Investors!$E:$E,'Investor Exit List'!$C497,Investors!$L:$L,'Investor Exit List'!$B497)+SUMIFS(Investors!$S:$S,Investors!$I:$I,"&lt;="&amp;'NSST Print'!$B$3,Investors!$J:$J,"",Investors!$A:$A,'Investor Exit List'!$A497,Investors!$E:$E,'Investor Exit List'!$C497,Investors!$L:$L,'Investor Exit List'!$B497))</f>
        <v>125030.13698630138</v>
      </c>
      <c r="R497" s="117">
        <f t="shared" si="89"/>
        <v>125030.13698630138</v>
      </c>
      <c r="S497" s="117">
        <f>SUMIFS(Investors!$M:$M,Investors!$O:$O,TRUE,Investors!$A:$A,'Investor Exit List'!$A497,Investors!$E:$E,'Investor Exit List'!$C497,Investors!$L:$L,'Investor Exit List'!$B497)+SUMIFS(Investors!$S:$S,Investors!$O:$O,TRUE,Investors!$A:$A,'Investor Exit List'!$A497,Investors!$E:$E,'Investor Exit List'!$C497,Investors!$L:$L,'Investor Exit List'!$B497)</f>
        <v>0</v>
      </c>
      <c r="T497" s="118" t="str">
        <f t="shared" si="90"/>
        <v/>
      </c>
      <c r="U497" s="116" t="b">
        <v>0</v>
      </c>
      <c r="V497" s="117">
        <f t="shared" si="91"/>
        <v>0</v>
      </c>
      <c r="W497" s="116">
        <v>0</v>
      </c>
      <c r="X497" s="116" t="b">
        <v>0</v>
      </c>
      <c r="Y497" s="119">
        <f>IF(H497=FALSE,VLOOKUP($C497,Sales!$C:$F,4,FALSE),1)</f>
        <v>1</v>
      </c>
      <c r="Z497" s="116" t="str">
        <f t="shared" si="92"/>
        <v/>
      </c>
      <c r="AA497" s="118">
        <f t="shared" si="93"/>
        <v>45710</v>
      </c>
      <c r="AB497" s="118" t="str">
        <f t="shared" si="94"/>
        <v>HVO101-ZINT01</v>
      </c>
      <c r="AC497" s="118">
        <f t="shared" si="95"/>
        <v>45802</v>
      </c>
    </row>
    <row r="498" spans="1:29" ht="16" x14ac:dyDescent="0.2">
      <c r="A498" s="116" t="s">
        <v>69</v>
      </c>
      <c r="B498" s="116">
        <v>7</v>
      </c>
      <c r="C498" s="116" t="s">
        <v>853</v>
      </c>
      <c r="D498" s="116" t="s">
        <v>854</v>
      </c>
      <c r="E498" s="116" t="s">
        <v>2022</v>
      </c>
      <c r="F498" s="117">
        <f>SUMIFS(Investors!$M:$M,Investors!$O:$O,FALSE,Investors!$P:$P,FALSE,Investors!$K:$K,"&gt;"&amp;'NSST Print'!$B$3,Investors!$I:$I,"&lt;="&amp;'NSST Print'!$B$3,Investors!$A:$A,'Investor Exit List'!$A498,Investors!$E:$E,'Investor Exit List'!$C498,Investors!$L:$L,'Investor Exit List'!$B498)-(SUMIFS(Investors!$M:$M,Investors!$I:$I,"&lt;="&amp;'NSST Print'!$B$3,Investors!$J:$J,"&gt;"&amp;'NSST Print'!$B$3,Investors!$A:$A,'Investor Exit List'!$A498,Investors!$E:$E,'Investor Exit List'!$C498,Investors!$L:$L,'Investor Exit List'!$B498)+SUMIFS(Investors!$M:$M,Investors!$I:$I,"&lt;="&amp;'NSST Print'!$B$3,Investors!$J:$J,"",Investors!$A:$A,'Investor Exit List'!$A498,Investors!$E:$E,'Investor Exit List'!$C498,Investors!$L:$L,'Investor Exit List'!$B498))</f>
        <v>110000</v>
      </c>
      <c r="G498" s="118">
        <v>45072</v>
      </c>
      <c r="H498" s="116" t="b">
        <f>VLOOKUP($C498,Sales!$C:$E,2,FALSE)</f>
        <v>1</v>
      </c>
      <c r="I498" s="116" t="b">
        <f>VLOOKUP($C498,Sales!$C:$E,3,FALSE)</f>
        <v>0</v>
      </c>
      <c r="J498" s="118">
        <f>SUMIFS(Sales!$H:$H,Sales!$C:$C,'Investor Exit List'!$C498)</f>
        <v>45518</v>
      </c>
      <c r="K498" s="118" t="str">
        <f t="shared" si="84"/>
        <v/>
      </c>
      <c r="L498" s="118">
        <f t="shared" si="85"/>
        <v>45802</v>
      </c>
      <c r="M498" s="118">
        <v>45443</v>
      </c>
      <c r="N498" s="119">
        <f t="shared" si="86"/>
        <v>359</v>
      </c>
      <c r="O498" s="119">
        <f t="shared" si="87"/>
        <v>0</v>
      </c>
      <c r="P498" s="117">
        <f t="shared" si="88"/>
        <v>0</v>
      </c>
      <c r="Q498" s="117">
        <f>SUMIFS(Investors!$M:$M,Investors!$O:$O,FALSE,Investors!$P:$P,FALSE,Investors!$K:$K,"&gt;"&amp;'NSST Print'!$B$3,Investors!$I:$I,"&lt;="&amp;'NSST Print'!$B$3,Investors!$A:$A,'Investor Exit List'!$A498,Investors!$E:$E,'Investor Exit List'!$C498,Investors!$L:$L,'Investor Exit List'!$B498)-(SUMIFS(Investors!$M:$M,Investors!$I:$I,"&lt;="&amp;'NSST Print'!$B$3,Investors!$J:$J,"&gt;"&amp;'NSST Print'!$B$3,Investors!$A:$A,'Investor Exit List'!$A498,Investors!$E:$E,'Investor Exit List'!$C498,Investors!$L:$L,'Investor Exit List'!$B498)+SUMIFS(Investors!$M:$M,Investors!$I:$I,"&lt;="&amp;'NSST Print'!$B$3,Investors!$J:$J,"",Investors!$A:$A,'Investor Exit List'!$A498,Investors!$E:$E,'Investor Exit List'!$C498,Investors!$L:$L,'Investor Exit List'!$B498))+SUMIFS(Investors!$S:$S,Investors!$O:$O,FALSE,Investors!$P:$P,FALSE,Investors!$K:$K,"&gt;"&amp;'NSST Print'!$B$3,Investors!$I:$I,"&lt;="&amp;'NSST Print'!$B$3,Investors!$A:$A,'Investor Exit List'!$A498,Investors!$E:$E,'Investor Exit List'!$C498,Investors!$L:$L,'Investor Exit List'!$B498)-(SUMIFS(Investors!$S:$S,Investors!$I:$I,"&lt;="&amp;'NSST Print'!$B$3,Investors!$J:$J,"&gt;"&amp;'NSST Print'!$B$3,Investors!$A:$A,'Investor Exit List'!$A498,Investors!$E:$E,'Investor Exit List'!$C498,Investors!$L:$L,'Investor Exit List'!$B498)+SUMIFS(Investors!$S:$S,Investors!$I:$I,"&lt;="&amp;'NSST Print'!$B$3,Investors!$J:$J,"",Investors!$A:$A,'Investor Exit List'!$A498,Investors!$E:$E,'Investor Exit List'!$C498,Investors!$L:$L,'Investor Exit List'!$B498))</f>
        <v>137653.69863013699</v>
      </c>
      <c r="R498" s="117">
        <f t="shared" si="89"/>
        <v>137653.69863013699</v>
      </c>
      <c r="S498" s="117">
        <f>SUMIFS(Investors!$M:$M,Investors!$O:$O,TRUE,Investors!$A:$A,'Investor Exit List'!$A498,Investors!$E:$E,'Investor Exit List'!$C498,Investors!$L:$L,'Investor Exit List'!$B498)+SUMIFS(Investors!$S:$S,Investors!$O:$O,TRUE,Investors!$A:$A,'Investor Exit List'!$A498,Investors!$E:$E,'Investor Exit List'!$C498,Investors!$L:$L,'Investor Exit List'!$B498)</f>
        <v>0</v>
      </c>
      <c r="T498" s="118" t="str">
        <f t="shared" si="90"/>
        <v/>
      </c>
      <c r="U498" s="116" t="b">
        <v>0</v>
      </c>
      <c r="V498" s="117">
        <f t="shared" si="91"/>
        <v>0</v>
      </c>
      <c r="W498" s="116">
        <v>0</v>
      </c>
      <c r="X498" s="116" t="b">
        <v>0</v>
      </c>
      <c r="Y498" s="119">
        <f>IF(H498=FALSE,VLOOKUP($C498,Sales!$C:$F,4,FALSE),1)</f>
        <v>1</v>
      </c>
      <c r="Z498" s="116" t="str">
        <f t="shared" si="92"/>
        <v/>
      </c>
      <c r="AA498" s="118">
        <f t="shared" si="93"/>
        <v>45710</v>
      </c>
      <c r="AB498" s="118" t="str">
        <f t="shared" si="94"/>
        <v>HVO101-ZJOH01</v>
      </c>
      <c r="AC498" s="118">
        <f t="shared" si="95"/>
        <v>45802</v>
      </c>
    </row>
    <row r="499" spans="1:29" ht="16" x14ac:dyDescent="0.2">
      <c r="A499" s="116" t="s">
        <v>363</v>
      </c>
      <c r="B499" s="116">
        <v>5</v>
      </c>
      <c r="C499" s="116" t="s">
        <v>853</v>
      </c>
      <c r="D499" s="116" t="s">
        <v>854</v>
      </c>
      <c r="E499" s="116" t="s">
        <v>2109</v>
      </c>
      <c r="F499" s="117">
        <f>SUMIFS(Investors!$M:$M,Investors!$O:$O,FALSE,Investors!$P:$P,FALSE,Investors!$K:$K,"&gt;"&amp;'NSST Print'!$B$3,Investors!$I:$I,"&lt;="&amp;'NSST Print'!$B$3,Investors!$A:$A,'Investor Exit List'!$A499,Investors!$E:$E,'Investor Exit List'!$C499,Investors!$L:$L,'Investor Exit List'!$B499)-(SUMIFS(Investors!$M:$M,Investors!$I:$I,"&lt;="&amp;'NSST Print'!$B$3,Investors!$J:$J,"&gt;"&amp;'NSST Print'!$B$3,Investors!$A:$A,'Investor Exit List'!$A499,Investors!$E:$E,'Investor Exit List'!$C499,Investors!$L:$L,'Investor Exit List'!$B499)+SUMIFS(Investors!$M:$M,Investors!$I:$I,"&lt;="&amp;'NSST Print'!$B$3,Investors!$J:$J,"",Investors!$A:$A,'Investor Exit List'!$A499,Investors!$E:$E,'Investor Exit List'!$C499,Investors!$L:$L,'Investor Exit List'!$B499))</f>
        <v>238516.44</v>
      </c>
      <c r="G499" s="118">
        <v>45129</v>
      </c>
      <c r="H499" s="116" t="b">
        <f>VLOOKUP($C499,Sales!$C:$E,2,FALSE)</f>
        <v>1</v>
      </c>
      <c r="I499" s="116" t="b">
        <f>VLOOKUP($C499,Sales!$C:$E,3,FALSE)</f>
        <v>0</v>
      </c>
      <c r="J499" s="118">
        <f>SUMIFS(Sales!$H:$H,Sales!$C:$C,'Investor Exit List'!$C499)</f>
        <v>45518</v>
      </c>
      <c r="K499" s="118" t="str">
        <f t="shared" si="84"/>
        <v/>
      </c>
      <c r="L499" s="118">
        <f t="shared" si="85"/>
        <v>45859</v>
      </c>
      <c r="M499" s="118">
        <v>45443</v>
      </c>
      <c r="N499" s="119">
        <f t="shared" si="86"/>
        <v>416</v>
      </c>
      <c r="O499" s="119">
        <f t="shared" si="87"/>
        <v>0</v>
      </c>
      <c r="P499" s="117">
        <f t="shared" si="88"/>
        <v>0</v>
      </c>
      <c r="Q499" s="117">
        <f>SUMIFS(Investors!$M:$M,Investors!$O:$O,FALSE,Investors!$P:$P,FALSE,Investors!$K:$K,"&gt;"&amp;'NSST Print'!$B$3,Investors!$I:$I,"&lt;="&amp;'NSST Print'!$B$3,Investors!$A:$A,'Investor Exit List'!$A499,Investors!$E:$E,'Investor Exit List'!$C499,Investors!$L:$L,'Investor Exit List'!$B499)-(SUMIFS(Investors!$M:$M,Investors!$I:$I,"&lt;="&amp;'NSST Print'!$B$3,Investors!$J:$J,"&gt;"&amp;'NSST Print'!$B$3,Investors!$A:$A,'Investor Exit List'!$A499,Investors!$E:$E,'Investor Exit List'!$C499,Investors!$L:$L,'Investor Exit List'!$B499)+SUMIFS(Investors!$M:$M,Investors!$I:$I,"&lt;="&amp;'NSST Print'!$B$3,Investors!$J:$J,"",Investors!$A:$A,'Investor Exit List'!$A499,Investors!$E:$E,'Investor Exit List'!$C499,Investors!$L:$L,'Investor Exit List'!$B499))+SUMIFS(Investors!$S:$S,Investors!$O:$O,FALSE,Investors!$P:$P,FALSE,Investors!$K:$K,"&gt;"&amp;'NSST Print'!$B$3,Investors!$I:$I,"&lt;="&amp;'NSST Print'!$B$3,Investors!$A:$A,'Investor Exit List'!$A499,Investors!$E:$E,'Investor Exit List'!$C499,Investors!$L:$L,'Investor Exit List'!$B499)-(SUMIFS(Investors!$S:$S,Investors!$I:$I,"&lt;="&amp;'NSST Print'!$B$3,Investors!$J:$J,"&gt;"&amp;'NSST Print'!$B$3,Investors!$A:$A,'Investor Exit List'!$A499,Investors!$E:$E,'Investor Exit List'!$C499,Investors!$L:$L,'Investor Exit List'!$B499)+SUMIFS(Investors!$S:$S,Investors!$I:$I,"&lt;="&amp;'NSST Print'!$B$3,Investors!$J:$J,"",Investors!$A:$A,'Investor Exit List'!$A499,Investors!$E:$E,'Investor Exit List'!$C499,Investors!$L:$L,'Investor Exit List'!$B499))</f>
        <v>281067.11942630139</v>
      </c>
      <c r="R499" s="117">
        <f t="shared" si="89"/>
        <v>281067.11942630139</v>
      </c>
      <c r="S499" s="117">
        <f>SUMIFS(Investors!$M:$M,Investors!$O:$O,TRUE,Investors!$A:$A,'Investor Exit List'!$A499,Investors!$E:$E,'Investor Exit List'!$C499,Investors!$L:$L,'Investor Exit List'!$B499)+SUMIFS(Investors!$S:$S,Investors!$O:$O,TRUE,Investors!$A:$A,'Investor Exit List'!$A499,Investors!$E:$E,'Investor Exit List'!$C499,Investors!$L:$L,'Investor Exit List'!$B499)</f>
        <v>0</v>
      </c>
      <c r="T499" s="118" t="str">
        <f t="shared" si="90"/>
        <v/>
      </c>
      <c r="U499" s="116" t="b">
        <v>0</v>
      </c>
      <c r="V499" s="117">
        <f t="shared" si="91"/>
        <v>0</v>
      </c>
      <c r="W499" s="116">
        <v>0</v>
      </c>
      <c r="X499" s="116" t="b">
        <v>0</v>
      </c>
      <c r="Y499" s="119">
        <f>IF(H499=FALSE,VLOOKUP($C499,Sales!$C:$F,4,FALSE),1)</f>
        <v>1</v>
      </c>
      <c r="Z499" s="116" t="str">
        <f t="shared" si="92"/>
        <v/>
      </c>
      <c r="AA499" s="118">
        <f t="shared" si="93"/>
        <v>45710</v>
      </c>
      <c r="AB499" s="118" t="str">
        <f t="shared" si="94"/>
        <v>HVO101-ZVOR01</v>
      </c>
      <c r="AC499" s="118">
        <f t="shared" si="95"/>
        <v>45859</v>
      </c>
    </row>
    <row r="500" spans="1:29" ht="16" x14ac:dyDescent="0.2">
      <c r="A500" s="116" t="s">
        <v>498</v>
      </c>
      <c r="B500" s="116">
        <v>13</v>
      </c>
      <c r="C500" s="116" t="s">
        <v>853</v>
      </c>
      <c r="D500" s="116" t="s">
        <v>854</v>
      </c>
      <c r="E500" s="116" t="s">
        <v>2146</v>
      </c>
      <c r="F500" s="117">
        <f>SUMIFS(Investors!$M:$M,Investors!$O:$O,FALSE,Investors!$P:$P,FALSE,Investors!$K:$K,"&gt;"&amp;'NSST Print'!$B$3,Investors!$I:$I,"&lt;="&amp;'NSST Print'!$B$3,Investors!$A:$A,'Investor Exit List'!$A500,Investors!$E:$E,'Investor Exit List'!$C500,Investors!$L:$L,'Investor Exit List'!$B500)-(SUMIFS(Investors!$M:$M,Investors!$I:$I,"&lt;="&amp;'NSST Print'!$B$3,Investors!$J:$J,"&gt;"&amp;'NSST Print'!$B$3,Investors!$A:$A,'Investor Exit List'!$A500,Investors!$E:$E,'Investor Exit List'!$C500,Investors!$L:$L,'Investor Exit List'!$B500)+SUMIFS(Investors!$M:$M,Investors!$I:$I,"&lt;="&amp;'NSST Print'!$B$3,Investors!$J:$J,"",Investors!$A:$A,'Investor Exit List'!$A500,Investors!$E:$E,'Investor Exit List'!$C500,Investors!$L:$L,'Investor Exit List'!$B500))</f>
        <v>435021.99</v>
      </c>
      <c r="G500" s="118">
        <v>45044</v>
      </c>
      <c r="H500" s="116" t="b">
        <f>VLOOKUP($C500,Sales!$C:$E,2,FALSE)</f>
        <v>1</v>
      </c>
      <c r="I500" s="116" t="b">
        <f>VLOOKUP($C500,Sales!$C:$E,3,FALSE)</f>
        <v>0</v>
      </c>
      <c r="J500" s="118">
        <f>SUMIFS(Sales!$H:$H,Sales!$C:$C,'Investor Exit List'!$C500)</f>
        <v>45518</v>
      </c>
      <c r="K500" s="118" t="str">
        <f t="shared" si="84"/>
        <v/>
      </c>
      <c r="L500" s="118">
        <f t="shared" si="85"/>
        <v>45774</v>
      </c>
      <c r="M500" s="118">
        <v>45443</v>
      </c>
      <c r="N500" s="119">
        <f t="shared" si="86"/>
        <v>331</v>
      </c>
      <c r="O500" s="119">
        <f t="shared" si="87"/>
        <v>0</v>
      </c>
      <c r="P500" s="117">
        <f t="shared" si="88"/>
        <v>0</v>
      </c>
      <c r="Q500" s="117">
        <f>SUMIFS(Investors!$M:$M,Investors!$O:$O,FALSE,Investors!$P:$P,FALSE,Investors!$K:$K,"&gt;"&amp;'NSST Print'!$B$3,Investors!$I:$I,"&lt;="&amp;'NSST Print'!$B$3,Investors!$A:$A,'Investor Exit List'!$A500,Investors!$E:$E,'Investor Exit List'!$C500,Investors!$L:$L,'Investor Exit List'!$B500)-(SUMIFS(Investors!$M:$M,Investors!$I:$I,"&lt;="&amp;'NSST Print'!$B$3,Investors!$J:$J,"&gt;"&amp;'NSST Print'!$B$3,Investors!$A:$A,'Investor Exit List'!$A500,Investors!$E:$E,'Investor Exit List'!$C500,Investors!$L:$L,'Investor Exit List'!$B500)+SUMIFS(Investors!$M:$M,Investors!$I:$I,"&lt;="&amp;'NSST Print'!$B$3,Investors!$J:$J,"",Investors!$A:$A,'Investor Exit List'!$A500,Investors!$E:$E,'Investor Exit List'!$C500,Investors!$L:$L,'Investor Exit List'!$B500))+SUMIFS(Investors!$S:$S,Investors!$O:$O,FALSE,Investors!$P:$P,FALSE,Investors!$K:$K,"&gt;"&amp;'NSST Print'!$B$3,Investors!$I:$I,"&lt;="&amp;'NSST Print'!$B$3,Investors!$A:$A,'Investor Exit List'!$A500,Investors!$E:$E,'Investor Exit List'!$C500,Investors!$L:$L,'Investor Exit List'!$B500)-(SUMIFS(Investors!$S:$S,Investors!$I:$I,"&lt;="&amp;'NSST Print'!$B$3,Investors!$J:$J,"&gt;"&amp;'NSST Print'!$B$3,Investors!$A:$A,'Investor Exit List'!$A500,Investors!$E:$E,'Investor Exit List'!$C500,Investors!$L:$L,'Investor Exit List'!$B500)+SUMIFS(Investors!$S:$S,Investors!$I:$I,"&lt;="&amp;'NSST Print'!$B$3,Investors!$J:$J,"",Investors!$A:$A,'Investor Exit List'!$A500,Investors!$E:$E,'Investor Exit List'!$C500,Investors!$L:$L,'Investor Exit List'!$B500))</f>
        <v>548872.60806780821</v>
      </c>
      <c r="R500" s="117">
        <f t="shared" si="89"/>
        <v>548872.60806780821</v>
      </c>
      <c r="S500" s="117">
        <f>SUMIFS(Investors!$M:$M,Investors!$O:$O,TRUE,Investors!$A:$A,'Investor Exit List'!$A500,Investors!$E:$E,'Investor Exit List'!$C500,Investors!$L:$L,'Investor Exit List'!$B500)+SUMIFS(Investors!$S:$S,Investors!$O:$O,TRUE,Investors!$A:$A,'Investor Exit List'!$A500,Investors!$E:$E,'Investor Exit List'!$C500,Investors!$L:$L,'Investor Exit List'!$B500)</f>
        <v>0</v>
      </c>
      <c r="T500" s="118" t="str">
        <f t="shared" si="90"/>
        <v/>
      </c>
      <c r="U500" s="116" t="b">
        <v>0</v>
      </c>
      <c r="V500" s="117">
        <f t="shared" si="91"/>
        <v>0</v>
      </c>
      <c r="W500" s="116">
        <v>0</v>
      </c>
      <c r="X500" s="116" t="b">
        <v>0</v>
      </c>
      <c r="Y500" s="119">
        <f>IF(H500=FALSE,VLOOKUP($C500,Sales!$C:$F,4,FALSE),1)</f>
        <v>1</v>
      </c>
      <c r="Z500" s="116" t="str">
        <f t="shared" si="92"/>
        <v/>
      </c>
      <c r="AA500" s="118">
        <f t="shared" si="93"/>
        <v>45710</v>
      </c>
      <c r="AB500" s="118" t="str">
        <f t="shared" si="94"/>
        <v>HVO101-ZWAT01</v>
      </c>
      <c r="AC500" s="118">
        <f t="shared" si="95"/>
        <v>45774</v>
      </c>
    </row>
    <row r="501" spans="1:29" ht="16" x14ac:dyDescent="0.2">
      <c r="A501" s="116" t="s">
        <v>426</v>
      </c>
      <c r="B501" s="116">
        <v>8</v>
      </c>
      <c r="C501" s="116" t="s">
        <v>855</v>
      </c>
      <c r="D501" s="116" t="s">
        <v>854</v>
      </c>
      <c r="E501" s="116" t="s">
        <v>2017</v>
      </c>
      <c r="F501" s="117">
        <f>SUMIFS(Investors!$M:$M,Investors!$O:$O,FALSE,Investors!$P:$P,FALSE,Investors!$K:$K,"&gt;"&amp;'NSST Print'!$B$3,Investors!$I:$I,"&lt;="&amp;'NSST Print'!$B$3,Investors!$A:$A,'Investor Exit List'!$A501,Investors!$E:$E,'Investor Exit List'!$C501,Investors!$L:$L,'Investor Exit List'!$B501)-(SUMIFS(Investors!$M:$M,Investors!$I:$I,"&lt;="&amp;'NSST Print'!$B$3,Investors!$J:$J,"&gt;"&amp;'NSST Print'!$B$3,Investors!$A:$A,'Investor Exit List'!$A501,Investors!$E:$E,'Investor Exit List'!$C501,Investors!$L:$L,'Investor Exit List'!$B501)+SUMIFS(Investors!$M:$M,Investors!$I:$I,"&lt;="&amp;'NSST Print'!$B$3,Investors!$J:$J,"",Investors!$A:$A,'Investor Exit List'!$A501,Investors!$E:$E,'Investor Exit List'!$C501,Investors!$L:$L,'Investor Exit List'!$B501))</f>
        <v>100000</v>
      </c>
      <c r="G501" s="118">
        <v>44980</v>
      </c>
      <c r="H501" s="116" t="b">
        <f>VLOOKUP($C501,Sales!$C:$E,2,FALSE)</f>
        <v>1</v>
      </c>
      <c r="I501" s="116" t="b">
        <f>VLOOKUP($C501,Sales!$C:$E,3,FALSE)</f>
        <v>0</v>
      </c>
      <c r="J501" s="118">
        <f>SUMIFS(Sales!$H:$H,Sales!$C:$C,'Investor Exit List'!$C501)</f>
        <v>45518</v>
      </c>
      <c r="K501" s="118" t="str">
        <f t="shared" si="84"/>
        <v/>
      </c>
      <c r="L501" s="118">
        <f t="shared" si="85"/>
        <v>45710</v>
      </c>
      <c r="M501" s="118">
        <v>45443</v>
      </c>
      <c r="N501" s="119">
        <f t="shared" si="86"/>
        <v>267</v>
      </c>
      <c r="O501" s="119">
        <f t="shared" si="87"/>
        <v>0</v>
      </c>
      <c r="P501" s="117">
        <f t="shared" si="88"/>
        <v>0</v>
      </c>
      <c r="Q501" s="117">
        <f>SUMIFS(Investors!$M:$M,Investors!$O:$O,FALSE,Investors!$P:$P,FALSE,Investors!$K:$K,"&gt;"&amp;'NSST Print'!$B$3,Investors!$I:$I,"&lt;="&amp;'NSST Print'!$B$3,Investors!$A:$A,'Investor Exit List'!$A501,Investors!$E:$E,'Investor Exit List'!$C501,Investors!$L:$L,'Investor Exit List'!$B501)-(SUMIFS(Investors!$M:$M,Investors!$I:$I,"&lt;="&amp;'NSST Print'!$B$3,Investors!$J:$J,"&gt;"&amp;'NSST Print'!$B$3,Investors!$A:$A,'Investor Exit List'!$A501,Investors!$E:$E,'Investor Exit List'!$C501,Investors!$L:$L,'Investor Exit List'!$B501)+SUMIFS(Investors!$M:$M,Investors!$I:$I,"&lt;="&amp;'NSST Print'!$B$3,Investors!$J:$J,"",Investors!$A:$A,'Investor Exit List'!$A501,Investors!$E:$E,'Investor Exit List'!$C501,Investors!$L:$L,'Investor Exit List'!$B501))+SUMIFS(Investors!$S:$S,Investors!$O:$O,FALSE,Investors!$P:$P,FALSE,Investors!$K:$K,"&gt;"&amp;'NSST Print'!$B$3,Investors!$I:$I,"&lt;="&amp;'NSST Print'!$B$3,Investors!$A:$A,'Investor Exit List'!$A501,Investors!$E:$E,'Investor Exit List'!$C501,Investors!$L:$L,'Investor Exit List'!$B501)-(SUMIFS(Investors!$S:$S,Investors!$I:$I,"&lt;="&amp;'NSST Print'!$B$3,Investors!$J:$J,"&gt;"&amp;'NSST Print'!$B$3,Investors!$A:$A,'Investor Exit List'!$A501,Investors!$E:$E,'Investor Exit List'!$C501,Investors!$L:$L,'Investor Exit List'!$B501)+SUMIFS(Investors!$S:$S,Investors!$I:$I,"&lt;="&amp;'NSST Print'!$B$3,Investors!$J:$J,"",Investors!$A:$A,'Investor Exit List'!$A501,Investors!$E:$E,'Investor Exit List'!$C501,Investors!$L:$L,'Investor Exit List'!$B501))</f>
        <v>128470.54794520547</v>
      </c>
      <c r="R501" s="117">
        <f t="shared" si="89"/>
        <v>128470.54794520547</v>
      </c>
      <c r="S501" s="117">
        <f>SUMIFS(Investors!$M:$M,Investors!$O:$O,TRUE,Investors!$A:$A,'Investor Exit List'!$A501,Investors!$E:$E,'Investor Exit List'!$C501,Investors!$L:$L,'Investor Exit List'!$B501)+SUMIFS(Investors!$S:$S,Investors!$O:$O,TRUE,Investors!$A:$A,'Investor Exit List'!$A501,Investors!$E:$E,'Investor Exit List'!$C501,Investors!$L:$L,'Investor Exit List'!$B501)</f>
        <v>0</v>
      </c>
      <c r="T501" s="118" t="str">
        <f t="shared" si="90"/>
        <v/>
      </c>
      <c r="U501" s="116" t="b">
        <v>0</v>
      </c>
      <c r="V501" s="117">
        <f t="shared" si="91"/>
        <v>0</v>
      </c>
      <c r="W501" s="116">
        <v>0</v>
      </c>
      <c r="X501" s="116" t="b">
        <v>0</v>
      </c>
      <c r="Y501" s="119">
        <f>IF(H501=FALSE,VLOOKUP($C501,Sales!$C:$F,4,FALSE),1)</f>
        <v>1</v>
      </c>
      <c r="Z501" s="116" t="str">
        <f t="shared" si="92"/>
        <v/>
      </c>
      <c r="AA501" s="118">
        <f t="shared" si="93"/>
        <v>45710</v>
      </c>
      <c r="AB501" s="118" t="str">
        <f t="shared" si="94"/>
        <v>HVO102-ZALM01</v>
      </c>
      <c r="AC501" s="118">
        <f t="shared" si="95"/>
        <v>45710</v>
      </c>
    </row>
    <row r="502" spans="1:29" ht="16" x14ac:dyDescent="0.2">
      <c r="A502" s="116" t="s">
        <v>210</v>
      </c>
      <c r="B502" s="116">
        <v>2</v>
      </c>
      <c r="C502" s="116" t="s">
        <v>855</v>
      </c>
      <c r="D502" s="116" t="s">
        <v>854</v>
      </c>
      <c r="E502" s="116" t="s">
        <v>2065</v>
      </c>
      <c r="F502" s="117">
        <f>SUMIFS(Investors!$M:$M,Investors!$O:$O,FALSE,Investors!$P:$P,FALSE,Investors!$K:$K,"&gt;"&amp;'NSST Print'!$B$3,Investors!$I:$I,"&lt;="&amp;'NSST Print'!$B$3,Investors!$A:$A,'Investor Exit List'!$A502,Investors!$E:$E,'Investor Exit List'!$C502,Investors!$L:$L,'Investor Exit List'!$B502)-(SUMIFS(Investors!$M:$M,Investors!$I:$I,"&lt;="&amp;'NSST Print'!$B$3,Investors!$J:$J,"&gt;"&amp;'NSST Print'!$B$3,Investors!$A:$A,'Investor Exit List'!$A502,Investors!$E:$E,'Investor Exit List'!$C502,Investors!$L:$L,'Investor Exit List'!$B502)+SUMIFS(Investors!$M:$M,Investors!$I:$I,"&lt;="&amp;'NSST Print'!$B$3,Investors!$J:$J,"",Investors!$A:$A,'Investor Exit List'!$A502,Investors!$E:$E,'Investor Exit List'!$C502,Investors!$L:$L,'Investor Exit List'!$B502))</f>
        <v>250000</v>
      </c>
      <c r="G502" s="118">
        <v>45016</v>
      </c>
      <c r="H502" s="116" t="b">
        <f>VLOOKUP($C502,Sales!$C:$E,2,FALSE)</f>
        <v>1</v>
      </c>
      <c r="I502" s="116" t="b">
        <f>VLOOKUP($C502,Sales!$C:$E,3,FALSE)</f>
        <v>0</v>
      </c>
      <c r="J502" s="118">
        <f>SUMIFS(Sales!$H:$H,Sales!$C:$C,'Investor Exit List'!$C502)</f>
        <v>45518</v>
      </c>
      <c r="K502" s="118" t="str">
        <f t="shared" si="84"/>
        <v/>
      </c>
      <c r="L502" s="118">
        <f t="shared" si="85"/>
        <v>45746</v>
      </c>
      <c r="M502" s="118">
        <v>45443</v>
      </c>
      <c r="N502" s="119">
        <f t="shared" si="86"/>
        <v>303</v>
      </c>
      <c r="O502" s="119">
        <f t="shared" si="87"/>
        <v>0</v>
      </c>
      <c r="P502" s="117">
        <f t="shared" si="88"/>
        <v>0</v>
      </c>
      <c r="Q502" s="117">
        <f>SUMIFS(Investors!$M:$M,Investors!$O:$O,FALSE,Investors!$P:$P,FALSE,Investors!$K:$K,"&gt;"&amp;'NSST Print'!$B$3,Investors!$I:$I,"&lt;="&amp;'NSST Print'!$B$3,Investors!$A:$A,'Investor Exit List'!$A502,Investors!$E:$E,'Investor Exit List'!$C502,Investors!$L:$L,'Investor Exit List'!$B502)-(SUMIFS(Investors!$M:$M,Investors!$I:$I,"&lt;="&amp;'NSST Print'!$B$3,Investors!$J:$J,"&gt;"&amp;'NSST Print'!$B$3,Investors!$A:$A,'Investor Exit List'!$A502,Investors!$E:$E,'Investor Exit List'!$C502,Investors!$L:$L,'Investor Exit List'!$B502)+SUMIFS(Investors!$M:$M,Investors!$I:$I,"&lt;="&amp;'NSST Print'!$B$3,Investors!$J:$J,"",Investors!$A:$A,'Investor Exit List'!$A502,Investors!$E:$E,'Investor Exit List'!$C502,Investors!$L:$L,'Investor Exit List'!$B502))+SUMIFS(Investors!$S:$S,Investors!$O:$O,FALSE,Investors!$P:$P,FALSE,Investors!$K:$K,"&gt;"&amp;'NSST Print'!$B$3,Investors!$I:$I,"&lt;="&amp;'NSST Print'!$B$3,Investors!$A:$A,'Investor Exit List'!$A502,Investors!$E:$E,'Investor Exit List'!$C502,Investors!$L:$L,'Investor Exit List'!$B502)-(SUMIFS(Investors!$S:$S,Investors!$I:$I,"&lt;="&amp;'NSST Print'!$B$3,Investors!$J:$J,"&gt;"&amp;'NSST Print'!$B$3,Investors!$A:$A,'Investor Exit List'!$A502,Investors!$E:$E,'Investor Exit List'!$C502,Investors!$L:$L,'Investor Exit List'!$B502)+SUMIFS(Investors!$S:$S,Investors!$I:$I,"&lt;="&amp;'NSST Print'!$B$3,Investors!$J:$J,"",Investors!$A:$A,'Investor Exit List'!$A502,Investors!$E:$E,'Investor Exit List'!$C502,Investors!$L:$L,'Investor Exit List'!$B502))</f>
        <v>303113.01369863015</v>
      </c>
      <c r="R502" s="117">
        <f t="shared" si="89"/>
        <v>303113.01369863015</v>
      </c>
      <c r="S502" s="117">
        <f>SUMIFS(Investors!$M:$M,Investors!$O:$O,TRUE,Investors!$A:$A,'Investor Exit List'!$A502,Investors!$E:$E,'Investor Exit List'!$C502,Investors!$L:$L,'Investor Exit List'!$B502)+SUMIFS(Investors!$S:$S,Investors!$O:$O,TRUE,Investors!$A:$A,'Investor Exit List'!$A502,Investors!$E:$E,'Investor Exit List'!$C502,Investors!$L:$L,'Investor Exit List'!$B502)</f>
        <v>0</v>
      </c>
      <c r="T502" s="118" t="str">
        <f t="shared" si="90"/>
        <v/>
      </c>
      <c r="U502" s="116" t="b">
        <v>0</v>
      </c>
      <c r="V502" s="117">
        <f t="shared" si="91"/>
        <v>0</v>
      </c>
      <c r="W502" s="116">
        <v>0</v>
      </c>
      <c r="X502" s="116" t="b">
        <v>0</v>
      </c>
      <c r="Y502" s="119">
        <f>IF(H502=FALSE,VLOOKUP($C502,Sales!$C:$F,4,FALSE),1)</f>
        <v>1</v>
      </c>
      <c r="Z502" s="116" t="str">
        <f t="shared" si="92"/>
        <v/>
      </c>
      <c r="AA502" s="118">
        <f t="shared" si="93"/>
        <v>45710</v>
      </c>
      <c r="AB502" s="118" t="str">
        <f t="shared" si="94"/>
        <v>HVO102-ZKFT01</v>
      </c>
      <c r="AC502" s="118">
        <f t="shared" si="95"/>
        <v>45746</v>
      </c>
    </row>
    <row r="503" spans="1:29" ht="16" x14ac:dyDescent="0.2">
      <c r="A503" s="116" t="s">
        <v>179</v>
      </c>
      <c r="B503" s="116">
        <v>3</v>
      </c>
      <c r="C503" s="116" t="s">
        <v>855</v>
      </c>
      <c r="D503" s="116" t="s">
        <v>854</v>
      </c>
      <c r="E503" s="116" t="s">
        <v>2056</v>
      </c>
      <c r="F503" s="117">
        <f>SUMIFS(Investors!$M:$M,Investors!$O:$O,FALSE,Investors!$P:$P,FALSE,Investors!$K:$K,"&gt;"&amp;'NSST Print'!$B$3,Investors!$I:$I,"&lt;="&amp;'NSST Print'!$B$3,Investors!$A:$A,'Investor Exit List'!$A503,Investors!$E:$E,'Investor Exit List'!$C503,Investors!$L:$L,'Investor Exit List'!$B503)-(SUMIFS(Investors!$M:$M,Investors!$I:$I,"&lt;="&amp;'NSST Print'!$B$3,Investors!$J:$J,"&gt;"&amp;'NSST Print'!$B$3,Investors!$A:$A,'Investor Exit List'!$A503,Investors!$E:$E,'Investor Exit List'!$C503,Investors!$L:$L,'Investor Exit List'!$B503)+SUMIFS(Investors!$M:$M,Investors!$I:$I,"&lt;="&amp;'NSST Print'!$B$3,Investors!$J:$J,"",Investors!$A:$A,'Investor Exit List'!$A503,Investors!$E:$E,'Investor Exit List'!$C503,Investors!$L:$L,'Investor Exit List'!$B503))</f>
        <v>131234.94</v>
      </c>
      <c r="G503" s="118">
        <v>45072</v>
      </c>
      <c r="H503" s="116" t="b">
        <f>VLOOKUP($C503,Sales!$C:$E,2,FALSE)</f>
        <v>1</v>
      </c>
      <c r="I503" s="116" t="b">
        <f>VLOOKUP($C503,Sales!$C:$E,3,FALSE)</f>
        <v>0</v>
      </c>
      <c r="J503" s="118">
        <f>SUMIFS(Sales!$H:$H,Sales!$C:$C,'Investor Exit List'!$C503)</f>
        <v>45518</v>
      </c>
      <c r="K503" s="118" t="str">
        <f t="shared" si="84"/>
        <v/>
      </c>
      <c r="L503" s="118">
        <f t="shared" si="85"/>
        <v>45802</v>
      </c>
      <c r="M503" s="118">
        <v>45443</v>
      </c>
      <c r="N503" s="119">
        <f t="shared" si="86"/>
        <v>359</v>
      </c>
      <c r="O503" s="119">
        <f t="shared" si="87"/>
        <v>0</v>
      </c>
      <c r="P503" s="117">
        <f t="shared" si="88"/>
        <v>0</v>
      </c>
      <c r="Q503" s="117">
        <f>SUMIFS(Investors!$M:$M,Investors!$O:$O,FALSE,Investors!$P:$P,FALSE,Investors!$K:$K,"&gt;"&amp;'NSST Print'!$B$3,Investors!$I:$I,"&lt;="&amp;'NSST Print'!$B$3,Investors!$A:$A,'Investor Exit List'!$A503,Investors!$E:$E,'Investor Exit List'!$C503,Investors!$L:$L,'Investor Exit List'!$B503)-(SUMIFS(Investors!$M:$M,Investors!$I:$I,"&lt;="&amp;'NSST Print'!$B$3,Investors!$J:$J,"&gt;"&amp;'NSST Print'!$B$3,Investors!$A:$A,'Investor Exit List'!$A503,Investors!$E:$E,'Investor Exit List'!$C503,Investors!$L:$L,'Investor Exit List'!$B503)+SUMIFS(Investors!$M:$M,Investors!$I:$I,"&lt;="&amp;'NSST Print'!$B$3,Investors!$J:$J,"",Investors!$A:$A,'Investor Exit List'!$A503,Investors!$E:$E,'Investor Exit List'!$C503,Investors!$L:$L,'Investor Exit List'!$B503))+SUMIFS(Investors!$S:$S,Investors!$O:$O,FALSE,Investors!$P:$P,FALSE,Investors!$K:$K,"&gt;"&amp;'NSST Print'!$B$3,Investors!$I:$I,"&lt;="&amp;'NSST Print'!$B$3,Investors!$A:$A,'Investor Exit List'!$A503,Investors!$E:$E,'Investor Exit List'!$C503,Investors!$L:$L,'Investor Exit List'!$B503)-(SUMIFS(Investors!$S:$S,Investors!$I:$I,"&lt;="&amp;'NSST Print'!$B$3,Investors!$J:$J,"&gt;"&amp;'NSST Print'!$B$3,Investors!$A:$A,'Investor Exit List'!$A503,Investors!$E:$E,'Investor Exit List'!$C503,Investors!$L:$L,'Investor Exit List'!$B503)+SUMIFS(Investors!$S:$S,Investors!$I:$I,"&lt;="&amp;'NSST Print'!$B$3,Investors!$J:$J,"",Investors!$A:$A,'Investor Exit List'!$A503,Investors!$E:$E,'Investor Exit List'!$C503,Investors!$L:$L,'Investor Exit List'!$B503))</f>
        <v>164083.22525589043</v>
      </c>
      <c r="R503" s="117">
        <f t="shared" si="89"/>
        <v>164083.22525589043</v>
      </c>
      <c r="S503" s="117">
        <f>SUMIFS(Investors!$M:$M,Investors!$O:$O,TRUE,Investors!$A:$A,'Investor Exit List'!$A503,Investors!$E:$E,'Investor Exit List'!$C503,Investors!$L:$L,'Investor Exit List'!$B503)+SUMIFS(Investors!$S:$S,Investors!$O:$O,TRUE,Investors!$A:$A,'Investor Exit List'!$A503,Investors!$E:$E,'Investor Exit List'!$C503,Investors!$L:$L,'Investor Exit List'!$B503)</f>
        <v>0</v>
      </c>
      <c r="T503" s="118" t="str">
        <f t="shared" si="90"/>
        <v/>
      </c>
      <c r="U503" s="116" t="b">
        <v>0</v>
      </c>
      <c r="V503" s="117">
        <f t="shared" si="91"/>
        <v>0</v>
      </c>
      <c r="W503" s="116">
        <v>0</v>
      </c>
      <c r="X503" s="116" t="b">
        <v>0</v>
      </c>
      <c r="Y503" s="119">
        <f>IF(H503=FALSE,VLOOKUP($C503,Sales!$C:$F,4,FALSE),1)</f>
        <v>1</v>
      </c>
      <c r="Z503" s="116" t="str">
        <f t="shared" si="92"/>
        <v/>
      </c>
      <c r="AA503" s="118">
        <f t="shared" si="93"/>
        <v>45710</v>
      </c>
      <c r="AB503" s="118" t="str">
        <f t="shared" si="94"/>
        <v>HVO102-ZPED01</v>
      </c>
      <c r="AC503" s="118">
        <f t="shared" si="95"/>
        <v>45802</v>
      </c>
    </row>
    <row r="504" spans="1:29" ht="16" x14ac:dyDescent="0.2">
      <c r="A504" s="116" t="s">
        <v>233</v>
      </c>
      <c r="B504" s="116">
        <v>2</v>
      </c>
      <c r="C504" s="116" t="s">
        <v>855</v>
      </c>
      <c r="D504" s="116" t="s">
        <v>854</v>
      </c>
      <c r="E504" s="116" t="s">
        <v>2073</v>
      </c>
      <c r="F504" s="117">
        <f>SUMIFS(Investors!$M:$M,Investors!$O:$O,FALSE,Investors!$P:$P,FALSE,Investors!$K:$K,"&gt;"&amp;'NSST Print'!$B$3,Investors!$I:$I,"&lt;="&amp;'NSST Print'!$B$3,Investors!$A:$A,'Investor Exit List'!$A504,Investors!$E:$E,'Investor Exit List'!$C504,Investors!$L:$L,'Investor Exit List'!$B504)-(SUMIFS(Investors!$M:$M,Investors!$I:$I,"&lt;="&amp;'NSST Print'!$B$3,Investors!$J:$J,"&gt;"&amp;'NSST Print'!$B$3,Investors!$A:$A,'Investor Exit List'!$A504,Investors!$E:$E,'Investor Exit List'!$C504,Investors!$L:$L,'Investor Exit List'!$B504)+SUMIFS(Investors!$M:$M,Investors!$I:$I,"&lt;="&amp;'NSST Print'!$B$3,Investors!$J:$J,"",Investors!$A:$A,'Investor Exit List'!$A504,Investors!$E:$E,'Investor Exit List'!$C504,Investors!$L:$L,'Investor Exit List'!$B504))</f>
        <v>186816.78</v>
      </c>
      <c r="G504" s="118">
        <v>45008</v>
      </c>
      <c r="H504" s="116" t="b">
        <f>VLOOKUP($C504,Sales!$C:$E,2,FALSE)</f>
        <v>1</v>
      </c>
      <c r="I504" s="116" t="b">
        <f>VLOOKUP($C504,Sales!$C:$E,3,FALSE)</f>
        <v>0</v>
      </c>
      <c r="J504" s="118">
        <f>SUMIFS(Sales!$H:$H,Sales!$C:$C,'Investor Exit List'!$C504)</f>
        <v>45518</v>
      </c>
      <c r="K504" s="118" t="str">
        <f t="shared" si="84"/>
        <v/>
      </c>
      <c r="L504" s="118">
        <f t="shared" si="85"/>
        <v>45738</v>
      </c>
      <c r="M504" s="118">
        <v>45443</v>
      </c>
      <c r="N504" s="119">
        <f t="shared" si="86"/>
        <v>295</v>
      </c>
      <c r="O504" s="119">
        <f t="shared" si="87"/>
        <v>0</v>
      </c>
      <c r="P504" s="117">
        <f t="shared" si="88"/>
        <v>0</v>
      </c>
      <c r="Q504" s="117">
        <f>SUMIFS(Investors!$M:$M,Investors!$O:$O,FALSE,Investors!$P:$P,FALSE,Investors!$K:$K,"&gt;"&amp;'NSST Print'!$B$3,Investors!$I:$I,"&lt;="&amp;'NSST Print'!$B$3,Investors!$A:$A,'Investor Exit List'!$A504,Investors!$E:$E,'Investor Exit List'!$C504,Investors!$L:$L,'Investor Exit List'!$B504)-(SUMIFS(Investors!$M:$M,Investors!$I:$I,"&lt;="&amp;'NSST Print'!$B$3,Investors!$J:$J,"&gt;"&amp;'NSST Print'!$B$3,Investors!$A:$A,'Investor Exit List'!$A504,Investors!$E:$E,'Investor Exit List'!$C504,Investors!$L:$L,'Investor Exit List'!$B504)+SUMIFS(Investors!$M:$M,Investors!$I:$I,"&lt;="&amp;'NSST Print'!$B$3,Investors!$J:$J,"",Investors!$A:$A,'Investor Exit List'!$A504,Investors!$E:$E,'Investor Exit List'!$C504,Investors!$L:$L,'Investor Exit List'!$B504))+SUMIFS(Investors!$S:$S,Investors!$O:$O,FALSE,Investors!$P:$P,FALSE,Investors!$K:$K,"&gt;"&amp;'NSST Print'!$B$3,Investors!$I:$I,"&lt;="&amp;'NSST Print'!$B$3,Investors!$A:$A,'Investor Exit List'!$A504,Investors!$E:$E,'Investor Exit List'!$C504,Investors!$L:$L,'Investor Exit List'!$B504)-(SUMIFS(Investors!$S:$S,Investors!$I:$I,"&lt;="&amp;'NSST Print'!$B$3,Investors!$J:$J,"&gt;"&amp;'NSST Print'!$B$3,Investors!$A:$A,'Investor Exit List'!$A504,Investors!$E:$E,'Investor Exit List'!$C504,Investors!$L:$L,'Investor Exit List'!$B504)+SUMIFS(Investors!$S:$S,Investors!$I:$I,"&lt;="&amp;'NSST Print'!$B$3,Investors!$J:$J,"",Investors!$A:$A,'Investor Exit List'!$A504,Investors!$E:$E,'Investor Exit List'!$C504,Investors!$L:$L,'Investor Exit List'!$B504))</f>
        <v>228017.5573919178</v>
      </c>
      <c r="R504" s="117">
        <f t="shared" si="89"/>
        <v>228017.5573919178</v>
      </c>
      <c r="S504" s="117">
        <f>SUMIFS(Investors!$M:$M,Investors!$O:$O,TRUE,Investors!$A:$A,'Investor Exit List'!$A504,Investors!$E:$E,'Investor Exit List'!$C504,Investors!$L:$L,'Investor Exit List'!$B504)+SUMIFS(Investors!$S:$S,Investors!$O:$O,TRUE,Investors!$A:$A,'Investor Exit List'!$A504,Investors!$E:$E,'Investor Exit List'!$C504,Investors!$L:$L,'Investor Exit List'!$B504)</f>
        <v>0</v>
      </c>
      <c r="T504" s="118" t="str">
        <f t="shared" si="90"/>
        <v/>
      </c>
      <c r="U504" s="116" t="b">
        <v>0</v>
      </c>
      <c r="V504" s="117">
        <f t="shared" si="91"/>
        <v>0</v>
      </c>
      <c r="W504" s="116">
        <v>0</v>
      </c>
      <c r="X504" s="116" t="b">
        <v>0</v>
      </c>
      <c r="Y504" s="119">
        <f>IF(H504=FALSE,VLOOKUP($C504,Sales!$C:$F,4,FALSE),1)</f>
        <v>1</v>
      </c>
      <c r="Z504" s="116" t="str">
        <f t="shared" si="92"/>
        <v/>
      </c>
      <c r="AA504" s="118">
        <f t="shared" si="93"/>
        <v>45710</v>
      </c>
      <c r="AB504" s="118" t="str">
        <f t="shared" si="94"/>
        <v>HVO102-ZRIB01</v>
      </c>
      <c r="AC504" s="118">
        <f t="shared" si="95"/>
        <v>45738</v>
      </c>
    </row>
    <row r="505" spans="1:29" ht="16" x14ac:dyDescent="0.2">
      <c r="A505" s="116" t="s">
        <v>419</v>
      </c>
      <c r="B505" s="116">
        <v>9</v>
      </c>
      <c r="C505" s="116" t="s">
        <v>855</v>
      </c>
      <c r="D505" s="116" t="s">
        <v>854</v>
      </c>
      <c r="E505" s="116" t="s">
        <v>2123</v>
      </c>
      <c r="F505" s="117">
        <f>SUMIFS(Investors!$M:$M,Investors!$O:$O,FALSE,Investors!$P:$P,FALSE,Investors!$K:$K,"&gt;"&amp;'NSST Print'!$B$3,Investors!$I:$I,"&lt;="&amp;'NSST Print'!$B$3,Investors!$A:$A,'Investor Exit List'!$A505,Investors!$E:$E,'Investor Exit List'!$C505,Investors!$L:$L,'Investor Exit List'!$B505)-(SUMIFS(Investors!$M:$M,Investors!$I:$I,"&lt;="&amp;'NSST Print'!$B$3,Investors!$J:$J,"&gt;"&amp;'NSST Print'!$B$3,Investors!$A:$A,'Investor Exit List'!$A505,Investors!$E:$E,'Investor Exit List'!$C505,Investors!$L:$L,'Investor Exit List'!$B505)+SUMIFS(Investors!$M:$M,Investors!$I:$I,"&lt;="&amp;'NSST Print'!$B$3,Investors!$J:$J,"",Investors!$A:$A,'Investor Exit List'!$A505,Investors!$E:$E,'Investor Exit List'!$C505,Investors!$L:$L,'Investor Exit List'!$B505))</f>
        <v>429243.84</v>
      </c>
      <c r="G505" s="118">
        <v>45016</v>
      </c>
      <c r="H505" s="116" t="b">
        <f>VLOOKUP($C505,Sales!$C:$E,2,FALSE)</f>
        <v>1</v>
      </c>
      <c r="I505" s="116" t="b">
        <f>VLOOKUP($C505,Sales!$C:$E,3,FALSE)</f>
        <v>0</v>
      </c>
      <c r="J505" s="118">
        <f>SUMIFS(Sales!$H:$H,Sales!$C:$C,'Investor Exit List'!$C505)</f>
        <v>45518</v>
      </c>
      <c r="K505" s="118" t="str">
        <f t="shared" si="84"/>
        <v/>
      </c>
      <c r="L505" s="118">
        <f t="shared" si="85"/>
        <v>45746</v>
      </c>
      <c r="M505" s="118">
        <v>45443</v>
      </c>
      <c r="N505" s="119">
        <f t="shared" si="86"/>
        <v>303</v>
      </c>
      <c r="O505" s="119">
        <f t="shared" si="87"/>
        <v>0</v>
      </c>
      <c r="P505" s="117">
        <f t="shared" si="88"/>
        <v>0</v>
      </c>
      <c r="Q505" s="117">
        <f>SUMIFS(Investors!$M:$M,Investors!$O:$O,FALSE,Investors!$P:$P,FALSE,Investors!$K:$K,"&gt;"&amp;'NSST Print'!$B$3,Investors!$I:$I,"&lt;="&amp;'NSST Print'!$B$3,Investors!$A:$A,'Investor Exit List'!$A505,Investors!$E:$E,'Investor Exit List'!$C505,Investors!$L:$L,'Investor Exit List'!$B505)-(SUMIFS(Investors!$M:$M,Investors!$I:$I,"&lt;="&amp;'NSST Print'!$B$3,Investors!$J:$J,"&gt;"&amp;'NSST Print'!$B$3,Investors!$A:$A,'Investor Exit List'!$A505,Investors!$E:$E,'Investor Exit List'!$C505,Investors!$L:$L,'Investor Exit List'!$B505)+SUMIFS(Investors!$M:$M,Investors!$I:$I,"&lt;="&amp;'NSST Print'!$B$3,Investors!$J:$J,"",Investors!$A:$A,'Investor Exit List'!$A505,Investors!$E:$E,'Investor Exit List'!$C505,Investors!$L:$L,'Investor Exit List'!$B505))+SUMIFS(Investors!$S:$S,Investors!$O:$O,FALSE,Investors!$P:$P,FALSE,Investors!$K:$K,"&gt;"&amp;'NSST Print'!$B$3,Investors!$I:$I,"&lt;="&amp;'NSST Print'!$B$3,Investors!$A:$A,'Investor Exit List'!$A505,Investors!$E:$E,'Investor Exit List'!$C505,Investors!$L:$L,'Investor Exit List'!$B505)-(SUMIFS(Investors!$S:$S,Investors!$I:$I,"&lt;="&amp;'NSST Print'!$B$3,Investors!$J:$J,"&gt;"&amp;'NSST Print'!$B$3,Investors!$A:$A,'Investor Exit List'!$A505,Investors!$E:$E,'Investor Exit List'!$C505,Investors!$L:$L,'Investor Exit List'!$B505)+SUMIFS(Investors!$S:$S,Investors!$I:$I,"&lt;="&amp;'NSST Print'!$B$3,Investors!$J:$J,"",Investors!$A:$A,'Investor Exit List'!$A505,Investors!$E:$E,'Investor Exit List'!$C505,Investors!$L:$L,'Investor Exit List'!$B505))</f>
        <v>543937.20604273968</v>
      </c>
      <c r="R505" s="117">
        <f t="shared" si="89"/>
        <v>543937.20604273968</v>
      </c>
      <c r="S505" s="117">
        <f>SUMIFS(Investors!$M:$M,Investors!$O:$O,TRUE,Investors!$A:$A,'Investor Exit List'!$A505,Investors!$E:$E,'Investor Exit List'!$C505,Investors!$L:$L,'Investor Exit List'!$B505)+SUMIFS(Investors!$S:$S,Investors!$O:$O,TRUE,Investors!$A:$A,'Investor Exit List'!$A505,Investors!$E:$E,'Investor Exit List'!$C505,Investors!$L:$L,'Investor Exit List'!$B505)</f>
        <v>0</v>
      </c>
      <c r="T505" s="118" t="str">
        <f t="shared" si="90"/>
        <v/>
      </c>
      <c r="U505" s="116" t="b">
        <v>0</v>
      </c>
      <c r="V505" s="117">
        <f t="shared" si="91"/>
        <v>0</v>
      </c>
      <c r="W505" s="116">
        <v>0</v>
      </c>
      <c r="X505" s="116" t="b">
        <v>0</v>
      </c>
      <c r="Y505" s="119">
        <f>IF(H505=FALSE,VLOOKUP($C505,Sales!$C:$F,4,FALSE),1)</f>
        <v>1</v>
      </c>
      <c r="Z505" s="116" t="str">
        <f t="shared" si="92"/>
        <v/>
      </c>
      <c r="AA505" s="118">
        <f t="shared" si="93"/>
        <v>45710</v>
      </c>
      <c r="AB505" s="118" t="str">
        <f t="shared" si="94"/>
        <v>HVO102-ZRIT01</v>
      </c>
      <c r="AC505" s="118">
        <f t="shared" si="95"/>
        <v>45746</v>
      </c>
    </row>
    <row r="506" spans="1:29" ht="16" x14ac:dyDescent="0.2">
      <c r="A506" s="116" t="s">
        <v>856</v>
      </c>
      <c r="B506" s="116">
        <v>3</v>
      </c>
      <c r="C506" s="116" t="s">
        <v>859</v>
      </c>
      <c r="D506" s="116" t="s">
        <v>854</v>
      </c>
      <c r="E506" s="116" t="s">
        <v>2224</v>
      </c>
      <c r="F506" s="117">
        <f>SUMIFS(Investors!$M:$M,Investors!$O:$O,FALSE,Investors!$P:$P,FALSE,Investors!$K:$K,"&gt;"&amp;'NSST Print'!$B$3,Investors!$I:$I,"&lt;="&amp;'NSST Print'!$B$3,Investors!$A:$A,'Investor Exit List'!$A506,Investors!$E:$E,'Investor Exit List'!$C506,Investors!$L:$L,'Investor Exit List'!$B506)-(SUMIFS(Investors!$M:$M,Investors!$I:$I,"&lt;="&amp;'NSST Print'!$B$3,Investors!$J:$J,"&gt;"&amp;'NSST Print'!$B$3,Investors!$A:$A,'Investor Exit List'!$A506,Investors!$E:$E,'Investor Exit List'!$C506,Investors!$L:$L,'Investor Exit List'!$B506)+SUMIFS(Investors!$M:$M,Investors!$I:$I,"&lt;="&amp;'NSST Print'!$B$3,Investors!$J:$J,"",Investors!$A:$A,'Investor Exit List'!$A506,Investors!$E:$E,'Investor Exit List'!$C506,Investors!$L:$L,'Investor Exit List'!$B506))</f>
        <v>602626.71</v>
      </c>
      <c r="G506" s="118">
        <v>45016</v>
      </c>
      <c r="H506" s="116" t="b">
        <f>VLOOKUP($C506,Sales!$C:$E,2,FALSE)</f>
        <v>1</v>
      </c>
      <c r="I506" s="116" t="b">
        <f>VLOOKUP($C506,Sales!$C:$E,3,FALSE)</f>
        <v>0</v>
      </c>
      <c r="J506" s="118">
        <f>SUMIFS(Sales!$H:$H,Sales!$C:$C,'Investor Exit List'!$C506)</f>
        <v>45518</v>
      </c>
      <c r="K506" s="118" t="str">
        <f t="shared" si="84"/>
        <v/>
      </c>
      <c r="L506" s="118">
        <f t="shared" si="85"/>
        <v>45746</v>
      </c>
      <c r="M506" s="118">
        <v>45443</v>
      </c>
      <c r="N506" s="119">
        <f t="shared" si="86"/>
        <v>303</v>
      </c>
      <c r="O506" s="119">
        <f t="shared" si="87"/>
        <v>0</v>
      </c>
      <c r="P506" s="117">
        <f t="shared" si="88"/>
        <v>0</v>
      </c>
      <c r="Q506" s="117">
        <f>SUMIFS(Investors!$M:$M,Investors!$O:$O,FALSE,Investors!$P:$P,FALSE,Investors!$K:$K,"&gt;"&amp;'NSST Print'!$B$3,Investors!$I:$I,"&lt;="&amp;'NSST Print'!$B$3,Investors!$A:$A,'Investor Exit List'!$A506,Investors!$E:$E,'Investor Exit List'!$C506,Investors!$L:$L,'Investor Exit List'!$B506)-(SUMIFS(Investors!$M:$M,Investors!$I:$I,"&lt;="&amp;'NSST Print'!$B$3,Investors!$J:$J,"&gt;"&amp;'NSST Print'!$B$3,Investors!$A:$A,'Investor Exit List'!$A506,Investors!$E:$E,'Investor Exit List'!$C506,Investors!$L:$L,'Investor Exit List'!$B506)+SUMIFS(Investors!$M:$M,Investors!$I:$I,"&lt;="&amp;'NSST Print'!$B$3,Investors!$J:$J,"",Investors!$A:$A,'Investor Exit List'!$A506,Investors!$E:$E,'Investor Exit List'!$C506,Investors!$L:$L,'Investor Exit List'!$B506))+SUMIFS(Investors!$S:$S,Investors!$O:$O,FALSE,Investors!$P:$P,FALSE,Investors!$K:$K,"&gt;"&amp;'NSST Print'!$B$3,Investors!$I:$I,"&lt;="&amp;'NSST Print'!$B$3,Investors!$A:$A,'Investor Exit List'!$A506,Investors!$E:$E,'Investor Exit List'!$C506,Investors!$L:$L,'Investor Exit List'!$B506)-(SUMIFS(Investors!$S:$S,Investors!$I:$I,"&lt;="&amp;'NSST Print'!$B$3,Investors!$J:$J,"&gt;"&amp;'NSST Print'!$B$3,Investors!$A:$A,'Investor Exit List'!$A506,Investors!$E:$E,'Investor Exit List'!$C506,Investors!$L:$L,'Investor Exit List'!$B506)+SUMIFS(Investors!$S:$S,Investors!$I:$I,"&lt;="&amp;'NSST Print'!$B$3,Investors!$J:$J,"",Investors!$A:$A,'Investor Exit List'!$A506,Investors!$E:$E,'Investor Exit List'!$C506,Investors!$L:$L,'Investor Exit List'!$B506))</f>
        <v>762681.8876278766</v>
      </c>
      <c r="R506" s="117">
        <f t="shared" si="89"/>
        <v>762681.8876278766</v>
      </c>
      <c r="S506" s="117">
        <f>SUMIFS(Investors!$M:$M,Investors!$O:$O,TRUE,Investors!$A:$A,'Investor Exit List'!$A506,Investors!$E:$E,'Investor Exit List'!$C506,Investors!$L:$L,'Investor Exit List'!$B506)+SUMIFS(Investors!$S:$S,Investors!$O:$O,TRUE,Investors!$A:$A,'Investor Exit List'!$A506,Investors!$E:$E,'Investor Exit List'!$C506,Investors!$L:$L,'Investor Exit List'!$B506)</f>
        <v>0</v>
      </c>
      <c r="T506" s="118" t="str">
        <f t="shared" si="90"/>
        <v/>
      </c>
      <c r="U506" s="116" t="b">
        <v>0</v>
      </c>
      <c r="V506" s="117">
        <f t="shared" si="91"/>
        <v>0</v>
      </c>
      <c r="W506" s="116">
        <v>0</v>
      </c>
      <c r="X506" s="116" t="b">
        <v>0</v>
      </c>
      <c r="Y506" s="119">
        <f>IF(H506=FALSE,VLOOKUP($C506,Sales!$C:$F,4,FALSE),1)</f>
        <v>1</v>
      </c>
      <c r="Z506" s="116" t="str">
        <f t="shared" si="92"/>
        <v/>
      </c>
      <c r="AA506" s="118">
        <f t="shared" si="93"/>
        <v>45746</v>
      </c>
      <c r="AB506" s="118" t="str">
        <f t="shared" si="94"/>
        <v>HVO103-ZMOO02</v>
      </c>
      <c r="AC506" s="118">
        <f t="shared" si="95"/>
        <v>45746</v>
      </c>
    </row>
    <row r="507" spans="1:29" ht="16" x14ac:dyDescent="0.2">
      <c r="A507" s="116" t="s">
        <v>412</v>
      </c>
      <c r="B507" s="116">
        <v>8</v>
      </c>
      <c r="C507" s="116" t="s">
        <v>859</v>
      </c>
      <c r="D507" s="116" t="s">
        <v>854</v>
      </c>
      <c r="E507" s="116" t="s">
        <v>2121</v>
      </c>
      <c r="F507" s="117">
        <f>SUMIFS(Investors!$M:$M,Investors!$O:$O,FALSE,Investors!$P:$P,FALSE,Investors!$K:$K,"&gt;"&amp;'NSST Print'!$B$3,Investors!$I:$I,"&lt;="&amp;'NSST Print'!$B$3,Investors!$A:$A,'Investor Exit List'!$A507,Investors!$E:$E,'Investor Exit List'!$C507,Investors!$L:$L,'Investor Exit List'!$B507)-(SUMIFS(Investors!$M:$M,Investors!$I:$I,"&lt;="&amp;'NSST Print'!$B$3,Investors!$J:$J,"&gt;"&amp;'NSST Print'!$B$3,Investors!$A:$A,'Investor Exit List'!$A507,Investors!$E:$E,'Investor Exit List'!$C507,Investors!$L:$L,'Investor Exit List'!$B507)+SUMIFS(Investors!$M:$M,Investors!$I:$I,"&lt;="&amp;'NSST Print'!$B$3,Investors!$J:$J,"",Investors!$A:$A,'Investor Exit List'!$A507,Investors!$E:$E,'Investor Exit List'!$C507,Investors!$L:$L,'Investor Exit List'!$B507))</f>
        <v>278815.07</v>
      </c>
      <c r="G507" s="118">
        <v>45044</v>
      </c>
      <c r="H507" s="116" t="b">
        <f>VLOOKUP($C507,Sales!$C:$E,2,FALSE)</f>
        <v>1</v>
      </c>
      <c r="I507" s="116" t="b">
        <f>VLOOKUP($C507,Sales!$C:$E,3,FALSE)</f>
        <v>0</v>
      </c>
      <c r="J507" s="118">
        <f>SUMIFS(Sales!$H:$H,Sales!$C:$C,'Investor Exit List'!$C507)</f>
        <v>45518</v>
      </c>
      <c r="K507" s="118" t="str">
        <f t="shared" si="84"/>
        <v/>
      </c>
      <c r="L507" s="118">
        <f t="shared" si="85"/>
        <v>45774</v>
      </c>
      <c r="M507" s="118">
        <v>45443</v>
      </c>
      <c r="N507" s="119">
        <f t="shared" si="86"/>
        <v>331</v>
      </c>
      <c r="O507" s="119">
        <f t="shared" si="87"/>
        <v>0</v>
      </c>
      <c r="P507" s="117">
        <f t="shared" si="88"/>
        <v>0</v>
      </c>
      <c r="Q507" s="117">
        <f>SUMIFS(Investors!$M:$M,Investors!$O:$O,FALSE,Investors!$P:$P,FALSE,Investors!$K:$K,"&gt;"&amp;'NSST Print'!$B$3,Investors!$I:$I,"&lt;="&amp;'NSST Print'!$B$3,Investors!$A:$A,'Investor Exit List'!$A507,Investors!$E:$E,'Investor Exit List'!$C507,Investors!$L:$L,'Investor Exit List'!$B507)-(SUMIFS(Investors!$M:$M,Investors!$I:$I,"&lt;="&amp;'NSST Print'!$B$3,Investors!$J:$J,"&gt;"&amp;'NSST Print'!$B$3,Investors!$A:$A,'Investor Exit List'!$A507,Investors!$E:$E,'Investor Exit List'!$C507,Investors!$L:$L,'Investor Exit List'!$B507)+SUMIFS(Investors!$M:$M,Investors!$I:$I,"&lt;="&amp;'NSST Print'!$B$3,Investors!$J:$J,"",Investors!$A:$A,'Investor Exit List'!$A507,Investors!$E:$E,'Investor Exit List'!$C507,Investors!$L:$L,'Investor Exit List'!$B507))+SUMIFS(Investors!$S:$S,Investors!$O:$O,FALSE,Investors!$P:$P,FALSE,Investors!$K:$K,"&gt;"&amp;'NSST Print'!$B$3,Investors!$I:$I,"&lt;="&amp;'NSST Print'!$B$3,Investors!$A:$A,'Investor Exit List'!$A507,Investors!$E:$E,'Investor Exit List'!$C507,Investors!$L:$L,'Investor Exit List'!$B507)-(SUMIFS(Investors!$S:$S,Investors!$I:$I,"&lt;="&amp;'NSST Print'!$B$3,Investors!$J:$J,"&gt;"&amp;'NSST Print'!$B$3,Investors!$A:$A,'Investor Exit List'!$A507,Investors!$E:$E,'Investor Exit List'!$C507,Investors!$L:$L,'Investor Exit List'!$B507)+SUMIFS(Investors!$S:$S,Investors!$I:$I,"&lt;="&amp;'NSST Print'!$B$3,Investors!$J:$J,"",Investors!$A:$A,'Investor Exit List'!$A507,Investors!$E:$E,'Investor Exit List'!$C507,Investors!$L:$L,'Investor Exit List'!$B507))</f>
        <v>351263.0652780137</v>
      </c>
      <c r="R507" s="117">
        <f t="shared" si="89"/>
        <v>351263.0652780137</v>
      </c>
      <c r="S507" s="117">
        <f>SUMIFS(Investors!$M:$M,Investors!$O:$O,TRUE,Investors!$A:$A,'Investor Exit List'!$A507,Investors!$E:$E,'Investor Exit List'!$C507,Investors!$L:$L,'Investor Exit List'!$B507)+SUMIFS(Investors!$S:$S,Investors!$O:$O,TRUE,Investors!$A:$A,'Investor Exit List'!$A507,Investors!$E:$E,'Investor Exit List'!$C507,Investors!$L:$L,'Investor Exit List'!$B507)</f>
        <v>0</v>
      </c>
      <c r="T507" s="118" t="str">
        <f t="shared" si="90"/>
        <v/>
      </c>
      <c r="U507" s="116" t="b">
        <v>0</v>
      </c>
      <c r="V507" s="117">
        <f t="shared" si="91"/>
        <v>0</v>
      </c>
      <c r="W507" s="116">
        <v>0</v>
      </c>
      <c r="X507" s="116" t="b">
        <v>0</v>
      </c>
      <c r="Y507" s="119">
        <f>IF(H507=FALSE,VLOOKUP($C507,Sales!$C:$F,4,FALSE),1)</f>
        <v>1</v>
      </c>
      <c r="Z507" s="116" t="str">
        <f t="shared" si="92"/>
        <v/>
      </c>
      <c r="AA507" s="118">
        <f t="shared" si="93"/>
        <v>45746</v>
      </c>
      <c r="AB507" s="118" t="str">
        <f t="shared" si="94"/>
        <v>HVO103-ZNUN01</v>
      </c>
      <c r="AC507" s="118">
        <f t="shared" si="95"/>
        <v>45774</v>
      </c>
    </row>
    <row r="508" spans="1:29" ht="16" x14ac:dyDescent="0.2">
      <c r="A508" s="116" t="s">
        <v>419</v>
      </c>
      <c r="B508" s="116">
        <v>10</v>
      </c>
      <c r="C508" s="116" t="s">
        <v>859</v>
      </c>
      <c r="D508" s="116" t="s">
        <v>854</v>
      </c>
      <c r="E508" s="116" t="s">
        <v>2123</v>
      </c>
      <c r="F508" s="117">
        <f>SUMIFS(Investors!$M:$M,Investors!$O:$O,FALSE,Investors!$P:$P,FALSE,Investors!$K:$K,"&gt;"&amp;'NSST Print'!$B$3,Investors!$I:$I,"&lt;="&amp;'NSST Print'!$B$3,Investors!$A:$A,'Investor Exit List'!$A508,Investors!$E:$E,'Investor Exit List'!$C508,Investors!$L:$L,'Investor Exit List'!$B508)-(SUMIFS(Investors!$M:$M,Investors!$I:$I,"&lt;="&amp;'NSST Print'!$B$3,Investors!$J:$J,"&gt;"&amp;'NSST Print'!$B$3,Investors!$A:$A,'Investor Exit List'!$A508,Investors!$E:$E,'Investor Exit List'!$C508,Investors!$L:$L,'Investor Exit List'!$B508)+SUMIFS(Investors!$M:$M,Investors!$I:$I,"&lt;="&amp;'NSST Print'!$B$3,Investors!$J:$J,"",Investors!$A:$A,'Investor Exit List'!$A508,Investors!$E:$E,'Investor Exit List'!$C508,Investors!$L:$L,'Investor Exit List'!$B508))</f>
        <v>237315.07</v>
      </c>
      <c r="G508" s="118">
        <v>45016</v>
      </c>
      <c r="H508" s="116" t="b">
        <f>VLOOKUP($C508,Sales!$C:$E,2,FALSE)</f>
        <v>1</v>
      </c>
      <c r="I508" s="116" t="b">
        <f>VLOOKUP($C508,Sales!$C:$E,3,FALSE)</f>
        <v>0</v>
      </c>
      <c r="J508" s="118">
        <f>SUMIFS(Sales!$H:$H,Sales!$C:$C,'Investor Exit List'!$C508)</f>
        <v>45518</v>
      </c>
      <c r="K508" s="118" t="str">
        <f t="shared" si="84"/>
        <v/>
      </c>
      <c r="L508" s="118">
        <f t="shared" si="85"/>
        <v>45746</v>
      </c>
      <c r="M508" s="118">
        <v>45443</v>
      </c>
      <c r="N508" s="119">
        <f t="shared" si="86"/>
        <v>303</v>
      </c>
      <c r="O508" s="119">
        <f t="shared" si="87"/>
        <v>0</v>
      </c>
      <c r="P508" s="117">
        <f t="shared" si="88"/>
        <v>0</v>
      </c>
      <c r="Q508" s="117">
        <f>SUMIFS(Investors!$M:$M,Investors!$O:$O,FALSE,Investors!$P:$P,FALSE,Investors!$K:$K,"&gt;"&amp;'NSST Print'!$B$3,Investors!$I:$I,"&lt;="&amp;'NSST Print'!$B$3,Investors!$A:$A,'Investor Exit List'!$A508,Investors!$E:$E,'Investor Exit List'!$C508,Investors!$L:$L,'Investor Exit List'!$B508)-(SUMIFS(Investors!$M:$M,Investors!$I:$I,"&lt;="&amp;'NSST Print'!$B$3,Investors!$J:$J,"&gt;"&amp;'NSST Print'!$B$3,Investors!$A:$A,'Investor Exit List'!$A508,Investors!$E:$E,'Investor Exit List'!$C508,Investors!$L:$L,'Investor Exit List'!$B508)+SUMIFS(Investors!$M:$M,Investors!$I:$I,"&lt;="&amp;'NSST Print'!$B$3,Investors!$J:$J,"",Investors!$A:$A,'Investor Exit List'!$A508,Investors!$E:$E,'Investor Exit List'!$C508,Investors!$L:$L,'Investor Exit List'!$B508))+SUMIFS(Investors!$S:$S,Investors!$O:$O,FALSE,Investors!$P:$P,FALSE,Investors!$K:$K,"&gt;"&amp;'NSST Print'!$B$3,Investors!$I:$I,"&lt;="&amp;'NSST Print'!$B$3,Investors!$A:$A,'Investor Exit List'!$A508,Investors!$E:$E,'Investor Exit List'!$C508,Investors!$L:$L,'Investor Exit List'!$B508)-(SUMIFS(Investors!$S:$S,Investors!$I:$I,"&lt;="&amp;'NSST Print'!$B$3,Investors!$J:$J,"&gt;"&amp;'NSST Print'!$B$3,Investors!$A:$A,'Investor Exit List'!$A508,Investors!$E:$E,'Investor Exit List'!$C508,Investors!$L:$L,'Investor Exit List'!$B508)+SUMIFS(Investors!$S:$S,Investors!$I:$I,"&lt;="&amp;'NSST Print'!$B$3,Investors!$J:$J,"",Investors!$A:$A,'Investor Exit List'!$A508,Investors!$E:$E,'Investor Exit List'!$C508,Investors!$L:$L,'Investor Exit List'!$B508))</f>
        <v>300598.54685143835</v>
      </c>
      <c r="R508" s="117">
        <f t="shared" si="89"/>
        <v>300598.54685143835</v>
      </c>
      <c r="S508" s="117">
        <f>SUMIFS(Investors!$M:$M,Investors!$O:$O,TRUE,Investors!$A:$A,'Investor Exit List'!$A508,Investors!$E:$E,'Investor Exit List'!$C508,Investors!$L:$L,'Investor Exit List'!$B508)+SUMIFS(Investors!$S:$S,Investors!$O:$O,TRUE,Investors!$A:$A,'Investor Exit List'!$A508,Investors!$E:$E,'Investor Exit List'!$C508,Investors!$L:$L,'Investor Exit List'!$B508)</f>
        <v>0</v>
      </c>
      <c r="T508" s="118" t="str">
        <f t="shared" si="90"/>
        <v/>
      </c>
      <c r="U508" s="116" t="b">
        <v>0</v>
      </c>
      <c r="V508" s="117">
        <f t="shared" si="91"/>
        <v>0</v>
      </c>
      <c r="W508" s="116">
        <v>0</v>
      </c>
      <c r="X508" s="116" t="b">
        <v>0</v>
      </c>
      <c r="Y508" s="119">
        <f>IF(H508=FALSE,VLOOKUP($C508,Sales!$C:$F,4,FALSE),1)</f>
        <v>1</v>
      </c>
      <c r="Z508" s="116" t="str">
        <f t="shared" si="92"/>
        <v/>
      </c>
      <c r="AA508" s="118">
        <f t="shared" si="93"/>
        <v>45746</v>
      </c>
      <c r="AB508" s="118" t="str">
        <f t="shared" si="94"/>
        <v>HVO103-ZRIT01</v>
      </c>
      <c r="AC508" s="118">
        <f t="shared" si="95"/>
        <v>45746</v>
      </c>
    </row>
    <row r="509" spans="1:29" ht="16" x14ac:dyDescent="0.2">
      <c r="A509" s="116" t="s">
        <v>92</v>
      </c>
      <c r="B509" s="116">
        <v>10</v>
      </c>
      <c r="C509" s="116" t="s">
        <v>860</v>
      </c>
      <c r="D509" s="116" t="s">
        <v>854</v>
      </c>
      <c r="E509" s="116" t="s">
        <v>2029</v>
      </c>
      <c r="F509" s="117">
        <f>SUMIFS(Investors!$M:$M,Investors!$O:$O,FALSE,Investors!$P:$P,FALSE,Investors!$K:$K,"&gt;"&amp;'NSST Print'!$B$3,Investors!$I:$I,"&lt;="&amp;'NSST Print'!$B$3,Investors!$A:$A,'Investor Exit List'!$A509,Investors!$E:$E,'Investor Exit List'!$C509,Investors!$L:$L,'Investor Exit List'!$B509)-(SUMIFS(Investors!$M:$M,Investors!$I:$I,"&lt;="&amp;'NSST Print'!$B$3,Investors!$J:$J,"&gt;"&amp;'NSST Print'!$B$3,Investors!$A:$A,'Investor Exit List'!$A509,Investors!$E:$E,'Investor Exit List'!$C509,Investors!$L:$L,'Investor Exit List'!$B509)+SUMIFS(Investors!$M:$M,Investors!$I:$I,"&lt;="&amp;'NSST Print'!$B$3,Investors!$J:$J,"",Investors!$A:$A,'Investor Exit List'!$A509,Investors!$E:$E,'Investor Exit List'!$C509,Investors!$L:$L,'Investor Exit List'!$B509))</f>
        <v>1108630.1399999999</v>
      </c>
      <c r="G509" s="118">
        <v>45016</v>
      </c>
      <c r="H509" s="116" t="b">
        <f>VLOOKUP($C509,Sales!$C:$E,2,FALSE)</f>
        <v>1</v>
      </c>
      <c r="I509" s="116" t="b">
        <f>VLOOKUP($C509,Sales!$C:$E,3,FALSE)</f>
        <v>0</v>
      </c>
      <c r="J509" s="118">
        <f>SUMIFS(Sales!$H:$H,Sales!$C:$C,'Investor Exit List'!$C509)</f>
        <v>45518</v>
      </c>
      <c r="K509" s="118" t="str">
        <f t="shared" si="84"/>
        <v/>
      </c>
      <c r="L509" s="118">
        <f t="shared" si="85"/>
        <v>45746</v>
      </c>
      <c r="M509" s="118">
        <v>45443</v>
      </c>
      <c r="N509" s="119">
        <f t="shared" si="86"/>
        <v>303</v>
      </c>
      <c r="O509" s="119">
        <f t="shared" si="87"/>
        <v>0</v>
      </c>
      <c r="P509" s="117">
        <f t="shared" si="88"/>
        <v>0</v>
      </c>
      <c r="Q509" s="117">
        <f>SUMIFS(Investors!$M:$M,Investors!$O:$O,FALSE,Investors!$P:$P,FALSE,Investors!$K:$K,"&gt;"&amp;'NSST Print'!$B$3,Investors!$I:$I,"&lt;="&amp;'NSST Print'!$B$3,Investors!$A:$A,'Investor Exit List'!$A509,Investors!$E:$E,'Investor Exit List'!$C509,Investors!$L:$L,'Investor Exit List'!$B509)-(SUMIFS(Investors!$M:$M,Investors!$I:$I,"&lt;="&amp;'NSST Print'!$B$3,Investors!$J:$J,"&gt;"&amp;'NSST Print'!$B$3,Investors!$A:$A,'Investor Exit List'!$A509,Investors!$E:$E,'Investor Exit List'!$C509,Investors!$L:$L,'Investor Exit List'!$B509)+SUMIFS(Investors!$M:$M,Investors!$I:$I,"&lt;="&amp;'NSST Print'!$B$3,Investors!$J:$J,"",Investors!$A:$A,'Investor Exit List'!$A509,Investors!$E:$E,'Investor Exit List'!$C509,Investors!$L:$L,'Investor Exit List'!$B509))+SUMIFS(Investors!$S:$S,Investors!$O:$O,FALSE,Investors!$P:$P,FALSE,Investors!$K:$K,"&gt;"&amp;'NSST Print'!$B$3,Investors!$I:$I,"&lt;="&amp;'NSST Print'!$B$3,Investors!$A:$A,'Investor Exit List'!$A509,Investors!$E:$E,'Investor Exit List'!$C509,Investors!$L:$L,'Investor Exit List'!$B509)-(SUMIFS(Investors!$S:$S,Investors!$I:$I,"&lt;="&amp;'NSST Print'!$B$3,Investors!$J:$J,"&gt;"&amp;'NSST Print'!$B$3,Investors!$A:$A,'Investor Exit List'!$A509,Investors!$E:$E,'Investor Exit List'!$C509,Investors!$L:$L,'Investor Exit List'!$B509)+SUMIFS(Investors!$S:$S,Investors!$I:$I,"&lt;="&amp;'NSST Print'!$B$3,Investors!$J:$J,"",Investors!$A:$A,'Investor Exit List'!$A509,Investors!$E:$E,'Investor Exit List'!$C509,Investors!$L:$L,'Investor Exit List'!$B509))</f>
        <v>1413146.5407152055</v>
      </c>
      <c r="R509" s="117">
        <f t="shared" si="89"/>
        <v>1413146.5407152055</v>
      </c>
      <c r="S509" s="117">
        <f>SUMIFS(Investors!$M:$M,Investors!$O:$O,TRUE,Investors!$A:$A,'Investor Exit List'!$A509,Investors!$E:$E,'Investor Exit List'!$C509,Investors!$L:$L,'Investor Exit List'!$B509)+SUMIFS(Investors!$S:$S,Investors!$O:$O,TRUE,Investors!$A:$A,'Investor Exit List'!$A509,Investors!$E:$E,'Investor Exit List'!$C509,Investors!$L:$L,'Investor Exit List'!$B509)</f>
        <v>0</v>
      </c>
      <c r="T509" s="118" t="str">
        <f t="shared" si="90"/>
        <v/>
      </c>
      <c r="U509" s="116" t="b">
        <v>0</v>
      </c>
      <c r="V509" s="117">
        <f t="shared" si="91"/>
        <v>0</v>
      </c>
      <c r="W509" s="116">
        <v>0</v>
      </c>
      <c r="X509" s="116" t="b">
        <v>0</v>
      </c>
      <c r="Y509" s="119">
        <f>IF(H509=FALSE,VLOOKUP($C509,Sales!$C:$F,4,FALSE),1)</f>
        <v>1</v>
      </c>
      <c r="Z509" s="116" t="str">
        <f t="shared" si="92"/>
        <v/>
      </c>
      <c r="AA509" s="118">
        <f t="shared" si="93"/>
        <v>45746</v>
      </c>
      <c r="AB509" s="118" t="str">
        <f t="shared" si="94"/>
        <v>HVO104-ZLEW01</v>
      </c>
      <c r="AC509" s="118">
        <f t="shared" si="95"/>
        <v>45746</v>
      </c>
    </row>
    <row r="510" spans="1:29" ht="16" x14ac:dyDescent="0.2">
      <c r="A510" s="116" t="s">
        <v>304</v>
      </c>
      <c r="B510" s="116">
        <v>9</v>
      </c>
      <c r="C510" s="116" t="s">
        <v>861</v>
      </c>
      <c r="D510" s="116" t="s">
        <v>854</v>
      </c>
      <c r="E510" s="116" t="s">
        <v>2093</v>
      </c>
      <c r="F510" s="117">
        <f>SUMIFS(Investors!$M:$M,Investors!$O:$O,FALSE,Investors!$P:$P,FALSE,Investors!$K:$K,"&gt;"&amp;'NSST Print'!$B$3,Investors!$I:$I,"&lt;="&amp;'NSST Print'!$B$3,Investors!$A:$A,'Investor Exit List'!$A510,Investors!$E:$E,'Investor Exit List'!$C510,Investors!$L:$L,'Investor Exit List'!$B510)-(SUMIFS(Investors!$M:$M,Investors!$I:$I,"&lt;="&amp;'NSST Print'!$B$3,Investors!$J:$J,"&gt;"&amp;'NSST Print'!$B$3,Investors!$A:$A,'Investor Exit List'!$A510,Investors!$E:$E,'Investor Exit List'!$C510,Investors!$L:$L,'Investor Exit List'!$B510)+SUMIFS(Investors!$M:$M,Investors!$I:$I,"&lt;="&amp;'NSST Print'!$B$3,Investors!$J:$J,"",Investors!$A:$A,'Investor Exit List'!$A510,Investors!$E:$E,'Investor Exit List'!$C510,Investors!$L:$L,'Investor Exit List'!$B510))</f>
        <v>291044.52</v>
      </c>
      <c r="G510" s="118">
        <v>45016</v>
      </c>
      <c r="H510" s="116" t="b">
        <f>VLOOKUP($C510,Sales!$C:$E,2,FALSE)</f>
        <v>1</v>
      </c>
      <c r="I510" s="116" t="b">
        <f>VLOOKUP($C510,Sales!$C:$E,3,FALSE)</f>
        <v>0</v>
      </c>
      <c r="J510" s="118">
        <f>SUMIFS(Sales!$H:$H,Sales!$C:$C,'Investor Exit List'!$C510)</f>
        <v>45518</v>
      </c>
      <c r="K510" s="118" t="str">
        <f t="shared" si="84"/>
        <v/>
      </c>
      <c r="L510" s="118">
        <f t="shared" si="85"/>
        <v>45746</v>
      </c>
      <c r="M510" s="118">
        <v>45443</v>
      </c>
      <c r="N510" s="119">
        <f t="shared" si="86"/>
        <v>303</v>
      </c>
      <c r="O510" s="119">
        <f t="shared" si="87"/>
        <v>0</v>
      </c>
      <c r="P510" s="117">
        <f t="shared" si="88"/>
        <v>0</v>
      </c>
      <c r="Q510" s="117">
        <f>SUMIFS(Investors!$M:$M,Investors!$O:$O,FALSE,Investors!$P:$P,FALSE,Investors!$K:$K,"&gt;"&amp;'NSST Print'!$B$3,Investors!$I:$I,"&lt;="&amp;'NSST Print'!$B$3,Investors!$A:$A,'Investor Exit List'!$A510,Investors!$E:$E,'Investor Exit List'!$C510,Investors!$L:$L,'Investor Exit List'!$B510)-(SUMIFS(Investors!$M:$M,Investors!$I:$I,"&lt;="&amp;'NSST Print'!$B$3,Investors!$J:$J,"&gt;"&amp;'NSST Print'!$B$3,Investors!$A:$A,'Investor Exit List'!$A510,Investors!$E:$E,'Investor Exit List'!$C510,Investors!$L:$L,'Investor Exit List'!$B510)+SUMIFS(Investors!$M:$M,Investors!$I:$I,"&lt;="&amp;'NSST Print'!$B$3,Investors!$J:$J,"",Investors!$A:$A,'Investor Exit List'!$A510,Investors!$E:$E,'Investor Exit List'!$C510,Investors!$L:$L,'Investor Exit List'!$B510))+SUMIFS(Investors!$S:$S,Investors!$O:$O,FALSE,Investors!$P:$P,FALSE,Investors!$K:$K,"&gt;"&amp;'NSST Print'!$B$3,Investors!$I:$I,"&lt;="&amp;'NSST Print'!$B$3,Investors!$A:$A,'Investor Exit List'!$A510,Investors!$E:$E,'Investor Exit List'!$C510,Investors!$L:$L,'Investor Exit List'!$B510)-(SUMIFS(Investors!$S:$S,Investors!$I:$I,"&lt;="&amp;'NSST Print'!$B$3,Investors!$J:$J,"&gt;"&amp;'NSST Print'!$B$3,Investors!$A:$A,'Investor Exit List'!$A510,Investors!$E:$E,'Investor Exit List'!$C510,Investors!$L:$L,'Investor Exit List'!$B510)+SUMIFS(Investors!$S:$S,Investors!$I:$I,"&lt;="&amp;'NSST Print'!$B$3,Investors!$J:$J,"",Investors!$A:$A,'Investor Exit List'!$A510,Investors!$E:$E,'Investor Exit List'!$C510,Investors!$L:$L,'Investor Exit List'!$B510))</f>
        <v>368344.74843863014</v>
      </c>
      <c r="R510" s="117">
        <f t="shared" si="89"/>
        <v>368344.74843863014</v>
      </c>
      <c r="S510" s="117">
        <f>SUMIFS(Investors!$M:$M,Investors!$O:$O,TRUE,Investors!$A:$A,'Investor Exit List'!$A510,Investors!$E:$E,'Investor Exit List'!$C510,Investors!$L:$L,'Investor Exit List'!$B510)+SUMIFS(Investors!$S:$S,Investors!$O:$O,TRUE,Investors!$A:$A,'Investor Exit List'!$A510,Investors!$E:$E,'Investor Exit List'!$C510,Investors!$L:$L,'Investor Exit List'!$B510)</f>
        <v>0</v>
      </c>
      <c r="T510" s="118" t="str">
        <f t="shared" si="90"/>
        <v/>
      </c>
      <c r="U510" s="116" t="b">
        <v>0</v>
      </c>
      <c r="V510" s="117">
        <f t="shared" si="91"/>
        <v>0</v>
      </c>
      <c r="W510" s="116">
        <v>0</v>
      </c>
      <c r="X510" s="116" t="b">
        <v>0</v>
      </c>
      <c r="Y510" s="119">
        <f>IF(H510=FALSE,VLOOKUP($C510,Sales!$C:$F,4,FALSE),1)</f>
        <v>1</v>
      </c>
      <c r="Z510" s="116" t="str">
        <f t="shared" si="92"/>
        <v/>
      </c>
      <c r="AA510" s="118">
        <f t="shared" si="93"/>
        <v>45738</v>
      </c>
      <c r="AB510" s="118" t="str">
        <f t="shared" si="94"/>
        <v>HVO105-ZDEL01</v>
      </c>
      <c r="AC510" s="118">
        <f t="shared" si="95"/>
        <v>45746</v>
      </c>
    </row>
    <row r="511" spans="1:29" ht="16" x14ac:dyDescent="0.2">
      <c r="A511" s="116" t="s">
        <v>253</v>
      </c>
      <c r="B511" s="116">
        <v>12</v>
      </c>
      <c r="C511" s="116" t="s">
        <v>861</v>
      </c>
      <c r="D511" s="116" t="s">
        <v>854</v>
      </c>
      <c r="E511" s="116" t="s">
        <v>2079</v>
      </c>
      <c r="F511" s="117">
        <f>SUMIFS(Investors!$M:$M,Investors!$O:$O,FALSE,Investors!$P:$P,FALSE,Investors!$K:$K,"&gt;"&amp;'NSST Print'!$B$3,Investors!$I:$I,"&lt;="&amp;'NSST Print'!$B$3,Investors!$A:$A,'Investor Exit List'!$A511,Investors!$E:$E,'Investor Exit List'!$C511,Investors!$L:$L,'Investor Exit List'!$B511)-(SUMIFS(Investors!$M:$M,Investors!$I:$I,"&lt;="&amp;'NSST Print'!$B$3,Investors!$J:$J,"&gt;"&amp;'NSST Print'!$B$3,Investors!$A:$A,'Investor Exit List'!$A511,Investors!$E:$E,'Investor Exit List'!$C511,Investors!$L:$L,'Investor Exit List'!$B511)+SUMIFS(Investors!$M:$M,Investors!$I:$I,"&lt;="&amp;'NSST Print'!$B$3,Investors!$J:$J,"",Investors!$A:$A,'Investor Exit List'!$A511,Investors!$E:$E,'Investor Exit List'!$C511,Investors!$L:$L,'Investor Exit List'!$B511))</f>
        <v>566390.41</v>
      </c>
      <c r="G511" s="118">
        <v>45044</v>
      </c>
      <c r="H511" s="116" t="b">
        <f>VLOOKUP($C511,Sales!$C:$E,2,FALSE)</f>
        <v>1</v>
      </c>
      <c r="I511" s="116" t="b">
        <f>VLOOKUP($C511,Sales!$C:$E,3,FALSE)</f>
        <v>0</v>
      </c>
      <c r="J511" s="118">
        <f>SUMIFS(Sales!$H:$H,Sales!$C:$C,'Investor Exit List'!$C511)</f>
        <v>45518</v>
      </c>
      <c r="K511" s="118" t="str">
        <f t="shared" si="84"/>
        <v/>
      </c>
      <c r="L511" s="118">
        <f t="shared" si="85"/>
        <v>45774</v>
      </c>
      <c r="M511" s="118">
        <v>45443</v>
      </c>
      <c r="N511" s="119">
        <f t="shared" si="86"/>
        <v>331</v>
      </c>
      <c r="O511" s="119">
        <f t="shared" si="87"/>
        <v>0</v>
      </c>
      <c r="P511" s="117">
        <f t="shared" si="88"/>
        <v>0</v>
      </c>
      <c r="Q511" s="117">
        <f>SUMIFS(Investors!$M:$M,Investors!$O:$O,FALSE,Investors!$P:$P,FALSE,Investors!$K:$K,"&gt;"&amp;'NSST Print'!$B$3,Investors!$I:$I,"&lt;="&amp;'NSST Print'!$B$3,Investors!$A:$A,'Investor Exit List'!$A511,Investors!$E:$E,'Investor Exit List'!$C511,Investors!$L:$L,'Investor Exit List'!$B511)-(SUMIFS(Investors!$M:$M,Investors!$I:$I,"&lt;="&amp;'NSST Print'!$B$3,Investors!$J:$J,"&gt;"&amp;'NSST Print'!$B$3,Investors!$A:$A,'Investor Exit List'!$A511,Investors!$E:$E,'Investor Exit List'!$C511,Investors!$L:$L,'Investor Exit List'!$B511)+SUMIFS(Investors!$M:$M,Investors!$I:$I,"&lt;="&amp;'NSST Print'!$B$3,Investors!$J:$J,"",Investors!$A:$A,'Investor Exit List'!$A511,Investors!$E:$E,'Investor Exit List'!$C511,Investors!$L:$L,'Investor Exit List'!$B511))+SUMIFS(Investors!$S:$S,Investors!$O:$O,FALSE,Investors!$P:$P,FALSE,Investors!$K:$K,"&gt;"&amp;'NSST Print'!$B$3,Investors!$I:$I,"&lt;="&amp;'NSST Print'!$B$3,Investors!$A:$A,'Investor Exit List'!$A511,Investors!$E:$E,'Investor Exit List'!$C511,Investors!$L:$L,'Investor Exit List'!$B511)-(SUMIFS(Investors!$S:$S,Investors!$I:$I,"&lt;="&amp;'NSST Print'!$B$3,Investors!$J:$J,"&gt;"&amp;'NSST Print'!$B$3,Investors!$A:$A,'Investor Exit List'!$A511,Investors!$E:$E,'Investor Exit List'!$C511,Investors!$L:$L,'Investor Exit List'!$B511)+SUMIFS(Investors!$S:$S,Investors!$I:$I,"&lt;="&amp;'NSST Print'!$B$3,Investors!$J:$J,"",Investors!$A:$A,'Investor Exit List'!$A511,Investors!$E:$E,'Investor Exit List'!$C511,Investors!$L:$L,'Investor Exit List'!$B511))</f>
        <v>713260.09857664385</v>
      </c>
      <c r="R511" s="117">
        <f t="shared" si="89"/>
        <v>713260.09857664385</v>
      </c>
      <c r="S511" s="117">
        <f>SUMIFS(Investors!$M:$M,Investors!$O:$O,TRUE,Investors!$A:$A,'Investor Exit List'!$A511,Investors!$E:$E,'Investor Exit List'!$C511,Investors!$L:$L,'Investor Exit List'!$B511)+SUMIFS(Investors!$S:$S,Investors!$O:$O,TRUE,Investors!$A:$A,'Investor Exit List'!$A511,Investors!$E:$E,'Investor Exit List'!$C511,Investors!$L:$L,'Investor Exit List'!$B511)</f>
        <v>0</v>
      </c>
      <c r="T511" s="118" t="str">
        <f t="shared" si="90"/>
        <v/>
      </c>
      <c r="U511" s="116" t="b">
        <v>0</v>
      </c>
      <c r="V511" s="117">
        <f t="shared" si="91"/>
        <v>0</v>
      </c>
      <c r="W511" s="116">
        <v>0</v>
      </c>
      <c r="X511" s="116" t="b">
        <v>0</v>
      </c>
      <c r="Y511" s="119">
        <f>IF(H511=FALSE,VLOOKUP($C511,Sales!$C:$F,4,FALSE),1)</f>
        <v>1</v>
      </c>
      <c r="Z511" s="116" t="str">
        <f t="shared" si="92"/>
        <v/>
      </c>
      <c r="AA511" s="118">
        <f t="shared" si="93"/>
        <v>45738</v>
      </c>
      <c r="AB511" s="118" t="str">
        <f t="shared" si="94"/>
        <v>HVO105-ZDIC01</v>
      </c>
      <c r="AC511" s="118">
        <f t="shared" si="95"/>
        <v>45774</v>
      </c>
    </row>
    <row r="512" spans="1:29" ht="16" x14ac:dyDescent="0.2">
      <c r="A512" s="116" t="s">
        <v>527</v>
      </c>
      <c r="B512" s="116">
        <v>8</v>
      </c>
      <c r="C512" s="116" t="s">
        <v>861</v>
      </c>
      <c r="D512" s="116" t="s">
        <v>854</v>
      </c>
      <c r="E512" s="116" t="s">
        <v>2155</v>
      </c>
      <c r="F512" s="117">
        <f>SUMIFS(Investors!$M:$M,Investors!$O:$O,FALSE,Investors!$P:$P,FALSE,Investors!$K:$K,"&gt;"&amp;'NSST Print'!$B$3,Investors!$I:$I,"&lt;="&amp;'NSST Print'!$B$3,Investors!$A:$A,'Investor Exit List'!$A512,Investors!$E:$E,'Investor Exit List'!$C512,Investors!$L:$L,'Investor Exit List'!$B512)-(SUMIFS(Investors!$M:$M,Investors!$I:$I,"&lt;="&amp;'NSST Print'!$B$3,Investors!$J:$J,"&gt;"&amp;'NSST Print'!$B$3,Investors!$A:$A,'Investor Exit List'!$A512,Investors!$E:$E,'Investor Exit List'!$C512,Investors!$L:$L,'Investor Exit List'!$B512)+SUMIFS(Investors!$M:$M,Investors!$I:$I,"&lt;="&amp;'NSST Print'!$B$3,Investors!$J:$J,"",Investors!$A:$A,'Investor Exit List'!$A512,Investors!$E:$E,'Investor Exit List'!$C512,Investors!$L:$L,'Investor Exit List'!$B512))</f>
        <v>250000</v>
      </c>
      <c r="G512" s="118">
        <v>45008</v>
      </c>
      <c r="H512" s="116" t="b">
        <f>VLOOKUP($C512,Sales!$C:$E,2,FALSE)</f>
        <v>1</v>
      </c>
      <c r="I512" s="116" t="b">
        <f>VLOOKUP($C512,Sales!$C:$E,3,FALSE)</f>
        <v>0</v>
      </c>
      <c r="J512" s="118">
        <f>SUMIFS(Sales!$H:$H,Sales!$C:$C,'Investor Exit List'!$C512)</f>
        <v>45518</v>
      </c>
      <c r="K512" s="118" t="str">
        <f t="shared" si="84"/>
        <v/>
      </c>
      <c r="L512" s="118">
        <f t="shared" si="85"/>
        <v>45738</v>
      </c>
      <c r="M512" s="118">
        <v>45443</v>
      </c>
      <c r="N512" s="119">
        <f t="shared" si="86"/>
        <v>295</v>
      </c>
      <c r="O512" s="119">
        <f t="shared" si="87"/>
        <v>0</v>
      </c>
      <c r="P512" s="117">
        <f t="shared" si="88"/>
        <v>0</v>
      </c>
      <c r="Q512" s="117">
        <f>SUMIFS(Investors!$M:$M,Investors!$O:$O,FALSE,Investors!$P:$P,FALSE,Investors!$K:$K,"&gt;"&amp;'NSST Print'!$B$3,Investors!$I:$I,"&lt;="&amp;'NSST Print'!$B$3,Investors!$A:$A,'Investor Exit List'!$A512,Investors!$E:$E,'Investor Exit List'!$C512,Investors!$L:$L,'Investor Exit List'!$B512)-(SUMIFS(Investors!$M:$M,Investors!$I:$I,"&lt;="&amp;'NSST Print'!$B$3,Investors!$J:$J,"&gt;"&amp;'NSST Print'!$B$3,Investors!$A:$A,'Investor Exit List'!$A512,Investors!$E:$E,'Investor Exit List'!$C512,Investors!$L:$L,'Investor Exit List'!$B512)+SUMIFS(Investors!$M:$M,Investors!$I:$I,"&lt;="&amp;'NSST Print'!$B$3,Investors!$J:$J,"",Investors!$A:$A,'Investor Exit List'!$A512,Investors!$E:$E,'Investor Exit List'!$C512,Investors!$L:$L,'Investor Exit List'!$B512))+SUMIFS(Investors!$S:$S,Investors!$O:$O,FALSE,Investors!$P:$P,FALSE,Investors!$K:$K,"&gt;"&amp;'NSST Print'!$B$3,Investors!$I:$I,"&lt;="&amp;'NSST Print'!$B$3,Investors!$A:$A,'Investor Exit List'!$A512,Investors!$E:$E,'Investor Exit List'!$C512,Investors!$L:$L,'Investor Exit List'!$B512)-(SUMIFS(Investors!$S:$S,Investors!$I:$I,"&lt;="&amp;'NSST Print'!$B$3,Investors!$J:$J,"&gt;"&amp;'NSST Print'!$B$3,Investors!$A:$A,'Investor Exit List'!$A512,Investors!$E:$E,'Investor Exit List'!$C512,Investors!$L:$L,'Investor Exit List'!$B512)+SUMIFS(Investors!$S:$S,Investors!$I:$I,"&lt;="&amp;'NSST Print'!$B$3,Investors!$J:$J,"",Investors!$A:$A,'Investor Exit List'!$A512,Investors!$E:$E,'Investor Exit List'!$C512,Investors!$L:$L,'Investor Exit List'!$B512))</f>
        <v>312255.1369863014</v>
      </c>
      <c r="R512" s="117">
        <f t="shared" si="89"/>
        <v>312255.1369863014</v>
      </c>
      <c r="S512" s="117">
        <f>SUMIFS(Investors!$M:$M,Investors!$O:$O,TRUE,Investors!$A:$A,'Investor Exit List'!$A512,Investors!$E:$E,'Investor Exit List'!$C512,Investors!$L:$L,'Investor Exit List'!$B512)+SUMIFS(Investors!$S:$S,Investors!$O:$O,TRUE,Investors!$A:$A,'Investor Exit List'!$A512,Investors!$E:$E,'Investor Exit List'!$C512,Investors!$L:$L,'Investor Exit List'!$B512)</f>
        <v>0</v>
      </c>
      <c r="T512" s="118" t="str">
        <f t="shared" si="90"/>
        <v/>
      </c>
      <c r="U512" s="116" t="b">
        <v>0</v>
      </c>
      <c r="V512" s="117">
        <f t="shared" si="91"/>
        <v>0</v>
      </c>
      <c r="W512" s="116">
        <v>0</v>
      </c>
      <c r="X512" s="116" t="b">
        <v>0</v>
      </c>
      <c r="Y512" s="119">
        <f>IF(H512=FALSE,VLOOKUP($C512,Sales!$C:$F,4,FALSE),1)</f>
        <v>1</v>
      </c>
      <c r="Z512" s="116" t="str">
        <f t="shared" si="92"/>
        <v/>
      </c>
      <c r="AA512" s="118">
        <f t="shared" si="93"/>
        <v>45738</v>
      </c>
      <c r="AB512" s="118" t="str">
        <f t="shared" si="94"/>
        <v>HVO105-ZHUT01</v>
      </c>
      <c r="AC512" s="118">
        <f t="shared" si="95"/>
        <v>45738</v>
      </c>
    </row>
    <row r="513" spans="1:29" ht="16" x14ac:dyDescent="0.2">
      <c r="A513" s="116" t="s">
        <v>52</v>
      </c>
      <c r="B513" s="116">
        <v>10</v>
      </c>
      <c r="C513" s="116" t="s">
        <v>862</v>
      </c>
      <c r="D513" s="116" t="s">
        <v>854</v>
      </c>
      <c r="E513" s="116" t="s">
        <v>2017</v>
      </c>
      <c r="F513" s="117">
        <f>SUMIFS(Investors!$M:$M,Investors!$O:$O,FALSE,Investors!$P:$P,FALSE,Investors!$K:$K,"&gt;"&amp;'NSST Print'!$B$3,Investors!$I:$I,"&lt;="&amp;'NSST Print'!$B$3,Investors!$A:$A,'Investor Exit List'!$A513,Investors!$E:$E,'Investor Exit List'!$C513,Investors!$L:$L,'Investor Exit List'!$B513)-(SUMIFS(Investors!$M:$M,Investors!$I:$I,"&lt;="&amp;'NSST Print'!$B$3,Investors!$J:$J,"&gt;"&amp;'NSST Print'!$B$3,Investors!$A:$A,'Investor Exit List'!$A513,Investors!$E:$E,'Investor Exit List'!$C513,Investors!$L:$L,'Investor Exit List'!$B513)+SUMIFS(Investors!$M:$M,Investors!$I:$I,"&lt;="&amp;'NSST Print'!$B$3,Investors!$J:$J,"",Investors!$A:$A,'Investor Exit List'!$A513,Investors!$E:$E,'Investor Exit List'!$C513,Investors!$L:$L,'Investor Exit List'!$B513))</f>
        <v>100000</v>
      </c>
      <c r="G513" s="118">
        <v>45044</v>
      </c>
      <c r="H513" s="116" t="b">
        <f>VLOOKUP($C513,Sales!$C:$E,2,FALSE)</f>
        <v>1</v>
      </c>
      <c r="I513" s="116" t="b">
        <f>VLOOKUP($C513,Sales!$C:$E,3,FALSE)</f>
        <v>0</v>
      </c>
      <c r="J513" s="118">
        <f>SUMIFS(Sales!$H:$H,Sales!$C:$C,'Investor Exit List'!$C513)</f>
        <v>45518</v>
      </c>
      <c r="K513" s="118" t="str">
        <f t="shared" si="84"/>
        <v/>
      </c>
      <c r="L513" s="118">
        <f t="shared" si="85"/>
        <v>45774</v>
      </c>
      <c r="M513" s="118">
        <v>45443</v>
      </c>
      <c r="N513" s="119">
        <f t="shared" si="86"/>
        <v>331</v>
      </c>
      <c r="O513" s="119">
        <f t="shared" si="87"/>
        <v>0</v>
      </c>
      <c r="P513" s="117">
        <f t="shared" si="88"/>
        <v>0</v>
      </c>
      <c r="Q513" s="117">
        <f>SUMIFS(Investors!$M:$M,Investors!$O:$O,FALSE,Investors!$P:$P,FALSE,Investors!$K:$K,"&gt;"&amp;'NSST Print'!$B$3,Investors!$I:$I,"&lt;="&amp;'NSST Print'!$B$3,Investors!$A:$A,'Investor Exit List'!$A513,Investors!$E:$E,'Investor Exit List'!$C513,Investors!$L:$L,'Investor Exit List'!$B513)-(SUMIFS(Investors!$M:$M,Investors!$I:$I,"&lt;="&amp;'NSST Print'!$B$3,Investors!$J:$J,"&gt;"&amp;'NSST Print'!$B$3,Investors!$A:$A,'Investor Exit List'!$A513,Investors!$E:$E,'Investor Exit List'!$C513,Investors!$L:$L,'Investor Exit List'!$B513)+SUMIFS(Investors!$M:$M,Investors!$I:$I,"&lt;="&amp;'NSST Print'!$B$3,Investors!$J:$J,"",Investors!$A:$A,'Investor Exit List'!$A513,Investors!$E:$E,'Investor Exit List'!$C513,Investors!$L:$L,'Investor Exit List'!$B513))+SUMIFS(Investors!$S:$S,Investors!$O:$O,FALSE,Investors!$P:$P,FALSE,Investors!$K:$K,"&gt;"&amp;'NSST Print'!$B$3,Investors!$I:$I,"&lt;="&amp;'NSST Print'!$B$3,Investors!$A:$A,'Investor Exit List'!$A513,Investors!$E:$E,'Investor Exit List'!$C513,Investors!$L:$L,'Investor Exit List'!$B513)-(SUMIFS(Investors!$S:$S,Investors!$I:$I,"&lt;="&amp;'NSST Print'!$B$3,Investors!$J:$J,"&gt;"&amp;'NSST Print'!$B$3,Investors!$A:$A,'Investor Exit List'!$A513,Investors!$E:$E,'Investor Exit List'!$C513,Investors!$L:$L,'Investor Exit List'!$B513)+SUMIFS(Investors!$S:$S,Investors!$I:$I,"&lt;="&amp;'NSST Print'!$B$3,Investors!$J:$J,"",Investors!$A:$A,'Investor Exit List'!$A513,Investors!$E:$E,'Investor Exit List'!$C513,Investors!$L:$L,'Investor Exit List'!$B513))</f>
        <v>126304.79452054795</v>
      </c>
      <c r="R513" s="117">
        <f t="shared" si="89"/>
        <v>126304.79452054795</v>
      </c>
      <c r="S513" s="117">
        <f>SUMIFS(Investors!$M:$M,Investors!$O:$O,TRUE,Investors!$A:$A,'Investor Exit List'!$A513,Investors!$E:$E,'Investor Exit List'!$C513,Investors!$L:$L,'Investor Exit List'!$B513)+SUMIFS(Investors!$S:$S,Investors!$O:$O,TRUE,Investors!$A:$A,'Investor Exit List'!$A513,Investors!$E:$E,'Investor Exit List'!$C513,Investors!$L:$L,'Investor Exit List'!$B513)</f>
        <v>0</v>
      </c>
      <c r="T513" s="118" t="str">
        <f t="shared" si="90"/>
        <v/>
      </c>
      <c r="U513" s="116" t="b">
        <v>0</v>
      </c>
      <c r="V513" s="117">
        <f t="shared" si="91"/>
        <v>0</v>
      </c>
      <c r="W513" s="116">
        <v>0</v>
      </c>
      <c r="X513" s="116" t="b">
        <v>0</v>
      </c>
      <c r="Y513" s="119">
        <f>IF(H513=FALSE,VLOOKUP($C513,Sales!$C:$F,4,FALSE),1)</f>
        <v>1</v>
      </c>
      <c r="Z513" s="116" t="str">
        <f t="shared" si="92"/>
        <v/>
      </c>
      <c r="AA513" s="118">
        <f t="shared" si="93"/>
        <v>45746</v>
      </c>
      <c r="AB513" s="118" t="str">
        <f t="shared" si="94"/>
        <v>HVO201-ZCRO01</v>
      </c>
      <c r="AC513" s="118">
        <f t="shared" si="95"/>
        <v>45774</v>
      </c>
    </row>
    <row r="514" spans="1:29" ht="16" x14ac:dyDescent="0.2">
      <c r="A514" s="116" t="s">
        <v>69</v>
      </c>
      <c r="B514" s="116">
        <v>8</v>
      </c>
      <c r="C514" s="116" t="s">
        <v>862</v>
      </c>
      <c r="D514" s="116" t="s">
        <v>854</v>
      </c>
      <c r="E514" s="116" t="s">
        <v>2022</v>
      </c>
      <c r="F514" s="117">
        <f>SUMIFS(Investors!$M:$M,Investors!$O:$O,FALSE,Investors!$P:$P,FALSE,Investors!$K:$K,"&gt;"&amp;'NSST Print'!$B$3,Investors!$I:$I,"&lt;="&amp;'NSST Print'!$B$3,Investors!$A:$A,'Investor Exit List'!$A514,Investors!$E:$E,'Investor Exit List'!$C514,Investors!$L:$L,'Investor Exit List'!$B514)-(SUMIFS(Investors!$M:$M,Investors!$I:$I,"&lt;="&amp;'NSST Print'!$B$3,Investors!$J:$J,"&gt;"&amp;'NSST Print'!$B$3,Investors!$A:$A,'Investor Exit List'!$A514,Investors!$E:$E,'Investor Exit List'!$C514,Investors!$L:$L,'Investor Exit List'!$B514)+SUMIFS(Investors!$M:$M,Investors!$I:$I,"&lt;="&amp;'NSST Print'!$B$3,Investors!$J:$J,"",Investors!$A:$A,'Investor Exit List'!$A514,Investors!$E:$E,'Investor Exit List'!$C514,Investors!$L:$L,'Investor Exit List'!$B514))</f>
        <v>110000</v>
      </c>
      <c r="G514" s="118">
        <v>45072</v>
      </c>
      <c r="H514" s="116" t="b">
        <f>VLOOKUP($C514,Sales!$C:$E,2,FALSE)</f>
        <v>1</v>
      </c>
      <c r="I514" s="116" t="b">
        <f>VLOOKUP($C514,Sales!$C:$E,3,FALSE)</f>
        <v>0</v>
      </c>
      <c r="J514" s="118">
        <f>SUMIFS(Sales!$H:$H,Sales!$C:$C,'Investor Exit List'!$C514)</f>
        <v>45518</v>
      </c>
      <c r="K514" s="118" t="str">
        <f t="shared" si="84"/>
        <v/>
      </c>
      <c r="L514" s="118">
        <f t="shared" si="85"/>
        <v>45802</v>
      </c>
      <c r="M514" s="118">
        <v>45443</v>
      </c>
      <c r="N514" s="119">
        <f t="shared" si="86"/>
        <v>359</v>
      </c>
      <c r="O514" s="119">
        <f t="shared" si="87"/>
        <v>0</v>
      </c>
      <c r="P514" s="117">
        <f t="shared" si="88"/>
        <v>0</v>
      </c>
      <c r="Q514" s="117">
        <f>SUMIFS(Investors!$M:$M,Investors!$O:$O,FALSE,Investors!$P:$P,FALSE,Investors!$K:$K,"&gt;"&amp;'NSST Print'!$B$3,Investors!$I:$I,"&lt;="&amp;'NSST Print'!$B$3,Investors!$A:$A,'Investor Exit List'!$A514,Investors!$E:$E,'Investor Exit List'!$C514,Investors!$L:$L,'Investor Exit List'!$B514)-(SUMIFS(Investors!$M:$M,Investors!$I:$I,"&lt;="&amp;'NSST Print'!$B$3,Investors!$J:$J,"&gt;"&amp;'NSST Print'!$B$3,Investors!$A:$A,'Investor Exit List'!$A514,Investors!$E:$E,'Investor Exit List'!$C514,Investors!$L:$L,'Investor Exit List'!$B514)+SUMIFS(Investors!$M:$M,Investors!$I:$I,"&lt;="&amp;'NSST Print'!$B$3,Investors!$J:$J,"",Investors!$A:$A,'Investor Exit List'!$A514,Investors!$E:$E,'Investor Exit List'!$C514,Investors!$L:$L,'Investor Exit List'!$B514))+SUMIFS(Investors!$S:$S,Investors!$O:$O,FALSE,Investors!$P:$P,FALSE,Investors!$K:$K,"&gt;"&amp;'NSST Print'!$B$3,Investors!$I:$I,"&lt;="&amp;'NSST Print'!$B$3,Investors!$A:$A,'Investor Exit List'!$A514,Investors!$E:$E,'Investor Exit List'!$C514,Investors!$L:$L,'Investor Exit List'!$B514)-(SUMIFS(Investors!$S:$S,Investors!$I:$I,"&lt;="&amp;'NSST Print'!$B$3,Investors!$J:$J,"&gt;"&amp;'NSST Print'!$B$3,Investors!$A:$A,'Investor Exit List'!$A514,Investors!$E:$E,'Investor Exit List'!$C514,Investors!$L:$L,'Investor Exit List'!$B514)+SUMIFS(Investors!$S:$S,Investors!$I:$I,"&lt;="&amp;'NSST Print'!$B$3,Investors!$J:$J,"",Investors!$A:$A,'Investor Exit List'!$A514,Investors!$E:$E,'Investor Exit List'!$C514,Investors!$L:$L,'Investor Exit List'!$B514))</f>
        <v>137653.69863013699</v>
      </c>
      <c r="R514" s="117">
        <f t="shared" si="89"/>
        <v>137653.69863013699</v>
      </c>
      <c r="S514" s="117">
        <f>SUMIFS(Investors!$M:$M,Investors!$O:$O,TRUE,Investors!$A:$A,'Investor Exit List'!$A514,Investors!$E:$E,'Investor Exit List'!$C514,Investors!$L:$L,'Investor Exit List'!$B514)+SUMIFS(Investors!$S:$S,Investors!$O:$O,TRUE,Investors!$A:$A,'Investor Exit List'!$A514,Investors!$E:$E,'Investor Exit List'!$C514,Investors!$L:$L,'Investor Exit List'!$B514)</f>
        <v>0</v>
      </c>
      <c r="T514" s="118" t="str">
        <f t="shared" si="90"/>
        <v/>
      </c>
      <c r="U514" s="116" t="b">
        <v>0</v>
      </c>
      <c r="V514" s="117">
        <f t="shared" si="91"/>
        <v>0</v>
      </c>
      <c r="W514" s="116">
        <v>0</v>
      </c>
      <c r="X514" s="116" t="b">
        <v>0</v>
      </c>
      <c r="Y514" s="119">
        <f>IF(H514=FALSE,VLOOKUP($C514,Sales!$C:$F,4,FALSE),1)</f>
        <v>1</v>
      </c>
      <c r="Z514" s="116" t="str">
        <f t="shared" si="92"/>
        <v/>
      </c>
      <c r="AA514" s="118">
        <f t="shared" si="93"/>
        <v>45746</v>
      </c>
      <c r="AB514" s="118" t="str">
        <f t="shared" si="94"/>
        <v>HVO201-ZJOH01</v>
      </c>
      <c r="AC514" s="118">
        <f t="shared" si="95"/>
        <v>45802</v>
      </c>
    </row>
    <row r="515" spans="1:29" ht="16" x14ac:dyDescent="0.2">
      <c r="A515" s="116" t="s">
        <v>145</v>
      </c>
      <c r="B515" s="116">
        <v>6</v>
      </c>
      <c r="C515" s="116" t="s">
        <v>862</v>
      </c>
      <c r="D515" s="116" t="s">
        <v>854</v>
      </c>
      <c r="E515" s="116" t="s">
        <v>2046</v>
      </c>
      <c r="F515" s="117">
        <f>SUMIFS(Investors!$M:$M,Investors!$O:$O,FALSE,Investors!$P:$P,FALSE,Investors!$K:$K,"&gt;"&amp;'NSST Print'!$B$3,Investors!$I:$I,"&lt;="&amp;'NSST Print'!$B$3,Investors!$A:$A,'Investor Exit List'!$A515,Investors!$E:$E,'Investor Exit List'!$C515,Investors!$L:$L,'Investor Exit List'!$B515)-(SUMIFS(Investors!$M:$M,Investors!$I:$I,"&lt;="&amp;'NSST Print'!$B$3,Investors!$J:$J,"&gt;"&amp;'NSST Print'!$B$3,Investors!$A:$A,'Investor Exit List'!$A515,Investors!$E:$E,'Investor Exit List'!$C515,Investors!$L:$L,'Investor Exit List'!$B515)+SUMIFS(Investors!$M:$M,Investors!$I:$I,"&lt;="&amp;'NSST Print'!$B$3,Investors!$J:$J,"",Investors!$A:$A,'Investor Exit List'!$A515,Investors!$E:$E,'Investor Exit List'!$C515,Investors!$L:$L,'Investor Exit List'!$B515))</f>
        <v>256652.05</v>
      </c>
      <c r="G515" s="118">
        <v>45072</v>
      </c>
      <c r="H515" s="116" t="b">
        <f>VLOOKUP($C515,Sales!$C:$E,2,FALSE)</f>
        <v>1</v>
      </c>
      <c r="I515" s="116" t="b">
        <f>VLOOKUP($C515,Sales!$C:$E,3,FALSE)</f>
        <v>0</v>
      </c>
      <c r="J515" s="118">
        <f>SUMIFS(Sales!$H:$H,Sales!$C:$C,'Investor Exit List'!$C515)</f>
        <v>45518</v>
      </c>
      <c r="K515" s="118" t="str">
        <f t="shared" si="84"/>
        <v/>
      </c>
      <c r="L515" s="118">
        <f t="shared" si="85"/>
        <v>45802</v>
      </c>
      <c r="M515" s="118">
        <v>45443</v>
      </c>
      <c r="N515" s="119">
        <f t="shared" si="86"/>
        <v>359</v>
      </c>
      <c r="O515" s="119">
        <f t="shared" si="87"/>
        <v>0</v>
      </c>
      <c r="P515" s="117">
        <f t="shared" si="88"/>
        <v>0</v>
      </c>
      <c r="Q515" s="117">
        <f>SUMIFS(Investors!$M:$M,Investors!$O:$O,FALSE,Investors!$P:$P,FALSE,Investors!$K:$K,"&gt;"&amp;'NSST Print'!$B$3,Investors!$I:$I,"&lt;="&amp;'NSST Print'!$B$3,Investors!$A:$A,'Investor Exit List'!$A515,Investors!$E:$E,'Investor Exit List'!$C515,Investors!$L:$L,'Investor Exit List'!$B515)-(SUMIFS(Investors!$M:$M,Investors!$I:$I,"&lt;="&amp;'NSST Print'!$B$3,Investors!$J:$J,"&gt;"&amp;'NSST Print'!$B$3,Investors!$A:$A,'Investor Exit List'!$A515,Investors!$E:$E,'Investor Exit List'!$C515,Investors!$L:$L,'Investor Exit List'!$B515)+SUMIFS(Investors!$M:$M,Investors!$I:$I,"&lt;="&amp;'NSST Print'!$B$3,Investors!$J:$J,"",Investors!$A:$A,'Investor Exit List'!$A515,Investors!$E:$E,'Investor Exit List'!$C515,Investors!$L:$L,'Investor Exit List'!$B515))+SUMIFS(Investors!$S:$S,Investors!$O:$O,FALSE,Investors!$P:$P,FALSE,Investors!$K:$K,"&gt;"&amp;'NSST Print'!$B$3,Investors!$I:$I,"&lt;="&amp;'NSST Print'!$B$3,Investors!$A:$A,'Investor Exit List'!$A515,Investors!$E:$E,'Investor Exit List'!$C515,Investors!$L:$L,'Investor Exit List'!$B515)-(SUMIFS(Investors!$S:$S,Investors!$I:$I,"&lt;="&amp;'NSST Print'!$B$3,Investors!$J:$J,"&gt;"&amp;'NSST Print'!$B$3,Investors!$A:$A,'Investor Exit List'!$A515,Investors!$E:$E,'Investor Exit List'!$C515,Investors!$L:$L,'Investor Exit List'!$B515)+SUMIFS(Investors!$S:$S,Investors!$I:$I,"&lt;="&amp;'NSST Print'!$B$3,Investors!$J:$J,"",Investors!$A:$A,'Investor Exit List'!$A515,Investors!$E:$E,'Investor Exit List'!$C515,Investors!$L:$L,'Investor Exit List'!$B515))</f>
        <v>308769.99505753425</v>
      </c>
      <c r="R515" s="117">
        <f t="shared" si="89"/>
        <v>308769.99505753425</v>
      </c>
      <c r="S515" s="117">
        <f>SUMIFS(Investors!$M:$M,Investors!$O:$O,TRUE,Investors!$A:$A,'Investor Exit List'!$A515,Investors!$E:$E,'Investor Exit List'!$C515,Investors!$L:$L,'Investor Exit List'!$B515)+SUMIFS(Investors!$S:$S,Investors!$O:$O,TRUE,Investors!$A:$A,'Investor Exit List'!$A515,Investors!$E:$E,'Investor Exit List'!$C515,Investors!$L:$L,'Investor Exit List'!$B515)</f>
        <v>0</v>
      </c>
      <c r="T515" s="118" t="str">
        <f t="shared" si="90"/>
        <v/>
      </c>
      <c r="U515" s="116" t="b">
        <v>0</v>
      </c>
      <c r="V515" s="117">
        <f t="shared" si="91"/>
        <v>0</v>
      </c>
      <c r="W515" s="116">
        <v>0</v>
      </c>
      <c r="X515" s="116" t="b">
        <v>0</v>
      </c>
      <c r="Y515" s="119">
        <f>IF(H515=FALSE,VLOOKUP($C515,Sales!$C:$F,4,FALSE),1)</f>
        <v>1</v>
      </c>
      <c r="Z515" s="116" t="str">
        <f t="shared" si="92"/>
        <v/>
      </c>
      <c r="AA515" s="118">
        <f t="shared" si="93"/>
        <v>45746</v>
      </c>
      <c r="AB515" s="118" t="str">
        <f t="shared" si="94"/>
        <v>HVO201-ZMAT01</v>
      </c>
      <c r="AC515" s="118">
        <f t="shared" si="95"/>
        <v>45802</v>
      </c>
    </row>
    <row r="516" spans="1:29" ht="16" x14ac:dyDescent="0.2">
      <c r="A516" s="116" t="s">
        <v>403</v>
      </c>
      <c r="B516" s="116">
        <v>4</v>
      </c>
      <c r="C516" s="116" t="s">
        <v>862</v>
      </c>
      <c r="D516" s="116" t="s">
        <v>854</v>
      </c>
      <c r="E516" s="116" t="s">
        <v>2050</v>
      </c>
      <c r="F516" s="117">
        <f>SUMIFS(Investors!$M:$M,Investors!$O:$O,FALSE,Investors!$P:$P,FALSE,Investors!$K:$K,"&gt;"&amp;'NSST Print'!$B$3,Investors!$I:$I,"&lt;="&amp;'NSST Print'!$B$3,Investors!$A:$A,'Investor Exit List'!$A516,Investors!$E:$E,'Investor Exit List'!$C516,Investors!$L:$L,'Investor Exit List'!$B516)-(SUMIFS(Investors!$M:$M,Investors!$I:$I,"&lt;="&amp;'NSST Print'!$B$3,Investors!$J:$J,"&gt;"&amp;'NSST Print'!$B$3,Investors!$A:$A,'Investor Exit List'!$A516,Investors!$E:$E,'Investor Exit List'!$C516,Investors!$L:$L,'Investor Exit List'!$B516)+SUMIFS(Investors!$M:$M,Investors!$I:$I,"&lt;="&amp;'NSST Print'!$B$3,Investors!$J:$J,"",Investors!$A:$A,'Investor Exit List'!$A516,Investors!$E:$E,'Investor Exit List'!$C516,Investors!$L:$L,'Investor Exit List'!$B516))</f>
        <v>229795.89</v>
      </c>
      <c r="G516" s="118">
        <v>45016</v>
      </c>
      <c r="H516" s="116" t="b">
        <f>VLOOKUP($C516,Sales!$C:$E,2,FALSE)</f>
        <v>1</v>
      </c>
      <c r="I516" s="116" t="b">
        <f>VLOOKUP($C516,Sales!$C:$E,3,FALSE)</f>
        <v>0</v>
      </c>
      <c r="J516" s="118">
        <f>SUMIFS(Sales!$H:$H,Sales!$C:$C,'Investor Exit List'!$C516)</f>
        <v>45518</v>
      </c>
      <c r="K516" s="118" t="str">
        <f t="shared" ref="K516:K579" si="96">IF(I516=TRUE,J516,"")</f>
        <v/>
      </c>
      <c r="L516" s="118">
        <f t="shared" ref="L516:L567" si="97">G516+730</f>
        <v>45746</v>
      </c>
      <c r="M516" s="118">
        <v>45443</v>
      </c>
      <c r="N516" s="119">
        <f t="shared" ref="N516:N579" si="98">IFERROR(IF(G516&lt;&gt;"",IF(I516=TRUE,0,IF(U516=TRUE,0,L516-M516)),0),0)</f>
        <v>303</v>
      </c>
      <c r="O516" s="119">
        <f t="shared" ref="O516:O579" si="99">IF(N516&gt;0,IF(N516&lt;=180,N516,0),0)</f>
        <v>0</v>
      </c>
      <c r="P516" s="117">
        <f t="shared" ref="P516:P579" si="100">IF(AND(N516&lt;90,N516&gt;0),Q516,0)</f>
        <v>0</v>
      </c>
      <c r="Q516" s="117">
        <f>SUMIFS(Investors!$M:$M,Investors!$O:$O,FALSE,Investors!$P:$P,FALSE,Investors!$K:$K,"&gt;"&amp;'NSST Print'!$B$3,Investors!$I:$I,"&lt;="&amp;'NSST Print'!$B$3,Investors!$A:$A,'Investor Exit List'!$A516,Investors!$E:$E,'Investor Exit List'!$C516,Investors!$L:$L,'Investor Exit List'!$B516)-(SUMIFS(Investors!$M:$M,Investors!$I:$I,"&lt;="&amp;'NSST Print'!$B$3,Investors!$J:$J,"&gt;"&amp;'NSST Print'!$B$3,Investors!$A:$A,'Investor Exit List'!$A516,Investors!$E:$E,'Investor Exit List'!$C516,Investors!$L:$L,'Investor Exit List'!$B516)+SUMIFS(Investors!$M:$M,Investors!$I:$I,"&lt;="&amp;'NSST Print'!$B$3,Investors!$J:$J,"",Investors!$A:$A,'Investor Exit List'!$A516,Investors!$E:$E,'Investor Exit List'!$C516,Investors!$L:$L,'Investor Exit List'!$B516))+SUMIFS(Investors!$S:$S,Investors!$O:$O,FALSE,Investors!$P:$P,FALSE,Investors!$K:$K,"&gt;"&amp;'NSST Print'!$B$3,Investors!$I:$I,"&lt;="&amp;'NSST Print'!$B$3,Investors!$A:$A,'Investor Exit List'!$A516,Investors!$E:$E,'Investor Exit List'!$C516,Investors!$L:$L,'Investor Exit List'!$B516)-(SUMIFS(Investors!$S:$S,Investors!$I:$I,"&lt;="&amp;'NSST Print'!$B$3,Investors!$J:$J,"&gt;"&amp;'NSST Print'!$B$3,Investors!$A:$A,'Investor Exit List'!$A516,Investors!$E:$E,'Investor Exit List'!$C516,Investors!$L:$L,'Investor Exit List'!$B516)+SUMIFS(Investors!$S:$S,Investors!$I:$I,"&lt;="&amp;'NSST Print'!$B$3,Investors!$J:$J,"",Investors!$A:$A,'Investor Exit List'!$A516,Investors!$E:$E,'Investor Exit List'!$C516,Investors!$L:$L,'Investor Exit List'!$B516))</f>
        <v>284998.84376691782</v>
      </c>
      <c r="R516" s="117">
        <f t="shared" ref="R516:R579" si="101">IF(AND(H516=TRUE,I516=FALSE),Q516,0)</f>
        <v>284998.84376691782</v>
      </c>
      <c r="S516" s="117">
        <f>SUMIFS(Investors!$M:$M,Investors!$O:$O,TRUE,Investors!$A:$A,'Investor Exit List'!$A516,Investors!$E:$E,'Investor Exit List'!$C516,Investors!$L:$L,'Investor Exit List'!$B516)+SUMIFS(Investors!$S:$S,Investors!$O:$O,TRUE,Investors!$A:$A,'Investor Exit List'!$A516,Investors!$E:$E,'Investor Exit List'!$C516,Investors!$L:$L,'Investor Exit List'!$B516)</f>
        <v>0</v>
      </c>
      <c r="T516" s="118" t="str">
        <f t="shared" ref="T516:T579" si="102">IF(U516=TRUE,$J516,"")</f>
        <v/>
      </c>
      <c r="U516" s="116" t="b">
        <v>0</v>
      </c>
      <c r="V516" s="117">
        <f t="shared" ref="V516:V567" si="103">IF(AND(H516=TRUE,OR(K516="",K516&gt;M516)),S516,0)</f>
        <v>0</v>
      </c>
      <c r="W516" s="116">
        <v>0</v>
      </c>
      <c r="X516" s="116" t="b">
        <v>0</v>
      </c>
      <c r="Y516" s="119">
        <f>IF(H516=FALSE,VLOOKUP($C516,Sales!$C:$F,4,FALSE),1)</f>
        <v>1</v>
      </c>
      <c r="Z516" s="116" t="str">
        <f t="shared" ref="Z516:Z579" si="104">IF(Y516=0,"Release",IF(AND(L516&lt;J516,Y516=1,H516=FALSE,U516=FALSE,MONTH(L516)&amp;"/"&amp;YEAR(L516)&lt;&gt;MONTH(J516)&amp;"/"&amp;YEAR(J516)),"Release",""))</f>
        <v/>
      </c>
      <c r="AA516" s="118">
        <f t="shared" ref="AA516:AA567" si="105">_xlfn.MINIFS($L:$L,$C:$C,$C516,$F:$F,"&lt;&gt;0")</f>
        <v>45746</v>
      </c>
      <c r="AB516" s="118" t="str">
        <f t="shared" ref="AB516:AB567" si="106">C516&amp;"-"&amp;A516</f>
        <v>HVO201-ZTHA01</v>
      </c>
      <c r="AC516" s="118">
        <f t="shared" ref="AC516:AC567" si="107">L516</f>
        <v>45746</v>
      </c>
    </row>
    <row r="517" spans="1:29" ht="16" x14ac:dyDescent="0.2">
      <c r="A517" s="116" t="s">
        <v>485</v>
      </c>
      <c r="B517" s="116">
        <v>8</v>
      </c>
      <c r="C517" s="116" t="s">
        <v>862</v>
      </c>
      <c r="D517" s="116" t="s">
        <v>854</v>
      </c>
      <c r="E517" s="116" t="s">
        <v>2143</v>
      </c>
      <c r="F517" s="117">
        <f>SUMIFS(Investors!$M:$M,Investors!$O:$O,FALSE,Investors!$P:$P,FALSE,Investors!$K:$K,"&gt;"&amp;'NSST Print'!$B$3,Investors!$I:$I,"&lt;="&amp;'NSST Print'!$B$3,Investors!$A:$A,'Investor Exit List'!$A517,Investors!$E:$E,'Investor Exit List'!$C517,Investors!$L:$L,'Investor Exit List'!$B517)-(SUMIFS(Investors!$M:$M,Investors!$I:$I,"&lt;="&amp;'NSST Print'!$B$3,Investors!$J:$J,"&gt;"&amp;'NSST Print'!$B$3,Investors!$A:$A,'Investor Exit List'!$A517,Investors!$E:$E,'Investor Exit List'!$C517,Investors!$L:$L,'Investor Exit List'!$B517)+SUMIFS(Investors!$M:$M,Investors!$I:$I,"&lt;="&amp;'NSST Print'!$B$3,Investors!$J:$J,"",Investors!$A:$A,'Investor Exit List'!$A517,Investors!$E:$E,'Investor Exit List'!$C517,Investors!$L:$L,'Investor Exit List'!$B517))</f>
        <v>350000</v>
      </c>
      <c r="G517" s="118">
        <v>45107</v>
      </c>
      <c r="H517" s="116" t="b">
        <f>VLOOKUP($C517,Sales!$C:$E,2,FALSE)</f>
        <v>1</v>
      </c>
      <c r="I517" s="116" t="b">
        <f>VLOOKUP($C517,Sales!$C:$E,3,FALSE)</f>
        <v>0</v>
      </c>
      <c r="J517" s="118">
        <f>SUMIFS(Sales!$H:$H,Sales!$C:$C,'Investor Exit List'!$C517)</f>
        <v>45518</v>
      </c>
      <c r="K517" s="118" t="str">
        <f t="shared" si="96"/>
        <v/>
      </c>
      <c r="L517" s="118">
        <f t="shared" si="97"/>
        <v>45837</v>
      </c>
      <c r="M517" s="118">
        <v>45443</v>
      </c>
      <c r="N517" s="119">
        <f t="shared" si="98"/>
        <v>394</v>
      </c>
      <c r="O517" s="119">
        <f t="shared" si="99"/>
        <v>0</v>
      </c>
      <c r="P517" s="117">
        <f t="shared" si="100"/>
        <v>0</v>
      </c>
      <c r="Q517" s="117">
        <f>SUMIFS(Investors!$M:$M,Investors!$O:$O,FALSE,Investors!$P:$P,FALSE,Investors!$K:$K,"&gt;"&amp;'NSST Print'!$B$3,Investors!$I:$I,"&lt;="&amp;'NSST Print'!$B$3,Investors!$A:$A,'Investor Exit List'!$A517,Investors!$E:$E,'Investor Exit List'!$C517,Investors!$L:$L,'Investor Exit List'!$B517)-(SUMIFS(Investors!$M:$M,Investors!$I:$I,"&lt;="&amp;'NSST Print'!$B$3,Investors!$J:$J,"&gt;"&amp;'NSST Print'!$B$3,Investors!$A:$A,'Investor Exit List'!$A517,Investors!$E:$E,'Investor Exit List'!$C517,Investors!$L:$L,'Investor Exit List'!$B517)+SUMIFS(Investors!$M:$M,Investors!$I:$I,"&lt;="&amp;'NSST Print'!$B$3,Investors!$J:$J,"",Investors!$A:$A,'Investor Exit List'!$A517,Investors!$E:$E,'Investor Exit List'!$C517,Investors!$L:$L,'Investor Exit List'!$B517))+SUMIFS(Investors!$S:$S,Investors!$O:$O,FALSE,Investors!$P:$P,FALSE,Investors!$K:$K,"&gt;"&amp;'NSST Print'!$B$3,Investors!$I:$I,"&lt;="&amp;'NSST Print'!$B$3,Investors!$A:$A,'Investor Exit List'!$A517,Investors!$E:$E,'Investor Exit List'!$C517,Investors!$L:$L,'Investor Exit List'!$B517)-(SUMIFS(Investors!$S:$S,Investors!$I:$I,"&lt;="&amp;'NSST Print'!$B$3,Investors!$J:$J,"&gt;"&amp;'NSST Print'!$B$3,Investors!$A:$A,'Investor Exit List'!$A517,Investors!$E:$E,'Investor Exit List'!$C517,Investors!$L:$L,'Investor Exit List'!$B517)+SUMIFS(Investors!$S:$S,Investors!$I:$I,"&lt;="&amp;'NSST Print'!$B$3,Investors!$J:$J,"",Investors!$A:$A,'Investor Exit List'!$A517,Investors!$E:$E,'Investor Exit List'!$C517,Investors!$L:$L,'Investor Exit List'!$B517))</f>
        <v>432547.26027397264</v>
      </c>
      <c r="R517" s="117">
        <f t="shared" si="101"/>
        <v>432547.26027397264</v>
      </c>
      <c r="S517" s="117">
        <f>SUMIFS(Investors!$M:$M,Investors!$O:$O,TRUE,Investors!$A:$A,'Investor Exit List'!$A517,Investors!$E:$E,'Investor Exit List'!$C517,Investors!$L:$L,'Investor Exit List'!$B517)+SUMIFS(Investors!$S:$S,Investors!$O:$O,TRUE,Investors!$A:$A,'Investor Exit List'!$A517,Investors!$E:$E,'Investor Exit List'!$C517,Investors!$L:$L,'Investor Exit List'!$B517)</f>
        <v>0</v>
      </c>
      <c r="T517" s="118" t="str">
        <f t="shared" si="102"/>
        <v/>
      </c>
      <c r="U517" s="116" t="b">
        <v>0</v>
      </c>
      <c r="V517" s="117">
        <f t="shared" si="103"/>
        <v>0</v>
      </c>
      <c r="W517" s="116">
        <v>0</v>
      </c>
      <c r="X517" s="116" t="b">
        <v>0</v>
      </c>
      <c r="Y517" s="119">
        <f>IF(H517=FALSE,VLOOKUP($C517,Sales!$C:$F,4,FALSE),1)</f>
        <v>1</v>
      </c>
      <c r="Z517" s="116" t="str">
        <f t="shared" si="104"/>
        <v/>
      </c>
      <c r="AA517" s="118">
        <f t="shared" si="105"/>
        <v>45746</v>
      </c>
      <c r="AB517" s="118" t="str">
        <f t="shared" si="106"/>
        <v>HVO201-ZVAN05</v>
      </c>
      <c r="AC517" s="118">
        <f t="shared" si="107"/>
        <v>45837</v>
      </c>
    </row>
    <row r="518" spans="1:29" ht="16" x14ac:dyDescent="0.2">
      <c r="A518" s="116" t="s">
        <v>304</v>
      </c>
      <c r="B518" s="116">
        <v>10</v>
      </c>
      <c r="C518" s="116" t="s">
        <v>863</v>
      </c>
      <c r="D518" s="116" t="s">
        <v>854</v>
      </c>
      <c r="E518" s="116" t="s">
        <v>2093</v>
      </c>
      <c r="F518" s="117">
        <f>SUMIFS(Investors!$M:$M,Investors!$O:$O,FALSE,Investors!$P:$P,FALSE,Investors!$K:$K,"&gt;"&amp;'NSST Print'!$B$3,Investors!$I:$I,"&lt;="&amp;'NSST Print'!$B$3,Investors!$A:$A,'Investor Exit List'!$A518,Investors!$E:$E,'Investor Exit List'!$C518,Investors!$L:$L,'Investor Exit List'!$B518)-(SUMIFS(Investors!$M:$M,Investors!$I:$I,"&lt;="&amp;'NSST Print'!$B$3,Investors!$J:$J,"&gt;"&amp;'NSST Print'!$B$3,Investors!$A:$A,'Investor Exit List'!$A518,Investors!$E:$E,'Investor Exit List'!$C518,Investors!$L:$L,'Investor Exit List'!$B518)+SUMIFS(Investors!$M:$M,Investors!$I:$I,"&lt;="&amp;'NSST Print'!$B$3,Investors!$J:$J,"",Investors!$A:$A,'Investor Exit List'!$A518,Investors!$E:$E,'Investor Exit List'!$C518,Investors!$L:$L,'Investor Exit List'!$B518))</f>
        <v>170585.96</v>
      </c>
      <c r="G518" s="118">
        <v>45044</v>
      </c>
      <c r="H518" s="116" t="b">
        <f>VLOOKUP($C518,Sales!$C:$E,2,FALSE)</f>
        <v>1</v>
      </c>
      <c r="I518" s="116" t="b">
        <f>VLOOKUP($C518,Sales!$C:$E,3,FALSE)</f>
        <v>0</v>
      </c>
      <c r="J518" s="118">
        <f>SUMIFS(Sales!$H:$H,Sales!$C:$C,'Investor Exit List'!$C518)</f>
        <v>45518</v>
      </c>
      <c r="K518" s="118" t="str">
        <f t="shared" si="96"/>
        <v/>
      </c>
      <c r="L518" s="118">
        <f t="shared" si="97"/>
        <v>45774</v>
      </c>
      <c r="M518" s="118">
        <v>45443</v>
      </c>
      <c r="N518" s="119">
        <f t="shared" si="98"/>
        <v>331</v>
      </c>
      <c r="O518" s="119">
        <f t="shared" si="99"/>
        <v>0</v>
      </c>
      <c r="P518" s="117">
        <f t="shared" si="100"/>
        <v>0</v>
      </c>
      <c r="Q518" s="117">
        <f>SUMIFS(Investors!$M:$M,Investors!$O:$O,FALSE,Investors!$P:$P,FALSE,Investors!$K:$K,"&gt;"&amp;'NSST Print'!$B$3,Investors!$I:$I,"&lt;="&amp;'NSST Print'!$B$3,Investors!$A:$A,'Investor Exit List'!$A518,Investors!$E:$E,'Investor Exit List'!$C518,Investors!$L:$L,'Investor Exit List'!$B518)-(SUMIFS(Investors!$M:$M,Investors!$I:$I,"&lt;="&amp;'NSST Print'!$B$3,Investors!$J:$J,"&gt;"&amp;'NSST Print'!$B$3,Investors!$A:$A,'Investor Exit List'!$A518,Investors!$E:$E,'Investor Exit List'!$C518,Investors!$L:$L,'Investor Exit List'!$B518)+SUMIFS(Investors!$M:$M,Investors!$I:$I,"&lt;="&amp;'NSST Print'!$B$3,Investors!$J:$J,"",Investors!$A:$A,'Investor Exit List'!$A518,Investors!$E:$E,'Investor Exit List'!$C518,Investors!$L:$L,'Investor Exit List'!$B518))+SUMIFS(Investors!$S:$S,Investors!$O:$O,FALSE,Investors!$P:$P,FALSE,Investors!$K:$K,"&gt;"&amp;'NSST Print'!$B$3,Investors!$I:$I,"&lt;="&amp;'NSST Print'!$B$3,Investors!$A:$A,'Investor Exit List'!$A518,Investors!$E:$E,'Investor Exit List'!$C518,Investors!$L:$L,'Investor Exit List'!$B518)-(SUMIFS(Investors!$S:$S,Investors!$I:$I,"&lt;="&amp;'NSST Print'!$B$3,Investors!$J:$J,"&gt;"&amp;'NSST Print'!$B$3,Investors!$A:$A,'Investor Exit List'!$A518,Investors!$E:$E,'Investor Exit List'!$C518,Investors!$L:$L,'Investor Exit List'!$B518)+SUMIFS(Investors!$S:$S,Investors!$I:$I,"&lt;="&amp;'NSST Print'!$B$3,Investors!$J:$J,"",Investors!$A:$A,'Investor Exit List'!$A518,Investors!$E:$E,'Investor Exit List'!$C518,Investors!$L:$L,'Investor Exit List'!$B518))</f>
        <v>214820.30150438356</v>
      </c>
      <c r="R518" s="117">
        <f t="shared" si="101"/>
        <v>214820.30150438356</v>
      </c>
      <c r="S518" s="117">
        <f>SUMIFS(Investors!$M:$M,Investors!$O:$O,TRUE,Investors!$A:$A,'Investor Exit List'!$A518,Investors!$E:$E,'Investor Exit List'!$C518,Investors!$L:$L,'Investor Exit List'!$B518)+SUMIFS(Investors!$S:$S,Investors!$O:$O,TRUE,Investors!$A:$A,'Investor Exit List'!$A518,Investors!$E:$E,'Investor Exit List'!$C518,Investors!$L:$L,'Investor Exit List'!$B518)</f>
        <v>0</v>
      </c>
      <c r="T518" s="118" t="str">
        <f t="shared" si="102"/>
        <v/>
      </c>
      <c r="U518" s="116" t="b">
        <v>0</v>
      </c>
      <c r="V518" s="117">
        <f t="shared" si="103"/>
        <v>0</v>
      </c>
      <c r="W518" s="116">
        <v>0</v>
      </c>
      <c r="X518" s="116" t="b">
        <v>0</v>
      </c>
      <c r="Y518" s="119">
        <f>IF(H518=FALSE,VLOOKUP($C518,Sales!$C:$F,4,FALSE),1)</f>
        <v>1</v>
      </c>
      <c r="Z518" s="116" t="str">
        <f t="shared" si="104"/>
        <v/>
      </c>
      <c r="AA518" s="118">
        <f t="shared" si="105"/>
        <v>45746</v>
      </c>
      <c r="AB518" s="118" t="str">
        <f t="shared" si="106"/>
        <v>HVO202-ZDEL01</v>
      </c>
      <c r="AC518" s="118">
        <f t="shared" si="107"/>
        <v>45774</v>
      </c>
    </row>
    <row r="519" spans="1:29" ht="16" x14ac:dyDescent="0.2">
      <c r="A519" s="116" t="s">
        <v>123</v>
      </c>
      <c r="B519" s="116">
        <v>11</v>
      </c>
      <c r="C519" s="116" t="s">
        <v>863</v>
      </c>
      <c r="D519" s="116" t="s">
        <v>854</v>
      </c>
      <c r="E519" s="116" t="s">
        <v>2039</v>
      </c>
      <c r="F519" s="117">
        <f>SUMIFS(Investors!$M:$M,Investors!$O:$O,FALSE,Investors!$P:$P,FALSE,Investors!$K:$K,"&gt;"&amp;'NSST Print'!$B$3,Investors!$I:$I,"&lt;="&amp;'NSST Print'!$B$3,Investors!$A:$A,'Investor Exit List'!$A519,Investors!$E:$E,'Investor Exit List'!$C519,Investors!$L:$L,'Investor Exit List'!$B519)-(SUMIFS(Investors!$M:$M,Investors!$I:$I,"&lt;="&amp;'NSST Print'!$B$3,Investors!$J:$J,"&gt;"&amp;'NSST Print'!$B$3,Investors!$A:$A,'Investor Exit List'!$A519,Investors!$E:$E,'Investor Exit List'!$C519,Investors!$L:$L,'Investor Exit List'!$B519)+SUMIFS(Investors!$M:$M,Investors!$I:$I,"&lt;="&amp;'NSST Print'!$B$3,Investors!$J:$J,"",Investors!$A:$A,'Investor Exit List'!$A519,Investors!$E:$E,'Investor Exit List'!$C519,Investors!$L:$L,'Investor Exit List'!$B519))</f>
        <v>258587.14</v>
      </c>
      <c r="G519" s="118">
        <v>45072</v>
      </c>
      <c r="H519" s="116" t="b">
        <f>VLOOKUP($C519,Sales!$C:$E,2,FALSE)</f>
        <v>1</v>
      </c>
      <c r="I519" s="116" t="b">
        <f>VLOOKUP($C519,Sales!$C:$E,3,FALSE)</f>
        <v>0</v>
      </c>
      <c r="J519" s="118">
        <f>SUMIFS(Sales!$H:$H,Sales!$C:$C,'Investor Exit List'!$C519)</f>
        <v>45518</v>
      </c>
      <c r="K519" s="118" t="str">
        <f t="shared" si="96"/>
        <v/>
      </c>
      <c r="L519" s="118">
        <f t="shared" si="97"/>
        <v>45802</v>
      </c>
      <c r="M519" s="118">
        <v>45443</v>
      </c>
      <c r="N519" s="119">
        <f t="shared" si="98"/>
        <v>359</v>
      </c>
      <c r="O519" s="119">
        <f t="shared" si="99"/>
        <v>0</v>
      </c>
      <c r="P519" s="117">
        <f t="shared" si="100"/>
        <v>0</v>
      </c>
      <c r="Q519" s="117">
        <f>SUMIFS(Investors!$M:$M,Investors!$O:$O,FALSE,Investors!$P:$P,FALSE,Investors!$K:$K,"&gt;"&amp;'NSST Print'!$B$3,Investors!$I:$I,"&lt;="&amp;'NSST Print'!$B$3,Investors!$A:$A,'Investor Exit List'!$A519,Investors!$E:$E,'Investor Exit List'!$C519,Investors!$L:$L,'Investor Exit List'!$B519)-(SUMIFS(Investors!$M:$M,Investors!$I:$I,"&lt;="&amp;'NSST Print'!$B$3,Investors!$J:$J,"&gt;"&amp;'NSST Print'!$B$3,Investors!$A:$A,'Investor Exit List'!$A519,Investors!$E:$E,'Investor Exit List'!$C519,Investors!$L:$L,'Investor Exit List'!$B519)+SUMIFS(Investors!$M:$M,Investors!$I:$I,"&lt;="&amp;'NSST Print'!$B$3,Investors!$J:$J,"",Investors!$A:$A,'Investor Exit List'!$A519,Investors!$E:$E,'Investor Exit List'!$C519,Investors!$L:$L,'Investor Exit List'!$B519))+SUMIFS(Investors!$S:$S,Investors!$O:$O,FALSE,Investors!$P:$P,FALSE,Investors!$K:$K,"&gt;"&amp;'NSST Print'!$B$3,Investors!$I:$I,"&lt;="&amp;'NSST Print'!$B$3,Investors!$A:$A,'Investor Exit List'!$A519,Investors!$E:$E,'Investor Exit List'!$C519,Investors!$L:$L,'Investor Exit List'!$B519)-(SUMIFS(Investors!$S:$S,Investors!$I:$I,"&lt;="&amp;'NSST Print'!$B$3,Investors!$J:$J,"&gt;"&amp;'NSST Print'!$B$3,Investors!$A:$A,'Investor Exit List'!$A519,Investors!$E:$E,'Investor Exit List'!$C519,Investors!$L:$L,'Investor Exit List'!$B519)+SUMIFS(Investors!$S:$S,Investors!$I:$I,"&lt;="&amp;'NSST Print'!$B$3,Investors!$J:$J,"",Investors!$A:$A,'Investor Exit List'!$A519,Investors!$E:$E,'Investor Exit List'!$C519,Investors!$L:$L,'Investor Exit List'!$B519))</f>
        <v>323595.23853808222</v>
      </c>
      <c r="R519" s="117">
        <f t="shared" si="101"/>
        <v>323595.23853808222</v>
      </c>
      <c r="S519" s="117">
        <f>SUMIFS(Investors!$M:$M,Investors!$O:$O,TRUE,Investors!$A:$A,'Investor Exit List'!$A519,Investors!$E:$E,'Investor Exit List'!$C519,Investors!$L:$L,'Investor Exit List'!$B519)+SUMIFS(Investors!$S:$S,Investors!$O:$O,TRUE,Investors!$A:$A,'Investor Exit List'!$A519,Investors!$E:$E,'Investor Exit List'!$C519,Investors!$L:$L,'Investor Exit List'!$B519)</f>
        <v>0</v>
      </c>
      <c r="T519" s="118" t="str">
        <f t="shared" si="102"/>
        <v/>
      </c>
      <c r="U519" s="116" t="b">
        <v>0</v>
      </c>
      <c r="V519" s="117">
        <f t="shared" si="103"/>
        <v>0</v>
      </c>
      <c r="W519" s="116">
        <v>0</v>
      </c>
      <c r="X519" s="116" t="b">
        <v>0</v>
      </c>
      <c r="Y519" s="119">
        <f>IF(H519=FALSE,VLOOKUP($C519,Sales!$C:$F,4,FALSE),1)</f>
        <v>1</v>
      </c>
      <c r="Z519" s="116" t="str">
        <f t="shared" si="104"/>
        <v/>
      </c>
      <c r="AA519" s="118">
        <f t="shared" si="105"/>
        <v>45746</v>
      </c>
      <c r="AB519" s="118" t="str">
        <f t="shared" si="106"/>
        <v>HVO202-ZHEI01</v>
      </c>
      <c r="AC519" s="118">
        <f t="shared" si="107"/>
        <v>45802</v>
      </c>
    </row>
    <row r="520" spans="1:29" ht="16" x14ac:dyDescent="0.2">
      <c r="A520" s="116" t="s">
        <v>346</v>
      </c>
      <c r="B520" s="116">
        <v>2</v>
      </c>
      <c r="C520" s="116" t="s">
        <v>863</v>
      </c>
      <c r="D520" s="116" t="s">
        <v>854</v>
      </c>
      <c r="E520" s="116" t="s">
        <v>2105</v>
      </c>
      <c r="F520" s="117">
        <f>SUMIFS(Investors!$M:$M,Investors!$O:$O,FALSE,Investors!$P:$P,FALSE,Investors!$K:$K,"&gt;"&amp;'NSST Print'!$B$3,Investors!$I:$I,"&lt;="&amp;'NSST Print'!$B$3,Investors!$A:$A,'Investor Exit List'!$A520,Investors!$E:$E,'Investor Exit List'!$C520,Investors!$L:$L,'Investor Exit List'!$B520)-(SUMIFS(Investors!$M:$M,Investors!$I:$I,"&lt;="&amp;'NSST Print'!$B$3,Investors!$J:$J,"&gt;"&amp;'NSST Print'!$B$3,Investors!$A:$A,'Investor Exit List'!$A520,Investors!$E:$E,'Investor Exit List'!$C520,Investors!$L:$L,'Investor Exit List'!$B520)+SUMIFS(Investors!$M:$M,Investors!$I:$I,"&lt;="&amp;'NSST Print'!$B$3,Investors!$J:$J,"",Investors!$A:$A,'Investor Exit List'!$A520,Investors!$E:$E,'Investor Exit List'!$C520,Investors!$L:$L,'Investor Exit List'!$B520))</f>
        <v>500000</v>
      </c>
      <c r="G520" s="118">
        <v>45044</v>
      </c>
      <c r="H520" s="116" t="b">
        <f>VLOOKUP($C520,Sales!$C:$E,2,FALSE)</f>
        <v>1</v>
      </c>
      <c r="I520" s="116" t="b">
        <f>VLOOKUP($C520,Sales!$C:$E,3,FALSE)</f>
        <v>0</v>
      </c>
      <c r="J520" s="118">
        <f>SUMIFS(Sales!$H:$H,Sales!$C:$C,'Investor Exit List'!$C520)</f>
        <v>45518</v>
      </c>
      <c r="K520" s="118" t="str">
        <f t="shared" si="96"/>
        <v/>
      </c>
      <c r="L520" s="118">
        <f t="shared" si="97"/>
        <v>45774</v>
      </c>
      <c r="M520" s="118">
        <v>45443</v>
      </c>
      <c r="N520" s="119">
        <f t="shared" si="98"/>
        <v>331</v>
      </c>
      <c r="O520" s="119">
        <f t="shared" si="99"/>
        <v>0</v>
      </c>
      <c r="P520" s="117">
        <f t="shared" si="100"/>
        <v>0</v>
      </c>
      <c r="Q520" s="117">
        <f>SUMIFS(Investors!$M:$M,Investors!$O:$O,FALSE,Investors!$P:$P,FALSE,Investors!$K:$K,"&gt;"&amp;'NSST Print'!$B$3,Investors!$I:$I,"&lt;="&amp;'NSST Print'!$B$3,Investors!$A:$A,'Investor Exit List'!$A520,Investors!$E:$E,'Investor Exit List'!$C520,Investors!$L:$L,'Investor Exit List'!$B520)-(SUMIFS(Investors!$M:$M,Investors!$I:$I,"&lt;="&amp;'NSST Print'!$B$3,Investors!$J:$J,"&gt;"&amp;'NSST Print'!$B$3,Investors!$A:$A,'Investor Exit List'!$A520,Investors!$E:$E,'Investor Exit List'!$C520,Investors!$L:$L,'Investor Exit List'!$B520)+SUMIFS(Investors!$M:$M,Investors!$I:$I,"&lt;="&amp;'NSST Print'!$B$3,Investors!$J:$J,"",Investors!$A:$A,'Investor Exit List'!$A520,Investors!$E:$E,'Investor Exit List'!$C520,Investors!$L:$L,'Investor Exit List'!$B520))+SUMIFS(Investors!$S:$S,Investors!$O:$O,FALSE,Investors!$P:$P,FALSE,Investors!$K:$K,"&gt;"&amp;'NSST Print'!$B$3,Investors!$I:$I,"&lt;="&amp;'NSST Print'!$B$3,Investors!$A:$A,'Investor Exit List'!$A520,Investors!$E:$E,'Investor Exit List'!$C520,Investors!$L:$L,'Investor Exit List'!$B520)-(SUMIFS(Investors!$S:$S,Investors!$I:$I,"&lt;="&amp;'NSST Print'!$B$3,Investors!$J:$J,"&gt;"&amp;'NSST Print'!$B$3,Investors!$A:$A,'Investor Exit List'!$A520,Investors!$E:$E,'Investor Exit List'!$C520,Investors!$L:$L,'Investor Exit List'!$B520)+SUMIFS(Investors!$S:$S,Investors!$I:$I,"&lt;="&amp;'NSST Print'!$B$3,Investors!$J:$J,"",Investors!$A:$A,'Investor Exit List'!$A520,Investors!$E:$E,'Investor Exit List'!$C520,Investors!$L:$L,'Investor Exit List'!$B520))</f>
        <v>616667.80821917811</v>
      </c>
      <c r="R520" s="117">
        <f t="shared" si="101"/>
        <v>616667.80821917811</v>
      </c>
      <c r="S520" s="117">
        <f>SUMIFS(Investors!$M:$M,Investors!$O:$O,TRUE,Investors!$A:$A,'Investor Exit List'!$A520,Investors!$E:$E,'Investor Exit List'!$C520,Investors!$L:$L,'Investor Exit List'!$B520)+SUMIFS(Investors!$S:$S,Investors!$O:$O,TRUE,Investors!$A:$A,'Investor Exit List'!$A520,Investors!$E:$E,'Investor Exit List'!$C520,Investors!$L:$L,'Investor Exit List'!$B520)</f>
        <v>0</v>
      </c>
      <c r="T520" s="118" t="str">
        <f t="shared" si="102"/>
        <v/>
      </c>
      <c r="U520" s="116" t="b">
        <v>0</v>
      </c>
      <c r="V520" s="117">
        <f t="shared" si="103"/>
        <v>0</v>
      </c>
      <c r="W520" s="116">
        <v>0</v>
      </c>
      <c r="X520" s="116" t="b">
        <v>0</v>
      </c>
      <c r="Y520" s="119">
        <f>IF(H520=FALSE,VLOOKUP($C520,Sales!$C:$F,4,FALSE),1)</f>
        <v>1</v>
      </c>
      <c r="Z520" s="116" t="str">
        <f t="shared" si="104"/>
        <v/>
      </c>
      <c r="AA520" s="118">
        <f t="shared" si="105"/>
        <v>45746</v>
      </c>
      <c r="AB520" s="118" t="str">
        <f t="shared" si="106"/>
        <v>HVO202-ZLOU03</v>
      </c>
      <c r="AC520" s="118">
        <f t="shared" si="107"/>
        <v>45774</v>
      </c>
    </row>
    <row r="521" spans="1:29" ht="16" x14ac:dyDescent="0.2">
      <c r="A521" s="116" t="s">
        <v>299</v>
      </c>
      <c r="B521" s="116">
        <v>2</v>
      </c>
      <c r="C521" s="116" t="s">
        <v>863</v>
      </c>
      <c r="D521" s="116" t="s">
        <v>854</v>
      </c>
      <c r="E521" s="116" t="s">
        <v>2092</v>
      </c>
      <c r="F521" s="117">
        <f>SUMIFS(Investors!$M:$M,Investors!$O:$O,FALSE,Investors!$P:$P,FALSE,Investors!$K:$K,"&gt;"&amp;'NSST Print'!$B$3,Investors!$I:$I,"&lt;="&amp;'NSST Print'!$B$3,Investors!$A:$A,'Investor Exit List'!$A521,Investors!$E:$E,'Investor Exit List'!$C521,Investors!$L:$L,'Investor Exit List'!$B521)-(SUMIFS(Investors!$M:$M,Investors!$I:$I,"&lt;="&amp;'NSST Print'!$B$3,Investors!$J:$J,"&gt;"&amp;'NSST Print'!$B$3,Investors!$A:$A,'Investor Exit List'!$A521,Investors!$E:$E,'Investor Exit List'!$C521,Investors!$L:$L,'Investor Exit List'!$B521)+SUMIFS(Investors!$M:$M,Investors!$I:$I,"&lt;="&amp;'NSST Print'!$B$3,Investors!$J:$J,"",Investors!$A:$A,'Investor Exit List'!$A521,Investors!$E:$E,'Investor Exit List'!$C521,Investors!$L:$L,'Investor Exit List'!$B521))</f>
        <v>187515.41</v>
      </c>
      <c r="G521" s="118">
        <v>45016</v>
      </c>
      <c r="H521" s="116" t="b">
        <f>VLOOKUP($C521,Sales!$C:$E,2,FALSE)</f>
        <v>1</v>
      </c>
      <c r="I521" s="116" t="b">
        <f>VLOOKUP($C521,Sales!$C:$E,3,FALSE)</f>
        <v>0</v>
      </c>
      <c r="J521" s="118">
        <f>SUMIFS(Sales!$H:$H,Sales!$C:$C,'Investor Exit List'!$C521)</f>
        <v>45518</v>
      </c>
      <c r="K521" s="118" t="str">
        <f t="shared" si="96"/>
        <v/>
      </c>
      <c r="L521" s="118">
        <f t="shared" si="97"/>
        <v>45746</v>
      </c>
      <c r="M521" s="118">
        <v>45443</v>
      </c>
      <c r="N521" s="119">
        <f t="shared" si="98"/>
        <v>303</v>
      </c>
      <c r="O521" s="119">
        <f t="shared" si="99"/>
        <v>0</v>
      </c>
      <c r="P521" s="117">
        <f t="shared" si="100"/>
        <v>0</v>
      </c>
      <c r="Q521" s="117">
        <f>SUMIFS(Investors!$M:$M,Investors!$O:$O,FALSE,Investors!$P:$P,FALSE,Investors!$K:$K,"&gt;"&amp;'NSST Print'!$B$3,Investors!$I:$I,"&lt;="&amp;'NSST Print'!$B$3,Investors!$A:$A,'Investor Exit List'!$A521,Investors!$E:$E,'Investor Exit List'!$C521,Investors!$L:$L,'Investor Exit List'!$B521)-(SUMIFS(Investors!$M:$M,Investors!$I:$I,"&lt;="&amp;'NSST Print'!$B$3,Investors!$J:$J,"&gt;"&amp;'NSST Print'!$B$3,Investors!$A:$A,'Investor Exit List'!$A521,Investors!$E:$E,'Investor Exit List'!$C521,Investors!$L:$L,'Investor Exit List'!$B521)+SUMIFS(Investors!$M:$M,Investors!$I:$I,"&lt;="&amp;'NSST Print'!$B$3,Investors!$J:$J,"",Investors!$A:$A,'Investor Exit List'!$A521,Investors!$E:$E,'Investor Exit List'!$C521,Investors!$L:$L,'Investor Exit List'!$B521))+SUMIFS(Investors!$S:$S,Investors!$O:$O,FALSE,Investors!$P:$P,FALSE,Investors!$K:$K,"&gt;"&amp;'NSST Print'!$B$3,Investors!$I:$I,"&lt;="&amp;'NSST Print'!$B$3,Investors!$A:$A,'Investor Exit List'!$A521,Investors!$E:$E,'Investor Exit List'!$C521,Investors!$L:$L,'Investor Exit List'!$B521)-(SUMIFS(Investors!$S:$S,Investors!$I:$I,"&lt;="&amp;'NSST Print'!$B$3,Investors!$J:$J,"&gt;"&amp;'NSST Print'!$B$3,Investors!$A:$A,'Investor Exit List'!$A521,Investors!$E:$E,'Investor Exit List'!$C521,Investors!$L:$L,'Investor Exit List'!$B521)+SUMIFS(Investors!$S:$S,Investors!$I:$I,"&lt;="&amp;'NSST Print'!$B$3,Investors!$J:$J,"",Investors!$A:$A,'Investor Exit List'!$A521,Investors!$E:$E,'Investor Exit List'!$C521,Investors!$L:$L,'Investor Exit List'!$B521))</f>
        <v>227203.17496171233</v>
      </c>
      <c r="R521" s="117">
        <f t="shared" si="101"/>
        <v>227203.17496171233</v>
      </c>
      <c r="S521" s="117">
        <f>SUMIFS(Investors!$M:$M,Investors!$O:$O,TRUE,Investors!$A:$A,'Investor Exit List'!$A521,Investors!$E:$E,'Investor Exit List'!$C521,Investors!$L:$L,'Investor Exit List'!$B521)+SUMIFS(Investors!$S:$S,Investors!$O:$O,TRUE,Investors!$A:$A,'Investor Exit List'!$A521,Investors!$E:$E,'Investor Exit List'!$C521,Investors!$L:$L,'Investor Exit List'!$B521)</f>
        <v>0</v>
      </c>
      <c r="T521" s="118" t="str">
        <f t="shared" si="102"/>
        <v/>
      </c>
      <c r="U521" s="116" t="b">
        <v>0</v>
      </c>
      <c r="V521" s="117">
        <f t="shared" si="103"/>
        <v>0</v>
      </c>
      <c r="W521" s="116">
        <v>0</v>
      </c>
      <c r="X521" s="116" t="b">
        <v>0</v>
      </c>
      <c r="Y521" s="119">
        <f>IF(H521=FALSE,VLOOKUP($C521,Sales!$C:$F,4,FALSE),1)</f>
        <v>1</v>
      </c>
      <c r="Z521" s="116" t="str">
        <f t="shared" si="104"/>
        <v/>
      </c>
      <c r="AA521" s="118">
        <f t="shared" si="105"/>
        <v>45746</v>
      </c>
      <c r="AB521" s="118" t="str">
        <f t="shared" si="106"/>
        <v>HVO202-ZWAL01</v>
      </c>
      <c r="AC521" s="118">
        <f t="shared" si="107"/>
        <v>45746</v>
      </c>
    </row>
    <row r="522" spans="1:29" ht="16" x14ac:dyDescent="0.2">
      <c r="A522" s="116" t="s">
        <v>52</v>
      </c>
      <c r="B522" s="116">
        <v>11</v>
      </c>
      <c r="C522" s="116" t="s">
        <v>864</v>
      </c>
      <c r="D522" s="116" t="s">
        <v>854</v>
      </c>
      <c r="E522" s="116" t="s">
        <v>2017</v>
      </c>
      <c r="F522" s="117">
        <f>SUMIFS(Investors!$M:$M,Investors!$O:$O,FALSE,Investors!$P:$P,FALSE,Investors!$K:$K,"&gt;"&amp;'NSST Print'!$B$3,Investors!$I:$I,"&lt;="&amp;'NSST Print'!$B$3,Investors!$A:$A,'Investor Exit List'!$A522,Investors!$E:$E,'Investor Exit List'!$C522,Investors!$L:$L,'Investor Exit List'!$B522)-(SUMIFS(Investors!$M:$M,Investors!$I:$I,"&lt;="&amp;'NSST Print'!$B$3,Investors!$J:$J,"&gt;"&amp;'NSST Print'!$B$3,Investors!$A:$A,'Investor Exit List'!$A522,Investors!$E:$E,'Investor Exit List'!$C522,Investors!$L:$L,'Investor Exit List'!$B522)+SUMIFS(Investors!$M:$M,Investors!$I:$I,"&lt;="&amp;'NSST Print'!$B$3,Investors!$J:$J,"",Investors!$A:$A,'Investor Exit List'!$A522,Investors!$E:$E,'Investor Exit List'!$C522,Investors!$L:$L,'Investor Exit List'!$B522))</f>
        <v>110000</v>
      </c>
      <c r="G522" s="118">
        <v>45072</v>
      </c>
      <c r="H522" s="116" t="b">
        <f>VLOOKUP($C522,Sales!$C:$E,2,FALSE)</f>
        <v>1</v>
      </c>
      <c r="I522" s="116" t="b">
        <f>VLOOKUP($C522,Sales!$C:$E,3,FALSE)</f>
        <v>0</v>
      </c>
      <c r="J522" s="118">
        <f>SUMIFS(Sales!$H:$H,Sales!$C:$C,'Investor Exit List'!$C522)</f>
        <v>45518</v>
      </c>
      <c r="K522" s="118" t="str">
        <f t="shared" si="96"/>
        <v/>
      </c>
      <c r="L522" s="118">
        <f t="shared" si="97"/>
        <v>45802</v>
      </c>
      <c r="M522" s="118">
        <v>45443</v>
      </c>
      <c r="N522" s="119">
        <f t="shared" si="98"/>
        <v>359</v>
      </c>
      <c r="O522" s="119">
        <f t="shared" si="99"/>
        <v>0</v>
      </c>
      <c r="P522" s="117">
        <f t="shared" si="100"/>
        <v>0</v>
      </c>
      <c r="Q522" s="117">
        <f>SUMIFS(Investors!$M:$M,Investors!$O:$O,FALSE,Investors!$P:$P,FALSE,Investors!$K:$K,"&gt;"&amp;'NSST Print'!$B$3,Investors!$I:$I,"&lt;="&amp;'NSST Print'!$B$3,Investors!$A:$A,'Investor Exit List'!$A522,Investors!$E:$E,'Investor Exit List'!$C522,Investors!$L:$L,'Investor Exit List'!$B522)-(SUMIFS(Investors!$M:$M,Investors!$I:$I,"&lt;="&amp;'NSST Print'!$B$3,Investors!$J:$J,"&gt;"&amp;'NSST Print'!$B$3,Investors!$A:$A,'Investor Exit List'!$A522,Investors!$E:$E,'Investor Exit List'!$C522,Investors!$L:$L,'Investor Exit List'!$B522)+SUMIFS(Investors!$M:$M,Investors!$I:$I,"&lt;="&amp;'NSST Print'!$B$3,Investors!$J:$J,"",Investors!$A:$A,'Investor Exit List'!$A522,Investors!$E:$E,'Investor Exit List'!$C522,Investors!$L:$L,'Investor Exit List'!$B522))+SUMIFS(Investors!$S:$S,Investors!$O:$O,FALSE,Investors!$P:$P,FALSE,Investors!$K:$K,"&gt;"&amp;'NSST Print'!$B$3,Investors!$I:$I,"&lt;="&amp;'NSST Print'!$B$3,Investors!$A:$A,'Investor Exit List'!$A522,Investors!$E:$E,'Investor Exit List'!$C522,Investors!$L:$L,'Investor Exit List'!$B522)-(SUMIFS(Investors!$S:$S,Investors!$I:$I,"&lt;="&amp;'NSST Print'!$B$3,Investors!$J:$J,"&gt;"&amp;'NSST Print'!$B$3,Investors!$A:$A,'Investor Exit List'!$A522,Investors!$E:$E,'Investor Exit List'!$C522,Investors!$L:$L,'Investor Exit List'!$B522)+SUMIFS(Investors!$S:$S,Investors!$I:$I,"&lt;="&amp;'NSST Print'!$B$3,Investors!$J:$J,"",Investors!$A:$A,'Investor Exit List'!$A522,Investors!$E:$E,'Investor Exit List'!$C522,Investors!$L:$L,'Investor Exit List'!$B522))</f>
        <v>137503.01369863015</v>
      </c>
      <c r="R522" s="117">
        <f t="shared" si="101"/>
        <v>137503.01369863015</v>
      </c>
      <c r="S522" s="117">
        <f>SUMIFS(Investors!$M:$M,Investors!$O:$O,TRUE,Investors!$A:$A,'Investor Exit List'!$A522,Investors!$E:$E,'Investor Exit List'!$C522,Investors!$L:$L,'Investor Exit List'!$B522)+SUMIFS(Investors!$S:$S,Investors!$O:$O,TRUE,Investors!$A:$A,'Investor Exit List'!$A522,Investors!$E:$E,'Investor Exit List'!$C522,Investors!$L:$L,'Investor Exit List'!$B522)</f>
        <v>0</v>
      </c>
      <c r="T522" s="118" t="str">
        <f t="shared" si="102"/>
        <v/>
      </c>
      <c r="U522" s="116" t="b">
        <v>0</v>
      </c>
      <c r="V522" s="117">
        <f t="shared" si="103"/>
        <v>0</v>
      </c>
      <c r="W522" s="116">
        <v>0</v>
      </c>
      <c r="X522" s="116" t="b">
        <v>0</v>
      </c>
      <c r="Y522" s="119">
        <f>IF(H522=FALSE,VLOOKUP($C522,Sales!$C:$F,4,FALSE),1)</f>
        <v>1</v>
      </c>
      <c r="Z522" s="116" t="str">
        <f t="shared" si="104"/>
        <v/>
      </c>
      <c r="AA522" s="118">
        <f t="shared" si="105"/>
        <v>45802</v>
      </c>
      <c r="AB522" s="118" t="str">
        <f t="shared" si="106"/>
        <v>HVO203-ZCRO01</v>
      </c>
      <c r="AC522" s="118">
        <f t="shared" si="107"/>
        <v>45802</v>
      </c>
    </row>
    <row r="523" spans="1:29" ht="16" x14ac:dyDescent="0.2">
      <c r="A523" s="116" t="s">
        <v>240</v>
      </c>
      <c r="B523" s="116">
        <v>7</v>
      </c>
      <c r="C523" s="116" t="s">
        <v>864</v>
      </c>
      <c r="D523" s="116" t="s">
        <v>854</v>
      </c>
      <c r="E523" s="116" t="s">
        <v>2075</v>
      </c>
      <c r="F523" s="117">
        <f>SUMIFS(Investors!$M:$M,Investors!$O:$O,FALSE,Investors!$P:$P,FALSE,Investors!$K:$K,"&gt;"&amp;'NSST Print'!$B$3,Investors!$I:$I,"&lt;="&amp;'NSST Print'!$B$3,Investors!$A:$A,'Investor Exit List'!$A523,Investors!$E:$E,'Investor Exit List'!$C523,Investors!$L:$L,'Investor Exit List'!$B523)-(SUMIFS(Investors!$M:$M,Investors!$I:$I,"&lt;="&amp;'NSST Print'!$B$3,Investors!$J:$J,"&gt;"&amp;'NSST Print'!$B$3,Investors!$A:$A,'Investor Exit List'!$A523,Investors!$E:$E,'Investor Exit List'!$C523,Investors!$L:$L,'Investor Exit List'!$B523)+SUMIFS(Investors!$M:$M,Investors!$I:$I,"&lt;="&amp;'NSST Print'!$B$3,Investors!$J:$J,"",Investors!$A:$A,'Investor Exit List'!$A523,Investors!$E:$E,'Investor Exit List'!$C523,Investors!$L:$L,'Investor Exit List'!$B523))</f>
        <v>819398.7</v>
      </c>
      <c r="G523" s="118">
        <v>45072</v>
      </c>
      <c r="H523" s="116" t="b">
        <f>VLOOKUP($C523,Sales!$C:$E,2,FALSE)</f>
        <v>1</v>
      </c>
      <c r="I523" s="116" t="b">
        <f>VLOOKUP($C523,Sales!$C:$E,3,FALSE)</f>
        <v>0</v>
      </c>
      <c r="J523" s="118">
        <f>SUMIFS(Sales!$H:$H,Sales!$C:$C,'Investor Exit List'!$C523)</f>
        <v>45518</v>
      </c>
      <c r="K523" s="118" t="str">
        <f t="shared" si="96"/>
        <v/>
      </c>
      <c r="L523" s="118">
        <f t="shared" si="97"/>
        <v>45802</v>
      </c>
      <c r="M523" s="118">
        <v>45443</v>
      </c>
      <c r="N523" s="119">
        <f t="shared" si="98"/>
        <v>359</v>
      </c>
      <c r="O523" s="119">
        <f t="shared" si="99"/>
        <v>0</v>
      </c>
      <c r="P523" s="117">
        <f t="shared" si="100"/>
        <v>0</v>
      </c>
      <c r="Q523" s="117">
        <f>SUMIFS(Investors!$M:$M,Investors!$O:$O,FALSE,Investors!$P:$P,FALSE,Investors!$K:$K,"&gt;"&amp;'NSST Print'!$B$3,Investors!$I:$I,"&lt;="&amp;'NSST Print'!$B$3,Investors!$A:$A,'Investor Exit List'!$A523,Investors!$E:$E,'Investor Exit List'!$C523,Investors!$L:$L,'Investor Exit List'!$B523)-(SUMIFS(Investors!$M:$M,Investors!$I:$I,"&lt;="&amp;'NSST Print'!$B$3,Investors!$J:$J,"&gt;"&amp;'NSST Print'!$B$3,Investors!$A:$A,'Investor Exit List'!$A523,Investors!$E:$E,'Investor Exit List'!$C523,Investors!$L:$L,'Investor Exit List'!$B523)+SUMIFS(Investors!$M:$M,Investors!$I:$I,"&lt;="&amp;'NSST Print'!$B$3,Investors!$J:$J,"",Investors!$A:$A,'Investor Exit List'!$A523,Investors!$E:$E,'Investor Exit List'!$C523,Investors!$L:$L,'Investor Exit List'!$B523))+SUMIFS(Investors!$S:$S,Investors!$O:$O,FALSE,Investors!$P:$P,FALSE,Investors!$K:$K,"&gt;"&amp;'NSST Print'!$B$3,Investors!$I:$I,"&lt;="&amp;'NSST Print'!$B$3,Investors!$A:$A,'Investor Exit List'!$A523,Investors!$E:$E,'Investor Exit List'!$C523,Investors!$L:$L,'Investor Exit List'!$B523)-(SUMIFS(Investors!$S:$S,Investors!$I:$I,"&lt;="&amp;'NSST Print'!$B$3,Investors!$J:$J,"&gt;"&amp;'NSST Print'!$B$3,Investors!$A:$A,'Investor Exit List'!$A523,Investors!$E:$E,'Investor Exit List'!$C523,Investors!$L:$L,'Investor Exit List'!$B523)+SUMIFS(Investors!$S:$S,Investors!$I:$I,"&lt;="&amp;'NSST Print'!$B$3,Investors!$J:$J,"",Investors!$A:$A,'Investor Exit List'!$A523,Investors!$E:$E,'Investor Exit List'!$C523,Investors!$L:$L,'Investor Exit List'!$B523))</f>
        <v>1024495.3170739727</v>
      </c>
      <c r="R523" s="117">
        <f t="shared" si="101"/>
        <v>1024495.3170739727</v>
      </c>
      <c r="S523" s="117">
        <f>SUMIFS(Investors!$M:$M,Investors!$O:$O,TRUE,Investors!$A:$A,'Investor Exit List'!$A523,Investors!$E:$E,'Investor Exit List'!$C523,Investors!$L:$L,'Investor Exit List'!$B523)+SUMIFS(Investors!$S:$S,Investors!$O:$O,TRUE,Investors!$A:$A,'Investor Exit List'!$A523,Investors!$E:$E,'Investor Exit List'!$C523,Investors!$L:$L,'Investor Exit List'!$B523)</f>
        <v>0</v>
      </c>
      <c r="T523" s="118" t="str">
        <f t="shared" si="102"/>
        <v/>
      </c>
      <c r="U523" s="116" t="b">
        <v>0</v>
      </c>
      <c r="V523" s="117">
        <f t="shared" si="103"/>
        <v>0</v>
      </c>
      <c r="W523" s="116">
        <v>0</v>
      </c>
      <c r="X523" s="116" t="b">
        <v>0</v>
      </c>
      <c r="Y523" s="119">
        <f>IF(H523=FALSE,VLOOKUP($C523,Sales!$C:$F,4,FALSE),1)</f>
        <v>1</v>
      </c>
      <c r="Z523" s="116" t="str">
        <f t="shared" si="104"/>
        <v/>
      </c>
      <c r="AA523" s="118">
        <f t="shared" si="105"/>
        <v>45802</v>
      </c>
      <c r="AB523" s="118" t="str">
        <f t="shared" si="106"/>
        <v>HVO203-ZKRU01</v>
      </c>
      <c r="AC523" s="118">
        <f t="shared" si="107"/>
        <v>45802</v>
      </c>
    </row>
    <row r="524" spans="1:29" ht="16" x14ac:dyDescent="0.2">
      <c r="A524" s="116" t="s">
        <v>295</v>
      </c>
      <c r="B524" s="116">
        <v>2</v>
      </c>
      <c r="C524" s="116" t="s">
        <v>864</v>
      </c>
      <c r="D524" s="116" t="s">
        <v>854</v>
      </c>
      <c r="E524" s="116" t="s">
        <v>2091</v>
      </c>
      <c r="F524" s="117">
        <f>SUMIFS(Investors!$M:$M,Investors!$O:$O,FALSE,Investors!$P:$P,FALSE,Investors!$K:$K,"&gt;"&amp;'NSST Print'!$B$3,Investors!$I:$I,"&lt;="&amp;'NSST Print'!$B$3,Investors!$A:$A,'Investor Exit List'!$A524,Investors!$E:$E,'Investor Exit List'!$C524,Investors!$L:$L,'Investor Exit List'!$B524)-(SUMIFS(Investors!$M:$M,Investors!$I:$I,"&lt;="&amp;'NSST Print'!$B$3,Investors!$J:$J,"&gt;"&amp;'NSST Print'!$B$3,Investors!$A:$A,'Investor Exit List'!$A524,Investors!$E:$E,'Investor Exit List'!$C524,Investors!$L:$L,'Investor Exit List'!$B524)+SUMIFS(Investors!$M:$M,Investors!$I:$I,"&lt;="&amp;'NSST Print'!$B$3,Investors!$J:$J,"",Investors!$A:$A,'Investor Exit List'!$A524,Investors!$E:$E,'Investor Exit List'!$C524,Investors!$L:$L,'Investor Exit List'!$B524))</f>
        <v>192071.92</v>
      </c>
      <c r="G524" s="118">
        <v>45129</v>
      </c>
      <c r="H524" s="116" t="b">
        <f>VLOOKUP($C524,Sales!$C:$E,2,FALSE)</f>
        <v>1</v>
      </c>
      <c r="I524" s="116" t="b">
        <f>VLOOKUP($C524,Sales!$C:$E,3,FALSE)</f>
        <v>0</v>
      </c>
      <c r="J524" s="118">
        <f>SUMIFS(Sales!$H:$H,Sales!$C:$C,'Investor Exit List'!$C524)</f>
        <v>45518</v>
      </c>
      <c r="K524" s="118" t="str">
        <f t="shared" si="96"/>
        <v/>
      </c>
      <c r="L524" s="118">
        <f t="shared" si="97"/>
        <v>45859</v>
      </c>
      <c r="M524" s="118">
        <v>45443</v>
      </c>
      <c r="N524" s="119">
        <f t="shared" si="98"/>
        <v>416</v>
      </c>
      <c r="O524" s="119">
        <f t="shared" si="99"/>
        <v>0</v>
      </c>
      <c r="P524" s="117">
        <f t="shared" si="100"/>
        <v>0</v>
      </c>
      <c r="Q524" s="117">
        <f>SUMIFS(Investors!$M:$M,Investors!$O:$O,FALSE,Investors!$P:$P,FALSE,Investors!$K:$K,"&gt;"&amp;'NSST Print'!$B$3,Investors!$I:$I,"&lt;="&amp;'NSST Print'!$B$3,Investors!$A:$A,'Investor Exit List'!$A524,Investors!$E:$E,'Investor Exit List'!$C524,Investors!$L:$L,'Investor Exit List'!$B524)-(SUMIFS(Investors!$M:$M,Investors!$I:$I,"&lt;="&amp;'NSST Print'!$B$3,Investors!$J:$J,"&gt;"&amp;'NSST Print'!$B$3,Investors!$A:$A,'Investor Exit List'!$A524,Investors!$E:$E,'Investor Exit List'!$C524,Investors!$L:$L,'Investor Exit List'!$B524)+SUMIFS(Investors!$M:$M,Investors!$I:$I,"&lt;="&amp;'NSST Print'!$B$3,Investors!$J:$J,"",Investors!$A:$A,'Investor Exit List'!$A524,Investors!$E:$E,'Investor Exit List'!$C524,Investors!$L:$L,'Investor Exit List'!$B524))+SUMIFS(Investors!$S:$S,Investors!$O:$O,FALSE,Investors!$P:$P,FALSE,Investors!$K:$K,"&gt;"&amp;'NSST Print'!$B$3,Investors!$I:$I,"&lt;="&amp;'NSST Print'!$B$3,Investors!$A:$A,'Investor Exit List'!$A524,Investors!$E:$E,'Investor Exit List'!$C524,Investors!$L:$L,'Investor Exit List'!$B524)-(SUMIFS(Investors!$S:$S,Investors!$I:$I,"&lt;="&amp;'NSST Print'!$B$3,Investors!$J:$J,"&gt;"&amp;'NSST Print'!$B$3,Investors!$A:$A,'Investor Exit List'!$A524,Investors!$E:$E,'Investor Exit List'!$C524,Investors!$L:$L,'Investor Exit List'!$B524)+SUMIFS(Investors!$S:$S,Investors!$I:$I,"&lt;="&amp;'NSST Print'!$B$3,Investors!$J:$J,"",Investors!$A:$A,'Investor Exit List'!$A524,Investors!$E:$E,'Investor Exit List'!$C524,Investors!$L:$L,'Investor Exit List'!$B524))</f>
        <v>227321.0640032877</v>
      </c>
      <c r="R524" s="117">
        <f t="shared" si="101"/>
        <v>227321.0640032877</v>
      </c>
      <c r="S524" s="117">
        <f>SUMIFS(Investors!$M:$M,Investors!$O:$O,TRUE,Investors!$A:$A,'Investor Exit List'!$A524,Investors!$E:$E,'Investor Exit List'!$C524,Investors!$L:$L,'Investor Exit List'!$B524)+SUMIFS(Investors!$S:$S,Investors!$O:$O,TRUE,Investors!$A:$A,'Investor Exit List'!$A524,Investors!$E:$E,'Investor Exit List'!$C524,Investors!$L:$L,'Investor Exit List'!$B524)</f>
        <v>0</v>
      </c>
      <c r="T524" s="118" t="str">
        <f t="shared" si="102"/>
        <v/>
      </c>
      <c r="U524" s="116" t="b">
        <v>0</v>
      </c>
      <c r="V524" s="117">
        <f t="shared" si="103"/>
        <v>0</v>
      </c>
      <c r="W524" s="116">
        <v>0</v>
      </c>
      <c r="X524" s="116" t="b">
        <v>0</v>
      </c>
      <c r="Y524" s="119">
        <f>IF(H524=FALSE,VLOOKUP($C524,Sales!$C:$F,4,FALSE),1)</f>
        <v>1</v>
      </c>
      <c r="Z524" s="116" t="str">
        <f t="shared" si="104"/>
        <v/>
      </c>
      <c r="AA524" s="118">
        <f t="shared" si="105"/>
        <v>45802</v>
      </c>
      <c r="AB524" s="118" t="str">
        <f t="shared" si="106"/>
        <v>HVO203-ZVAL01</v>
      </c>
      <c r="AC524" s="118">
        <f t="shared" si="107"/>
        <v>45859</v>
      </c>
    </row>
    <row r="525" spans="1:29" ht="16" x14ac:dyDescent="0.2">
      <c r="A525" s="116" t="s">
        <v>340</v>
      </c>
      <c r="B525" s="116">
        <v>4</v>
      </c>
      <c r="C525" s="116" t="s">
        <v>865</v>
      </c>
      <c r="D525" s="116" t="s">
        <v>854</v>
      </c>
      <c r="E525" s="116" t="s">
        <v>2103</v>
      </c>
      <c r="F525" s="117">
        <f>SUMIFS(Investors!$M:$M,Investors!$O:$O,FALSE,Investors!$P:$P,FALSE,Investors!$K:$K,"&gt;"&amp;'NSST Print'!$B$3,Investors!$I:$I,"&lt;="&amp;'NSST Print'!$B$3,Investors!$A:$A,'Investor Exit List'!$A525,Investors!$E:$E,'Investor Exit List'!$C525,Investors!$L:$L,'Investor Exit List'!$B525)-(SUMIFS(Investors!$M:$M,Investors!$I:$I,"&lt;="&amp;'NSST Print'!$B$3,Investors!$J:$J,"&gt;"&amp;'NSST Print'!$B$3,Investors!$A:$A,'Investor Exit List'!$A525,Investors!$E:$E,'Investor Exit List'!$C525,Investors!$L:$L,'Investor Exit List'!$B525)+SUMIFS(Investors!$M:$M,Investors!$I:$I,"&lt;="&amp;'NSST Print'!$B$3,Investors!$J:$J,"",Investors!$A:$A,'Investor Exit List'!$A525,Investors!$E:$E,'Investor Exit List'!$C525,Investors!$L:$L,'Investor Exit List'!$B525))</f>
        <v>586801.37</v>
      </c>
      <c r="G525" s="118">
        <v>45072</v>
      </c>
      <c r="H525" s="116" t="b">
        <f>VLOOKUP($C525,Sales!$C:$E,2,FALSE)</f>
        <v>1</v>
      </c>
      <c r="I525" s="116" t="b">
        <f>VLOOKUP($C525,Sales!$C:$E,3,FALSE)</f>
        <v>0</v>
      </c>
      <c r="J525" s="118">
        <f>SUMIFS(Sales!$H:$H,Sales!$C:$C,'Investor Exit List'!$C525)</f>
        <v>45518</v>
      </c>
      <c r="K525" s="118" t="str">
        <f t="shared" si="96"/>
        <v/>
      </c>
      <c r="L525" s="118">
        <f t="shared" si="97"/>
        <v>45802</v>
      </c>
      <c r="M525" s="118">
        <v>45443</v>
      </c>
      <c r="N525" s="119">
        <f t="shared" si="98"/>
        <v>359</v>
      </c>
      <c r="O525" s="119">
        <f t="shared" si="99"/>
        <v>0</v>
      </c>
      <c r="P525" s="117">
        <f t="shared" si="100"/>
        <v>0</v>
      </c>
      <c r="Q525" s="117">
        <f>SUMIFS(Investors!$M:$M,Investors!$O:$O,FALSE,Investors!$P:$P,FALSE,Investors!$K:$K,"&gt;"&amp;'NSST Print'!$B$3,Investors!$I:$I,"&lt;="&amp;'NSST Print'!$B$3,Investors!$A:$A,'Investor Exit List'!$A525,Investors!$E:$E,'Investor Exit List'!$C525,Investors!$L:$L,'Investor Exit List'!$B525)-(SUMIFS(Investors!$M:$M,Investors!$I:$I,"&lt;="&amp;'NSST Print'!$B$3,Investors!$J:$J,"&gt;"&amp;'NSST Print'!$B$3,Investors!$A:$A,'Investor Exit List'!$A525,Investors!$E:$E,'Investor Exit List'!$C525,Investors!$L:$L,'Investor Exit List'!$B525)+SUMIFS(Investors!$M:$M,Investors!$I:$I,"&lt;="&amp;'NSST Print'!$B$3,Investors!$J:$J,"",Investors!$A:$A,'Investor Exit List'!$A525,Investors!$E:$E,'Investor Exit List'!$C525,Investors!$L:$L,'Investor Exit List'!$B525))+SUMIFS(Investors!$S:$S,Investors!$O:$O,FALSE,Investors!$P:$P,FALSE,Investors!$K:$K,"&gt;"&amp;'NSST Print'!$B$3,Investors!$I:$I,"&lt;="&amp;'NSST Print'!$B$3,Investors!$A:$A,'Investor Exit List'!$A525,Investors!$E:$E,'Investor Exit List'!$C525,Investors!$L:$L,'Investor Exit List'!$B525)-(SUMIFS(Investors!$S:$S,Investors!$I:$I,"&lt;="&amp;'NSST Print'!$B$3,Investors!$J:$J,"&gt;"&amp;'NSST Print'!$B$3,Investors!$A:$A,'Investor Exit List'!$A525,Investors!$E:$E,'Investor Exit List'!$C525,Investors!$L:$L,'Investor Exit List'!$B525)+SUMIFS(Investors!$S:$S,Investors!$I:$I,"&lt;="&amp;'NSST Print'!$B$3,Investors!$J:$J,"",Investors!$A:$A,'Investor Exit List'!$A525,Investors!$E:$E,'Investor Exit List'!$C525,Investors!$L:$L,'Investor Exit List'!$B525))</f>
        <v>733678.55674849311</v>
      </c>
      <c r="R525" s="117">
        <f t="shared" si="101"/>
        <v>733678.55674849311</v>
      </c>
      <c r="S525" s="117">
        <f>SUMIFS(Investors!$M:$M,Investors!$O:$O,TRUE,Investors!$A:$A,'Investor Exit List'!$A525,Investors!$E:$E,'Investor Exit List'!$C525,Investors!$L:$L,'Investor Exit List'!$B525)+SUMIFS(Investors!$S:$S,Investors!$O:$O,TRUE,Investors!$A:$A,'Investor Exit List'!$A525,Investors!$E:$E,'Investor Exit List'!$C525,Investors!$L:$L,'Investor Exit List'!$B525)</f>
        <v>0</v>
      </c>
      <c r="T525" s="118" t="str">
        <f t="shared" si="102"/>
        <v/>
      </c>
      <c r="U525" s="116" t="b">
        <v>0</v>
      </c>
      <c r="V525" s="117">
        <f t="shared" si="103"/>
        <v>0</v>
      </c>
      <c r="W525" s="116">
        <v>0</v>
      </c>
      <c r="X525" s="116" t="b">
        <v>0</v>
      </c>
      <c r="Y525" s="119">
        <f>IF(H525=FALSE,VLOOKUP($C525,Sales!$C:$F,4,FALSE),1)</f>
        <v>1</v>
      </c>
      <c r="Z525" s="116" t="str">
        <f t="shared" si="104"/>
        <v/>
      </c>
      <c r="AA525" s="118">
        <f t="shared" si="105"/>
        <v>45802</v>
      </c>
      <c r="AB525" s="118" t="str">
        <f t="shared" si="106"/>
        <v>HVO204-ZLAB01</v>
      </c>
      <c r="AC525" s="118">
        <f t="shared" si="107"/>
        <v>45802</v>
      </c>
    </row>
    <row r="526" spans="1:29" ht="16" x14ac:dyDescent="0.2">
      <c r="A526" s="116" t="s">
        <v>247</v>
      </c>
      <c r="B526" s="116">
        <v>2</v>
      </c>
      <c r="C526" s="116" t="s">
        <v>865</v>
      </c>
      <c r="D526" s="116" t="s">
        <v>854</v>
      </c>
      <c r="E526" s="116" t="s">
        <v>2077</v>
      </c>
      <c r="F526" s="117">
        <f>SUMIFS(Investors!$M:$M,Investors!$O:$O,FALSE,Investors!$P:$P,FALSE,Investors!$K:$K,"&gt;"&amp;'NSST Print'!$B$3,Investors!$I:$I,"&lt;="&amp;'NSST Print'!$B$3,Investors!$A:$A,'Investor Exit List'!$A526,Investors!$E:$E,'Investor Exit List'!$C526,Investors!$L:$L,'Investor Exit List'!$B526)-(SUMIFS(Investors!$M:$M,Investors!$I:$I,"&lt;="&amp;'NSST Print'!$B$3,Investors!$J:$J,"&gt;"&amp;'NSST Print'!$B$3,Investors!$A:$A,'Investor Exit List'!$A526,Investors!$E:$E,'Investor Exit List'!$C526,Investors!$L:$L,'Investor Exit List'!$B526)+SUMIFS(Investors!$M:$M,Investors!$I:$I,"&lt;="&amp;'NSST Print'!$B$3,Investors!$J:$J,"",Investors!$A:$A,'Investor Exit List'!$A526,Investors!$E:$E,'Investor Exit List'!$C526,Investors!$L:$L,'Investor Exit List'!$B526))</f>
        <v>504150.68</v>
      </c>
      <c r="G526" s="118">
        <v>45072</v>
      </c>
      <c r="H526" s="116" t="b">
        <f>VLOOKUP($C526,Sales!$C:$E,2,FALSE)</f>
        <v>1</v>
      </c>
      <c r="I526" s="116" t="b">
        <f>VLOOKUP($C526,Sales!$C:$E,3,FALSE)</f>
        <v>0</v>
      </c>
      <c r="J526" s="118">
        <f>SUMIFS(Sales!$H:$H,Sales!$C:$C,'Investor Exit List'!$C526)</f>
        <v>45518</v>
      </c>
      <c r="K526" s="118" t="str">
        <f t="shared" si="96"/>
        <v/>
      </c>
      <c r="L526" s="118">
        <f t="shared" si="97"/>
        <v>45802</v>
      </c>
      <c r="M526" s="118">
        <v>45443</v>
      </c>
      <c r="N526" s="119">
        <f t="shared" si="98"/>
        <v>359</v>
      </c>
      <c r="O526" s="119">
        <f t="shared" si="99"/>
        <v>0</v>
      </c>
      <c r="P526" s="117">
        <f t="shared" si="100"/>
        <v>0</v>
      </c>
      <c r="Q526" s="117">
        <f>SUMIFS(Investors!$M:$M,Investors!$O:$O,FALSE,Investors!$P:$P,FALSE,Investors!$K:$K,"&gt;"&amp;'NSST Print'!$B$3,Investors!$I:$I,"&lt;="&amp;'NSST Print'!$B$3,Investors!$A:$A,'Investor Exit List'!$A526,Investors!$E:$E,'Investor Exit List'!$C526,Investors!$L:$L,'Investor Exit List'!$B526)-(SUMIFS(Investors!$M:$M,Investors!$I:$I,"&lt;="&amp;'NSST Print'!$B$3,Investors!$J:$J,"&gt;"&amp;'NSST Print'!$B$3,Investors!$A:$A,'Investor Exit List'!$A526,Investors!$E:$E,'Investor Exit List'!$C526,Investors!$L:$L,'Investor Exit List'!$B526)+SUMIFS(Investors!$M:$M,Investors!$I:$I,"&lt;="&amp;'NSST Print'!$B$3,Investors!$J:$J,"",Investors!$A:$A,'Investor Exit List'!$A526,Investors!$E:$E,'Investor Exit List'!$C526,Investors!$L:$L,'Investor Exit List'!$B526))+SUMIFS(Investors!$S:$S,Investors!$O:$O,FALSE,Investors!$P:$P,FALSE,Investors!$K:$K,"&gt;"&amp;'NSST Print'!$B$3,Investors!$I:$I,"&lt;="&amp;'NSST Print'!$B$3,Investors!$A:$A,'Investor Exit List'!$A526,Investors!$E:$E,'Investor Exit List'!$C526,Investors!$L:$L,'Investor Exit List'!$B526)-(SUMIFS(Investors!$S:$S,Investors!$I:$I,"&lt;="&amp;'NSST Print'!$B$3,Investors!$J:$J,"&gt;"&amp;'NSST Print'!$B$3,Investors!$A:$A,'Investor Exit List'!$A526,Investors!$E:$E,'Investor Exit List'!$C526,Investors!$L:$L,'Investor Exit List'!$B526)+SUMIFS(Investors!$S:$S,Investors!$I:$I,"&lt;="&amp;'NSST Print'!$B$3,Investors!$J:$J,"",Investors!$A:$A,'Investor Exit List'!$A526,Investors!$E:$E,'Investor Exit List'!$C526,Investors!$L:$L,'Investor Exit List'!$B526))</f>
        <v>618019.67194301367</v>
      </c>
      <c r="R526" s="117">
        <f t="shared" si="101"/>
        <v>618019.67194301367</v>
      </c>
      <c r="S526" s="117">
        <f>SUMIFS(Investors!$M:$M,Investors!$O:$O,TRUE,Investors!$A:$A,'Investor Exit List'!$A526,Investors!$E:$E,'Investor Exit List'!$C526,Investors!$L:$L,'Investor Exit List'!$B526)+SUMIFS(Investors!$S:$S,Investors!$O:$O,TRUE,Investors!$A:$A,'Investor Exit List'!$A526,Investors!$E:$E,'Investor Exit List'!$C526,Investors!$L:$L,'Investor Exit List'!$B526)</f>
        <v>0</v>
      </c>
      <c r="T526" s="118" t="str">
        <f t="shared" si="102"/>
        <v/>
      </c>
      <c r="U526" s="116" t="b">
        <v>0</v>
      </c>
      <c r="V526" s="117">
        <f t="shared" si="103"/>
        <v>0</v>
      </c>
      <c r="W526" s="116">
        <v>0</v>
      </c>
      <c r="X526" s="116" t="b">
        <v>0</v>
      </c>
      <c r="Y526" s="119">
        <f>IF(H526=FALSE,VLOOKUP($C526,Sales!$C:$F,4,FALSE),1)</f>
        <v>1</v>
      </c>
      <c r="Z526" s="116" t="str">
        <f t="shared" si="104"/>
        <v/>
      </c>
      <c r="AA526" s="118">
        <f t="shared" si="105"/>
        <v>45802</v>
      </c>
      <c r="AB526" s="118" t="str">
        <f t="shared" si="106"/>
        <v>HVO204-ZTSO01</v>
      </c>
      <c r="AC526" s="118">
        <f t="shared" si="107"/>
        <v>45802</v>
      </c>
    </row>
    <row r="527" spans="1:29" ht="16" x14ac:dyDescent="0.2">
      <c r="A527" s="116" t="s">
        <v>336</v>
      </c>
      <c r="B527" s="116">
        <v>2</v>
      </c>
      <c r="C527" s="116" t="s">
        <v>866</v>
      </c>
      <c r="D527" s="116" t="s">
        <v>854</v>
      </c>
      <c r="E527" s="116" t="s">
        <v>2102</v>
      </c>
      <c r="F527" s="117">
        <f>SUMIFS(Investors!$M:$M,Investors!$O:$O,FALSE,Investors!$P:$P,FALSE,Investors!$K:$K,"&gt;"&amp;'NSST Print'!$B$3,Investors!$I:$I,"&lt;="&amp;'NSST Print'!$B$3,Investors!$A:$A,'Investor Exit List'!$A527,Investors!$E:$E,'Investor Exit List'!$C527,Investors!$L:$L,'Investor Exit List'!$B527)-(SUMIFS(Investors!$M:$M,Investors!$I:$I,"&lt;="&amp;'NSST Print'!$B$3,Investors!$J:$J,"&gt;"&amp;'NSST Print'!$B$3,Investors!$A:$A,'Investor Exit List'!$A527,Investors!$E:$E,'Investor Exit List'!$C527,Investors!$L:$L,'Investor Exit List'!$B527)+SUMIFS(Investors!$M:$M,Investors!$I:$I,"&lt;="&amp;'NSST Print'!$B$3,Investors!$J:$J,"",Investors!$A:$A,'Investor Exit List'!$A527,Investors!$E:$E,'Investor Exit List'!$C527,Investors!$L:$L,'Investor Exit List'!$B527))</f>
        <v>1000000</v>
      </c>
      <c r="G527" s="118">
        <v>45072</v>
      </c>
      <c r="H527" s="116" t="b">
        <f>VLOOKUP($C527,Sales!$C:$E,2,FALSE)</f>
        <v>0</v>
      </c>
      <c r="I527" s="116" t="b">
        <f>VLOOKUP($C527,Sales!$C:$E,3,FALSE)</f>
        <v>0</v>
      </c>
      <c r="J527" s="118">
        <f>SUMIFS(Sales!$H:$H,Sales!$C:$C,'Investor Exit List'!$C527)</f>
        <v>45518</v>
      </c>
      <c r="K527" s="118" t="str">
        <f t="shared" si="96"/>
        <v/>
      </c>
      <c r="L527" s="118">
        <f t="shared" si="97"/>
        <v>45802</v>
      </c>
      <c r="M527" s="118">
        <v>45443</v>
      </c>
      <c r="N527" s="119">
        <f t="shared" si="98"/>
        <v>359</v>
      </c>
      <c r="O527" s="119">
        <f t="shared" si="99"/>
        <v>0</v>
      </c>
      <c r="P527" s="117">
        <f t="shared" si="100"/>
        <v>0</v>
      </c>
      <c r="Q527" s="117">
        <f>SUMIFS(Investors!$M:$M,Investors!$O:$O,FALSE,Investors!$P:$P,FALSE,Investors!$K:$K,"&gt;"&amp;'NSST Print'!$B$3,Investors!$I:$I,"&lt;="&amp;'NSST Print'!$B$3,Investors!$A:$A,'Investor Exit List'!$A527,Investors!$E:$E,'Investor Exit List'!$C527,Investors!$L:$L,'Investor Exit List'!$B527)-(SUMIFS(Investors!$M:$M,Investors!$I:$I,"&lt;="&amp;'NSST Print'!$B$3,Investors!$J:$J,"&gt;"&amp;'NSST Print'!$B$3,Investors!$A:$A,'Investor Exit List'!$A527,Investors!$E:$E,'Investor Exit List'!$C527,Investors!$L:$L,'Investor Exit List'!$B527)+SUMIFS(Investors!$M:$M,Investors!$I:$I,"&lt;="&amp;'NSST Print'!$B$3,Investors!$J:$J,"",Investors!$A:$A,'Investor Exit List'!$A527,Investors!$E:$E,'Investor Exit List'!$C527,Investors!$L:$L,'Investor Exit List'!$B527))+SUMIFS(Investors!$S:$S,Investors!$O:$O,FALSE,Investors!$P:$P,FALSE,Investors!$K:$K,"&gt;"&amp;'NSST Print'!$B$3,Investors!$I:$I,"&lt;="&amp;'NSST Print'!$B$3,Investors!$A:$A,'Investor Exit List'!$A527,Investors!$E:$E,'Investor Exit List'!$C527,Investors!$L:$L,'Investor Exit List'!$B527)-(SUMIFS(Investors!$S:$S,Investors!$I:$I,"&lt;="&amp;'NSST Print'!$B$3,Investors!$J:$J,"&gt;"&amp;'NSST Print'!$B$3,Investors!$A:$A,'Investor Exit List'!$A527,Investors!$E:$E,'Investor Exit List'!$C527,Investors!$L:$L,'Investor Exit List'!$B527)+SUMIFS(Investors!$S:$S,Investors!$I:$I,"&lt;="&amp;'NSST Print'!$B$3,Investors!$J:$J,"",Investors!$A:$A,'Investor Exit List'!$A527,Investors!$E:$E,'Investor Exit List'!$C527,Investors!$L:$L,'Investor Exit List'!$B527))</f>
        <v>1264712.3287671234</v>
      </c>
      <c r="R527" s="117">
        <f t="shared" si="101"/>
        <v>0</v>
      </c>
      <c r="S527" s="117">
        <f>SUMIFS(Investors!$M:$M,Investors!$O:$O,TRUE,Investors!$A:$A,'Investor Exit List'!$A527,Investors!$E:$E,'Investor Exit List'!$C527,Investors!$L:$L,'Investor Exit List'!$B527)+SUMIFS(Investors!$S:$S,Investors!$O:$O,TRUE,Investors!$A:$A,'Investor Exit List'!$A527,Investors!$E:$E,'Investor Exit List'!$C527,Investors!$L:$L,'Investor Exit List'!$B527)</f>
        <v>0</v>
      </c>
      <c r="T527" s="118" t="str">
        <f t="shared" si="102"/>
        <v/>
      </c>
      <c r="U527" s="116" t="b">
        <v>0</v>
      </c>
      <c r="V527" s="117">
        <f t="shared" si="103"/>
        <v>0</v>
      </c>
      <c r="W527" s="116">
        <v>0</v>
      </c>
      <c r="X527" s="116" t="b">
        <v>0</v>
      </c>
      <c r="Y527" s="119">
        <f>IF(H527=FALSE,VLOOKUP($C527,Sales!$C:$F,4,FALSE),1)</f>
        <v>0</v>
      </c>
      <c r="Z527" s="116" t="str">
        <f t="shared" si="104"/>
        <v>Release</v>
      </c>
      <c r="AA527" s="118">
        <f t="shared" si="105"/>
        <v>45802</v>
      </c>
      <c r="AB527" s="118" t="str">
        <f t="shared" si="106"/>
        <v>HVO205-ZKUS04</v>
      </c>
      <c r="AC527" s="118">
        <f t="shared" si="107"/>
        <v>45802</v>
      </c>
    </row>
    <row r="528" spans="1:29" ht="16" x14ac:dyDescent="0.2">
      <c r="A528" s="116" t="s">
        <v>452</v>
      </c>
      <c r="B528" s="116">
        <v>2</v>
      </c>
      <c r="C528" s="116" t="s">
        <v>866</v>
      </c>
      <c r="D528" s="116" t="s">
        <v>854</v>
      </c>
      <c r="E528" s="116" t="s">
        <v>2133</v>
      </c>
      <c r="F528" s="117">
        <f>SUMIFS(Investors!$M:$M,Investors!$O:$O,FALSE,Investors!$P:$P,FALSE,Investors!$K:$K,"&gt;"&amp;'NSST Print'!$B$3,Investors!$I:$I,"&lt;="&amp;'NSST Print'!$B$3,Investors!$A:$A,'Investor Exit List'!$A528,Investors!$E:$E,'Investor Exit List'!$C528,Investors!$L:$L,'Investor Exit List'!$B528)-(SUMIFS(Investors!$M:$M,Investors!$I:$I,"&lt;="&amp;'NSST Print'!$B$3,Investors!$J:$J,"&gt;"&amp;'NSST Print'!$B$3,Investors!$A:$A,'Investor Exit List'!$A528,Investors!$E:$E,'Investor Exit List'!$C528,Investors!$L:$L,'Investor Exit List'!$B528)+SUMIFS(Investors!$M:$M,Investors!$I:$I,"&lt;="&amp;'NSST Print'!$B$3,Investors!$J:$J,"",Investors!$A:$A,'Investor Exit List'!$A528,Investors!$E:$E,'Investor Exit List'!$C528,Investors!$L:$L,'Investor Exit List'!$B528))</f>
        <v>100000</v>
      </c>
      <c r="G528" s="118">
        <v>45072</v>
      </c>
      <c r="H528" s="116" t="b">
        <f>VLOOKUP($C528,Sales!$C:$E,2,FALSE)</f>
        <v>0</v>
      </c>
      <c r="I528" s="116" t="b">
        <f>VLOOKUP($C528,Sales!$C:$E,3,FALSE)</f>
        <v>0</v>
      </c>
      <c r="J528" s="118">
        <f>SUMIFS(Sales!$H:$H,Sales!$C:$C,'Investor Exit List'!$C528)</f>
        <v>45518</v>
      </c>
      <c r="K528" s="118" t="str">
        <f t="shared" si="96"/>
        <v/>
      </c>
      <c r="L528" s="118">
        <f t="shared" si="97"/>
        <v>45802</v>
      </c>
      <c r="M528" s="118">
        <v>45443</v>
      </c>
      <c r="N528" s="119">
        <f t="shared" si="98"/>
        <v>359</v>
      </c>
      <c r="O528" s="119">
        <f t="shared" si="99"/>
        <v>0</v>
      </c>
      <c r="P528" s="117">
        <f t="shared" si="100"/>
        <v>0</v>
      </c>
      <c r="Q528" s="117">
        <f>SUMIFS(Investors!$M:$M,Investors!$O:$O,FALSE,Investors!$P:$P,FALSE,Investors!$K:$K,"&gt;"&amp;'NSST Print'!$B$3,Investors!$I:$I,"&lt;="&amp;'NSST Print'!$B$3,Investors!$A:$A,'Investor Exit List'!$A528,Investors!$E:$E,'Investor Exit List'!$C528,Investors!$L:$L,'Investor Exit List'!$B528)-(SUMIFS(Investors!$M:$M,Investors!$I:$I,"&lt;="&amp;'NSST Print'!$B$3,Investors!$J:$J,"&gt;"&amp;'NSST Print'!$B$3,Investors!$A:$A,'Investor Exit List'!$A528,Investors!$E:$E,'Investor Exit List'!$C528,Investors!$L:$L,'Investor Exit List'!$B528)+SUMIFS(Investors!$M:$M,Investors!$I:$I,"&lt;="&amp;'NSST Print'!$B$3,Investors!$J:$J,"",Investors!$A:$A,'Investor Exit List'!$A528,Investors!$E:$E,'Investor Exit List'!$C528,Investors!$L:$L,'Investor Exit List'!$B528))+SUMIFS(Investors!$S:$S,Investors!$O:$O,FALSE,Investors!$P:$P,FALSE,Investors!$K:$K,"&gt;"&amp;'NSST Print'!$B$3,Investors!$I:$I,"&lt;="&amp;'NSST Print'!$B$3,Investors!$A:$A,'Investor Exit List'!$A528,Investors!$E:$E,'Investor Exit List'!$C528,Investors!$L:$L,'Investor Exit List'!$B528)-(SUMIFS(Investors!$S:$S,Investors!$I:$I,"&lt;="&amp;'NSST Print'!$B$3,Investors!$J:$J,"&gt;"&amp;'NSST Print'!$B$3,Investors!$A:$A,'Investor Exit List'!$A528,Investors!$E:$E,'Investor Exit List'!$C528,Investors!$L:$L,'Investor Exit List'!$B528)+SUMIFS(Investors!$S:$S,Investors!$I:$I,"&lt;="&amp;'NSST Print'!$B$3,Investors!$J:$J,"",Investors!$A:$A,'Investor Exit List'!$A528,Investors!$E:$E,'Investor Exit List'!$C528,Investors!$L:$L,'Investor Exit List'!$B528))</f>
        <v>126115.0684931507</v>
      </c>
      <c r="R528" s="117">
        <f t="shared" si="101"/>
        <v>0</v>
      </c>
      <c r="S528" s="117">
        <f>SUMIFS(Investors!$M:$M,Investors!$O:$O,TRUE,Investors!$A:$A,'Investor Exit List'!$A528,Investors!$E:$E,'Investor Exit List'!$C528,Investors!$L:$L,'Investor Exit List'!$B528)+SUMIFS(Investors!$S:$S,Investors!$O:$O,TRUE,Investors!$A:$A,'Investor Exit List'!$A528,Investors!$E:$E,'Investor Exit List'!$C528,Investors!$L:$L,'Investor Exit List'!$B528)</f>
        <v>0</v>
      </c>
      <c r="T528" s="118" t="str">
        <f t="shared" si="102"/>
        <v/>
      </c>
      <c r="U528" s="116" t="b">
        <v>0</v>
      </c>
      <c r="V528" s="117">
        <f t="shared" si="103"/>
        <v>0</v>
      </c>
      <c r="W528" s="116">
        <v>0</v>
      </c>
      <c r="X528" s="116" t="b">
        <v>0</v>
      </c>
      <c r="Y528" s="119">
        <f>IF(H528=FALSE,VLOOKUP($C528,Sales!$C:$F,4,FALSE),1)</f>
        <v>0</v>
      </c>
      <c r="Z528" s="116" t="str">
        <f t="shared" si="104"/>
        <v>Release</v>
      </c>
      <c r="AA528" s="118">
        <f t="shared" si="105"/>
        <v>45802</v>
      </c>
      <c r="AB528" s="118" t="str">
        <f t="shared" si="106"/>
        <v>HVO205-ZVAN10</v>
      </c>
      <c r="AC528" s="118">
        <f t="shared" si="107"/>
        <v>45802</v>
      </c>
    </row>
    <row r="529" spans="1:29" ht="16" x14ac:dyDescent="0.2">
      <c r="A529" s="116" t="s">
        <v>867</v>
      </c>
      <c r="B529" s="116">
        <v>1</v>
      </c>
      <c r="C529" s="116" t="s">
        <v>869</v>
      </c>
      <c r="D529" s="116" t="s">
        <v>854</v>
      </c>
      <c r="E529" s="116" t="s">
        <v>2225</v>
      </c>
      <c r="F529" s="117">
        <f>SUMIFS(Investors!$M:$M,Investors!$O:$O,FALSE,Investors!$P:$P,FALSE,Investors!$K:$K,"&gt;"&amp;'NSST Print'!$B$3,Investors!$I:$I,"&lt;="&amp;'NSST Print'!$B$3,Investors!$A:$A,'Investor Exit List'!$A529,Investors!$E:$E,'Investor Exit List'!$C529,Investors!$L:$L,'Investor Exit List'!$B529)-(SUMIFS(Investors!$M:$M,Investors!$I:$I,"&lt;="&amp;'NSST Print'!$B$3,Investors!$J:$J,"&gt;"&amp;'NSST Print'!$B$3,Investors!$A:$A,'Investor Exit List'!$A529,Investors!$E:$E,'Investor Exit List'!$C529,Investors!$L:$L,'Investor Exit List'!$B529)+SUMIFS(Investors!$M:$M,Investors!$I:$I,"&lt;="&amp;'NSST Print'!$B$3,Investors!$J:$J,"",Investors!$A:$A,'Investor Exit List'!$A529,Investors!$E:$E,'Investor Exit List'!$C529,Investors!$L:$L,'Investor Exit List'!$B529))</f>
        <v>600000</v>
      </c>
      <c r="G529" s="118">
        <v>45107</v>
      </c>
      <c r="H529" s="116" t="b">
        <f>VLOOKUP($C529,Sales!$C:$E,2,FALSE)</f>
        <v>1</v>
      </c>
      <c r="I529" s="116" t="b">
        <f>VLOOKUP($C529,Sales!$C:$E,3,FALSE)</f>
        <v>0</v>
      </c>
      <c r="J529" s="118">
        <f>SUMIFS(Sales!$H:$H,Sales!$C:$C,'Investor Exit List'!$C529)</f>
        <v>45518</v>
      </c>
      <c r="K529" s="118" t="str">
        <f t="shared" si="96"/>
        <v/>
      </c>
      <c r="L529" s="118">
        <f t="shared" si="97"/>
        <v>45837</v>
      </c>
      <c r="M529" s="118">
        <v>45443</v>
      </c>
      <c r="N529" s="119">
        <f t="shared" si="98"/>
        <v>394</v>
      </c>
      <c r="O529" s="119">
        <f t="shared" si="99"/>
        <v>0</v>
      </c>
      <c r="P529" s="117">
        <f t="shared" si="100"/>
        <v>0</v>
      </c>
      <c r="Q529" s="117">
        <f>SUMIFS(Investors!$M:$M,Investors!$O:$O,FALSE,Investors!$P:$P,FALSE,Investors!$K:$K,"&gt;"&amp;'NSST Print'!$B$3,Investors!$I:$I,"&lt;="&amp;'NSST Print'!$B$3,Investors!$A:$A,'Investor Exit List'!$A529,Investors!$E:$E,'Investor Exit List'!$C529,Investors!$L:$L,'Investor Exit List'!$B529)-(SUMIFS(Investors!$M:$M,Investors!$I:$I,"&lt;="&amp;'NSST Print'!$B$3,Investors!$J:$J,"&gt;"&amp;'NSST Print'!$B$3,Investors!$A:$A,'Investor Exit List'!$A529,Investors!$E:$E,'Investor Exit List'!$C529,Investors!$L:$L,'Investor Exit List'!$B529)+SUMIFS(Investors!$M:$M,Investors!$I:$I,"&lt;="&amp;'NSST Print'!$B$3,Investors!$J:$J,"",Investors!$A:$A,'Investor Exit List'!$A529,Investors!$E:$E,'Investor Exit List'!$C529,Investors!$L:$L,'Investor Exit List'!$B529))+SUMIFS(Investors!$S:$S,Investors!$O:$O,FALSE,Investors!$P:$P,FALSE,Investors!$K:$K,"&gt;"&amp;'NSST Print'!$B$3,Investors!$I:$I,"&lt;="&amp;'NSST Print'!$B$3,Investors!$A:$A,'Investor Exit List'!$A529,Investors!$E:$E,'Investor Exit List'!$C529,Investors!$L:$L,'Investor Exit List'!$B529)-(SUMIFS(Investors!$S:$S,Investors!$I:$I,"&lt;="&amp;'NSST Print'!$B$3,Investors!$J:$J,"&gt;"&amp;'NSST Print'!$B$3,Investors!$A:$A,'Investor Exit List'!$A529,Investors!$E:$E,'Investor Exit List'!$C529,Investors!$L:$L,'Investor Exit List'!$B529)+SUMIFS(Investors!$S:$S,Investors!$I:$I,"&lt;="&amp;'NSST Print'!$B$3,Investors!$J:$J,"",Investors!$A:$A,'Investor Exit List'!$A529,Investors!$E:$E,'Investor Exit List'!$C529,Investors!$L:$L,'Investor Exit List'!$B529))</f>
        <v>748775.34246575343</v>
      </c>
      <c r="R529" s="117">
        <f t="shared" si="101"/>
        <v>748775.34246575343</v>
      </c>
      <c r="S529" s="117">
        <f>SUMIFS(Investors!$M:$M,Investors!$O:$O,TRUE,Investors!$A:$A,'Investor Exit List'!$A529,Investors!$E:$E,'Investor Exit List'!$C529,Investors!$L:$L,'Investor Exit List'!$B529)+SUMIFS(Investors!$S:$S,Investors!$O:$O,TRUE,Investors!$A:$A,'Investor Exit List'!$A529,Investors!$E:$E,'Investor Exit List'!$C529,Investors!$L:$L,'Investor Exit List'!$B529)</f>
        <v>0</v>
      </c>
      <c r="T529" s="118" t="str">
        <f t="shared" si="102"/>
        <v/>
      </c>
      <c r="U529" s="116" t="b">
        <v>0</v>
      </c>
      <c r="V529" s="117">
        <f t="shared" si="103"/>
        <v>0</v>
      </c>
      <c r="W529" s="116">
        <v>0</v>
      </c>
      <c r="X529" s="116" t="b">
        <v>0</v>
      </c>
      <c r="Y529" s="119">
        <f>IF(H529=FALSE,VLOOKUP($C529,Sales!$C:$F,4,FALSE),1)</f>
        <v>1</v>
      </c>
      <c r="Z529" s="116" t="str">
        <f t="shared" si="104"/>
        <v/>
      </c>
      <c r="AA529" s="118">
        <f t="shared" si="105"/>
        <v>45837</v>
      </c>
      <c r="AB529" s="118" t="str">
        <f t="shared" si="106"/>
        <v>HVO301-ZDEV02</v>
      </c>
      <c r="AC529" s="118">
        <f t="shared" si="107"/>
        <v>45837</v>
      </c>
    </row>
    <row r="530" spans="1:29" ht="16" x14ac:dyDescent="0.2">
      <c r="A530" s="116" t="s">
        <v>366</v>
      </c>
      <c r="B530" s="116">
        <v>3</v>
      </c>
      <c r="C530" s="116" t="s">
        <v>869</v>
      </c>
      <c r="D530" s="116" t="s">
        <v>854</v>
      </c>
      <c r="E530" s="116" t="s">
        <v>2110</v>
      </c>
      <c r="F530" s="117">
        <f>SUMIFS(Investors!$M:$M,Investors!$O:$O,FALSE,Investors!$P:$P,FALSE,Investors!$K:$K,"&gt;"&amp;'NSST Print'!$B$3,Investors!$I:$I,"&lt;="&amp;'NSST Print'!$B$3,Investors!$A:$A,'Investor Exit List'!$A530,Investors!$E:$E,'Investor Exit List'!$C530,Investors!$L:$L,'Investor Exit List'!$B530)-(SUMIFS(Investors!$M:$M,Investors!$I:$I,"&lt;="&amp;'NSST Print'!$B$3,Investors!$J:$J,"&gt;"&amp;'NSST Print'!$B$3,Investors!$A:$A,'Investor Exit List'!$A530,Investors!$E:$E,'Investor Exit List'!$C530,Investors!$L:$L,'Investor Exit List'!$B530)+SUMIFS(Investors!$M:$M,Investors!$I:$I,"&lt;="&amp;'NSST Print'!$B$3,Investors!$J:$J,"",Investors!$A:$A,'Investor Exit List'!$A530,Investors!$E:$E,'Investor Exit List'!$C530,Investors!$L:$L,'Investor Exit List'!$B530))</f>
        <v>101260.27</v>
      </c>
      <c r="G530" s="118">
        <v>45129</v>
      </c>
      <c r="H530" s="116" t="b">
        <f>VLOOKUP($C530,Sales!$C:$E,2,FALSE)</f>
        <v>1</v>
      </c>
      <c r="I530" s="116" t="b">
        <f>VLOOKUP($C530,Sales!$C:$E,3,FALSE)</f>
        <v>0</v>
      </c>
      <c r="J530" s="118">
        <f>SUMIFS(Sales!$H:$H,Sales!$C:$C,'Investor Exit List'!$C530)</f>
        <v>45518</v>
      </c>
      <c r="K530" s="118" t="str">
        <f t="shared" si="96"/>
        <v/>
      </c>
      <c r="L530" s="118">
        <f t="shared" si="97"/>
        <v>45859</v>
      </c>
      <c r="M530" s="118">
        <v>45443</v>
      </c>
      <c r="N530" s="119">
        <f t="shared" si="98"/>
        <v>416</v>
      </c>
      <c r="O530" s="119">
        <f t="shared" si="99"/>
        <v>0</v>
      </c>
      <c r="P530" s="117">
        <f t="shared" si="100"/>
        <v>0</v>
      </c>
      <c r="Q530" s="117">
        <f>SUMIFS(Investors!$M:$M,Investors!$O:$O,FALSE,Investors!$P:$P,FALSE,Investors!$K:$K,"&gt;"&amp;'NSST Print'!$B$3,Investors!$I:$I,"&lt;="&amp;'NSST Print'!$B$3,Investors!$A:$A,'Investor Exit List'!$A530,Investors!$E:$E,'Investor Exit List'!$C530,Investors!$L:$L,'Investor Exit List'!$B530)-(SUMIFS(Investors!$M:$M,Investors!$I:$I,"&lt;="&amp;'NSST Print'!$B$3,Investors!$J:$J,"&gt;"&amp;'NSST Print'!$B$3,Investors!$A:$A,'Investor Exit List'!$A530,Investors!$E:$E,'Investor Exit List'!$C530,Investors!$L:$L,'Investor Exit List'!$B530)+SUMIFS(Investors!$M:$M,Investors!$I:$I,"&lt;="&amp;'NSST Print'!$B$3,Investors!$J:$J,"",Investors!$A:$A,'Investor Exit List'!$A530,Investors!$E:$E,'Investor Exit List'!$C530,Investors!$L:$L,'Investor Exit List'!$B530))+SUMIFS(Investors!$S:$S,Investors!$O:$O,FALSE,Investors!$P:$P,FALSE,Investors!$K:$K,"&gt;"&amp;'NSST Print'!$B$3,Investors!$I:$I,"&lt;="&amp;'NSST Print'!$B$3,Investors!$A:$A,'Investor Exit List'!$A530,Investors!$E:$E,'Investor Exit List'!$C530,Investors!$L:$L,'Investor Exit List'!$B530)-(SUMIFS(Investors!$S:$S,Investors!$I:$I,"&lt;="&amp;'NSST Print'!$B$3,Investors!$J:$J,"&gt;"&amp;'NSST Print'!$B$3,Investors!$A:$A,'Investor Exit List'!$A530,Investors!$E:$E,'Investor Exit List'!$C530,Investors!$L:$L,'Investor Exit List'!$B530)+SUMIFS(Investors!$S:$S,Investors!$I:$I,"&lt;="&amp;'NSST Print'!$B$3,Investors!$J:$J,"",Investors!$A:$A,'Investor Exit List'!$A530,Investors!$E:$E,'Investor Exit List'!$C530,Investors!$L:$L,'Investor Exit List'!$B530))</f>
        <v>124661.10225890411</v>
      </c>
      <c r="R530" s="117">
        <f t="shared" si="101"/>
        <v>124661.10225890411</v>
      </c>
      <c r="S530" s="117">
        <f>SUMIFS(Investors!$M:$M,Investors!$O:$O,TRUE,Investors!$A:$A,'Investor Exit List'!$A530,Investors!$E:$E,'Investor Exit List'!$C530,Investors!$L:$L,'Investor Exit List'!$B530)+SUMIFS(Investors!$S:$S,Investors!$O:$O,TRUE,Investors!$A:$A,'Investor Exit List'!$A530,Investors!$E:$E,'Investor Exit List'!$C530,Investors!$L:$L,'Investor Exit List'!$B530)</f>
        <v>0</v>
      </c>
      <c r="T530" s="118" t="str">
        <f t="shared" si="102"/>
        <v/>
      </c>
      <c r="U530" s="116" t="b">
        <v>0</v>
      </c>
      <c r="V530" s="117">
        <f t="shared" si="103"/>
        <v>0</v>
      </c>
      <c r="W530" s="116">
        <v>0</v>
      </c>
      <c r="X530" s="116" t="b">
        <v>0</v>
      </c>
      <c r="Y530" s="119">
        <f>IF(H530=FALSE,VLOOKUP($C530,Sales!$C:$F,4,FALSE),1)</f>
        <v>1</v>
      </c>
      <c r="Z530" s="116" t="str">
        <f t="shared" si="104"/>
        <v/>
      </c>
      <c r="AA530" s="118">
        <f t="shared" si="105"/>
        <v>45837</v>
      </c>
      <c r="AB530" s="118" t="str">
        <f t="shared" si="106"/>
        <v>HVO301-ZGOF01</v>
      </c>
      <c r="AC530" s="118">
        <f t="shared" si="107"/>
        <v>45859</v>
      </c>
    </row>
    <row r="531" spans="1:29" ht="16" x14ac:dyDescent="0.2">
      <c r="A531" s="116" t="s">
        <v>870</v>
      </c>
      <c r="B531" s="116">
        <v>1</v>
      </c>
      <c r="C531" s="116" t="s">
        <v>869</v>
      </c>
      <c r="D531" s="116" t="s">
        <v>854</v>
      </c>
      <c r="E531" s="116" t="s">
        <v>2226</v>
      </c>
      <c r="F531" s="117">
        <f>SUMIFS(Investors!$M:$M,Investors!$O:$O,FALSE,Investors!$P:$P,FALSE,Investors!$K:$K,"&gt;"&amp;'NSST Print'!$B$3,Investors!$I:$I,"&lt;="&amp;'NSST Print'!$B$3,Investors!$A:$A,'Investor Exit List'!$A531,Investors!$E:$E,'Investor Exit List'!$C531,Investors!$L:$L,'Investor Exit List'!$B531)-(SUMIFS(Investors!$M:$M,Investors!$I:$I,"&lt;="&amp;'NSST Print'!$B$3,Investors!$J:$J,"&gt;"&amp;'NSST Print'!$B$3,Investors!$A:$A,'Investor Exit List'!$A531,Investors!$E:$E,'Investor Exit List'!$C531,Investors!$L:$L,'Investor Exit List'!$B531)+SUMIFS(Investors!$M:$M,Investors!$I:$I,"&lt;="&amp;'NSST Print'!$B$3,Investors!$J:$J,"",Investors!$A:$A,'Investor Exit List'!$A531,Investors!$E:$E,'Investor Exit List'!$C531,Investors!$L:$L,'Investor Exit List'!$B531))</f>
        <v>200000</v>
      </c>
      <c r="G531" s="118">
        <v>45252</v>
      </c>
      <c r="H531" s="116" t="b">
        <f>VLOOKUP($C531,Sales!$C:$E,2,FALSE)</f>
        <v>1</v>
      </c>
      <c r="I531" s="116" t="b">
        <f>VLOOKUP($C531,Sales!$C:$E,3,FALSE)</f>
        <v>0</v>
      </c>
      <c r="J531" s="118">
        <f>SUMIFS(Sales!$H:$H,Sales!$C:$C,'Investor Exit List'!$C531)</f>
        <v>45518</v>
      </c>
      <c r="K531" s="118" t="str">
        <f t="shared" si="96"/>
        <v/>
      </c>
      <c r="L531" s="118">
        <f t="shared" si="97"/>
        <v>45982</v>
      </c>
      <c r="M531" s="118">
        <v>45443</v>
      </c>
      <c r="N531" s="119">
        <f t="shared" si="98"/>
        <v>539</v>
      </c>
      <c r="O531" s="119">
        <f t="shared" si="99"/>
        <v>0</v>
      </c>
      <c r="P531" s="117">
        <f t="shared" si="100"/>
        <v>0</v>
      </c>
      <c r="Q531" s="117">
        <f>SUMIFS(Investors!$M:$M,Investors!$O:$O,FALSE,Investors!$P:$P,FALSE,Investors!$K:$K,"&gt;"&amp;'NSST Print'!$B$3,Investors!$I:$I,"&lt;="&amp;'NSST Print'!$B$3,Investors!$A:$A,'Investor Exit List'!$A531,Investors!$E:$E,'Investor Exit List'!$C531,Investors!$L:$L,'Investor Exit List'!$B531)-(SUMIFS(Investors!$M:$M,Investors!$I:$I,"&lt;="&amp;'NSST Print'!$B$3,Investors!$J:$J,"&gt;"&amp;'NSST Print'!$B$3,Investors!$A:$A,'Investor Exit List'!$A531,Investors!$E:$E,'Investor Exit List'!$C531,Investors!$L:$L,'Investor Exit List'!$B531)+SUMIFS(Investors!$M:$M,Investors!$I:$I,"&lt;="&amp;'NSST Print'!$B$3,Investors!$J:$J,"",Investors!$A:$A,'Investor Exit List'!$A531,Investors!$E:$E,'Investor Exit List'!$C531,Investors!$L:$L,'Investor Exit List'!$B531))+SUMIFS(Investors!$S:$S,Investors!$O:$O,FALSE,Investors!$P:$P,FALSE,Investors!$K:$K,"&gt;"&amp;'NSST Print'!$B$3,Investors!$I:$I,"&lt;="&amp;'NSST Print'!$B$3,Investors!$A:$A,'Investor Exit List'!$A531,Investors!$E:$E,'Investor Exit List'!$C531,Investors!$L:$L,'Investor Exit List'!$B531)-(SUMIFS(Investors!$S:$S,Investors!$I:$I,"&lt;="&amp;'NSST Print'!$B$3,Investors!$J:$J,"&gt;"&amp;'NSST Print'!$B$3,Investors!$A:$A,'Investor Exit List'!$A531,Investors!$E:$E,'Investor Exit List'!$C531,Investors!$L:$L,'Investor Exit List'!$B531)+SUMIFS(Investors!$S:$S,Investors!$I:$I,"&lt;="&amp;'NSST Print'!$B$3,Investors!$J:$J,"",Investors!$A:$A,'Investor Exit List'!$A531,Investors!$E:$E,'Investor Exit List'!$C531,Investors!$L:$L,'Investor Exit List'!$B531))</f>
        <v>232027.39726027395</v>
      </c>
      <c r="R531" s="117">
        <f t="shared" si="101"/>
        <v>232027.39726027395</v>
      </c>
      <c r="S531" s="117">
        <f>SUMIFS(Investors!$M:$M,Investors!$O:$O,TRUE,Investors!$A:$A,'Investor Exit List'!$A531,Investors!$E:$E,'Investor Exit List'!$C531,Investors!$L:$L,'Investor Exit List'!$B531)+SUMIFS(Investors!$S:$S,Investors!$O:$O,TRUE,Investors!$A:$A,'Investor Exit List'!$A531,Investors!$E:$E,'Investor Exit List'!$C531,Investors!$L:$L,'Investor Exit List'!$B531)</f>
        <v>0</v>
      </c>
      <c r="T531" s="118" t="str">
        <f t="shared" si="102"/>
        <v/>
      </c>
      <c r="U531" s="116" t="b">
        <v>0</v>
      </c>
      <c r="V531" s="117">
        <f t="shared" si="103"/>
        <v>0</v>
      </c>
      <c r="W531" s="116">
        <v>0</v>
      </c>
      <c r="X531" s="116" t="b">
        <v>0</v>
      </c>
      <c r="Y531" s="119">
        <f>IF(H531=FALSE,VLOOKUP($C531,Sales!$C:$F,4,FALSE),1)</f>
        <v>1</v>
      </c>
      <c r="Z531" s="116" t="str">
        <f t="shared" si="104"/>
        <v/>
      </c>
      <c r="AA531" s="118">
        <f t="shared" si="105"/>
        <v>45837</v>
      </c>
      <c r="AB531" s="118" t="str">
        <f t="shared" si="106"/>
        <v>HVO301-ZLAM01</v>
      </c>
      <c r="AC531" s="118">
        <f t="shared" si="107"/>
        <v>45982</v>
      </c>
    </row>
    <row r="532" spans="1:29" ht="16" x14ac:dyDescent="0.2">
      <c r="A532" s="116" t="s">
        <v>873</v>
      </c>
      <c r="B532" s="116">
        <v>1</v>
      </c>
      <c r="C532" s="116" t="s">
        <v>869</v>
      </c>
      <c r="D532" s="116" t="s">
        <v>854</v>
      </c>
      <c r="E532" s="116" t="s">
        <v>2227</v>
      </c>
      <c r="F532" s="117">
        <f>SUMIFS(Investors!$M:$M,Investors!$O:$O,FALSE,Investors!$P:$P,FALSE,Investors!$K:$K,"&gt;"&amp;'NSST Print'!$B$3,Investors!$I:$I,"&lt;="&amp;'NSST Print'!$B$3,Investors!$A:$A,'Investor Exit List'!$A532,Investors!$E:$E,'Investor Exit List'!$C532,Investors!$L:$L,'Investor Exit List'!$B532)-(SUMIFS(Investors!$M:$M,Investors!$I:$I,"&lt;="&amp;'NSST Print'!$B$3,Investors!$J:$J,"&gt;"&amp;'NSST Print'!$B$3,Investors!$A:$A,'Investor Exit List'!$A532,Investors!$E:$E,'Investor Exit List'!$C532,Investors!$L:$L,'Investor Exit List'!$B532)+SUMIFS(Investors!$M:$M,Investors!$I:$I,"&lt;="&amp;'NSST Print'!$B$3,Investors!$J:$J,"",Investors!$A:$A,'Investor Exit List'!$A532,Investors!$E:$E,'Investor Exit List'!$C532,Investors!$L:$L,'Investor Exit List'!$B532))</f>
        <v>100000</v>
      </c>
      <c r="G532" s="118">
        <v>45273</v>
      </c>
      <c r="H532" s="116" t="b">
        <f>VLOOKUP($C532,Sales!$C:$E,2,FALSE)</f>
        <v>1</v>
      </c>
      <c r="I532" s="116" t="b">
        <f>VLOOKUP($C532,Sales!$C:$E,3,FALSE)</f>
        <v>0</v>
      </c>
      <c r="J532" s="118">
        <f>SUMIFS(Sales!$H:$H,Sales!$C:$C,'Investor Exit List'!$C532)</f>
        <v>45518</v>
      </c>
      <c r="K532" s="118" t="str">
        <f t="shared" si="96"/>
        <v/>
      </c>
      <c r="L532" s="118">
        <f t="shared" si="97"/>
        <v>46003</v>
      </c>
      <c r="M532" s="118">
        <v>45443</v>
      </c>
      <c r="N532" s="119">
        <f t="shared" si="98"/>
        <v>560</v>
      </c>
      <c r="O532" s="119">
        <f t="shared" si="99"/>
        <v>0</v>
      </c>
      <c r="P532" s="117">
        <f t="shared" si="100"/>
        <v>0</v>
      </c>
      <c r="Q532" s="117">
        <f>SUMIFS(Investors!$M:$M,Investors!$O:$O,FALSE,Investors!$P:$P,FALSE,Investors!$K:$K,"&gt;"&amp;'NSST Print'!$B$3,Investors!$I:$I,"&lt;="&amp;'NSST Print'!$B$3,Investors!$A:$A,'Investor Exit List'!$A532,Investors!$E:$E,'Investor Exit List'!$C532,Investors!$L:$L,'Investor Exit List'!$B532)-(SUMIFS(Investors!$M:$M,Investors!$I:$I,"&lt;="&amp;'NSST Print'!$B$3,Investors!$J:$J,"&gt;"&amp;'NSST Print'!$B$3,Investors!$A:$A,'Investor Exit List'!$A532,Investors!$E:$E,'Investor Exit List'!$C532,Investors!$L:$L,'Investor Exit List'!$B532)+SUMIFS(Investors!$M:$M,Investors!$I:$I,"&lt;="&amp;'NSST Print'!$B$3,Investors!$J:$J,"",Investors!$A:$A,'Investor Exit List'!$A532,Investors!$E:$E,'Investor Exit List'!$C532,Investors!$L:$L,'Investor Exit List'!$B532))+SUMIFS(Investors!$S:$S,Investors!$O:$O,FALSE,Investors!$P:$P,FALSE,Investors!$K:$K,"&gt;"&amp;'NSST Print'!$B$3,Investors!$I:$I,"&lt;="&amp;'NSST Print'!$B$3,Investors!$A:$A,'Investor Exit List'!$A532,Investors!$E:$E,'Investor Exit List'!$C532,Investors!$L:$L,'Investor Exit List'!$B532)-(SUMIFS(Investors!$S:$S,Investors!$I:$I,"&lt;="&amp;'NSST Print'!$B$3,Investors!$J:$J,"&gt;"&amp;'NSST Print'!$B$3,Investors!$A:$A,'Investor Exit List'!$A532,Investors!$E:$E,'Investor Exit List'!$C532,Investors!$L:$L,'Investor Exit List'!$B532)+SUMIFS(Investors!$S:$S,Investors!$I:$I,"&lt;="&amp;'NSST Print'!$B$3,Investors!$J:$J,"",Investors!$A:$A,'Investor Exit List'!$A532,Investors!$E:$E,'Investor Exit List'!$C532,Investors!$L:$L,'Investor Exit List'!$B532))</f>
        <v>113761.64383561643</v>
      </c>
      <c r="R532" s="117">
        <f t="shared" si="101"/>
        <v>113761.64383561643</v>
      </c>
      <c r="S532" s="117">
        <f>SUMIFS(Investors!$M:$M,Investors!$O:$O,TRUE,Investors!$A:$A,'Investor Exit List'!$A532,Investors!$E:$E,'Investor Exit List'!$C532,Investors!$L:$L,'Investor Exit List'!$B532)+SUMIFS(Investors!$S:$S,Investors!$O:$O,TRUE,Investors!$A:$A,'Investor Exit List'!$A532,Investors!$E:$E,'Investor Exit List'!$C532,Investors!$L:$L,'Investor Exit List'!$B532)</f>
        <v>0</v>
      </c>
      <c r="T532" s="118" t="str">
        <f t="shared" si="102"/>
        <v/>
      </c>
      <c r="U532" s="116" t="b">
        <v>0</v>
      </c>
      <c r="V532" s="117">
        <f t="shared" si="103"/>
        <v>0</v>
      </c>
      <c r="W532" s="116">
        <v>0</v>
      </c>
      <c r="X532" s="116" t="b">
        <v>0</v>
      </c>
      <c r="Y532" s="119">
        <f>IF(H532=FALSE,VLOOKUP($C532,Sales!$C:$F,4,FALSE),1)</f>
        <v>1</v>
      </c>
      <c r="Z532" s="116" t="str">
        <f t="shared" si="104"/>
        <v/>
      </c>
      <c r="AA532" s="118">
        <f t="shared" si="105"/>
        <v>45837</v>
      </c>
      <c r="AB532" s="118" t="str">
        <f t="shared" si="106"/>
        <v>HVO301-ZMAT04</v>
      </c>
      <c r="AC532" s="118">
        <f t="shared" si="107"/>
        <v>46003</v>
      </c>
    </row>
    <row r="533" spans="1:29" ht="16" x14ac:dyDescent="0.2">
      <c r="A533" s="116" t="s">
        <v>876</v>
      </c>
      <c r="B533" s="116">
        <v>2</v>
      </c>
      <c r="C533" s="116" t="s">
        <v>869</v>
      </c>
      <c r="D533" s="116" t="s">
        <v>854</v>
      </c>
      <c r="E533" s="116" t="s">
        <v>2228</v>
      </c>
      <c r="F533" s="117">
        <f>SUMIFS(Investors!$M:$M,Investors!$O:$O,FALSE,Investors!$P:$P,FALSE,Investors!$K:$K,"&gt;"&amp;'NSST Print'!$B$3,Investors!$I:$I,"&lt;="&amp;'NSST Print'!$B$3,Investors!$A:$A,'Investor Exit List'!$A533,Investors!$E:$E,'Investor Exit List'!$C533,Investors!$L:$L,'Investor Exit List'!$B533)-(SUMIFS(Investors!$M:$M,Investors!$I:$I,"&lt;="&amp;'NSST Print'!$B$3,Investors!$J:$J,"&gt;"&amp;'NSST Print'!$B$3,Investors!$A:$A,'Investor Exit List'!$A533,Investors!$E:$E,'Investor Exit List'!$C533,Investors!$L:$L,'Investor Exit List'!$B533)+SUMIFS(Investors!$M:$M,Investors!$I:$I,"&lt;="&amp;'NSST Print'!$B$3,Investors!$J:$J,"",Investors!$A:$A,'Investor Exit List'!$A533,Investors!$E:$E,'Investor Exit List'!$C533,Investors!$L:$L,'Investor Exit List'!$B533))</f>
        <v>115687.67</v>
      </c>
      <c r="G533" s="118">
        <v>45259</v>
      </c>
      <c r="H533" s="116" t="b">
        <f>VLOOKUP($C533,Sales!$C:$E,2,FALSE)</f>
        <v>1</v>
      </c>
      <c r="I533" s="116" t="b">
        <f>VLOOKUP($C533,Sales!$C:$E,3,FALSE)</f>
        <v>0</v>
      </c>
      <c r="J533" s="118">
        <f>SUMIFS(Sales!$H:$H,Sales!$C:$C,'Investor Exit List'!$C533)</f>
        <v>45518</v>
      </c>
      <c r="K533" s="118" t="str">
        <f t="shared" si="96"/>
        <v/>
      </c>
      <c r="L533" s="118">
        <f t="shared" si="97"/>
        <v>45989</v>
      </c>
      <c r="M533" s="118">
        <v>45443</v>
      </c>
      <c r="N533" s="119">
        <f t="shared" si="98"/>
        <v>546</v>
      </c>
      <c r="O533" s="119">
        <f t="shared" si="99"/>
        <v>0</v>
      </c>
      <c r="P533" s="117">
        <f t="shared" si="100"/>
        <v>0</v>
      </c>
      <c r="Q533" s="117">
        <f>SUMIFS(Investors!$M:$M,Investors!$O:$O,FALSE,Investors!$P:$P,FALSE,Investors!$K:$K,"&gt;"&amp;'NSST Print'!$B$3,Investors!$I:$I,"&lt;="&amp;'NSST Print'!$B$3,Investors!$A:$A,'Investor Exit List'!$A533,Investors!$E:$E,'Investor Exit List'!$C533,Investors!$L:$L,'Investor Exit List'!$B533)-(SUMIFS(Investors!$M:$M,Investors!$I:$I,"&lt;="&amp;'NSST Print'!$B$3,Investors!$J:$J,"&gt;"&amp;'NSST Print'!$B$3,Investors!$A:$A,'Investor Exit List'!$A533,Investors!$E:$E,'Investor Exit List'!$C533,Investors!$L:$L,'Investor Exit List'!$B533)+SUMIFS(Investors!$M:$M,Investors!$I:$I,"&lt;="&amp;'NSST Print'!$B$3,Investors!$J:$J,"",Investors!$A:$A,'Investor Exit List'!$A533,Investors!$E:$E,'Investor Exit List'!$C533,Investors!$L:$L,'Investor Exit List'!$B533))+SUMIFS(Investors!$S:$S,Investors!$O:$O,FALSE,Investors!$P:$P,FALSE,Investors!$K:$K,"&gt;"&amp;'NSST Print'!$B$3,Investors!$I:$I,"&lt;="&amp;'NSST Print'!$B$3,Investors!$A:$A,'Investor Exit List'!$A533,Investors!$E:$E,'Investor Exit List'!$C533,Investors!$L:$L,'Investor Exit List'!$B533)-(SUMIFS(Investors!$S:$S,Investors!$I:$I,"&lt;="&amp;'NSST Print'!$B$3,Investors!$J:$J,"&gt;"&amp;'NSST Print'!$B$3,Investors!$A:$A,'Investor Exit List'!$A533,Investors!$E:$E,'Investor Exit List'!$C533,Investors!$L:$L,'Investor Exit List'!$B533)+SUMIFS(Investors!$S:$S,Investors!$I:$I,"&lt;="&amp;'NSST Print'!$B$3,Investors!$J:$J,"",Investors!$A:$A,'Investor Exit List'!$A533,Investors!$E:$E,'Investor Exit List'!$C533,Investors!$L:$L,'Investor Exit List'!$B533))</f>
        <v>133449.68925150688</v>
      </c>
      <c r="R533" s="117">
        <f t="shared" si="101"/>
        <v>133449.68925150688</v>
      </c>
      <c r="S533" s="117">
        <f>SUMIFS(Investors!$M:$M,Investors!$O:$O,TRUE,Investors!$A:$A,'Investor Exit List'!$A533,Investors!$E:$E,'Investor Exit List'!$C533,Investors!$L:$L,'Investor Exit List'!$B533)+SUMIFS(Investors!$S:$S,Investors!$O:$O,TRUE,Investors!$A:$A,'Investor Exit List'!$A533,Investors!$E:$E,'Investor Exit List'!$C533,Investors!$L:$L,'Investor Exit List'!$B533)</f>
        <v>0</v>
      </c>
      <c r="T533" s="118" t="str">
        <f t="shared" si="102"/>
        <v/>
      </c>
      <c r="U533" s="116" t="b">
        <v>0</v>
      </c>
      <c r="V533" s="117">
        <f t="shared" si="103"/>
        <v>0</v>
      </c>
      <c r="W533" s="116">
        <v>0</v>
      </c>
      <c r="X533" s="116" t="b">
        <v>0</v>
      </c>
      <c r="Y533" s="119">
        <f>IF(H533=FALSE,VLOOKUP($C533,Sales!$C:$F,4,FALSE),1)</f>
        <v>1</v>
      </c>
      <c r="Z533" s="116" t="str">
        <f t="shared" si="104"/>
        <v/>
      </c>
      <c r="AA533" s="118">
        <f t="shared" si="105"/>
        <v>45837</v>
      </c>
      <c r="AB533" s="118" t="str">
        <f t="shared" si="106"/>
        <v>HVO301-ZVAN08</v>
      </c>
      <c r="AC533" s="118">
        <f t="shared" si="107"/>
        <v>45989</v>
      </c>
    </row>
    <row r="534" spans="1:29" ht="16" x14ac:dyDescent="0.2">
      <c r="A534" s="116" t="s">
        <v>878</v>
      </c>
      <c r="B534" s="116">
        <v>1</v>
      </c>
      <c r="C534" s="116" t="s">
        <v>881</v>
      </c>
      <c r="D534" s="116" t="s">
        <v>854</v>
      </c>
      <c r="E534" s="116" t="s">
        <v>2229</v>
      </c>
      <c r="F534" s="117">
        <f>SUMIFS(Investors!$M:$M,Investors!$O:$O,FALSE,Investors!$P:$P,FALSE,Investors!$K:$K,"&gt;"&amp;'NSST Print'!$B$3,Investors!$I:$I,"&lt;="&amp;'NSST Print'!$B$3,Investors!$A:$A,'Investor Exit List'!$A534,Investors!$E:$E,'Investor Exit List'!$C534,Investors!$L:$L,'Investor Exit List'!$B534)-(SUMIFS(Investors!$M:$M,Investors!$I:$I,"&lt;="&amp;'NSST Print'!$B$3,Investors!$J:$J,"&gt;"&amp;'NSST Print'!$B$3,Investors!$A:$A,'Investor Exit List'!$A534,Investors!$E:$E,'Investor Exit List'!$C534,Investors!$L:$L,'Investor Exit List'!$B534)+SUMIFS(Investors!$M:$M,Investors!$I:$I,"&lt;="&amp;'NSST Print'!$B$3,Investors!$J:$J,"",Investors!$A:$A,'Investor Exit List'!$A534,Investors!$E:$E,'Investor Exit List'!$C534,Investors!$L:$L,'Investor Exit List'!$B534))</f>
        <v>100000</v>
      </c>
      <c r="G534" s="118">
        <v>45129</v>
      </c>
      <c r="H534" s="116" t="b">
        <f>VLOOKUP($C534,Sales!$C:$E,2,FALSE)</f>
        <v>0</v>
      </c>
      <c r="I534" s="116" t="b">
        <f>VLOOKUP($C534,Sales!$C:$E,3,FALSE)</f>
        <v>0</v>
      </c>
      <c r="J534" s="118">
        <f>SUMIFS(Sales!$H:$H,Sales!$C:$C,'Investor Exit List'!$C534)</f>
        <v>45518</v>
      </c>
      <c r="K534" s="118" t="str">
        <f t="shared" si="96"/>
        <v/>
      </c>
      <c r="L534" s="118">
        <f t="shared" si="97"/>
        <v>45859</v>
      </c>
      <c r="M534" s="118">
        <v>45443</v>
      </c>
      <c r="N534" s="119">
        <f t="shared" si="98"/>
        <v>416</v>
      </c>
      <c r="O534" s="119">
        <f t="shared" si="99"/>
        <v>0</v>
      </c>
      <c r="P534" s="117">
        <f t="shared" si="100"/>
        <v>0</v>
      </c>
      <c r="Q534" s="117">
        <f>SUMIFS(Investors!$M:$M,Investors!$O:$O,FALSE,Investors!$P:$P,FALSE,Investors!$K:$K,"&gt;"&amp;'NSST Print'!$B$3,Investors!$I:$I,"&lt;="&amp;'NSST Print'!$B$3,Investors!$A:$A,'Investor Exit List'!$A534,Investors!$E:$E,'Investor Exit List'!$C534,Investors!$L:$L,'Investor Exit List'!$B534)-(SUMIFS(Investors!$M:$M,Investors!$I:$I,"&lt;="&amp;'NSST Print'!$B$3,Investors!$J:$J,"&gt;"&amp;'NSST Print'!$B$3,Investors!$A:$A,'Investor Exit List'!$A534,Investors!$E:$E,'Investor Exit List'!$C534,Investors!$L:$L,'Investor Exit List'!$B534)+SUMIFS(Investors!$M:$M,Investors!$I:$I,"&lt;="&amp;'NSST Print'!$B$3,Investors!$J:$J,"",Investors!$A:$A,'Investor Exit List'!$A534,Investors!$E:$E,'Investor Exit List'!$C534,Investors!$L:$L,'Investor Exit List'!$B534))+SUMIFS(Investors!$S:$S,Investors!$O:$O,FALSE,Investors!$P:$P,FALSE,Investors!$K:$K,"&gt;"&amp;'NSST Print'!$B$3,Investors!$I:$I,"&lt;="&amp;'NSST Print'!$B$3,Investors!$A:$A,'Investor Exit List'!$A534,Investors!$E:$E,'Investor Exit List'!$C534,Investors!$L:$L,'Investor Exit List'!$B534)-(SUMIFS(Investors!$S:$S,Investors!$I:$I,"&lt;="&amp;'NSST Print'!$B$3,Investors!$J:$J,"&gt;"&amp;'NSST Print'!$B$3,Investors!$A:$A,'Investor Exit List'!$A534,Investors!$E:$E,'Investor Exit List'!$C534,Investors!$L:$L,'Investor Exit List'!$B534)+SUMIFS(Investors!$S:$S,Investors!$I:$I,"&lt;="&amp;'NSST Print'!$B$3,Investors!$J:$J,"",Investors!$A:$A,'Investor Exit List'!$A534,Investors!$E:$E,'Investor Exit List'!$C534,Investors!$L:$L,'Investor Exit List'!$B534))</f>
        <v>117753.42465753424</v>
      </c>
      <c r="R534" s="117">
        <f t="shared" si="101"/>
        <v>0</v>
      </c>
      <c r="S534" s="117">
        <f>SUMIFS(Investors!$M:$M,Investors!$O:$O,TRUE,Investors!$A:$A,'Investor Exit List'!$A534,Investors!$E:$E,'Investor Exit List'!$C534,Investors!$L:$L,'Investor Exit List'!$B534)+SUMIFS(Investors!$S:$S,Investors!$O:$O,TRUE,Investors!$A:$A,'Investor Exit List'!$A534,Investors!$E:$E,'Investor Exit List'!$C534,Investors!$L:$L,'Investor Exit List'!$B534)</f>
        <v>0</v>
      </c>
      <c r="T534" s="118" t="str">
        <f t="shared" si="102"/>
        <v/>
      </c>
      <c r="U534" s="116" t="b">
        <v>0</v>
      </c>
      <c r="V534" s="117">
        <f t="shared" si="103"/>
        <v>0</v>
      </c>
      <c r="W534" s="116">
        <v>0</v>
      </c>
      <c r="X534" s="116" t="b">
        <v>0</v>
      </c>
      <c r="Y534" s="119">
        <f>IF(H534=FALSE,VLOOKUP($C534,Sales!$C:$F,4,FALSE),1)</f>
        <v>0</v>
      </c>
      <c r="Z534" s="116" t="str">
        <f t="shared" si="104"/>
        <v>Release</v>
      </c>
      <c r="AA534" s="118">
        <f t="shared" si="105"/>
        <v>45837</v>
      </c>
      <c r="AB534" s="118" t="str">
        <f t="shared" si="106"/>
        <v>HVO302-ZLER02</v>
      </c>
      <c r="AC534" s="118">
        <f t="shared" si="107"/>
        <v>45859</v>
      </c>
    </row>
    <row r="535" spans="1:29" ht="16" x14ac:dyDescent="0.2">
      <c r="A535" s="116" t="s">
        <v>179</v>
      </c>
      <c r="B535" s="116">
        <v>5</v>
      </c>
      <c r="C535" s="116" t="s">
        <v>881</v>
      </c>
      <c r="D535" s="116" t="s">
        <v>854</v>
      </c>
      <c r="E535" s="116" t="s">
        <v>2056</v>
      </c>
      <c r="F535" s="117">
        <f>SUMIFS(Investors!$M:$M,Investors!$O:$O,FALSE,Investors!$P:$P,FALSE,Investors!$K:$K,"&gt;"&amp;'NSST Print'!$B$3,Investors!$I:$I,"&lt;="&amp;'NSST Print'!$B$3,Investors!$A:$A,'Investor Exit List'!$A535,Investors!$E:$E,'Investor Exit List'!$C535,Investors!$L:$L,'Investor Exit List'!$B535)-(SUMIFS(Investors!$M:$M,Investors!$I:$I,"&lt;="&amp;'NSST Print'!$B$3,Investors!$J:$J,"&gt;"&amp;'NSST Print'!$B$3,Investors!$A:$A,'Investor Exit List'!$A535,Investors!$E:$E,'Investor Exit List'!$C535,Investors!$L:$L,'Investor Exit List'!$B535)+SUMIFS(Investors!$M:$M,Investors!$I:$I,"&lt;="&amp;'NSST Print'!$B$3,Investors!$J:$J,"",Investors!$A:$A,'Investor Exit List'!$A535,Investors!$E:$E,'Investor Exit List'!$C535,Investors!$L:$L,'Investor Exit List'!$B535))</f>
        <v>111295.21</v>
      </c>
      <c r="G535" s="118">
        <v>45129</v>
      </c>
      <c r="H535" s="116" t="b">
        <f>VLOOKUP($C535,Sales!$C:$E,2,FALSE)</f>
        <v>0</v>
      </c>
      <c r="I535" s="116" t="b">
        <f>VLOOKUP($C535,Sales!$C:$E,3,FALSE)</f>
        <v>0</v>
      </c>
      <c r="J535" s="118">
        <f>SUMIFS(Sales!$H:$H,Sales!$C:$C,'Investor Exit List'!$C535)</f>
        <v>45518</v>
      </c>
      <c r="K535" s="118" t="str">
        <f t="shared" si="96"/>
        <v/>
      </c>
      <c r="L535" s="118">
        <f t="shared" si="97"/>
        <v>45859</v>
      </c>
      <c r="M535" s="118">
        <v>45443</v>
      </c>
      <c r="N535" s="119">
        <f t="shared" si="98"/>
        <v>416</v>
      </c>
      <c r="O535" s="119">
        <f t="shared" si="99"/>
        <v>0</v>
      </c>
      <c r="P535" s="117">
        <f t="shared" si="100"/>
        <v>0</v>
      </c>
      <c r="Q535" s="117">
        <f>SUMIFS(Investors!$M:$M,Investors!$O:$O,FALSE,Investors!$P:$P,FALSE,Investors!$K:$K,"&gt;"&amp;'NSST Print'!$B$3,Investors!$I:$I,"&lt;="&amp;'NSST Print'!$B$3,Investors!$A:$A,'Investor Exit List'!$A535,Investors!$E:$E,'Investor Exit List'!$C535,Investors!$L:$L,'Investor Exit List'!$B535)-(SUMIFS(Investors!$M:$M,Investors!$I:$I,"&lt;="&amp;'NSST Print'!$B$3,Investors!$J:$J,"&gt;"&amp;'NSST Print'!$B$3,Investors!$A:$A,'Investor Exit List'!$A535,Investors!$E:$E,'Investor Exit List'!$C535,Investors!$L:$L,'Investor Exit List'!$B535)+SUMIFS(Investors!$M:$M,Investors!$I:$I,"&lt;="&amp;'NSST Print'!$B$3,Investors!$J:$J,"",Investors!$A:$A,'Investor Exit List'!$A535,Investors!$E:$E,'Investor Exit List'!$C535,Investors!$L:$L,'Investor Exit List'!$B535))+SUMIFS(Investors!$S:$S,Investors!$O:$O,FALSE,Investors!$P:$P,FALSE,Investors!$K:$K,"&gt;"&amp;'NSST Print'!$B$3,Investors!$I:$I,"&lt;="&amp;'NSST Print'!$B$3,Investors!$A:$A,'Investor Exit List'!$A535,Investors!$E:$E,'Investor Exit List'!$C535,Investors!$L:$L,'Investor Exit List'!$B535)-(SUMIFS(Investors!$S:$S,Investors!$I:$I,"&lt;="&amp;'NSST Print'!$B$3,Investors!$J:$J,"&gt;"&amp;'NSST Print'!$B$3,Investors!$A:$A,'Investor Exit List'!$A535,Investors!$E:$E,'Investor Exit List'!$C535,Investors!$L:$L,'Investor Exit List'!$B535)+SUMIFS(Investors!$S:$S,Investors!$I:$I,"&lt;="&amp;'NSST Print'!$B$3,Investors!$J:$J,"",Investors!$A:$A,'Investor Exit List'!$A535,Investors!$E:$E,'Investor Exit List'!$C535,Investors!$L:$L,'Investor Exit List'!$B535))</f>
        <v>135990.54988465755</v>
      </c>
      <c r="R535" s="117">
        <f t="shared" si="101"/>
        <v>0</v>
      </c>
      <c r="S535" s="117">
        <f>SUMIFS(Investors!$M:$M,Investors!$O:$O,TRUE,Investors!$A:$A,'Investor Exit List'!$A535,Investors!$E:$E,'Investor Exit List'!$C535,Investors!$L:$L,'Investor Exit List'!$B535)+SUMIFS(Investors!$S:$S,Investors!$O:$O,TRUE,Investors!$A:$A,'Investor Exit List'!$A535,Investors!$E:$E,'Investor Exit List'!$C535,Investors!$L:$L,'Investor Exit List'!$B535)</f>
        <v>0</v>
      </c>
      <c r="T535" s="118" t="str">
        <f t="shared" si="102"/>
        <v/>
      </c>
      <c r="U535" s="116" t="b">
        <v>0</v>
      </c>
      <c r="V535" s="117">
        <f t="shared" si="103"/>
        <v>0</v>
      </c>
      <c r="W535" s="116">
        <v>0</v>
      </c>
      <c r="X535" s="116" t="b">
        <v>0</v>
      </c>
      <c r="Y535" s="119">
        <f>IF(H535=FALSE,VLOOKUP($C535,Sales!$C:$F,4,FALSE),1)</f>
        <v>0</v>
      </c>
      <c r="Z535" s="116" t="str">
        <f t="shared" si="104"/>
        <v>Release</v>
      </c>
      <c r="AA535" s="118">
        <f t="shared" si="105"/>
        <v>45837</v>
      </c>
      <c r="AB535" s="118" t="str">
        <f t="shared" si="106"/>
        <v>HVO302-ZPED01</v>
      </c>
      <c r="AC535" s="118">
        <f t="shared" si="107"/>
        <v>45859</v>
      </c>
    </row>
    <row r="536" spans="1:29" ht="16" x14ac:dyDescent="0.2">
      <c r="A536" s="116" t="s">
        <v>882</v>
      </c>
      <c r="B536" s="116">
        <v>1</v>
      </c>
      <c r="C536" s="116" t="s">
        <v>881</v>
      </c>
      <c r="D536" s="116" t="s">
        <v>854</v>
      </c>
      <c r="E536" s="116" t="s">
        <v>2230</v>
      </c>
      <c r="F536" s="117">
        <f>SUMIFS(Investors!$M:$M,Investors!$O:$O,FALSE,Investors!$P:$P,FALSE,Investors!$K:$K,"&gt;"&amp;'NSST Print'!$B$3,Investors!$I:$I,"&lt;="&amp;'NSST Print'!$B$3,Investors!$A:$A,'Investor Exit List'!$A536,Investors!$E:$E,'Investor Exit List'!$C536,Investors!$L:$L,'Investor Exit List'!$B536)-(SUMIFS(Investors!$M:$M,Investors!$I:$I,"&lt;="&amp;'NSST Print'!$B$3,Investors!$J:$J,"&gt;"&amp;'NSST Print'!$B$3,Investors!$A:$A,'Investor Exit List'!$A536,Investors!$E:$E,'Investor Exit List'!$C536,Investors!$L:$L,'Investor Exit List'!$B536)+SUMIFS(Investors!$M:$M,Investors!$I:$I,"&lt;="&amp;'NSST Print'!$B$3,Investors!$J:$J,"",Investors!$A:$A,'Investor Exit List'!$A536,Investors!$E:$E,'Investor Exit List'!$C536,Investors!$L:$L,'Investor Exit List'!$B536))</f>
        <v>900000</v>
      </c>
      <c r="G536" s="118">
        <v>45107</v>
      </c>
      <c r="H536" s="116" t="b">
        <f>VLOOKUP($C536,Sales!$C:$E,2,FALSE)</f>
        <v>0</v>
      </c>
      <c r="I536" s="116" t="b">
        <f>VLOOKUP($C536,Sales!$C:$E,3,FALSE)</f>
        <v>0</v>
      </c>
      <c r="J536" s="118">
        <f>SUMIFS(Sales!$H:$H,Sales!$C:$C,'Investor Exit List'!$C536)</f>
        <v>45518</v>
      </c>
      <c r="K536" s="118" t="str">
        <f t="shared" si="96"/>
        <v/>
      </c>
      <c r="L536" s="118">
        <f t="shared" si="97"/>
        <v>45837</v>
      </c>
      <c r="M536" s="118">
        <v>45443</v>
      </c>
      <c r="N536" s="119">
        <f t="shared" si="98"/>
        <v>394</v>
      </c>
      <c r="O536" s="119">
        <f t="shared" si="99"/>
        <v>0</v>
      </c>
      <c r="P536" s="117">
        <f t="shared" si="100"/>
        <v>0</v>
      </c>
      <c r="Q536" s="117">
        <f>SUMIFS(Investors!$M:$M,Investors!$O:$O,FALSE,Investors!$P:$P,FALSE,Investors!$K:$K,"&gt;"&amp;'NSST Print'!$B$3,Investors!$I:$I,"&lt;="&amp;'NSST Print'!$B$3,Investors!$A:$A,'Investor Exit List'!$A536,Investors!$E:$E,'Investor Exit List'!$C536,Investors!$L:$L,'Investor Exit List'!$B536)-(SUMIFS(Investors!$M:$M,Investors!$I:$I,"&lt;="&amp;'NSST Print'!$B$3,Investors!$J:$J,"&gt;"&amp;'NSST Print'!$B$3,Investors!$A:$A,'Investor Exit List'!$A536,Investors!$E:$E,'Investor Exit List'!$C536,Investors!$L:$L,'Investor Exit List'!$B536)+SUMIFS(Investors!$M:$M,Investors!$I:$I,"&lt;="&amp;'NSST Print'!$B$3,Investors!$J:$J,"",Investors!$A:$A,'Investor Exit List'!$A536,Investors!$E:$E,'Investor Exit List'!$C536,Investors!$L:$L,'Investor Exit List'!$B536))+SUMIFS(Investors!$S:$S,Investors!$O:$O,FALSE,Investors!$P:$P,FALSE,Investors!$K:$K,"&gt;"&amp;'NSST Print'!$B$3,Investors!$I:$I,"&lt;="&amp;'NSST Print'!$B$3,Investors!$A:$A,'Investor Exit List'!$A536,Investors!$E:$E,'Investor Exit List'!$C536,Investors!$L:$L,'Investor Exit List'!$B536)-(SUMIFS(Investors!$S:$S,Investors!$I:$I,"&lt;="&amp;'NSST Print'!$B$3,Investors!$J:$J,"&gt;"&amp;'NSST Print'!$B$3,Investors!$A:$A,'Investor Exit List'!$A536,Investors!$E:$E,'Investor Exit List'!$C536,Investors!$L:$L,'Investor Exit List'!$B536)+SUMIFS(Investors!$S:$S,Investors!$I:$I,"&lt;="&amp;'NSST Print'!$B$3,Investors!$J:$J,"",Investors!$A:$A,'Investor Exit List'!$A536,Investors!$E:$E,'Investor Exit List'!$C536,Investors!$L:$L,'Investor Exit List'!$B536))</f>
        <v>1091995.8904109588</v>
      </c>
      <c r="R536" s="117">
        <f t="shared" si="101"/>
        <v>0</v>
      </c>
      <c r="S536" s="117">
        <f>SUMIFS(Investors!$M:$M,Investors!$O:$O,TRUE,Investors!$A:$A,'Investor Exit List'!$A536,Investors!$E:$E,'Investor Exit List'!$C536,Investors!$L:$L,'Investor Exit List'!$B536)+SUMIFS(Investors!$S:$S,Investors!$O:$O,TRUE,Investors!$A:$A,'Investor Exit List'!$A536,Investors!$E:$E,'Investor Exit List'!$C536,Investors!$L:$L,'Investor Exit List'!$B536)</f>
        <v>0</v>
      </c>
      <c r="T536" s="118" t="str">
        <f t="shared" si="102"/>
        <v/>
      </c>
      <c r="U536" s="116" t="b">
        <v>0</v>
      </c>
      <c r="V536" s="117">
        <f t="shared" si="103"/>
        <v>0</v>
      </c>
      <c r="W536" s="116">
        <v>0</v>
      </c>
      <c r="X536" s="116" t="b">
        <v>0</v>
      </c>
      <c r="Y536" s="119">
        <f>IF(H536=FALSE,VLOOKUP($C536,Sales!$C:$F,4,FALSE),1)</f>
        <v>0</v>
      </c>
      <c r="Z536" s="116" t="str">
        <f t="shared" si="104"/>
        <v>Release</v>
      </c>
      <c r="AA536" s="118">
        <f t="shared" si="105"/>
        <v>45837</v>
      </c>
      <c r="AB536" s="118" t="str">
        <f t="shared" si="106"/>
        <v>HVO302-ZVIS03</v>
      </c>
      <c r="AC536" s="118">
        <f t="shared" si="107"/>
        <v>45837</v>
      </c>
    </row>
    <row r="537" spans="1:29" ht="16" x14ac:dyDescent="0.2">
      <c r="A537" s="116" t="s">
        <v>44</v>
      </c>
      <c r="B537" s="116">
        <v>7</v>
      </c>
      <c r="C537" s="116" t="s">
        <v>884</v>
      </c>
      <c r="D537" s="116" t="s">
        <v>854</v>
      </c>
      <c r="E537" s="116" t="s">
        <v>2015</v>
      </c>
      <c r="F537" s="117">
        <f>SUMIFS(Investors!$M:$M,Investors!$O:$O,FALSE,Investors!$P:$P,FALSE,Investors!$K:$K,"&gt;"&amp;'NSST Print'!$B$3,Investors!$I:$I,"&lt;="&amp;'NSST Print'!$B$3,Investors!$A:$A,'Investor Exit List'!$A537,Investors!$E:$E,'Investor Exit List'!$C537,Investors!$L:$L,'Investor Exit List'!$B537)-(SUMIFS(Investors!$M:$M,Investors!$I:$I,"&lt;="&amp;'NSST Print'!$B$3,Investors!$J:$J,"&gt;"&amp;'NSST Print'!$B$3,Investors!$A:$A,'Investor Exit List'!$A537,Investors!$E:$E,'Investor Exit List'!$C537,Investors!$L:$L,'Investor Exit List'!$B537)+SUMIFS(Investors!$M:$M,Investors!$I:$I,"&lt;="&amp;'NSST Print'!$B$3,Investors!$J:$J,"",Investors!$A:$A,'Investor Exit List'!$A537,Investors!$E:$E,'Investor Exit List'!$C537,Investors!$L:$L,'Investor Exit List'!$B537))</f>
        <v>1100000</v>
      </c>
      <c r="G537" s="118">
        <v>45107</v>
      </c>
      <c r="H537" s="116" t="b">
        <f>VLOOKUP($C537,Sales!$C:$E,2,FALSE)</f>
        <v>1</v>
      </c>
      <c r="I537" s="116" t="b">
        <f>VLOOKUP($C537,Sales!$C:$E,3,FALSE)</f>
        <v>0</v>
      </c>
      <c r="J537" s="118">
        <f>SUMIFS(Sales!$H:$H,Sales!$C:$C,'Investor Exit List'!$C537)</f>
        <v>45518</v>
      </c>
      <c r="K537" s="118" t="str">
        <f t="shared" si="96"/>
        <v/>
      </c>
      <c r="L537" s="118">
        <f t="shared" si="97"/>
        <v>45837</v>
      </c>
      <c r="M537" s="118">
        <v>45443</v>
      </c>
      <c r="N537" s="119">
        <f t="shared" si="98"/>
        <v>394</v>
      </c>
      <c r="O537" s="119">
        <f t="shared" si="99"/>
        <v>0</v>
      </c>
      <c r="P537" s="117">
        <f t="shared" si="100"/>
        <v>0</v>
      </c>
      <c r="Q537" s="117">
        <f>SUMIFS(Investors!$M:$M,Investors!$O:$O,FALSE,Investors!$P:$P,FALSE,Investors!$K:$K,"&gt;"&amp;'NSST Print'!$B$3,Investors!$I:$I,"&lt;="&amp;'NSST Print'!$B$3,Investors!$A:$A,'Investor Exit List'!$A537,Investors!$E:$E,'Investor Exit List'!$C537,Investors!$L:$L,'Investor Exit List'!$B537)-(SUMIFS(Investors!$M:$M,Investors!$I:$I,"&lt;="&amp;'NSST Print'!$B$3,Investors!$J:$J,"&gt;"&amp;'NSST Print'!$B$3,Investors!$A:$A,'Investor Exit List'!$A537,Investors!$E:$E,'Investor Exit List'!$C537,Investors!$L:$L,'Investor Exit List'!$B537)+SUMIFS(Investors!$M:$M,Investors!$I:$I,"&lt;="&amp;'NSST Print'!$B$3,Investors!$J:$J,"",Investors!$A:$A,'Investor Exit List'!$A537,Investors!$E:$E,'Investor Exit List'!$C537,Investors!$L:$L,'Investor Exit List'!$B537))+SUMIFS(Investors!$S:$S,Investors!$O:$O,FALSE,Investors!$P:$P,FALSE,Investors!$K:$K,"&gt;"&amp;'NSST Print'!$B$3,Investors!$I:$I,"&lt;="&amp;'NSST Print'!$B$3,Investors!$A:$A,'Investor Exit List'!$A537,Investors!$E:$E,'Investor Exit List'!$C537,Investors!$L:$L,'Investor Exit List'!$B537)-(SUMIFS(Investors!$S:$S,Investors!$I:$I,"&lt;="&amp;'NSST Print'!$B$3,Investors!$J:$J,"&gt;"&amp;'NSST Print'!$B$3,Investors!$A:$A,'Investor Exit List'!$A537,Investors!$E:$E,'Investor Exit List'!$C537,Investors!$L:$L,'Investor Exit List'!$B537)+SUMIFS(Investors!$S:$S,Investors!$I:$I,"&lt;="&amp;'NSST Print'!$B$3,Investors!$J:$J,"",Investors!$A:$A,'Investor Exit List'!$A537,Investors!$E:$E,'Investor Exit List'!$C537,Investors!$L:$L,'Investor Exit List'!$B537))</f>
        <v>1363352.0547945206</v>
      </c>
      <c r="R537" s="117">
        <f t="shared" si="101"/>
        <v>1363352.0547945206</v>
      </c>
      <c r="S537" s="117">
        <f>SUMIFS(Investors!$M:$M,Investors!$O:$O,TRUE,Investors!$A:$A,'Investor Exit List'!$A537,Investors!$E:$E,'Investor Exit List'!$C537,Investors!$L:$L,'Investor Exit List'!$B537)+SUMIFS(Investors!$S:$S,Investors!$O:$O,TRUE,Investors!$A:$A,'Investor Exit List'!$A537,Investors!$E:$E,'Investor Exit List'!$C537,Investors!$L:$L,'Investor Exit List'!$B537)</f>
        <v>0</v>
      </c>
      <c r="T537" s="118" t="str">
        <f t="shared" si="102"/>
        <v/>
      </c>
      <c r="U537" s="116" t="b">
        <v>0</v>
      </c>
      <c r="V537" s="117">
        <f t="shared" si="103"/>
        <v>0</v>
      </c>
      <c r="W537" s="116">
        <v>0</v>
      </c>
      <c r="X537" s="116" t="b">
        <v>0</v>
      </c>
      <c r="Y537" s="119">
        <f>IF(H537=FALSE,VLOOKUP($C537,Sales!$C:$F,4,FALSE),1)</f>
        <v>1</v>
      </c>
      <c r="Z537" s="116" t="str">
        <f t="shared" si="104"/>
        <v/>
      </c>
      <c r="AA537" s="118">
        <f t="shared" si="105"/>
        <v>45837</v>
      </c>
      <c r="AB537" s="118" t="str">
        <f t="shared" si="106"/>
        <v>HVO303-ZDEB01</v>
      </c>
      <c r="AC537" s="118">
        <f t="shared" si="107"/>
        <v>45837</v>
      </c>
    </row>
    <row r="538" spans="1:29" ht="16" x14ac:dyDescent="0.2">
      <c r="A538" s="116" t="s">
        <v>374</v>
      </c>
      <c r="B538" s="116">
        <v>2</v>
      </c>
      <c r="C538" s="116" t="s">
        <v>885</v>
      </c>
      <c r="D538" s="116" t="s">
        <v>854</v>
      </c>
      <c r="E538" s="116" t="s">
        <v>2112</v>
      </c>
      <c r="F538" s="117">
        <f>SUMIFS(Investors!$M:$M,Investors!$O:$O,FALSE,Investors!$P:$P,FALSE,Investors!$K:$K,"&gt;"&amp;'NSST Print'!$B$3,Investors!$I:$I,"&lt;="&amp;'NSST Print'!$B$3,Investors!$A:$A,'Investor Exit List'!$A538,Investors!$E:$E,'Investor Exit List'!$C538,Investors!$L:$L,'Investor Exit List'!$B538)-(SUMIFS(Investors!$M:$M,Investors!$I:$I,"&lt;="&amp;'NSST Print'!$B$3,Investors!$J:$J,"&gt;"&amp;'NSST Print'!$B$3,Investors!$A:$A,'Investor Exit List'!$A538,Investors!$E:$E,'Investor Exit List'!$C538,Investors!$L:$L,'Investor Exit List'!$B538)+SUMIFS(Investors!$M:$M,Investors!$I:$I,"&lt;="&amp;'NSST Print'!$B$3,Investors!$J:$J,"",Investors!$A:$A,'Investor Exit List'!$A538,Investors!$E:$E,'Investor Exit List'!$C538,Investors!$L:$L,'Investor Exit List'!$B538))</f>
        <v>119247.26</v>
      </c>
      <c r="G538" s="118">
        <v>45259</v>
      </c>
      <c r="H538" s="116" t="b">
        <f>VLOOKUP($C538,Sales!$C:$E,2,FALSE)</f>
        <v>0</v>
      </c>
      <c r="I538" s="116" t="b">
        <f>VLOOKUP($C538,Sales!$C:$E,3,FALSE)</f>
        <v>0</v>
      </c>
      <c r="J538" s="118">
        <f>SUMIFS(Sales!$H:$H,Sales!$C:$C,'Investor Exit List'!$C538)</f>
        <v>45518</v>
      </c>
      <c r="K538" s="118" t="str">
        <f t="shared" si="96"/>
        <v/>
      </c>
      <c r="L538" s="118">
        <f t="shared" si="97"/>
        <v>45989</v>
      </c>
      <c r="M538" s="118">
        <v>45443</v>
      </c>
      <c r="N538" s="119">
        <f t="shared" si="98"/>
        <v>546</v>
      </c>
      <c r="O538" s="119">
        <f t="shared" si="99"/>
        <v>0</v>
      </c>
      <c r="P538" s="117">
        <f t="shared" si="100"/>
        <v>0</v>
      </c>
      <c r="Q538" s="117">
        <f>SUMIFS(Investors!$M:$M,Investors!$O:$O,FALSE,Investors!$P:$P,FALSE,Investors!$K:$K,"&gt;"&amp;'NSST Print'!$B$3,Investors!$I:$I,"&lt;="&amp;'NSST Print'!$B$3,Investors!$A:$A,'Investor Exit List'!$A538,Investors!$E:$E,'Investor Exit List'!$C538,Investors!$L:$L,'Investor Exit List'!$B538)-(SUMIFS(Investors!$M:$M,Investors!$I:$I,"&lt;="&amp;'NSST Print'!$B$3,Investors!$J:$J,"&gt;"&amp;'NSST Print'!$B$3,Investors!$A:$A,'Investor Exit List'!$A538,Investors!$E:$E,'Investor Exit List'!$C538,Investors!$L:$L,'Investor Exit List'!$B538)+SUMIFS(Investors!$M:$M,Investors!$I:$I,"&lt;="&amp;'NSST Print'!$B$3,Investors!$J:$J,"",Investors!$A:$A,'Investor Exit List'!$A538,Investors!$E:$E,'Investor Exit List'!$C538,Investors!$L:$L,'Investor Exit List'!$B538))+SUMIFS(Investors!$S:$S,Investors!$O:$O,FALSE,Investors!$P:$P,FALSE,Investors!$K:$K,"&gt;"&amp;'NSST Print'!$B$3,Investors!$I:$I,"&lt;="&amp;'NSST Print'!$B$3,Investors!$A:$A,'Investor Exit List'!$A538,Investors!$E:$E,'Investor Exit List'!$C538,Investors!$L:$L,'Investor Exit List'!$B538)-(SUMIFS(Investors!$S:$S,Investors!$I:$I,"&lt;="&amp;'NSST Print'!$B$3,Investors!$J:$J,"&gt;"&amp;'NSST Print'!$B$3,Investors!$A:$A,'Investor Exit List'!$A538,Investors!$E:$E,'Investor Exit List'!$C538,Investors!$L:$L,'Investor Exit List'!$B538)+SUMIFS(Investors!$S:$S,Investors!$I:$I,"&lt;="&amp;'NSST Print'!$B$3,Investors!$J:$J,"",Investors!$A:$A,'Investor Exit List'!$A538,Investors!$E:$E,'Investor Exit List'!$C538,Investors!$L:$L,'Investor Exit List'!$B538))</f>
        <v>138196.13967123287</v>
      </c>
      <c r="R538" s="117">
        <f t="shared" si="101"/>
        <v>0</v>
      </c>
      <c r="S538" s="117">
        <f>SUMIFS(Investors!$M:$M,Investors!$O:$O,TRUE,Investors!$A:$A,'Investor Exit List'!$A538,Investors!$E:$E,'Investor Exit List'!$C538,Investors!$L:$L,'Investor Exit List'!$B538)+SUMIFS(Investors!$S:$S,Investors!$O:$O,TRUE,Investors!$A:$A,'Investor Exit List'!$A538,Investors!$E:$E,'Investor Exit List'!$C538,Investors!$L:$L,'Investor Exit List'!$B538)</f>
        <v>0</v>
      </c>
      <c r="T538" s="118" t="str">
        <f t="shared" si="102"/>
        <v/>
      </c>
      <c r="U538" s="116" t="b">
        <v>0</v>
      </c>
      <c r="V538" s="117">
        <f t="shared" si="103"/>
        <v>0</v>
      </c>
      <c r="W538" s="116">
        <v>0</v>
      </c>
      <c r="X538" s="116" t="b">
        <v>0</v>
      </c>
      <c r="Y538" s="119">
        <f>IF(H538=FALSE,VLOOKUP($C538,Sales!$C:$F,4,FALSE),1)</f>
        <v>0</v>
      </c>
      <c r="Z538" s="116" t="str">
        <f t="shared" si="104"/>
        <v>Release</v>
      </c>
      <c r="AA538" s="118">
        <f t="shared" si="105"/>
        <v>45989</v>
      </c>
      <c r="AB538" s="118" t="str">
        <f t="shared" si="106"/>
        <v>HVO304-ZJAN03</v>
      </c>
      <c r="AC538" s="118">
        <f t="shared" si="107"/>
        <v>45989</v>
      </c>
    </row>
    <row r="539" spans="1:29" ht="16" x14ac:dyDescent="0.2">
      <c r="A539" s="116" t="s">
        <v>745</v>
      </c>
      <c r="B539" s="116">
        <v>3</v>
      </c>
      <c r="C539" s="116" t="s">
        <v>885</v>
      </c>
      <c r="D539" s="116" t="s">
        <v>854</v>
      </c>
      <c r="E539" s="116" t="s">
        <v>2205</v>
      </c>
      <c r="F539" s="117">
        <f>SUMIFS(Investors!$M:$M,Investors!$O:$O,FALSE,Investors!$P:$P,FALSE,Investors!$K:$K,"&gt;"&amp;'NSST Print'!$B$3,Investors!$I:$I,"&lt;="&amp;'NSST Print'!$B$3,Investors!$A:$A,'Investor Exit List'!$A539,Investors!$E:$E,'Investor Exit List'!$C539,Investors!$L:$L,'Investor Exit List'!$B539)-(SUMIFS(Investors!$M:$M,Investors!$I:$I,"&lt;="&amp;'NSST Print'!$B$3,Investors!$J:$J,"&gt;"&amp;'NSST Print'!$B$3,Investors!$A:$A,'Investor Exit List'!$A539,Investors!$E:$E,'Investor Exit List'!$C539,Investors!$L:$L,'Investor Exit List'!$B539)+SUMIFS(Investors!$M:$M,Investors!$I:$I,"&lt;="&amp;'NSST Print'!$B$3,Investors!$J:$J,"",Investors!$A:$A,'Investor Exit List'!$A539,Investors!$E:$E,'Investor Exit List'!$C539,Investors!$L:$L,'Investor Exit List'!$B539))</f>
        <v>1000000</v>
      </c>
      <c r="G539" s="118">
        <v>45259</v>
      </c>
      <c r="H539" s="116" t="b">
        <f>VLOOKUP($C539,Sales!$C:$E,2,FALSE)</f>
        <v>0</v>
      </c>
      <c r="I539" s="116" t="b">
        <f>VLOOKUP($C539,Sales!$C:$E,3,FALSE)</f>
        <v>0</v>
      </c>
      <c r="J539" s="118">
        <f>SUMIFS(Sales!$H:$H,Sales!$C:$C,'Investor Exit List'!$C539)</f>
        <v>45518</v>
      </c>
      <c r="K539" s="118" t="str">
        <f t="shared" si="96"/>
        <v/>
      </c>
      <c r="L539" s="118">
        <f t="shared" si="97"/>
        <v>45989</v>
      </c>
      <c r="M539" s="118">
        <v>45443</v>
      </c>
      <c r="N539" s="119">
        <f t="shared" si="98"/>
        <v>546</v>
      </c>
      <c r="O539" s="119">
        <f t="shared" si="99"/>
        <v>0</v>
      </c>
      <c r="P539" s="117">
        <f t="shared" si="100"/>
        <v>0</v>
      </c>
      <c r="Q539" s="117">
        <f>SUMIFS(Investors!$M:$M,Investors!$O:$O,FALSE,Investors!$P:$P,FALSE,Investors!$K:$K,"&gt;"&amp;'NSST Print'!$B$3,Investors!$I:$I,"&lt;="&amp;'NSST Print'!$B$3,Investors!$A:$A,'Investor Exit List'!$A539,Investors!$E:$E,'Investor Exit List'!$C539,Investors!$L:$L,'Investor Exit List'!$B539)-(SUMIFS(Investors!$M:$M,Investors!$I:$I,"&lt;="&amp;'NSST Print'!$B$3,Investors!$J:$J,"&gt;"&amp;'NSST Print'!$B$3,Investors!$A:$A,'Investor Exit List'!$A539,Investors!$E:$E,'Investor Exit List'!$C539,Investors!$L:$L,'Investor Exit List'!$B539)+SUMIFS(Investors!$M:$M,Investors!$I:$I,"&lt;="&amp;'NSST Print'!$B$3,Investors!$J:$J,"",Investors!$A:$A,'Investor Exit List'!$A539,Investors!$E:$E,'Investor Exit List'!$C539,Investors!$L:$L,'Investor Exit List'!$B539))+SUMIFS(Investors!$S:$S,Investors!$O:$O,FALSE,Investors!$P:$P,FALSE,Investors!$K:$K,"&gt;"&amp;'NSST Print'!$B$3,Investors!$I:$I,"&lt;="&amp;'NSST Print'!$B$3,Investors!$A:$A,'Investor Exit List'!$A539,Investors!$E:$E,'Investor Exit List'!$C539,Investors!$L:$L,'Investor Exit List'!$B539)-(SUMIFS(Investors!$S:$S,Investors!$I:$I,"&lt;="&amp;'NSST Print'!$B$3,Investors!$J:$J,"&gt;"&amp;'NSST Print'!$B$3,Investors!$A:$A,'Investor Exit List'!$A539,Investors!$E:$E,'Investor Exit List'!$C539,Investors!$L:$L,'Investor Exit List'!$B539)+SUMIFS(Investors!$S:$S,Investors!$I:$I,"&lt;="&amp;'NSST Print'!$B$3,Investors!$J:$J,"",Investors!$A:$A,'Investor Exit List'!$A539,Investors!$E:$E,'Investor Exit List'!$C539,Investors!$L:$L,'Investor Exit List'!$B539))</f>
        <v>1196958.9041095891</v>
      </c>
      <c r="R539" s="117">
        <f t="shared" si="101"/>
        <v>0</v>
      </c>
      <c r="S539" s="117">
        <f>SUMIFS(Investors!$M:$M,Investors!$O:$O,TRUE,Investors!$A:$A,'Investor Exit List'!$A539,Investors!$E:$E,'Investor Exit List'!$C539,Investors!$L:$L,'Investor Exit List'!$B539)+SUMIFS(Investors!$S:$S,Investors!$O:$O,TRUE,Investors!$A:$A,'Investor Exit List'!$A539,Investors!$E:$E,'Investor Exit List'!$C539,Investors!$L:$L,'Investor Exit List'!$B539)</f>
        <v>0</v>
      </c>
      <c r="T539" s="118" t="str">
        <f t="shared" si="102"/>
        <v/>
      </c>
      <c r="U539" s="116" t="b">
        <v>0</v>
      </c>
      <c r="V539" s="117">
        <f t="shared" si="103"/>
        <v>0</v>
      </c>
      <c r="W539" s="116">
        <v>0</v>
      </c>
      <c r="X539" s="116" t="b">
        <v>0</v>
      </c>
      <c r="Y539" s="119">
        <f>IF(H539=FALSE,VLOOKUP($C539,Sales!$C:$F,4,FALSE),1)</f>
        <v>0</v>
      </c>
      <c r="Z539" s="116" t="str">
        <f t="shared" si="104"/>
        <v>Release</v>
      </c>
      <c r="AA539" s="118">
        <f t="shared" si="105"/>
        <v>45989</v>
      </c>
      <c r="AB539" s="118" t="str">
        <f t="shared" si="106"/>
        <v>HVO304-ZVIS02</v>
      </c>
      <c r="AC539" s="118">
        <f t="shared" si="107"/>
        <v>45989</v>
      </c>
    </row>
    <row r="540" spans="1:29" ht="16" x14ac:dyDescent="0.2">
      <c r="A540" s="116" t="s">
        <v>399</v>
      </c>
      <c r="B540" s="116">
        <v>2</v>
      </c>
      <c r="C540" s="116" t="s">
        <v>886</v>
      </c>
      <c r="D540" s="116" t="s">
        <v>854</v>
      </c>
      <c r="E540" s="116" t="s">
        <v>2118</v>
      </c>
      <c r="F540" s="117">
        <f>SUMIFS(Investors!$M:$M,Investors!$O:$O,FALSE,Investors!$P:$P,FALSE,Investors!$K:$K,"&gt;"&amp;'NSST Print'!$B$3,Investors!$I:$I,"&lt;="&amp;'NSST Print'!$B$3,Investors!$A:$A,'Investor Exit List'!$A540,Investors!$E:$E,'Investor Exit List'!$C540,Investors!$L:$L,'Investor Exit List'!$B540)-(SUMIFS(Investors!$M:$M,Investors!$I:$I,"&lt;="&amp;'NSST Print'!$B$3,Investors!$J:$J,"&gt;"&amp;'NSST Print'!$B$3,Investors!$A:$A,'Investor Exit List'!$A540,Investors!$E:$E,'Investor Exit List'!$C540,Investors!$L:$L,'Investor Exit List'!$B540)+SUMIFS(Investors!$M:$M,Investors!$I:$I,"&lt;="&amp;'NSST Print'!$B$3,Investors!$J:$J,"",Investors!$A:$A,'Investor Exit List'!$A540,Investors!$E:$E,'Investor Exit List'!$C540,Investors!$L:$L,'Investor Exit List'!$B540))</f>
        <v>500000</v>
      </c>
      <c r="G540" s="118">
        <v>45107</v>
      </c>
      <c r="H540" s="116" t="b">
        <f>VLOOKUP($C540,Sales!$C:$E,2,FALSE)</f>
        <v>0</v>
      </c>
      <c r="I540" s="116" t="b">
        <f>VLOOKUP($C540,Sales!$C:$E,3,FALSE)</f>
        <v>0</v>
      </c>
      <c r="J540" s="118">
        <f>SUMIFS(Sales!$H:$H,Sales!$C:$C,'Investor Exit List'!$C540)</f>
        <v>45518</v>
      </c>
      <c r="K540" s="118" t="str">
        <f t="shared" si="96"/>
        <v/>
      </c>
      <c r="L540" s="118">
        <f t="shared" si="97"/>
        <v>45837</v>
      </c>
      <c r="M540" s="118">
        <v>45443</v>
      </c>
      <c r="N540" s="119">
        <f t="shared" si="98"/>
        <v>394</v>
      </c>
      <c r="O540" s="119">
        <f t="shared" si="99"/>
        <v>0</v>
      </c>
      <c r="P540" s="117">
        <f t="shared" si="100"/>
        <v>0</v>
      </c>
      <c r="Q540" s="117">
        <f>SUMIFS(Investors!$M:$M,Investors!$O:$O,FALSE,Investors!$P:$P,FALSE,Investors!$K:$K,"&gt;"&amp;'NSST Print'!$B$3,Investors!$I:$I,"&lt;="&amp;'NSST Print'!$B$3,Investors!$A:$A,'Investor Exit List'!$A540,Investors!$E:$E,'Investor Exit List'!$C540,Investors!$L:$L,'Investor Exit List'!$B540)-(SUMIFS(Investors!$M:$M,Investors!$I:$I,"&lt;="&amp;'NSST Print'!$B$3,Investors!$J:$J,"&gt;"&amp;'NSST Print'!$B$3,Investors!$A:$A,'Investor Exit List'!$A540,Investors!$E:$E,'Investor Exit List'!$C540,Investors!$L:$L,'Investor Exit List'!$B540)+SUMIFS(Investors!$M:$M,Investors!$I:$I,"&lt;="&amp;'NSST Print'!$B$3,Investors!$J:$J,"",Investors!$A:$A,'Investor Exit List'!$A540,Investors!$E:$E,'Investor Exit List'!$C540,Investors!$L:$L,'Investor Exit List'!$B540))+SUMIFS(Investors!$S:$S,Investors!$O:$O,FALSE,Investors!$P:$P,FALSE,Investors!$K:$K,"&gt;"&amp;'NSST Print'!$B$3,Investors!$I:$I,"&lt;="&amp;'NSST Print'!$B$3,Investors!$A:$A,'Investor Exit List'!$A540,Investors!$E:$E,'Investor Exit List'!$C540,Investors!$L:$L,'Investor Exit List'!$B540)-(SUMIFS(Investors!$S:$S,Investors!$I:$I,"&lt;="&amp;'NSST Print'!$B$3,Investors!$J:$J,"&gt;"&amp;'NSST Print'!$B$3,Investors!$A:$A,'Investor Exit List'!$A540,Investors!$E:$E,'Investor Exit List'!$C540,Investors!$L:$L,'Investor Exit List'!$B540)+SUMIFS(Investors!$S:$S,Investors!$I:$I,"&lt;="&amp;'NSST Print'!$B$3,Investors!$J:$J,"",Investors!$A:$A,'Investor Exit List'!$A540,Investors!$E:$E,'Investor Exit List'!$C540,Investors!$L:$L,'Investor Exit List'!$B540))</f>
        <v>623979.45205479464</v>
      </c>
      <c r="R540" s="117">
        <f t="shared" si="101"/>
        <v>0</v>
      </c>
      <c r="S540" s="117">
        <f>SUMIFS(Investors!$M:$M,Investors!$O:$O,TRUE,Investors!$A:$A,'Investor Exit List'!$A540,Investors!$E:$E,'Investor Exit List'!$C540,Investors!$L:$L,'Investor Exit List'!$B540)+SUMIFS(Investors!$S:$S,Investors!$O:$O,TRUE,Investors!$A:$A,'Investor Exit List'!$A540,Investors!$E:$E,'Investor Exit List'!$C540,Investors!$L:$L,'Investor Exit List'!$B540)</f>
        <v>0</v>
      </c>
      <c r="T540" s="118" t="str">
        <f t="shared" si="102"/>
        <v/>
      </c>
      <c r="U540" s="116" t="b">
        <v>0</v>
      </c>
      <c r="V540" s="117">
        <f t="shared" si="103"/>
        <v>0</v>
      </c>
      <c r="W540" s="116">
        <v>0</v>
      </c>
      <c r="X540" s="116" t="b">
        <v>0</v>
      </c>
      <c r="Y540" s="119">
        <f>IF(H540=FALSE,VLOOKUP($C540,Sales!$C:$F,4,FALSE),1)</f>
        <v>0</v>
      </c>
      <c r="Z540" s="116" t="str">
        <f t="shared" si="104"/>
        <v>Release</v>
      </c>
      <c r="AA540" s="118">
        <f t="shared" si="105"/>
        <v>45837</v>
      </c>
      <c r="AB540" s="118" t="str">
        <f t="shared" si="106"/>
        <v>HVO305-ZDEV01</v>
      </c>
      <c r="AC540" s="118">
        <f t="shared" si="107"/>
        <v>45837</v>
      </c>
    </row>
    <row r="541" spans="1:29" ht="16" x14ac:dyDescent="0.2">
      <c r="A541" s="116" t="s">
        <v>309</v>
      </c>
      <c r="B541" s="116">
        <v>2</v>
      </c>
      <c r="C541" s="116" t="s">
        <v>886</v>
      </c>
      <c r="D541" s="116" t="s">
        <v>854</v>
      </c>
      <c r="E541" s="116" t="s">
        <v>2094</v>
      </c>
      <c r="F541" s="117">
        <f>SUMIFS(Investors!$M:$M,Investors!$O:$O,FALSE,Investors!$P:$P,FALSE,Investors!$K:$K,"&gt;"&amp;'NSST Print'!$B$3,Investors!$I:$I,"&lt;="&amp;'NSST Print'!$B$3,Investors!$A:$A,'Investor Exit List'!$A541,Investors!$E:$E,'Investor Exit List'!$C541,Investors!$L:$L,'Investor Exit List'!$B541)-(SUMIFS(Investors!$M:$M,Investors!$I:$I,"&lt;="&amp;'NSST Print'!$B$3,Investors!$J:$J,"&gt;"&amp;'NSST Print'!$B$3,Investors!$A:$A,'Investor Exit List'!$A541,Investors!$E:$E,'Investor Exit List'!$C541,Investors!$L:$L,'Investor Exit List'!$B541)+SUMIFS(Investors!$M:$M,Investors!$I:$I,"&lt;="&amp;'NSST Print'!$B$3,Investors!$J:$J,"",Investors!$A:$A,'Investor Exit List'!$A541,Investors!$E:$E,'Investor Exit List'!$C541,Investors!$L:$L,'Investor Exit List'!$B541))</f>
        <v>400000</v>
      </c>
      <c r="G541" s="118">
        <v>45161</v>
      </c>
      <c r="H541" s="116" t="b">
        <f>VLOOKUP($C541,Sales!$C:$E,2,FALSE)</f>
        <v>0</v>
      </c>
      <c r="I541" s="116" t="b">
        <f>VLOOKUP($C541,Sales!$C:$E,3,FALSE)</f>
        <v>0</v>
      </c>
      <c r="J541" s="118">
        <f>SUMIFS(Sales!$H:$H,Sales!$C:$C,'Investor Exit List'!$C541)</f>
        <v>45518</v>
      </c>
      <c r="K541" s="118" t="str">
        <f t="shared" si="96"/>
        <v/>
      </c>
      <c r="L541" s="118">
        <f t="shared" si="97"/>
        <v>45891</v>
      </c>
      <c r="M541" s="118">
        <v>45443</v>
      </c>
      <c r="N541" s="119">
        <f t="shared" si="98"/>
        <v>448</v>
      </c>
      <c r="O541" s="119">
        <f t="shared" si="99"/>
        <v>0</v>
      </c>
      <c r="P541" s="117">
        <f t="shared" si="100"/>
        <v>0</v>
      </c>
      <c r="Q541" s="117">
        <f>SUMIFS(Investors!$M:$M,Investors!$O:$O,FALSE,Investors!$P:$P,FALSE,Investors!$K:$K,"&gt;"&amp;'NSST Print'!$B$3,Investors!$I:$I,"&lt;="&amp;'NSST Print'!$B$3,Investors!$A:$A,'Investor Exit List'!$A541,Investors!$E:$E,'Investor Exit List'!$C541,Investors!$L:$L,'Investor Exit List'!$B541)-(SUMIFS(Investors!$M:$M,Investors!$I:$I,"&lt;="&amp;'NSST Print'!$B$3,Investors!$J:$J,"&gt;"&amp;'NSST Print'!$B$3,Investors!$A:$A,'Investor Exit List'!$A541,Investors!$E:$E,'Investor Exit List'!$C541,Investors!$L:$L,'Investor Exit List'!$B541)+SUMIFS(Investors!$M:$M,Investors!$I:$I,"&lt;="&amp;'NSST Print'!$B$3,Investors!$J:$J,"",Investors!$A:$A,'Investor Exit List'!$A541,Investors!$E:$E,'Investor Exit List'!$C541,Investors!$L:$L,'Investor Exit List'!$B541))+SUMIFS(Investors!$S:$S,Investors!$O:$O,FALSE,Investors!$P:$P,FALSE,Investors!$K:$K,"&gt;"&amp;'NSST Print'!$B$3,Investors!$I:$I,"&lt;="&amp;'NSST Print'!$B$3,Investors!$A:$A,'Investor Exit List'!$A541,Investors!$E:$E,'Investor Exit List'!$C541,Investors!$L:$L,'Investor Exit List'!$B541)-(SUMIFS(Investors!$S:$S,Investors!$I:$I,"&lt;="&amp;'NSST Print'!$B$3,Investors!$J:$J,"&gt;"&amp;'NSST Print'!$B$3,Investors!$A:$A,'Investor Exit List'!$A541,Investors!$E:$E,'Investor Exit List'!$C541,Investors!$L:$L,'Investor Exit List'!$B541)+SUMIFS(Investors!$S:$S,Investors!$I:$I,"&lt;="&amp;'NSST Print'!$B$3,Investors!$J:$J,"",Investors!$A:$A,'Investor Exit List'!$A541,Investors!$E:$E,'Investor Exit List'!$C541,Investors!$L:$L,'Investor Exit List'!$B541))</f>
        <v>474504.10958904104</v>
      </c>
      <c r="R541" s="117">
        <f t="shared" si="101"/>
        <v>0</v>
      </c>
      <c r="S541" s="117">
        <f>SUMIFS(Investors!$M:$M,Investors!$O:$O,TRUE,Investors!$A:$A,'Investor Exit List'!$A541,Investors!$E:$E,'Investor Exit List'!$C541,Investors!$L:$L,'Investor Exit List'!$B541)+SUMIFS(Investors!$S:$S,Investors!$O:$O,TRUE,Investors!$A:$A,'Investor Exit List'!$A541,Investors!$E:$E,'Investor Exit List'!$C541,Investors!$L:$L,'Investor Exit List'!$B541)</f>
        <v>0</v>
      </c>
      <c r="T541" s="118" t="str">
        <f t="shared" si="102"/>
        <v/>
      </c>
      <c r="U541" s="116" t="b">
        <v>0</v>
      </c>
      <c r="V541" s="117">
        <f t="shared" si="103"/>
        <v>0</v>
      </c>
      <c r="W541" s="116">
        <v>0</v>
      </c>
      <c r="X541" s="116" t="b">
        <v>0</v>
      </c>
      <c r="Y541" s="119">
        <f>IF(H541=FALSE,VLOOKUP($C541,Sales!$C:$F,4,FALSE),1)</f>
        <v>0</v>
      </c>
      <c r="Z541" s="116" t="str">
        <f t="shared" si="104"/>
        <v>Release</v>
      </c>
      <c r="AA541" s="118">
        <f t="shared" si="105"/>
        <v>45837</v>
      </c>
      <c r="AB541" s="118" t="str">
        <f t="shared" si="106"/>
        <v>HVO305-ZFLA01</v>
      </c>
      <c r="AC541" s="118">
        <f t="shared" si="107"/>
        <v>45891</v>
      </c>
    </row>
    <row r="542" spans="1:29" ht="16" x14ac:dyDescent="0.2">
      <c r="A542" s="116" t="s">
        <v>887</v>
      </c>
      <c r="B542" s="116">
        <v>2</v>
      </c>
      <c r="C542" s="116" t="s">
        <v>886</v>
      </c>
      <c r="D542" s="116" t="s">
        <v>854</v>
      </c>
      <c r="E542" s="116" t="s">
        <v>2231</v>
      </c>
      <c r="F542" s="117">
        <f>SUMIFS(Investors!$M:$M,Investors!$O:$O,FALSE,Investors!$P:$P,FALSE,Investors!$K:$K,"&gt;"&amp;'NSST Print'!$B$3,Investors!$I:$I,"&lt;="&amp;'NSST Print'!$B$3,Investors!$A:$A,'Investor Exit List'!$A542,Investors!$E:$E,'Investor Exit List'!$C542,Investors!$L:$L,'Investor Exit List'!$B542)-(SUMIFS(Investors!$M:$M,Investors!$I:$I,"&lt;="&amp;'NSST Print'!$B$3,Investors!$J:$J,"&gt;"&amp;'NSST Print'!$B$3,Investors!$A:$A,'Investor Exit List'!$A542,Investors!$E:$E,'Investor Exit List'!$C542,Investors!$L:$L,'Investor Exit List'!$B542)+SUMIFS(Investors!$M:$M,Investors!$I:$I,"&lt;="&amp;'NSST Print'!$B$3,Investors!$J:$J,"",Investors!$A:$A,'Investor Exit List'!$A542,Investors!$E:$E,'Investor Exit List'!$C542,Investors!$L:$L,'Investor Exit List'!$B542))</f>
        <v>118439.03999999999</v>
      </c>
      <c r="G542" s="118">
        <v>45129</v>
      </c>
      <c r="H542" s="116" t="b">
        <f>VLOOKUP($C542,Sales!$C:$E,2,FALSE)</f>
        <v>0</v>
      </c>
      <c r="I542" s="116" t="b">
        <f>VLOOKUP($C542,Sales!$C:$E,3,FALSE)</f>
        <v>0</v>
      </c>
      <c r="J542" s="118">
        <f>SUMIFS(Sales!$H:$H,Sales!$C:$C,'Investor Exit List'!$C542)</f>
        <v>45518</v>
      </c>
      <c r="K542" s="118" t="str">
        <f t="shared" si="96"/>
        <v/>
      </c>
      <c r="L542" s="118">
        <f t="shared" si="97"/>
        <v>45859</v>
      </c>
      <c r="M542" s="118">
        <v>45443</v>
      </c>
      <c r="N542" s="119">
        <f t="shared" si="98"/>
        <v>416</v>
      </c>
      <c r="O542" s="119">
        <f t="shared" si="99"/>
        <v>0</v>
      </c>
      <c r="P542" s="117">
        <f t="shared" si="100"/>
        <v>0</v>
      </c>
      <c r="Q542" s="117">
        <f>SUMIFS(Investors!$M:$M,Investors!$O:$O,FALSE,Investors!$P:$P,FALSE,Investors!$K:$K,"&gt;"&amp;'NSST Print'!$B$3,Investors!$I:$I,"&lt;="&amp;'NSST Print'!$B$3,Investors!$A:$A,'Investor Exit List'!$A542,Investors!$E:$E,'Investor Exit List'!$C542,Investors!$L:$L,'Investor Exit List'!$B542)-(SUMIFS(Investors!$M:$M,Investors!$I:$I,"&lt;="&amp;'NSST Print'!$B$3,Investors!$J:$J,"&gt;"&amp;'NSST Print'!$B$3,Investors!$A:$A,'Investor Exit List'!$A542,Investors!$E:$E,'Investor Exit List'!$C542,Investors!$L:$L,'Investor Exit List'!$B542)+SUMIFS(Investors!$M:$M,Investors!$I:$I,"&lt;="&amp;'NSST Print'!$B$3,Investors!$J:$J,"",Investors!$A:$A,'Investor Exit List'!$A542,Investors!$E:$E,'Investor Exit List'!$C542,Investors!$L:$L,'Investor Exit List'!$B542))+SUMIFS(Investors!$S:$S,Investors!$O:$O,FALSE,Investors!$P:$P,FALSE,Investors!$K:$K,"&gt;"&amp;'NSST Print'!$B$3,Investors!$I:$I,"&lt;="&amp;'NSST Print'!$B$3,Investors!$A:$A,'Investor Exit List'!$A542,Investors!$E:$E,'Investor Exit List'!$C542,Investors!$L:$L,'Investor Exit List'!$B542)-(SUMIFS(Investors!$S:$S,Investors!$I:$I,"&lt;="&amp;'NSST Print'!$B$3,Investors!$J:$J,"&gt;"&amp;'NSST Print'!$B$3,Investors!$A:$A,'Investor Exit List'!$A542,Investors!$E:$E,'Investor Exit List'!$C542,Investors!$L:$L,'Investor Exit List'!$B542)+SUMIFS(Investors!$S:$S,Investors!$I:$I,"&lt;="&amp;'NSST Print'!$B$3,Investors!$J:$J,"",Investors!$A:$A,'Investor Exit List'!$A542,Investors!$E:$E,'Investor Exit List'!$C542,Investors!$L:$L,'Investor Exit List'!$B542))</f>
        <v>140204.24166575342</v>
      </c>
      <c r="R542" s="117">
        <f t="shared" si="101"/>
        <v>0</v>
      </c>
      <c r="S542" s="117">
        <f>SUMIFS(Investors!$M:$M,Investors!$O:$O,TRUE,Investors!$A:$A,'Investor Exit List'!$A542,Investors!$E:$E,'Investor Exit List'!$C542,Investors!$L:$L,'Investor Exit List'!$B542)+SUMIFS(Investors!$S:$S,Investors!$O:$O,TRUE,Investors!$A:$A,'Investor Exit List'!$A542,Investors!$E:$E,'Investor Exit List'!$C542,Investors!$L:$L,'Investor Exit List'!$B542)</f>
        <v>0</v>
      </c>
      <c r="T542" s="118" t="str">
        <f t="shared" si="102"/>
        <v/>
      </c>
      <c r="U542" s="116" t="b">
        <v>0</v>
      </c>
      <c r="V542" s="117">
        <f t="shared" si="103"/>
        <v>0</v>
      </c>
      <c r="W542" s="116">
        <v>0</v>
      </c>
      <c r="X542" s="116" t="b">
        <v>0</v>
      </c>
      <c r="Y542" s="119">
        <f>IF(H542=FALSE,VLOOKUP($C542,Sales!$C:$F,4,FALSE),1)</f>
        <v>0</v>
      </c>
      <c r="Z542" s="116" t="str">
        <f t="shared" si="104"/>
        <v>Release</v>
      </c>
      <c r="AA542" s="118">
        <f t="shared" si="105"/>
        <v>45837</v>
      </c>
      <c r="AB542" s="118" t="str">
        <f t="shared" si="106"/>
        <v>HVO305-ZLIN01</v>
      </c>
      <c r="AC542" s="118">
        <f t="shared" si="107"/>
        <v>45859</v>
      </c>
    </row>
    <row r="543" spans="1:29" ht="16" x14ac:dyDescent="0.2">
      <c r="A543" s="116" t="s">
        <v>182</v>
      </c>
      <c r="B543" s="116">
        <v>2</v>
      </c>
      <c r="C543" s="116" t="s">
        <v>886</v>
      </c>
      <c r="D543" s="116" t="s">
        <v>854</v>
      </c>
      <c r="E543" s="116" t="s">
        <v>2057</v>
      </c>
      <c r="F543" s="117">
        <f>SUMIFS(Investors!$M:$M,Investors!$O:$O,FALSE,Investors!$P:$P,FALSE,Investors!$K:$K,"&gt;"&amp;'NSST Print'!$B$3,Investors!$I:$I,"&lt;="&amp;'NSST Print'!$B$3,Investors!$A:$A,'Investor Exit List'!$A543,Investors!$E:$E,'Investor Exit List'!$C543,Investors!$L:$L,'Investor Exit List'!$B543)-(SUMIFS(Investors!$M:$M,Investors!$I:$I,"&lt;="&amp;'NSST Print'!$B$3,Investors!$J:$J,"&gt;"&amp;'NSST Print'!$B$3,Investors!$A:$A,'Investor Exit List'!$A543,Investors!$E:$E,'Investor Exit List'!$C543,Investors!$L:$L,'Investor Exit List'!$B543)+SUMIFS(Investors!$M:$M,Investors!$I:$I,"&lt;="&amp;'NSST Print'!$B$3,Investors!$J:$J,"",Investors!$A:$A,'Investor Exit List'!$A543,Investors!$E:$E,'Investor Exit List'!$C543,Investors!$L:$L,'Investor Exit List'!$B543))</f>
        <v>100000</v>
      </c>
      <c r="G543" s="118">
        <v>45161</v>
      </c>
      <c r="H543" s="116" t="b">
        <f>VLOOKUP($C543,Sales!$C:$E,2,FALSE)</f>
        <v>0</v>
      </c>
      <c r="I543" s="116" t="b">
        <f>VLOOKUP($C543,Sales!$C:$E,3,FALSE)</f>
        <v>0</v>
      </c>
      <c r="J543" s="118">
        <f>SUMIFS(Sales!$H:$H,Sales!$C:$C,'Investor Exit List'!$C543)</f>
        <v>45518</v>
      </c>
      <c r="K543" s="118" t="str">
        <f t="shared" si="96"/>
        <v/>
      </c>
      <c r="L543" s="118">
        <f t="shared" si="97"/>
        <v>45891</v>
      </c>
      <c r="M543" s="118">
        <v>45443</v>
      </c>
      <c r="N543" s="119">
        <f t="shared" si="98"/>
        <v>448</v>
      </c>
      <c r="O543" s="119">
        <f t="shared" si="99"/>
        <v>0</v>
      </c>
      <c r="P543" s="117">
        <f t="shared" si="100"/>
        <v>0</v>
      </c>
      <c r="Q543" s="117">
        <f>SUMIFS(Investors!$M:$M,Investors!$O:$O,FALSE,Investors!$P:$P,FALSE,Investors!$K:$K,"&gt;"&amp;'NSST Print'!$B$3,Investors!$I:$I,"&lt;="&amp;'NSST Print'!$B$3,Investors!$A:$A,'Investor Exit List'!$A543,Investors!$E:$E,'Investor Exit List'!$C543,Investors!$L:$L,'Investor Exit List'!$B543)-(SUMIFS(Investors!$M:$M,Investors!$I:$I,"&lt;="&amp;'NSST Print'!$B$3,Investors!$J:$J,"&gt;"&amp;'NSST Print'!$B$3,Investors!$A:$A,'Investor Exit List'!$A543,Investors!$E:$E,'Investor Exit List'!$C543,Investors!$L:$L,'Investor Exit List'!$B543)+SUMIFS(Investors!$M:$M,Investors!$I:$I,"&lt;="&amp;'NSST Print'!$B$3,Investors!$J:$J,"",Investors!$A:$A,'Investor Exit List'!$A543,Investors!$E:$E,'Investor Exit List'!$C543,Investors!$L:$L,'Investor Exit List'!$B543))+SUMIFS(Investors!$S:$S,Investors!$O:$O,FALSE,Investors!$P:$P,FALSE,Investors!$K:$K,"&gt;"&amp;'NSST Print'!$B$3,Investors!$I:$I,"&lt;="&amp;'NSST Print'!$B$3,Investors!$A:$A,'Investor Exit List'!$A543,Investors!$E:$E,'Investor Exit List'!$C543,Investors!$L:$L,'Investor Exit List'!$B543)-(SUMIFS(Investors!$S:$S,Investors!$I:$I,"&lt;="&amp;'NSST Print'!$B$3,Investors!$J:$J,"&gt;"&amp;'NSST Print'!$B$3,Investors!$A:$A,'Investor Exit List'!$A543,Investors!$E:$E,'Investor Exit List'!$C543,Investors!$L:$L,'Investor Exit List'!$B543)+SUMIFS(Investors!$S:$S,Investors!$I:$I,"&lt;="&amp;'NSST Print'!$B$3,Investors!$J:$J,"",Investors!$A:$A,'Investor Exit List'!$A543,Investors!$E:$E,'Investor Exit List'!$C543,Investors!$L:$L,'Investor Exit List'!$B543))</f>
        <v>118027.39726027395</v>
      </c>
      <c r="R543" s="117">
        <f t="shared" si="101"/>
        <v>0</v>
      </c>
      <c r="S543" s="117">
        <f>SUMIFS(Investors!$M:$M,Investors!$O:$O,TRUE,Investors!$A:$A,'Investor Exit List'!$A543,Investors!$E:$E,'Investor Exit List'!$C543,Investors!$L:$L,'Investor Exit List'!$B543)+SUMIFS(Investors!$S:$S,Investors!$O:$O,TRUE,Investors!$A:$A,'Investor Exit List'!$A543,Investors!$E:$E,'Investor Exit List'!$C543,Investors!$L:$L,'Investor Exit List'!$B543)</f>
        <v>0</v>
      </c>
      <c r="T543" s="118" t="str">
        <f t="shared" si="102"/>
        <v/>
      </c>
      <c r="U543" s="116" t="b">
        <v>0</v>
      </c>
      <c r="V543" s="117">
        <f t="shared" si="103"/>
        <v>0</v>
      </c>
      <c r="W543" s="116">
        <v>0</v>
      </c>
      <c r="X543" s="116" t="b">
        <v>0</v>
      </c>
      <c r="Y543" s="119">
        <f>IF(H543=FALSE,VLOOKUP($C543,Sales!$C:$F,4,FALSE),1)</f>
        <v>0</v>
      </c>
      <c r="Z543" s="116" t="str">
        <f t="shared" si="104"/>
        <v>Release</v>
      </c>
      <c r="AA543" s="118">
        <f t="shared" si="105"/>
        <v>45837</v>
      </c>
      <c r="AB543" s="118" t="str">
        <f t="shared" si="106"/>
        <v>HVO305-ZSOU02</v>
      </c>
      <c r="AC543" s="118">
        <f t="shared" si="107"/>
        <v>45891</v>
      </c>
    </row>
    <row r="544" spans="1:29" ht="16" x14ac:dyDescent="0.2">
      <c r="A544" s="116" t="s">
        <v>570</v>
      </c>
      <c r="B544" s="116">
        <v>1</v>
      </c>
      <c r="C544" s="116" t="s">
        <v>890</v>
      </c>
      <c r="D544" s="116" t="s">
        <v>891</v>
      </c>
      <c r="E544" s="116" t="s">
        <v>2167</v>
      </c>
      <c r="F544" s="117">
        <f>SUMIFS(Investors!$M:$M,Investors!$O:$O,FALSE,Investors!$P:$P,FALSE,Investors!$K:$K,"&gt;"&amp;'NSST Print'!$B$3,Investors!$I:$I,"&lt;="&amp;'NSST Print'!$B$3,Investors!$A:$A,'Investor Exit List'!$A544,Investors!$E:$E,'Investor Exit List'!$C544,Investors!$L:$L,'Investor Exit List'!$B544)-(SUMIFS(Investors!$M:$M,Investors!$I:$I,"&lt;="&amp;'NSST Print'!$B$3,Investors!$J:$J,"&gt;"&amp;'NSST Print'!$B$3,Investors!$A:$A,'Investor Exit List'!$A544,Investors!$E:$E,'Investor Exit List'!$C544,Investors!$L:$L,'Investor Exit List'!$B544)+SUMIFS(Investors!$M:$M,Investors!$I:$I,"&lt;="&amp;'NSST Print'!$B$3,Investors!$J:$J,"",Investors!$A:$A,'Investor Exit List'!$A544,Investors!$E:$E,'Investor Exit List'!$C544,Investors!$L:$L,'Investor Exit List'!$B544))</f>
        <v>0</v>
      </c>
      <c r="G544" s="118">
        <v>44791</v>
      </c>
      <c r="H544" s="116" t="b">
        <f>VLOOKUP($C544,Sales!$C:$E,2,FALSE)</f>
        <v>1</v>
      </c>
      <c r="I544" s="116" t="b">
        <f>VLOOKUP($C544,Sales!$C:$E,3,FALSE)</f>
        <v>1</v>
      </c>
      <c r="J544" s="118">
        <f>SUMIFS(Sales!$H:$H,Sales!$C:$C,'Investor Exit List'!$C544)</f>
        <v>45688</v>
      </c>
      <c r="K544" s="118">
        <f t="shared" si="96"/>
        <v>45688</v>
      </c>
      <c r="L544" s="118">
        <f t="shared" si="97"/>
        <v>45521</v>
      </c>
      <c r="M544" s="118">
        <v>45443</v>
      </c>
      <c r="N544" s="119">
        <f t="shared" si="98"/>
        <v>0</v>
      </c>
      <c r="O544" s="119">
        <f t="shared" si="99"/>
        <v>0</v>
      </c>
      <c r="P544" s="117">
        <f t="shared" si="100"/>
        <v>0</v>
      </c>
      <c r="Q544" s="117">
        <f>SUMIFS(Investors!$M:$M,Investors!$O:$O,FALSE,Investors!$P:$P,FALSE,Investors!$K:$K,"&gt;"&amp;'NSST Print'!$B$3,Investors!$I:$I,"&lt;="&amp;'NSST Print'!$B$3,Investors!$A:$A,'Investor Exit List'!$A544,Investors!$E:$E,'Investor Exit List'!$C544,Investors!$L:$L,'Investor Exit List'!$B544)-(SUMIFS(Investors!$M:$M,Investors!$I:$I,"&lt;="&amp;'NSST Print'!$B$3,Investors!$J:$J,"&gt;"&amp;'NSST Print'!$B$3,Investors!$A:$A,'Investor Exit List'!$A544,Investors!$E:$E,'Investor Exit List'!$C544,Investors!$L:$L,'Investor Exit List'!$B544)+SUMIFS(Investors!$M:$M,Investors!$I:$I,"&lt;="&amp;'NSST Print'!$B$3,Investors!$J:$J,"",Investors!$A:$A,'Investor Exit List'!$A544,Investors!$E:$E,'Investor Exit List'!$C544,Investors!$L:$L,'Investor Exit List'!$B544))+SUMIFS(Investors!$S:$S,Investors!$O:$O,FALSE,Investors!$P:$P,FALSE,Investors!$K:$K,"&gt;"&amp;'NSST Print'!$B$3,Investors!$I:$I,"&lt;="&amp;'NSST Print'!$B$3,Investors!$A:$A,'Investor Exit List'!$A544,Investors!$E:$E,'Investor Exit List'!$C544,Investors!$L:$L,'Investor Exit List'!$B544)-(SUMIFS(Investors!$S:$S,Investors!$I:$I,"&lt;="&amp;'NSST Print'!$B$3,Investors!$J:$J,"&gt;"&amp;'NSST Print'!$B$3,Investors!$A:$A,'Investor Exit List'!$A544,Investors!$E:$E,'Investor Exit List'!$C544,Investors!$L:$L,'Investor Exit List'!$B544)+SUMIFS(Investors!$S:$S,Investors!$I:$I,"&lt;="&amp;'NSST Print'!$B$3,Investors!$J:$J,"",Investors!$A:$A,'Investor Exit List'!$A544,Investors!$E:$E,'Investor Exit List'!$C544,Investors!$L:$L,'Investor Exit List'!$B544))</f>
        <v>0</v>
      </c>
      <c r="R544" s="117">
        <f t="shared" si="101"/>
        <v>0</v>
      </c>
      <c r="S544" s="117">
        <f>SUMIFS(Investors!$M:$M,Investors!$O:$O,TRUE,Investors!$A:$A,'Investor Exit List'!$A544,Investors!$E:$E,'Investor Exit List'!$C544,Investors!$L:$L,'Investor Exit List'!$B544)+SUMIFS(Investors!$S:$S,Investors!$O:$O,TRUE,Investors!$A:$A,'Investor Exit List'!$A544,Investors!$E:$E,'Investor Exit List'!$C544,Investors!$L:$L,'Investor Exit List'!$B544)</f>
        <v>0</v>
      </c>
      <c r="T544" s="118" t="str">
        <f t="shared" si="102"/>
        <v/>
      </c>
      <c r="U544" s="116" t="b">
        <v>0</v>
      </c>
      <c r="V544" s="117">
        <f t="shared" si="103"/>
        <v>0</v>
      </c>
      <c r="W544" s="116">
        <v>0</v>
      </c>
      <c r="X544" s="116" t="b">
        <v>0</v>
      </c>
      <c r="Y544" s="119">
        <f>IF(H544=FALSE,VLOOKUP($C544,Sales!$C:$F,4,FALSE),1)</f>
        <v>1</v>
      </c>
      <c r="Z544" s="116" t="str">
        <f t="shared" si="104"/>
        <v/>
      </c>
      <c r="AA544" s="118">
        <f t="shared" si="105"/>
        <v>0</v>
      </c>
      <c r="AB544" s="118" t="str">
        <f t="shared" si="106"/>
        <v>HVP101-ZFER02</v>
      </c>
      <c r="AC544" s="118">
        <f t="shared" si="107"/>
        <v>45521</v>
      </c>
    </row>
    <row r="545" spans="1:29" ht="16" x14ac:dyDescent="0.2">
      <c r="A545" s="116" t="s">
        <v>257</v>
      </c>
      <c r="B545" s="116">
        <v>3</v>
      </c>
      <c r="C545" s="116" t="s">
        <v>890</v>
      </c>
      <c r="D545" s="116" t="s">
        <v>891</v>
      </c>
      <c r="E545" s="116" t="s">
        <v>2080</v>
      </c>
      <c r="F545" s="117">
        <f>SUMIFS(Investors!$M:$M,Investors!$O:$O,FALSE,Investors!$P:$P,FALSE,Investors!$K:$K,"&gt;"&amp;'NSST Print'!$B$3,Investors!$I:$I,"&lt;="&amp;'NSST Print'!$B$3,Investors!$A:$A,'Investor Exit List'!$A545,Investors!$E:$E,'Investor Exit List'!$C545,Investors!$L:$L,'Investor Exit List'!$B545)-(SUMIFS(Investors!$M:$M,Investors!$I:$I,"&lt;="&amp;'NSST Print'!$B$3,Investors!$J:$J,"&gt;"&amp;'NSST Print'!$B$3,Investors!$A:$A,'Investor Exit List'!$A545,Investors!$E:$E,'Investor Exit List'!$C545,Investors!$L:$L,'Investor Exit List'!$B545)+SUMIFS(Investors!$M:$M,Investors!$I:$I,"&lt;="&amp;'NSST Print'!$B$3,Investors!$J:$J,"",Investors!$A:$A,'Investor Exit List'!$A545,Investors!$E:$E,'Investor Exit List'!$C545,Investors!$L:$L,'Investor Exit List'!$B545))</f>
        <v>0</v>
      </c>
      <c r="G545" s="118">
        <v>44833</v>
      </c>
      <c r="H545" s="116" t="b">
        <f>VLOOKUP($C545,Sales!$C:$E,2,FALSE)</f>
        <v>1</v>
      </c>
      <c r="I545" s="116" t="b">
        <f>VLOOKUP($C545,Sales!$C:$E,3,FALSE)</f>
        <v>1</v>
      </c>
      <c r="J545" s="118">
        <f>SUMIFS(Sales!$H:$H,Sales!$C:$C,'Investor Exit List'!$C545)</f>
        <v>45688</v>
      </c>
      <c r="K545" s="118">
        <f t="shared" si="96"/>
        <v>45688</v>
      </c>
      <c r="L545" s="118">
        <f t="shared" si="97"/>
        <v>45563</v>
      </c>
      <c r="M545" s="118">
        <v>45443</v>
      </c>
      <c r="N545" s="119">
        <f t="shared" si="98"/>
        <v>0</v>
      </c>
      <c r="O545" s="119">
        <f t="shared" si="99"/>
        <v>0</v>
      </c>
      <c r="P545" s="117">
        <f t="shared" si="100"/>
        <v>0</v>
      </c>
      <c r="Q545" s="117">
        <f>SUMIFS(Investors!$M:$M,Investors!$O:$O,FALSE,Investors!$P:$P,FALSE,Investors!$K:$K,"&gt;"&amp;'NSST Print'!$B$3,Investors!$I:$I,"&lt;="&amp;'NSST Print'!$B$3,Investors!$A:$A,'Investor Exit List'!$A545,Investors!$E:$E,'Investor Exit List'!$C545,Investors!$L:$L,'Investor Exit List'!$B545)-(SUMIFS(Investors!$M:$M,Investors!$I:$I,"&lt;="&amp;'NSST Print'!$B$3,Investors!$J:$J,"&gt;"&amp;'NSST Print'!$B$3,Investors!$A:$A,'Investor Exit List'!$A545,Investors!$E:$E,'Investor Exit List'!$C545,Investors!$L:$L,'Investor Exit List'!$B545)+SUMIFS(Investors!$M:$M,Investors!$I:$I,"&lt;="&amp;'NSST Print'!$B$3,Investors!$J:$J,"",Investors!$A:$A,'Investor Exit List'!$A545,Investors!$E:$E,'Investor Exit List'!$C545,Investors!$L:$L,'Investor Exit List'!$B545))+SUMIFS(Investors!$S:$S,Investors!$O:$O,FALSE,Investors!$P:$P,FALSE,Investors!$K:$K,"&gt;"&amp;'NSST Print'!$B$3,Investors!$I:$I,"&lt;="&amp;'NSST Print'!$B$3,Investors!$A:$A,'Investor Exit List'!$A545,Investors!$E:$E,'Investor Exit List'!$C545,Investors!$L:$L,'Investor Exit List'!$B545)-(SUMIFS(Investors!$S:$S,Investors!$I:$I,"&lt;="&amp;'NSST Print'!$B$3,Investors!$J:$J,"&gt;"&amp;'NSST Print'!$B$3,Investors!$A:$A,'Investor Exit List'!$A545,Investors!$E:$E,'Investor Exit List'!$C545,Investors!$L:$L,'Investor Exit List'!$B545)+SUMIFS(Investors!$S:$S,Investors!$I:$I,"&lt;="&amp;'NSST Print'!$B$3,Investors!$J:$J,"",Investors!$A:$A,'Investor Exit List'!$A545,Investors!$E:$E,'Investor Exit List'!$C545,Investors!$L:$L,'Investor Exit List'!$B545))</f>
        <v>0</v>
      </c>
      <c r="R545" s="117">
        <f t="shared" si="101"/>
        <v>0</v>
      </c>
      <c r="S545" s="117">
        <f>SUMIFS(Investors!$M:$M,Investors!$O:$O,TRUE,Investors!$A:$A,'Investor Exit List'!$A545,Investors!$E:$E,'Investor Exit List'!$C545,Investors!$L:$L,'Investor Exit List'!$B545)+SUMIFS(Investors!$S:$S,Investors!$O:$O,TRUE,Investors!$A:$A,'Investor Exit List'!$A545,Investors!$E:$E,'Investor Exit List'!$C545,Investors!$L:$L,'Investor Exit List'!$B545)</f>
        <v>0</v>
      </c>
      <c r="T545" s="118" t="str">
        <f t="shared" si="102"/>
        <v/>
      </c>
      <c r="U545" s="116" t="b">
        <v>0</v>
      </c>
      <c r="V545" s="117">
        <f t="shared" si="103"/>
        <v>0</v>
      </c>
      <c r="W545" s="116">
        <v>0</v>
      </c>
      <c r="X545" s="116" t="b">
        <v>0</v>
      </c>
      <c r="Y545" s="119">
        <f>IF(H545=FALSE,VLOOKUP($C545,Sales!$C:$F,4,FALSE),1)</f>
        <v>1</v>
      </c>
      <c r="Z545" s="116" t="str">
        <f t="shared" si="104"/>
        <v/>
      </c>
      <c r="AA545" s="118">
        <f t="shared" si="105"/>
        <v>0</v>
      </c>
      <c r="AB545" s="118" t="str">
        <f t="shared" si="106"/>
        <v>HVP101-ZJOR01</v>
      </c>
      <c r="AC545" s="118">
        <f t="shared" si="107"/>
        <v>45563</v>
      </c>
    </row>
    <row r="546" spans="1:29" ht="16" x14ac:dyDescent="0.2">
      <c r="A546" s="116" t="s">
        <v>240</v>
      </c>
      <c r="B546" s="116">
        <v>6</v>
      </c>
      <c r="C546" s="116" t="s">
        <v>890</v>
      </c>
      <c r="D546" s="116" t="s">
        <v>891</v>
      </c>
      <c r="E546" s="116" t="s">
        <v>2075</v>
      </c>
      <c r="F546" s="117">
        <f>SUMIFS(Investors!$M:$M,Investors!$O:$O,FALSE,Investors!$P:$P,FALSE,Investors!$K:$K,"&gt;"&amp;'NSST Print'!$B$3,Investors!$I:$I,"&lt;="&amp;'NSST Print'!$B$3,Investors!$A:$A,'Investor Exit List'!$A546,Investors!$E:$E,'Investor Exit List'!$C546,Investors!$L:$L,'Investor Exit List'!$B546)-(SUMIFS(Investors!$M:$M,Investors!$I:$I,"&lt;="&amp;'NSST Print'!$B$3,Investors!$J:$J,"&gt;"&amp;'NSST Print'!$B$3,Investors!$A:$A,'Investor Exit List'!$A546,Investors!$E:$E,'Investor Exit List'!$C546,Investors!$L:$L,'Investor Exit List'!$B546)+SUMIFS(Investors!$M:$M,Investors!$I:$I,"&lt;="&amp;'NSST Print'!$B$3,Investors!$J:$J,"",Investors!$A:$A,'Investor Exit List'!$A546,Investors!$E:$E,'Investor Exit List'!$C546,Investors!$L:$L,'Investor Exit List'!$B546))</f>
        <v>0</v>
      </c>
      <c r="G546" s="118">
        <v>44819</v>
      </c>
      <c r="H546" s="116" t="b">
        <f>VLOOKUP($C546,Sales!$C:$E,2,FALSE)</f>
        <v>1</v>
      </c>
      <c r="I546" s="116" t="b">
        <f>VLOOKUP($C546,Sales!$C:$E,3,FALSE)</f>
        <v>1</v>
      </c>
      <c r="J546" s="118">
        <f>SUMIFS(Sales!$H:$H,Sales!$C:$C,'Investor Exit List'!$C546)</f>
        <v>45688</v>
      </c>
      <c r="K546" s="118">
        <f t="shared" si="96"/>
        <v>45688</v>
      </c>
      <c r="L546" s="118">
        <f t="shared" si="97"/>
        <v>45549</v>
      </c>
      <c r="M546" s="118">
        <v>45443</v>
      </c>
      <c r="N546" s="119">
        <f t="shared" si="98"/>
        <v>0</v>
      </c>
      <c r="O546" s="119">
        <f t="shared" si="99"/>
        <v>0</v>
      </c>
      <c r="P546" s="117">
        <f t="shared" si="100"/>
        <v>0</v>
      </c>
      <c r="Q546" s="117">
        <f>SUMIFS(Investors!$M:$M,Investors!$O:$O,FALSE,Investors!$P:$P,FALSE,Investors!$K:$K,"&gt;"&amp;'NSST Print'!$B$3,Investors!$I:$I,"&lt;="&amp;'NSST Print'!$B$3,Investors!$A:$A,'Investor Exit List'!$A546,Investors!$E:$E,'Investor Exit List'!$C546,Investors!$L:$L,'Investor Exit List'!$B546)-(SUMIFS(Investors!$M:$M,Investors!$I:$I,"&lt;="&amp;'NSST Print'!$B$3,Investors!$J:$J,"&gt;"&amp;'NSST Print'!$B$3,Investors!$A:$A,'Investor Exit List'!$A546,Investors!$E:$E,'Investor Exit List'!$C546,Investors!$L:$L,'Investor Exit List'!$B546)+SUMIFS(Investors!$M:$M,Investors!$I:$I,"&lt;="&amp;'NSST Print'!$B$3,Investors!$J:$J,"",Investors!$A:$A,'Investor Exit List'!$A546,Investors!$E:$E,'Investor Exit List'!$C546,Investors!$L:$L,'Investor Exit List'!$B546))+SUMIFS(Investors!$S:$S,Investors!$O:$O,FALSE,Investors!$P:$P,FALSE,Investors!$K:$K,"&gt;"&amp;'NSST Print'!$B$3,Investors!$I:$I,"&lt;="&amp;'NSST Print'!$B$3,Investors!$A:$A,'Investor Exit List'!$A546,Investors!$E:$E,'Investor Exit List'!$C546,Investors!$L:$L,'Investor Exit List'!$B546)-(SUMIFS(Investors!$S:$S,Investors!$I:$I,"&lt;="&amp;'NSST Print'!$B$3,Investors!$J:$J,"&gt;"&amp;'NSST Print'!$B$3,Investors!$A:$A,'Investor Exit List'!$A546,Investors!$E:$E,'Investor Exit List'!$C546,Investors!$L:$L,'Investor Exit List'!$B546)+SUMIFS(Investors!$S:$S,Investors!$I:$I,"&lt;="&amp;'NSST Print'!$B$3,Investors!$J:$J,"",Investors!$A:$A,'Investor Exit List'!$A546,Investors!$E:$E,'Investor Exit List'!$C546,Investors!$L:$L,'Investor Exit List'!$B546))</f>
        <v>0</v>
      </c>
      <c r="R546" s="117">
        <f t="shared" si="101"/>
        <v>0</v>
      </c>
      <c r="S546" s="117">
        <f>SUMIFS(Investors!$M:$M,Investors!$O:$O,TRUE,Investors!$A:$A,'Investor Exit List'!$A546,Investors!$E:$E,'Investor Exit List'!$C546,Investors!$L:$L,'Investor Exit List'!$B546)+SUMIFS(Investors!$S:$S,Investors!$O:$O,TRUE,Investors!$A:$A,'Investor Exit List'!$A546,Investors!$E:$E,'Investor Exit List'!$C546,Investors!$L:$L,'Investor Exit List'!$B546)</f>
        <v>0</v>
      </c>
      <c r="T546" s="118" t="str">
        <f t="shared" si="102"/>
        <v/>
      </c>
      <c r="U546" s="116" t="b">
        <v>0</v>
      </c>
      <c r="V546" s="117">
        <f t="shared" si="103"/>
        <v>0</v>
      </c>
      <c r="W546" s="116">
        <v>0</v>
      </c>
      <c r="X546" s="116" t="b">
        <v>0</v>
      </c>
      <c r="Y546" s="119">
        <f>IF(H546=FALSE,VLOOKUP($C546,Sales!$C:$F,4,FALSE),1)</f>
        <v>1</v>
      </c>
      <c r="Z546" s="116" t="str">
        <f t="shared" si="104"/>
        <v/>
      </c>
      <c r="AA546" s="118">
        <f t="shared" si="105"/>
        <v>0</v>
      </c>
      <c r="AB546" s="118" t="str">
        <f t="shared" si="106"/>
        <v>HVP101-ZKRU01</v>
      </c>
      <c r="AC546" s="118">
        <f t="shared" si="107"/>
        <v>45549</v>
      </c>
    </row>
    <row r="547" spans="1:29" ht="16" x14ac:dyDescent="0.2">
      <c r="A547" s="116" t="s">
        <v>403</v>
      </c>
      <c r="B547" s="116">
        <v>1</v>
      </c>
      <c r="C547" s="116" t="s">
        <v>890</v>
      </c>
      <c r="D547" s="116" t="s">
        <v>891</v>
      </c>
      <c r="E547" s="116" t="s">
        <v>2050</v>
      </c>
      <c r="F547" s="117">
        <f>SUMIFS(Investors!$M:$M,Investors!$O:$O,FALSE,Investors!$P:$P,FALSE,Investors!$K:$K,"&gt;"&amp;'NSST Print'!$B$3,Investors!$I:$I,"&lt;="&amp;'NSST Print'!$B$3,Investors!$A:$A,'Investor Exit List'!$A547,Investors!$E:$E,'Investor Exit List'!$C547,Investors!$L:$L,'Investor Exit List'!$B547)-(SUMIFS(Investors!$M:$M,Investors!$I:$I,"&lt;="&amp;'NSST Print'!$B$3,Investors!$J:$J,"&gt;"&amp;'NSST Print'!$B$3,Investors!$A:$A,'Investor Exit List'!$A547,Investors!$E:$E,'Investor Exit List'!$C547,Investors!$L:$L,'Investor Exit List'!$B547)+SUMIFS(Investors!$M:$M,Investors!$I:$I,"&lt;="&amp;'NSST Print'!$B$3,Investors!$J:$J,"",Investors!$A:$A,'Investor Exit List'!$A547,Investors!$E:$E,'Investor Exit List'!$C547,Investors!$L:$L,'Investor Exit List'!$B547))</f>
        <v>0</v>
      </c>
      <c r="G547" s="118">
        <v>44798</v>
      </c>
      <c r="H547" s="116" t="b">
        <f>VLOOKUP($C547,Sales!$C:$E,2,FALSE)</f>
        <v>1</v>
      </c>
      <c r="I547" s="116" t="b">
        <f>VLOOKUP($C547,Sales!$C:$E,3,FALSE)</f>
        <v>1</v>
      </c>
      <c r="J547" s="118">
        <f>SUMIFS(Sales!$H:$H,Sales!$C:$C,'Investor Exit List'!$C547)</f>
        <v>45688</v>
      </c>
      <c r="K547" s="118">
        <f t="shared" si="96"/>
        <v>45688</v>
      </c>
      <c r="L547" s="118">
        <f t="shared" si="97"/>
        <v>45528</v>
      </c>
      <c r="M547" s="118">
        <v>45443</v>
      </c>
      <c r="N547" s="119">
        <f t="shared" si="98"/>
        <v>0</v>
      </c>
      <c r="O547" s="119">
        <f t="shared" si="99"/>
        <v>0</v>
      </c>
      <c r="P547" s="117">
        <f t="shared" si="100"/>
        <v>0</v>
      </c>
      <c r="Q547" s="117">
        <f>SUMIFS(Investors!$M:$M,Investors!$O:$O,FALSE,Investors!$P:$P,FALSE,Investors!$K:$K,"&gt;"&amp;'NSST Print'!$B$3,Investors!$I:$I,"&lt;="&amp;'NSST Print'!$B$3,Investors!$A:$A,'Investor Exit List'!$A547,Investors!$E:$E,'Investor Exit List'!$C547,Investors!$L:$L,'Investor Exit List'!$B547)-(SUMIFS(Investors!$M:$M,Investors!$I:$I,"&lt;="&amp;'NSST Print'!$B$3,Investors!$J:$J,"&gt;"&amp;'NSST Print'!$B$3,Investors!$A:$A,'Investor Exit List'!$A547,Investors!$E:$E,'Investor Exit List'!$C547,Investors!$L:$L,'Investor Exit List'!$B547)+SUMIFS(Investors!$M:$M,Investors!$I:$I,"&lt;="&amp;'NSST Print'!$B$3,Investors!$J:$J,"",Investors!$A:$A,'Investor Exit List'!$A547,Investors!$E:$E,'Investor Exit List'!$C547,Investors!$L:$L,'Investor Exit List'!$B547))+SUMIFS(Investors!$S:$S,Investors!$O:$O,FALSE,Investors!$P:$P,FALSE,Investors!$K:$K,"&gt;"&amp;'NSST Print'!$B$3,Investors!$I:$I,"&lt;="&amp;'NSST Print'!$B$3,Investors!$A:$A,'Investor Exit List'!$A547,Investors!$E:$E,'Investor Exit List'!$C547,Investors!$L:$L,'Investor Exit List'!$B547)-(SUMIFS(Investors!$S:$S,Investors!$I:$I,"&lt;="&amp;'NSST Print'!$B$3,Investors!$J:$J,"&gt;"&amp;'NSST Print'!$B$3,Investors!$A:$A,'Investor Exit List'!$A547,Investors!$E:$E,'Investor Exit List'!$C547,Investors!$L:$L,'Investor Exit List'!$B547)+SUMIFS(Investors!$S:$S,Investors!$I:$I,"&lt;="&amp;'NSST Print'!$B$3,Investors!$J:$J,"",Investors!$A:$A,'Investor Exit List'!$A547,Investors!$E:$E,'Investor Exit List'!$C547,Investors!$L:$L,'Investor Exit List'!$B547))</f>
        <v>0</v>
      </c>
      <c r="R547" s="117">
        <f t="shared" si="101"/>
        <v>0</v>
      </c>
      <c r="S547" s="117">
        <f>SUMIFS(Investors!$M:$M,Investors!$O:$O,TRUE,Investors!$A:$A,'Investor Exit List'!$A547,Investors!$E:$E,'Investor Exit List'!$C547,Investors!$L:$L,'Investor Exit List'!$B547)+SUMIFS(Investors!$S:$S,Investors!$O:$O,TRUE,Investors!$A:$A,'Investor Exit List'!$A547,Investors!$E:$E,'Investor Exit List'!$C547,Investors!$L:$L,'Investor Exit List'!$B547)</f>
        <v>0</v>
      </c>
      <c r="T547" s="118" t="str">
        <f t="shared" si="102"/>
        <v/>
      </c>
      <c r="U547" s="116" t="b">
        <v>0</v>
      </c>
      <c r="V547" s="117">
        <f t="shared" si="103"/>
        <v>0</v>
      </c>
      <c r="W547" s="116">
        <v>0</v>
      </c>
      <c r="X547" s="116" t="b">
        <v>0</v>
      </c>
      <c r="Y547" s="119">
        <f>IF(H547=FALSE,VLOOKUP($C547,Sales!$C:$F,4,FALSE),1)</f>
        <v>1</v>
      </c>
      <c r="Z547" s="116" t="str">
        <f t="shared" si="104"/>
        <v/>
      </c>
      <c r="AA547" s="118">
        <f t="shared" si="105"/>
        <v>0</v>
      </c>
      <c r="AB547" s="118" t="str">
        <f t="shared" si="106"/>
        <v>HVP101-ZTHA01</v>
      </c>
      <c r="AC547" s="118">
        <f t="shared" si="107"/>
        <v>45528</v>
      </c>
    </row>
    <row r="548" spans="1:29" ht="16" x14ac:dyDescent="0.2">
      <c r="A548" s="116" t="s">
        <v>185</v>
      </c>
      <c r="B548" s="116">
        <v>4</v>
      </c>
      <c r="C548" s="116" t="s">
        <v>890</v>
      </c>
      <c r="D548" s="116" t="s">
        <v>891</v>
      </c>
      <c r="E548" s="116" t="s">
        <v>2058</v>
      </c>
      <c r="F548" s="117">
        <f>SUMIFS(Investors!$M:$M,Investors!$O:$O,FALSE,Investors!$P:$P,FALSE,Investors!$K:$K,"&gt;"&amp;'NSST Print'!$B$3,Investors!$I:$I,"&lt;="&amp;'NSST Print'!$B$3,Investors!$A:$A,'Investor Exit List'!$A548,Investors!$E:$E,'Investor Exit List'!$C548,Investors!$L:$L,'Investor Exit List'!$B548)-(SUMIFS(Investors!$M:$M,Investors!$I:$I,"&lt;="&amp;'NSST Print'!$B$3,Investors!$J:$J,"&gt;"&amp;'NSST Print'!$B$3,Investors!$A:$A,'Investor Exit List'!$A548,Investors!$E:$E,'Investor Exit List'!$C548,Investors!$L:$L,'Investor Exit List'!$B548)+SUMIFS(Investors!$M:$M,Investors!$I:$I,"&lt;="&amp;'NSST Print'!$B$3,Investors!$J:$J,"",Investors!$A:$A,'Investor Exit List'!$A548,Investors!$E:$E,'Investor Exit List'!$C548,Investors!$L:$L,'Investor Exit List'!$B548))</f>
        <v>0</v>
      </c>
      <c r="G548" s="118">
        <v>44791</v>
      </c>
      <c r="H548" s="116" t="b">
        <f>VLOOKUP($C548,Sales!$C:$E,2,FALSE)</f>
        <v>1</v>
      </c>
      <c r="I548" s="116" t="b">
        <f>VLOOKUP($C548,Sales!$C:$E,3,FALSE)</f>
        <v>1</v>
      </c>
      <c r="J548" s="118">
        <f>SUMIFS(Sales!$H:$H,Sales!$C:$C,'Investor Exit List'!$C548)</f>
        <v>45688</v>
      </c>
      <c r="K548" s="118">
        <f t="shared" si="96"/>
        <v>45688</v>
      </c>
      <c r="L548" s="118">
        <f t="shared" si="97"/>
        <v>45521</v>
      </c>
      <c r="M548" s="118">
        <v>45443</v>
      </c>
      <c r="N548" s="119">
        <f t="shared" si="98"/>
        <v>0</v>
      </c>
      <c r="O548" s="119">
        <f t="shared" si="99"/>
        <v>0</v>
      </c>
      <c r="P548" s="117">
        <f t="shared" si="100"/>
        <v>0</v>
      </c>
      <c r="Q548" s="117">
        <f>SUMIFS(Investors!$M:$M,Investors!$O:$O,FALSE,Investors!$P:$P,FALSE,Investors!$K:$K,"&gt;"&amp;'NSST Print'!$B$3,Investors!$I:$I,"&lt;="&amp;'NSST Print'!$B$3,Investors!$A:$A,'Investor Exit List'!$A548,Investors!$E:$E,'Investor Exit List'!$C548,Investors!$L:$L,'Investor Exit List'!$B548)-(SUMIFS(Investors!$M:$M,Investors!$I:$I,"&lt;="&amp;'NSST Print'!$B$3,Investors!$J:$J,"&gt;"&amp;'NSST Print'!$B$3,Investors!$A:$A,'Investor Exit List'!$A548,Investors!$E:$E,'Investor Exit List'!$C548,Investors!$L:$L,'Investor Exit List'!$B548)+SUMIFS(Investors!$M:$M,Investors!$I:$I,"&lt;="&amp;'NSST Print'!$B$3,Investors!$J:$J,"",Investors!$A:$A,'Investor Exit List'!$A548,Investors!$E:$E,'Investor Exit List'!$C548,Investors!$L:$L,'Investor Exit List'!$B548))+SUMIFS(Investors!$S:$S,Investors!$O:$O,FALSE,Investors!$P:$P,FALSE,Investors!$K:$K,"&gt;"&amp;'NSST Print'!$B$3,Investors!$I:$I,"&lt;="&amp;'NSST Print'!$B$3,Investors!$A:$A,'Investor Exit List'!$A548,Investors!$E:$E,'Investor Exit List'!$C548,Investors!$L:$L,'Investor Exit List'!$B548)-(SUMIFS(Investors!$S:$S,Investors!$I:$I,"&lt;="&amp;'NSST Print'!$B$3,Investors!$J:$J,"&gt;"&amp;'NSST Print'!$B$3,Investors!$A:$A,'Investor Exit List'!$A548,Investors!$E:$E,'Investor Exit List'!$C548,Investors!$L:$L,'Investor Exit List'!$B548)+SUMIFS(Investors!$S:$S,Investors!$I:$I,"&lt;="&amp;'NSST Print'!$B$3,Investors!$J:$J,"",Investors!$A:$A,'Investor Exit List'!$A548,Investors!$E:$E,'Investor Exit List'!$C548,Investors!$L:$L,'Investor Exit List'!$B548))</f>
        <v>0</v>
      </c>
      <c r="R548" s="117">
        <f t="shared" si="101"/>
        <v>0</v>
      </c>
      <c r="S548" s="117">
        <f>SUMIFS(Investors!$M:$M,Investors!$O:$O,TRUE,Investors!$A:$A,'Investor Exit List'!$A548,Investors!$E:$E,'Investor Exit List'!$C548,Investors!$L:$L,'Investor Exit List'!$B548)+SUMIFS(Investors!$S:$S,Investors!$O:$O,TRUE,Investors!$A:$A,'Investor Exit List'!$A548,Investors!$E:$E,'Investor Exit List'!$C548,Investors!$L:$L,'Investor Exit List'!$B548)</f>
        <v>0</v>
      </c>
      <c r="T548" s="118" t="str">
        <f t="shared" si="102"/>
        <v/>
      </c>
      <c r="U548" s="116" t="b">
        <v>0</v>
      </c>
      <c r="V548" s="117">
        <f t="shared" si="103"/>
        <v>0</v>
      </c>
      <c r="W548" s="116">
        <v>0</v>
      </c>
      <c r="X548" s="116" t="b">
        <v>0</v>
      </c>
      <c r="Y548" s="119">
        <f>IF(H548=FALSE,VLOOKUP($C548,Sales!$C:$F,4,FALSE),1)</f>
        <v>1</v>
      </c>
      <c r="Z548" s="116" t="str">
        <f t="shared" si="104"/>
        <v/>
      </c>
      <c r="AA548" s="118">
        <f t="shared" si="105"/>
        <v>0</v>
      </c>
      <c r="AB548" s="118" t="str">
        <f t="shared" si="106"/>
        <v>HVP101-ZVER02</v>
      </c>
      <c r="AC548" s="118">
        <f t="shared" si="107"/>
        <v>45521</v>
      </c>
    </row>
    <row r="549" spans="1:29" ht="16" x14ac:dyDescent="0.2">
      <c r="A549" s="116" t="s">
        <v>623</v>
      </c>
      <c r="B549" s="116">
        <v>1</v>
      </c>
      <c r="C549" s="116" t="s">
        <v>892</v>
      </c>
      <c r="D549" s="116" t="s">
        <v>891</v>
      </c>
      <c r="E549" s="116" t="s">
        <v>2178</v>
      </c>
      <c r="F549" s="117">
        <f>SUMIFS(Investors!$M:$M,Investors!$O:$O,FALSE,Investors!$P:$P,FALSE,Investors!$K:$K,"&gt;"&amp;'NSST Print'!$B$3,Investors!$I:$I,"&lt;="&amp;'NSST Print'!$B$3,Investors!$A:$A,'Investor Exit List'!$A549,Investors!$E:$E,'Investor Exit List'!$C549,Investors!$L:$L,'Investor Exit List'!$B549)-(SUMIFS(Investors!$M:$M,Investors!$I:$I,"&lt;="&amp;'NSST Print'!$B$3,Investors!$J:$J,"&gt;"&amp;'NSST Print'!$B$3,Investors!$A:$A,'Investor Exit List'!$A549,Investors!$E:$E,'Investor Exit List'!$C549,Investors!$L:$L,'Investor Exit List'!$B549)+SUMIFS(Investors!$M:$M,Investors!$I:$I,"&lt;="&amp;'NSST Print'!$B$3,Investors!$J:$J,"",Investors!$A:$A,'Investor Exit List'!$A549,Investors!$E:$E,'Investor Exit List'!$C549,Investors!$L:$L,'Investor Exit List'!$B549))</f>
        <v>0</v>
      </c>
      <c r="G549" s="118">
        <v>44840</v>
      </c>
      <c r="H549" s="116" t="b">
        <f>VLOOKUP($C549,Sales!$C:$E,2,FALSE)</f>
        <v>1</v>
      </c>
      <c r="I549" s="116" t="b">
        <f>VLOOKUP($C549,Sales!$C:$E,3,FALSE)</f>
        <v>1</v>
      </c>
      <c r="J549" s="118">
        <f>SUMIFS(Sales!$H:$H,Sales!$C:$C,'Investor Exit List'!$C549)</f>
        <v>45688</v>
      </c>
      <c r="K549" s="118">
        <f t="shared" si="96"/>
        <v>45688</v>
      </c>
      <c r="L549" s="118">
        <f t="shared" si="97"/>
        <v>45570</v>
      </c>
      <c r="M549" s="118">
        <v>45443</v>
      </c>
      <c r="N549" s="119">
        <f t="shared" si="98"/>
        <v>0</v>
      </c>
      <c r="O549" s="119">
        <f t="shared" si="99"/>
        <v>0</v>
      </c>
      <c r="P549" s="117">
        <f t="shared" si="100"/>
        <v>0</v>
      </c>
      <c r="Q549" s="117">
        <f>SUMIFS(Investors!$M:$M,Investors!$O:$O,FALSE,Investors!$P:$P,FALSE,Investors!$K:$K,"&gt;"&amp;'NSST Print'!$B$3,Investors!$I:$I,"&lt;="&amp;'NSST Print'!$B$3,Investors!$A:$A,'Investor Exit List'!$A549,Investors!$E:$E,'Investor Exit List'!$C549,Investors!$L:$L,'Investor Exit List'!$B549)-(SUMIFS(Investors!$M:$M,Investors!$I:$I,"&lt;="&amp;'NSST Print'!$B$3,Investors!$J:$J,"&gt;"&amp;'NSST Print'!$B$3,Investors!$A:$A,'Investor Exit List'!$A549,Investors!$E:$E,'Investor Exit List'!$C549,Investors!$L:$L,'Investor Exit List'!$B549)+SUMIFS(Investors!$M:$M,Investors!$I:$I,"&lt;="&amp;'NSST Print'!$B$3,Investors!$J:$J,"",Investors!$A:$A,'Investor Exit List'!$A549,Investors!$E:$E,'Investor Exit List'!$C549,Investors!$L:$L,'Investor Exit List'!$B549))+SUMIFS(Investors!$S:$S,Investors!$O:$O,FALSE,Investors!$P:$P,FALSE,Investors!$K:$K,"&gt;"&amp;'NSST Print'!$B$3,Investors!$I:$I,"&lt;="&amp;'NSST Print'!$B$3,Investors!$A:$A,'Investor Exit List'!$A549,Investors!$E:$E,'Investor Exit List'!$C549,Investors!$L:$L,'Investor Exit List'!$B549)-(SUMIFS(Investors!$S:$S,Investors!$I:$I,"&lt;="&amp;'NSST Print'!$B$3,Investors!$J:$J,"&gt;"&amp;'NSST Print'!$B$3,Investors!$A:$A,'Investor Exit List'!$A549,Investors!$E:$E,'Investor Exit List'!$C549,Investors!$L:$L,'Investor Exit List'!$B549)+SUMIFS(Investors!$S:$S,Investors!$I:$I,"&lt;="&amp;'NSST Print'!$B$3,Investors!$J:$J,"",Investors!$A:$A,'Investor Exit List'!$A549,Investors!$E:$E,'Investor Exit List'!$C549,Investors!$L:$L,'Investor Exit List'!$B549))</f>
        <v>0</v>
      </c>
      <c r="R549" s="117">
        <f t="shared" si="101"/>
        <v>0</v>
      </c>
      <c r="S549" s="117">
        <f>SUMIFS(Investors!$M:$M,Investors!$O:$O,TRUE,Investors!$A:$A,'Investor Exit List'!$A549,Investors!$E:$E,'Investor Exit List'!$C549,Investors!$L:$L,'Investor Exit List'!$B549)+SUMIFS(Investors!$S:$S,Investors!$O:$O,TRUE,Investors!$A:$A,'Investor Exit List'!$A549,Investors!$E:$E,'Investor Exit List'!$C549,Investors!$L:$L,'Investor Exit List'!$B549)</f>
        <v>0</v>
      </c>
      <c r="T549" s="118" t="str">
        <f t="shared" si="102"/>
        <v/>
      </c>
      <c r="U549" s="116" t="b">
        <v>0</v>
      </c>
      <c r="V549" s="117">
        <f t="shared" si="103"/>
        <v>0</v>
      </c>
      <c r="W549" s="116">
        <v>0</v>
      </c>
      <c r="X549" s="116" t="b">
        <v>0</v>
      </c>
      <c r="Y549" s="119">
        <f>IF(H549=FALSE,VLOOKUP($C549,Sales!$C:$F,4,FALSE),1)</f>
        <v>1</v>
      </c>
      <c r="Z549" s="116" t="str">
        <f t="shared" si="104"/>
        <v/>
      </c>
      <c r="AA549" s="118">
        <f t="shared" si="105"/>
        <v>0</v>
      </c>
      <c r="AB549" s="118" t="str">
        <f t="shared" si="106"/>
        <v>HVP102-ZHUM01</v>
      </c>
      <c r="AC549" s="118">
        <f t="shared" si="107"/>
        <v>45570</v>
      </c>
    </row>
    <row r="550" spans="1:29" ht="16" x14ac:dyDescent="0.2">
      <c r="A550" s="116" t="s">
        <v>893</v>
      </c>
      <c r="B550" s="116">
        <v>1</v>
      </c>
      <c r="C550" s="116" t="s">
        <v>892</v>
      </c>
      <c r="D550" s="116" t="s">
        <v>891</v>
      </c>
      <c r="E550" s="116" t="s">
        <v>2232</v>
      </c>
      <c r="F550" s="117">
        <f>SUMIFS(Investors!$M:$M,Investors!$O:$O,FALSE,Investors!$P:$P,FALSE,Investors!$K:$K,"&gt;"&amp;'NSST Print'!$B$3,Investors!$I:$I,"&lt;="&amp;'NSST Print'!$B$3,Investors!$A:$A,'Investor Exit List'!$A550,Investors!$E:$E,'Investor Exit List'!$C550,Investors!$L:$L,'Investor Exit List'!$B550)-(SUMIFS(Investors!$M:$M,Investors!$I:$I,"&lt;="&amp;'NSST Print'!$B$3,Investors!$J:$J,"&gt;"&amp;'NSST Print'!$B$3,Investors!$A:$A,'Investor Exit List'!$A550,Investors!$E:$E,'Investor Exit List'!$C550,Investors!$L:$L,'Investor Exit List'!$B550)+SUMIFS(Investors!$M:$M,Investors!$I:$I,"&lt;="&amp;'NSST Print'!$B$3,Investors!$J:$J,"",Investors!$A:$A,'Investor Exit List'!$A550,Investors!$E:$E,'Investor Exit List'!$C550,Investors!$L:$L,'Investor Exit List'!$B550))</f>
        <v>0</v>
      </c>
      <c r="G550" s="118">
        <v>44833</v>
      </c>
      <c r="H550" s="116" t="b">
        <f>VLOOKUP($C550,Sales!$C:$E,2,FALSE)</f>
        <v>1</v>
      </c>
      <c r="I550" s="116" t="b">
        <f>VLOOKUP($C550,Sales!$C:$E,3,FALSE)</f>
        <v>1</v>
      </c>
      <c r="J550" s="118">
        <f>SUMIFS(Sales!$H:$H,Sales!$C:$C,'Investor Exit List'!$C550)</f>
        <v>45688</v>
      </c>
      <c r="K550" s="118">
        <f t="shared" si="96"/>
        <v>45688</v>
      </c>
      <c r="L550" s="118">
        <f t="shared" si="97"/>
        <v>45563</v>
      </c>
      <c r="M550" s="118">
        <v>45443</v>
      </c>
      <c r="N550" s="119">
        <f t="shared" si="98"/>
        <v>0</v>
      </c>
      <c r="O550" s="119">
        <f t="shared" si="99"/>
        <v>0</v>
      </c>
      <c r="P550" s="117">
        <f t="shared" si="100"/>
        <v>0</v>
      </c>
      <c r="Q550" s="117">
        <f>SUMIFS(Investors!$M:$M,Investors!$O:$O,FALSE,Investors!$P:$P,FALSE,Investors!$K:$K,"&gt;"&amp;'NSST Print'!$B$3,Investors!$I:$I,"&lt;="&amp;'NSST Print'!$B$3,Investors!$A:$A,'Investor Exit List'!$A550,Investors!$E:$E,'Investor Exit List'!$C550,Investors!$L:$L,'Investor Exit List'!$B550)-(SUMIFS(Investors!$M:$M,Investors!$I:$I,"&lt;="&amp;'NSST Print'!$B$3,Investors!$J:$J,"&gt;"&amp;'NSST Print'!$B$3,Investors!$A:$A,'Investor Exit List'!$A550,Investors!$E:$E,'Investor Exit List'!$C550,Investors!$L:$L,'Investor Exit List'!$B550)+SUMIFS(Investors!$M:$M,Investors!$I:$I,"&lt;="&amp;'NSST Print'!$B$3,Investors!$J:$J,"",Investors!$A:$A,'Investor Exit List'!$A550,Investors!$E:$E,'Investor Exit List'!$C550,Investors!$L:$L,'Investor Exit List'!$B550))+SUMIFS(Investors!$S:$S,Investors!$O:$O,FALSE,Investors!$P:$P,FALSE,Investors!$K:$K,"&gt;"&amp;'NSST Print'!$B$3,Investors!$I:$I,"&lt;="&amp;'NSST Print'!$B$3,Investors!$A:$A,'Investor Exit List'!$A550,Investors!$E:$E,'Investor Exit List'!$C550,Investors!$L:$L,'Investor Exit List'!$B550)-(SUMIFS(Investors!$S:$S,Investors!$I:$I,"&lt;="&amp;'NSST Print'!$B$3,Investors!$J:$J,"&gt;"&amp;'NSST Print'!$B$3,Investors!$A:$A,'Investor Exit List'!$A550,Investors!$E:$E,'Investor Exit List'!$C550,Investors!$L:$L,'Investor Exit List'!$B550)+SUMIFS(Investors!$S:$S,Investors!$I:$I,"&lt;="&amp;'NSST Print'!$B$3,Investors!$J:$J,"",Investors!$A:$A,'Investor Exit List'!$A550,Investors!$E:$E,'Investor Exit List'!$C550,Investors!$L:$L,'Investor Exit List'!$B550))</f>
        <v>0</v>
      </c>
      <c r="R550" s="117">
        <f t="shared" si="101"/>
        <v>0</v>
      </c>
      <c r="S550" s="117">
        <f>SUMIFS(Investors!$M:$M,Investors!$O:$O,TRUE,Investors!$A:$A,'Investor Exit List'!$A550,Investors!$E:$E,'Investor Exit List'!$C550,Investors!$L:$L,'Investor Exit List'!$B550)+SUMIFS(Investors!$S:$S,Investors!$O:$O,TRUE,Investors!$A:$A,'Investor Exit List'!$A550,Investors!$E:$E,'Investor Exit List'!$C550,Investors!$L:$L,'Investor Exit List'!$B550)</f>
        <v>0</v>
      </c>
      <c r="T550" s="118" t="str">
        <f t="shared" si="102"/>
        <v/>
      </c>
      <c r="U550" s="116" t="b">
        <v>0</v>
      </c>
      <c r="V550" s="117">
        <f t="shared" si="103"/>
        <v>0</v>
      </c>
      <c r="W550" s="116">
        <v>0</v>
      </c>
      <c r="X550" s="116" t="b">
        <v>0</v>
      </c>
      <c r="Y550" s="119">
        <f>IF(H550=FALSE,VLOOKUP($C550,Sales!$C:$F,4,FALSE),1)</f>
        <v>1</v>
      </c>
      <c r="Z550" s="116" t="str">
        <f t="shared" si="104"/>
        <v/>
      </c>
      <c r="AA550" s="118">
        <f t="shared" si="105"/>
        <v>0</v>
      </c>
      <c r="AB550" s="118" t="str">
        <f t="shared" si="106"/>
        <v>HVP102-ZJEN02</v>
      </c>
      <c r="AC550" s="118">
        <f t="shared" si="107"/>
        <v>45563</v>
      </c>
    </row>
    <row r="551" spans="1:29" ht="16" x14ac:dyDescent="0.2">
      <c r="A551" s="116" t="s">
        <v>895</v>
      </c>
      <c r="B551" s="116">
        <v>1</v>
      </c>
      <c r="C551" s="116" t="s">
        <v>898</v>
      </c>
      <c r="D551" s="116" t="s">
        <v>891</v>
      </c>
      <c r="E551" s="116" t="s">
        <v>2233</v>
      </c>
      <c r="F551" s="117">
        <f>SUMIFS(Investors!$M:$M,Investors!$O:$O,FALSE,Investors!$P:$P,FALSE,Investors!$K:$K,"&gt;"&amp;'NSST Print'!$B$3,Investors!$I:$I,"&lt;="&amp;'NSST Print'!$B$3,Investors!$A:$A,'Investor Exit List'!$A551,Investors!$E:$E,'Investor Exit List'!$C551,Investors!$L:$L,'Investor Exit List'!$B551)-(SUMIFS(Investors!$M:$M,Investors!$I:$I,"&lt;="&amp;'NSST Print'!$B$3,Investors!$J:$J,"&gt;"&amp;'NSST Print'!$B$3,Investors!$A:$A,'Investor Exit List'!$A551,Investors!$E:$E,'Investor Exit List'!$C551,Investors!$L:$L,'Investor Exit List'!$B551)+SUMIFS(Investors!$M:$M,Investors!$I:$I,"&lt;="&amp;'NSST Print'!$B$3,Investors!$J:$J,"",Investors!$A:$A,'Investor Exit List'!$A551,Investors!$E:$E,'Investor Exit List'!$C551,Investors!$L:$L,'Investor Exit List'!$B551))</f>
        <v>0</v>
      </c>
      <c r="G551" s="118">
        <v>44833</v>
      </c>
      <c r="H551" s="116" t="b">
        <f>VLOOKUP($C551,Sales!$C:$E,2,FALSE)</f>
        <v>1</v>
      </c>
      <c r="I551" s="116" t="b">
        <f>VLOOKUP($C551,Sales!$C:$E,3,FALSE)</f>
        <v>1</v>
      </c>
      <c r="J551" s="118">
        <f>SUMIFS(Sales!$H:$H,Sales!$C:$C,'Investor Exit List'!$C551)</f>
        <v>45688</v>
      </c>
      <c r="K551" s="118">
        <f t="shared" si="96"/>
        <v>45688</v>
      </c>
      <c r="L551" s="118">
        <f t="shared" si="97"/>
        <v>45563</v>
      </c>
      <c r="M551" s="118">
        <v>45443</v>
      </c>
      <c r="N551" s="119">
        <f t="shared" si="98"/>
        <v>0</v>
      </c>
      <c r="O551" s="119">
        <f t="shared" si="99"/>
        <v>0</v>
      </c>
      <c r="P551" s="117">
        <f t="shared" si="100"/>
        <v>0</v>
      </c>
      <c r="Q551" s="117">
        <f>SUMIFS(Investors!$M:$M,Investors!$O:$O,FALSE,Investors!$P:$P,FALSE,Investors!$K:$K,"&gt;"&amp;'NSST Print'!$B$3,Investors!$I:$I,"&lt;="&amp;'NSST Print'!$B$3,Investors!$A:$A,'Investor Exit List'!$A551,Investors!$E:$E,'Investor Exit List'!$C551,Investors!$L:$L,'Investor Exit List'!$B551)-(SUMIFS(Investors!$M:$M,Investors!$I:$I,"&lt;="&amp;'NSST Print'!$B$3,Investors!$J:$J,"&gt;"&amp;'NSST Print'!$B$3,Investors!$A:$A,'Investor Exit List'!$A551,Investors!$E:$E,'Investor Exit List'!$C551,Investors!$L:$L,'Investor Exit List'!$B551)+SUMIFS(Investors!$M:$M,Investors!$I:$I,"&lt;="&amp;'NSST Print'!$B$3,Investors!$J:$J,"",Investors!$A:$A,'Investor Exit List'!$A551,Investors!$E:$E,'Investor Exit List'!$C551,Investors!$L:$L,'Investor Exit List'!$B551))+SUMIFS(Investors!$S:$S,Investors!$O:$O,FALSE,Investors!$P:$P,FALSE,Investors!$K:$K,"&gt;"&amp;'NSST Print'!$B$3,Investors!$I:$I,"&lt;="&amp;'NSST Print'!$B$3,Investors!$A:$A,'Investor Exit List'!$A551,Investors!$E:$E,'Investor Exit List'!$C551,Investors!$L:$L,'Investor Exit List'!$B551)-(SUMIFS(Investors!$S:$S,Investors!$I:$I,"&lt;="&amp;'NSST Print'!$B$3,Investors!$J:$J,"&gt;"&amp;'NSST Print'!$B$3,Investors!$A:$A,'Investor Exit List'!$A551,Investors!$E:$E,'Investor Exit List'!$C551,Investors!$L:$L,'Investor Exit List'!$B551)+SUMIFS(Investors!$S:$S,Investors!$I:$I,"&lt;="&amp;'NSST Print'!$B$3,Investors!$J:$J,"",Investors!$A:$A,'Investor Exit List'!$A551,Investors!$E:$E,'Investor Exit List'!$C551,Investors!$L:$L,'Investor Exit List'!$B551))</f>
        <v>0</v>
      </c>
      <c r="R551" s="117">
        <f t="shared" si="101"/>
        <v>0</v>
      </c>
      <c r="S551" s="117">
        <f>SUMIFS(Investors!$M:$M,Investors!$O:$O,TRUE,Investors!$A:$A,'Investor Exit List'!$A551,Investors!$E:$E,'Investor Exit List'!$C551,Investors!$L:$L,'Investor Exit List'!$B551)+SUMIFS(Investors!$S:$S,Investors!$O:$O,TRUE,Investors!$A:$A,'Investor Exit List'!$A551,Investors!$E:$E,'Investor Exit List'!$C551,Investors!$L:$L,'Investor Exit List'!$B551)</f>
        <v>0</v>
      </c>
      <c r="T551" s="118" t="str">
        <f t="shared" si="102"/>
        <v/>
      </c>
      <c r="U551" s="116" t="b">
        <v>0</v>
      </c>
      <c r="V551" s="117">
        <f t="shared" si="103"/>
        <v>0</v>
      </c>
      <c r="W551" s="116">
        <v>0</v>
      </c>
      <c r="X551" s="116" t="b">
        <v>0</v>
      </c>
      <c r="Y551" s="119">
        <f>IF(H551=FALSE,VLOOKUP($C551,Sales!$C:$F,4,FALSE),1)</f>
        <v>1</v>
      </c>
      <c r="Z551" s="116" t="str">
        <f t="shared" si="104"/>
        <v/>
      </c>
      <c r="AA551" s="118">
        <f t="shared" si="105"/>
        <v>0</v>
      </c>
      <c r="AB551" s="118" t="str">
        <f t="shared" si="106"/>
        <v>HVP103-ZZEE01</v>
      </c>
      <c r="AC551" s="118">
        <f t="shared" si="107"/>
        <v>45563</v>
      </c>
    </row>
    <row r="552" spans="1:29" ht="16" x14ac:dyDescent="0.2">
      <c r="A552" s="116" t="s">
        <v>899</v>
      </c>
      <c r="B552" s="116">
        <v>1</v>
      </c>
      <c r="C552" s="116" t="s">
        <v>902</v>
      </c>
      <c r="D552" s="116" t="s">
        <v>891</v>
      </c>
      <c r="E552" s="116" t="s">
        <v>2234</v>
      </c>
      <c r="F552" s="117">
        <f>SUMIFS(Investors!$M:$M,Investors!$O:$O,FALSE,Investors!$P:$P,FALSE,Investors!$K:$K,"&gt;"&amp;'NSST Print'!$B$3,Investors!$I:$I,"&lt;="&amp;'NSST Print'!$B$3,Investors!$A:$A,'Investor Exit List'!$A552,Investors!$E:$E,'Investor Exit List'!$C552,Investors!$L:$L,'Investor Exit List'!$B552)-(SUMIFS(Investors!$M:$M,Investors!$I:$I,"&lt;="&amp;'NSST Print'!$B$3,Investors!$J:$J,"&gt;"&amp;'NSST Print'!$B$3,Investors!$A:$A,'Investor Exit List'!$A552,Investors!$E:$E,'Investor Exit List'!$C552,Investors!$L:$L,'Investor Exit List'!$B552)+SUMIFS(Investors!$M:$M,Investors!$I:$I,"&lt;="&amp;'NSST Print'!$B$3,Investors!$J:$J,"",Investors!$A:$A,'Investor Exit List'!$A552,Investors!$E:$E,'Investor Exit List'!$C552,Investors!$L:$L,'Investor Exit List'!$B552))</f>
        <v>100000</v>
      </c>
      <c r="G552" s="118">
        <v>44861</v>
      </c>
      <c r="H552" s="116" t="b">
        <f>VLOOKUP($C552,Sales!$C:$E,2,FALSE)</f>
        <v>1</v>
      </c>
      <c r="I552" s="116" t="b">
        <f>VLOOKUP($C552,Sales!$C:$E,3,FALSE)</f>
        <v>0</v>
      </c>
      <c r="J552" s="118">
        <f>SUMIFS(Sales!$H:$H,Sales!$C:$C,'Investor Exit List'!$C552)</f>
        <v>45475</v>
      </c>
      <c r="K552" s="118" t="str">
        <f t="shared" si="96"/>
        <v/>
      </c>
      <c r="L552" s="118">
        <f t="shared" si="97"/>
        <v>45591</v>
      </c>
      <c r="M552" s="118">
        <v>45443</v>
      </c>
      <c r="N552" s="119">
        <f t="shared" si="98"/>
        <v>148</v>
      </c>
      <c r="O552" s="119">
        <f t="shared" si="99"/>
        <v>148</v>
      </c>
      <c r="P552" s="117">
        <f t="shared" si="100"/>
        <v>0</v>
      </c>
      <c r="Q552" s="117">
        <f>SUMIFS(Investors!$M:$M,Investors!$O:$O,FALSE,Investors!$P:$P,FALSE,Investors!$K:$K,"&gt;"&amp;'NSST Print'!$B$3,Investors!$I:$I,"&lt;="&amp;'NSST Print'!$B$3,Investors!$A:$A,'Investor Exit List'!$A552,Investors!$E:$E,'Investor Exit List'!$C552,Investors!$L:$L,'Investor Exit List'!$B552)-(SUMIFS(Investors!$M:$M,Investors!$I:$I,"&lt;="&amp;'NSST Print'!$B$3,Investors!$J:$J,"&gt;"&amp;'NSST Print'!$B$3,Investors!$A:$A,'Investor Exit List'!$A552,Investors!$E:$E,'Investor Exit List'!$C552,Investors!$L:$L,'Investor Exit List'!$B552)+SUMIFS(Investors!$M:$M,Investors!$I:$I,"&lt;="&amp;'NSST Print'!$B$3,Investors!$J:$J,"",Investors!$A:$A,'Investor Exit List'!$A552,Investors!$E:$E,'Investor Exit List'!$C552,Investors!$L:$L,'Investor Exit List'!$B552))+SUMIFS(Investors!$S:$S,Investors!$O:$O,FALSE,Investors!$P:$P,FALSE,Investors!$K:$K,"&gt;"&amp;'NSST Print'!$B$3,Investors!$I:$I,"&lt;="&amp;'NSST Print'!$B$3,Investors!$A:$A,'Investor Exit List'!$A552,Investors!$E:$E,'Investor Exit List'!$C552,Investors!$L:$L,'Investor Exit List'!$B552)-(SUMIFS(Investors!$S:$S,Investors!$I:$I,"&lt;="&amp;'NSST Print'!$B$3,Investors!$J:$J,"&gt;"&amp;'NSST Print'!$B$3,Investors!$A:$A,'Investor Exit List'!$A552,Investors!$E:$E,'Investor Exit List'!$C552,Investors!$L:$L,'Investor Exit List'!$B552)+SUMIFS(Investors!$S:$S,Investors!$I:$I,"&lt;="&amp;'NSST Print'!$B$3,Investors!$J:$J,"",Investors!$A:$A,'Investor Exit List'!$A552,Investors!$E:$E,'Investor Exit List'!$C552,Investors!$L:$L,'Investor Exit List'!$B552))</f>
        <v>123939.72602739726</v>
      </c>
      <c r="R552" s="117">
        <f t="shared" si="101"/>
        <v>123939.72602739726</v>
      </c>
      <c r="S552" s="117">
        <f>SUMIFS(Investors!$M:$M,Investors!$O:$O,TRUE,Investors!$A:$A,'Investor Exit List'!$A552,Investors!$E:$E,'Investor Exit List'!$C552,Investors!$L:$L,'Investor Exit List'!$B552)+SUMIFS(Investors!$S:$S,Investors!$O:$O,TRUE,Investors!$A:$A,'Investor Exit List'!$A552,Investors!$E:$E,'Investor Exit List'!$C552,Investors!$L:$L,'Investor Exit List'!$B552)</f>
        <v>0</v>
      </c>
      <c r="T552" s="118" t="str">
        <f t="shared" si="102"/>
        <v/>
      </c>
      <c r="U552" s="116" t="b">
        <v>0</v>
      </c>
      <c r="V552" s="117">
        <f t="shared" si="103"/>
        <v>0</v>
      </c>
      <c r="W552" s="116">
        <v>0</v>
      </c>
      <c r="X552" s="116" t="b">
        <v>0</v>
      </c>
      <c r="Y552" s="119">
        <f>IF(H552=FALSE,VLOOKUP($C552,Sales!$C:$F,4,FALSE),1)</f>
        <v>1</v>
      </c>
      <c r="Z552" s="116" t="str">
        <f t="shared" si="104"/>
        <v/>
      </c>
      <c r="AA552" s="118">
        <f t="shared" si="105"/>
        <v>45556</v>
      </c>
      <c r="AB552" s="118" t="str">
        <f t="shared" si="106"/>
        <v>HVP201-ZBAL02</v>
      </c>
      <c r="AC552" s="118">
        <f t="shared" si="107"/>
        <v>45591</v>
      </c>
    </row>
    <row r="553" spans="1:29" ht="16" x14ac:dyDescent="0.2">
      <c r="A553" s="116" t="s">
        <v>903</v>
      </c>
      <c r="B553" s="116">
        <v>1</v>
      </c>
      <c r="C553" s="116" t="s">
        <v>902</v>
      </c>
      <c r="D553" s="116" t="s">
        <v>891</v>
      </c>
      <c r="E553" s="116" t="s">
        <v>2235</v>
      </c>
      <c r="F553" s="117">
        <f>SUMIFS(Investors!$M:$M,Investors!$O:$O,FALSE,Investors!$P:$P,FALSE,Investors!$K:$K,"&gt;"&amp;'NSST Print'!$B$3,Investors!$I:$I,"&lt;="&amp;'NSST Print'!$B$3,Investors!$A:$A,'Investor Exit List'!$A553,Investors!$E:$E,'Investor Exit List'!$C553,Investors!$L:$L,'Investor Exit List'!$B553)-(SUMIFS(Investors!$M:$M,Investors!$I:$I,"&lt;="&amp;'NSST Print'!$B$3,Investors!$J:$J,"&gt;"&amp;'NSST Print'!$B$3,Investors!$A:$A,'Investor Exit List'!$A553,Investors!$E:$E,'Investor Exit List'!$C553,Investors!$L:$L,'Investor Exit List'!$B553)+SUMIFS(Investors!$M:$M,Investors!$I:$I,"&lt;="&amp;'NSST Print'!$B$3,Investors!$J:$J,"",Investors!$A:$A,'Investor Exit List'!$A553,Investors!$E:$E,'Investor Exit List'!$C553,Investors!$L:$L,'Investor Exit List'!$B553))</f>
        <v>200000</v>
      </c>
      <c r="G553" s="118">
        <v>44848</v>
      </c>
      <c r="H553" s="116" t="b">
        <f>VLOOKUP($C553,Sales!$C:$E,2,FALSE)</f>
        <v>1</v>
      </c>
      <c r="I553" s="116" t="b">
        <f>VLOOKUP($C553,Sales!$C:$E,3,FALSE)</f>
        <v>0</v>
      </c>
      <c r="J553" s="118">
        <f>SUMIFS(Sales!$H:$H,Sales!$C:$C,'Investor Exit List'!$C553)</f>
        <v>45475</v>
      </c>
      <c r="K553" s="118" t="str">
        <f t="shared" si="96"/>
        <v/>
      </c>
      <c r="L553" s="118">
        <f t="shared" si="97"/>
        <v>45578</v>
      </c>
      <c r="M553" s="118">
        <v>45443</v>
      </c>
      <c r="N553" s="119">
        <f t="shared" si="98"/>
        <v>135</v>
      </c>
      <c r="O553" s="119">
        <f t="shared" si="99"/>
        <v>135</v>
      </c>
      <c r="P553" s="117">
        <f t="shared" si="100"/>
        <v>0</v>
      </c>
      <c r="Q553" s="117">
        <f>SUMIFS(Investors!$M:$M,Investors!$O:$O,FALSE,Investors!$P:$P,FALSE,Investors!$K:$K,"&gt;"&amp;'NSST Print'!$B$3,Investors!$I:$I,"&lt;="&amp;'NSST Print'!$B$3,Investors!$A:$A,'Investor Exit List'!$A553,Investors!$E:$E,'Investor Exit List'!$C553,Investors!$L:$L,'Investor Exit List'!$B553)-(SUMIFS(Investors!$M:$M,Investors!$I:$I,"&lt;="&amp;'NSST Print'!$B$3,Investors!$J:$J,"&gt;"&amp;'NSST Print'!$B$3,Investors!$A:$A,'Investor Exit List'!$A553,Investors!$E:$E,'Investor Exit List'!$C553,Investors!$L:$L,'Investor Exit List'!$B553)+SUMIFS(Investors!$M:$M,Investors!$I:$I,"&lt;="&amp;'NSST Print'!$B$3,Investors!$J:$J,"",Investors!$A:$A,'Investor Exit List'!$A553,Investors!$E:$E,'Investor Exit List'!$C553,Investors!$L:$L,'Investor Exit List'!$B553))+SUMIFS(Investors!$S:$S,Investors!$O:$O,FALSE,Investors!$P:$P,FALSE,Investors!$K:$K,"&gt;"&amp;'NSST Print'!$B$3,Investors!$I:$I,"&lt;="&amp;'NSST Print'!$B$3,Investors!$A:$A,'Investor Exit List'!$A553,Investors!$E:$E,'Investor Exit List'!$C553,Investors!$L:$L,'Investor Exit List'!$B553)-(SUMIFS(Investors!$S:$S,Investors!$I:$I,"&lt;="&amp;'NSST Print'!$B$3,Investors!$J:$J,"&gt;"&amp;'NSST Print'!$B$3,Investors!$A:$A,'Investor Exit List'!$A553,Investors!$E:$E,'Investor Exit List'!$C553,Investors!$L:$L,'Investor Exit List'!$B553)+SUMIFS(Investors!$S:$S,Investors!$I:$I,"&lt;="&amp;'NSST Print'!$B$3,Investors!$J:$J,"",Investors!$A:$A,'Investor Exit List'!$A553,Investors!$E:$E,'Investor Exit List'!$C553,Investors!$L:$L,'Investor Exit List'!$B553))</f>
        <v>248979.4520547945</v>
      </c>
      <c r="R553" s="117">
        <f t="shared" si="101"/>
        <v>248979.4520547945</v>
      </c>
      <c r="S553" s="117">
        <f>SUMIFS(Investors!$M:$M,Investors!$O:$O,TRUE,Investors!$A:$A,'Investor Exit List'!$A553,Investors!$E:$E,'Investor Exit List'!$C553,Investors!$L:$L,'Investor Exit List'!$B553)+SUMIFS(Investors!$S:$S,Investors!$O:$O,TRUE,Investors!$A:$A,'Investor Exit List'!$A553,Investors!$E:$E,'Investor Exit List'!$C553,Investors!$L:$L,'Investor Exit List'!$B553)</f>
        <v>0</v>
      </c>
      <c r="T553" s="118" t="str">
        <f t="shared" si="102"/>
        <v/>
      </c>
      <c r="U553" s="116" t="b">
        <v>0</v>
      </c>
      <c r="V553" s="117">
        <f t="shared" si="103"/>
        <v>0</v>
      </c>
      <c r="W553" s="116">
        <v>0</v>
      </c>
      <c r="X553" s="116" t="b">
        <v>0</v>
      </c>
      <c r="Y553" s="119">
        <f>IF(H553=FALSE,VLOOKUP($C553,Sales!$C:$F,4,FALSE),1)</f>
        <v>1</v>
      </c>
      <c r="Z553" s="116" t="str">
        <f t="shared" si="104"/>
        <v/>
      </c>
      <c r="AA553" s="118">
        <f t="shared" si="105"/>
        <v>45556</v>
      </c>
      <c r="AB553" s="118" t="str">
        <f t="shared" si="106"/>
        <v>HVP201-ZDEF01</v>
      </c>
      <c r="AC553" s="118">
        <f t="shared" si="107"/>
        <v>45578</v>
      </c>
    </row>
    <row r="554" spans="1:29" ht="16" x14ac:dyDescent="0.2">
      <c r="A554" s="116" t="s">
        <v>906</v>
      </c>
      <c r="B554" s="116">
        <v>1</v>
      </c>
      <c r="C554" s="116" t="s">
        <v>902</v>
      </c>
      <c r="D554" s="116" t="s">
        <v>891</v>
      </c>
      <c r="E554" s="116" t="s">
        <v>2236</v>
      </c>
      <c r="F554" s="117">
        <f>SUMIFS(Investors!$M:$M,Investors!$O:$O,FALSE,Investors!$P:$P,FALSE,Investors!$K:$K,"&gt;"&amp;'NSST Print'!$B$3,Investors!$I:$I,"&lt;="&amp;'NSST Print'!$B$3,Investors!$A:$A,'Investor Exit List'!$A554,Investors!$E:$E,'Investor Exit List'!$C554,Investors!$L:$L,'Investor Exit List'!$B554)-(SUMIFS(Investors!$M:$M,Investors!$I:$I,"&lt;="&amp;'NSST Print'!$B$3,Investors!$J:$J,"&gt;"&amp;'NSST Print'!$B$3,Investors!$A:$A,'Investor Exit List'!$A554,Investors!$E:$E,'Investor Exit List'!$C554,Investors!$L:$L,'Investor Exit List'!$B554)+SUMIFS(Investors!$M:$M,Investors!$I:$I,"&lt;="&amp;'NSST Print'!$B$3,Investors!$J:$J,"",Investors!$A:$A,'Investor Exit List'!$A554,Investors!$E:$E,'Investor Exit List'!$C554,Investors!$L:$L,'Investor Exit List'!$B554))</f>
        <v>100000</v>
      </c>
      <c r="G554" s="118">
        <v>44861</v>
      </c>
      <c r="H554" s="116" t="b">
        <f>VLOOKUP($C554,Sales!$C:$E,2,FALSE)</f>
        <v>1</v>
      </c>
      <c r="I554" s="116" t="b">
        <f>VLOOKUP($C554,Sales!$C:$E,3,FALSE)</f>
        <v>0</v>
      </c>
      <c r="J554" s="118">
        <f>SUMIFS(Sales!$H:$H,Sales!$C:$C,'Investor Exit List'!$C554)</f>
        <v>45475</v>
      </c>
      <c r="K554" s="118" t="str">
        <f t="shared" si="96"/>
        <v/>
      </c>
      <c r="L554" s="118">
        <f t="shared" si="97"/>
        <v>45591</v>
      </c>
      <c r="M554" s="118">
        <v>45443</v>
      </c>
      <c r="N554" s="119">
        <f t="shared" si="98"/>
        <v>148</v>
      </c>
      <c r="O554" s="119">
        <f t="shared" si="99"/>
        <v>148</v>
      </c>
      <c r="P554" s="117">
        <f t="shared" si="100"/>
        <v>0</v>
      </c>
      <c r="Q554" s="117">
        <f>SUMIFS(Investors!$M:$M,Investors!$O:$O,FALSE,Investors!$P:$P,FALSE,Investors!$K:$K,"&gt;"&amp;'NSST Print'!$B$3,Investors!$I:$I,"&lt;="&amp;'NSST Print'!$B$3,Investors!$A:$A,'Investor Exit List'!$A554,Investors!$E:$E,'Investor Exit List'!$C554,Investors!$L:$L,'Investor Exit List'!$B554)-(SUMIFS(Investors!$M:$M,Investors!$I:$I,"&lt;="&amp;'NSST Print'!$B$3,Investors!$J:$J,"&gt;"&amp;'NSST Print'!$B$3,Investors!$A:$A,'Investor Exit List'!$A554,Investors!$E:$E,'Investor Exit List'!$C554,Investors!$L:$L,'Investor Exit List'!$B554)+SUMIFS(Investors!$M:$M,Investors!$I:$I,"&lt;="&amp;'NSST Print'!$B$3,Investors!$J:$J,"",Investors!$A:$A,'Investor Exit List'!$A554,Investors!$E:$E,'Investor Exit List'!$C554,Investors!$L:$L,'Investor Exit List'!$B554))+SUMIFS(Investors!$S:$S,Investors!$O:$O,FALSE,Investors!$P:$P,FALSE,Investors!$K:$K,"&gt;"&amp;'NSST Print'!$B$3,Investors!$I:$I,"&lt;="&amp;'NSST Print'!$B$3,Investors!$A:$A,'Investor Exit List'!$A554,Investors!$E:$E,'Investor Exit List'!$C554,Investors!$L:$L,'Investor Exit List'!$B554)-(SUMIFS(Investors!$S:$S,Investors!$I:$I,"&lt;="&amp;'NSST Print'!$B$3,Investors!$J:$J,"&gt;"&amp;'NSST Print'!$B$3,Investors!$A:$A,'Investor Exit List'!$A554,Investors!$E:$E,'Investor Exit List'!$C554,Investors!$L:$L,'Investor Exit List'!$B554)+SUMIFS(Investors!$S:$S,Investors!$I:$I,"&lt;="&amp;'NSST Print'!$B$3,Investors!$J:$J,"",Investors!$A:$A,'Investor Exit List'!$A554,Investors!$E:$E,'Investor Exit List'!$C554,Investors!$L:$L,'Investor Exit List'!$B554))</f>
        <v>124085.61643835616</v>
      </c>
      <c r="R554" s="117">
        <f t="shared" si="101"/>
        <v>124085.61643835616</v>
      </c>
      <c r="S554" s="117">
        <f>SUMIFS(Investors!$M:$M,Investors!$O:$O,TRUE,Investors!$A:$A,'Investor Exit List'!$A554,Investors!$E:$E,'Investor Exit List'!$C554,Investors!$L:$L,'Investor Exit List'!$B554)+SUMIFS(Investors!$S:$S,Investors!$O:$O,TRUE,Investors!$A:$A,'Investor Exit List'!$A554,Investors!$E:$E,'Investor Exit List'!$C554,Investors!$L:$L,'Investor Exit List'!$B554)</f>
        <v>0</v>
      </c>
      <c r="T554" s="118" t="str">
        <f t="shared" si="102"/>
        <v/>
      </c>
      <c r="U554" s="116" t="b">
        <v>0</v>
      </c>
      <c r="V554" s="117">
        <f t="shared" si="103"/>
        <v>0</v>
      </c>
      <c r="W554" s="116">
        <v>0</v>
      </c>
      <c r="X554" s="116" t="b">
        <v>0</v>
      </c>
      <c r="Y554" s="119">
        <f>IF(H554=FALSE,VLOOKUP($C554,Sales!$C:$F,4,FALSE),1)</f>
        <v>1</v>
      </c>
      <c r="Z554" s="116" t="str">
        <f t="shared" si="104"/>
        <v/>
      </c>
      <c r="AA554" s="118">
        <f t="shared" si="105"/>
        <v>45556</v>
      </c>
      <c r="AB554" s="118" t="str">
        <f t="shared" si="106"/>
        <v>HVP201-ZJAN05</v>
      </c>
      <c r="AC554" s="118">
        <f t="shared" si="107"/>
        <v>45591</v>
      </c>
    </row>
    <row r="555" spans="1:29" ht="16" x14ac:dyDescent="0.2">
      <c r="A555" s="116" t="s">
        <v>412</v>
      </c>
      <c r="B555" s="116">
        <v>5</v>
      </c>
      <c r="C555" s="116" t="s">
        <v>902</v>
      </c>
      <c r="D555" s="116" t="s">
        <v>891</v>
      </c>
      <c r="E555" s="116" t="s">
        <v>2121</v>
      </c>
      <c r="F555" s="117">
        <f>SUMIFS(Investors!$M:$M,Investors!$O:$O,FALSE,Investors!$P:$P,FALSE,Investors!$K:$K,"&gt;"&amp;'NSST Print'!$B$3,Investors!$I:$I,"&lt;="&amp;'NSST Print'!$B$3,Investors!$A:$A,'Investor Exit List'!$A555,Investors!$E:$E,'Investor Exit List'!$C555,Investors!$L:$L,'Investor Exit List'!$B555)-(SUMIFS(Investors!$M:$M,Investors!$I:$I,"&lt;="&amp;'NSST Print'!$B$3,Investors!$J:$J,"&gt;"&amp;'NSST Print'!$B$3,Investors!$A:$A,'Investor Exit List'!$A555,Investors!$E:$E,'Investor Exit List'!$C555,Investors!$L:$L,'Investor Exit List'!$B555)+SUMIFS(Investors!$M:$M,Investors!$I:$I,"&lt;="&amp;'NSST Print'!$B$3,Investors!$J:$J,"",Investors!$A:$A,'Investor Exit List'!$A555,Investors!$E:$E,'Investor Exit List'!$C555,Investors!$L:$L,'Investor Exit List'!$B555))</f>
        <v>200000</v>
      </c>
      <c r="G555" s="118">
        <v>44826</v>
      </c>
      <c r="H555" s="116" t="b">
        <f>VLOOKUP($C555,Sales!$C:$E,2,FALSE)</f>
        <v>1</v>
      </c>
      <c r="I555" s="116" t="b">
        <f>VLOOKUP($C555,Sales!$C:$E,3,FALSE)</f>
        <v>0</v>
      </c>
      <c r="J555" s="118">
        <f>SUMIFS(Sales!$H:$H,Sales!$C:$C,'Investor Exit List'!$C555)</f>
        <v>45475</v>
      </c>
      <c r="K555" s="118" t="str">
        <f t="shared" si="96"/>
        <v/>
      </c>
      <c r="L555" s="118">
        <f t="shared" si="97"/>
        <v>45556</v>
      </c>
      <c r="M555" s="118">
        <v>45443</v>
      </c>
      <c r="N555" s="119">
        <f t="shared" si="98"/>
        <v>113</v>
      </c>
      <c r="O555" s="119">
        <f t="shared" si="99"/>
        <v>113</v>
      </c>
      <c r="P555" s="117">
        <f t="shared" si="100"/>
        <v>0</v>
      </c>
      <c r="Q555" s="117">
        <f>SUMIFS(Investors!$M:$M,Investors!$O:$O,FALSE,Investors!$P:$P,FALSE,Investors!$K:$K,"&gt;"&amp;'NSST Print'!$B$3,Investors!$I:$I,"&lt;="&amp;'NSST Print'!$B$3,Investors!$A:$A,'Investor Exit List'!$A555,Investors!$E:$E,'Investor Exit List'!$C555,Investors!$L:$L,'Investor Exit List'!$B555)-(SUMIFS(Investors!$M:$M,Investors!$I:$I,"&lt;="&amp;'NSST Print'!$B$3,Investors!$J:$J,"&gt;"&amp;'NSST Print'!$B$3,Investors!$A:$A,'Investor Exit List'!$A555,Investors!$E:$E,'Investor Exit List'!$C555,Investors!$L:$L,'Investor Exit List'!$B555)+SUMIFS(Investors!$M:$M,Investors!$I:$I,"&lt;="&amp;'NSST Print'!$B$3,Investors!$J:$J,"",Investors!$A:$A,'Investor Exit List'!$A555,Investors!$E:$E,'Investor Exit List'!$C555,Investors!$L:$L,'Investor Exit List'!$B555))+SUMIFS(Investors!$S:$S,Investors!$O:$O,FALSE,Investors!$P:$P,FALSE,Investors!$K:$K,"&gt;"&amp;'NSST Print'!$B$3,Investors!$I:$I,"&lt;="&amp;'NSST Print'!$B$3,Investors!$A:$A,'Investor Exit List'!$A555,Investors!$E:$E,'Investor Exit List'!$C555,Investors!$L:$L,'Investor Exit List'!$B555)-(SUMIFS(Investors!$S:$S,Investors!$I:$I,"&lt;="&amp;'NSST Print'!$B$3,Investors!$J:$J,"&gt;"&amp;'NSST Print'!$B$3,Investors!$A:$A,'Investor Exit List'!$A555,Investors!$E:$E,'Investor Exit List'!$C555,Investors!$L:$L,'Investor Exit List'!$B555)+SUMIFS(Investors!$S:$S,Investors!$I:$I,"&lt;="&amp;'NSST Print'!$B$3,Investors!$J:$J,"",Investors!$A:$A,'Investor Exit List'!$A555,Investors!$E:$E,'Investor Exit List'!$C555,Investors!$L:$L,'Investor Exit List'!$B555))</f>
        <v>264520.54794520547</v>
      </c>
      <c r="R555" s="117">
        <f t="shared" si="101"/>
        <v>264520.54794520547</v>
      </c>
      <c r="S555" s="117">
        <f>SUMIFS(Investors!$M:$M,Investors!$O:$O,TRUE,Investors!$A:$A,'Investor Exit List'!$A555,Investors!$E:$E,'Investor Exit List'!$C555,Investors!$L:$L,'Investor Exit List'!$B555)+SUMIFS(Investors!$S:$S,Investors!$O:$O,TRUE,Investors!$A:$A,'Investor Exit List'!$A555,Investors!$E:$E,'Investor Exit List'!$C555,Investors!$L:$L,'Investor Exit List'!$B555)</f>
        <v>0</v>
      </c>
      <c r="T555" s="118" t="str">
        <f t="shared" si="102"/>
        <v/>
      </c>
      <c r="U555" s="116" t="b">
        <v>0</v>
      </c>
      <c r="V555" s="117">
        <f t="shared" si="103"/>
        <v>0</v>
      </c>
      <c r="W555" s="116">
        <v>0</v>
      </c>
      <c r="X555" s="116" t="b">
        <v>0</v>
      </c>
      <c r="Y555" s="119">
        <f>IF(H555=FALSE,VLOOKUP($C555,Sales!$C:$F,4,FALSE),1)</f>
        <v>1</v>
      </c>
      <c r="Z555" s="116" t="str">
        <f t="shared" si="104"/>
        <v/>
      </c>
      <c r="AA555" s="118">
        <f t="shared" si="105"/>
        <v>45556</v>
      </c>
      <c r="AB555" s="118" t="str">
        <f t="shared" si="106"/>
        <v>HVP201-ZNUN01</v>
      </c>
      <c r="AC555" s="118">
        <f t="shared" si="107"/>
        <v>45556</v>
      </c>
    </row>
    <row r="556" spans="1:29" ht="16" x14ac:dyDescent="0.2">
      <c r="A556" s="116" t="s">
        <v>895</v>
      </c>
      <c r="B556" s="116">
        <v>2</v>
      </c>
      <c r="C556" s="116" t="s">
        <v>902</v>
      </c>
      <c r="D556" s="116" t="s">
        <v>891</v>
      </c>
      <c r="E556" s="116" t="s">
        <v>2233</v>
      </c>
      <c r="F556" s="117">
        <f>SUMIFS(Investors!$M:$M,Investors!$O:$O,FALSE,Investors!$P:$P,FALSE,Investors!$K:$K,"&gt;"&amp;'NSST Print'!$B$3,Investors!$I:$I,"&lt;="&amp;'NSST Print'!$B$3,Investors!$A:$A,'Investor Exit List'!$A556,Investors!$E:$E,'Investor Exit List'!$C556,Investors!$L:$L,'Investor Exit List'!$B556)-(SUMIFS(Investors!$M:$M,Investors!$I:$I,"&lt;="&amp;'NSST Print'!$B$3,Investors!$J:$J,"&gt;"&amp;'NSST Print'!$B$3,Investors!$A:$A,'Investor Exit List'!$A556,Investors!$E:$E,'Investor Exit List'!$C556,Investors!$L:$L,'Investor Exit List'!$B556)+SUMIFS(Investors!$M:$M,Investors!$I:$I,"&lt;="&amp;'NSST Print'!$B$3,Investors!$J:$J,"",Investors!$A:$A,'Investor Exit List'!$A556,Investors!$E:$E,'Investor Exit List'!$C556,Investors!$L:$L,'Investor Exit List'!$B556))</f>
        <v>500000</v>
      </c>
      <c r="G556" s="118">
        <v>44826</v>
      </c>
      <c r="H556" s="116" t="b">
        <f>VLOOKUP($C556,Sales!$C:$E,2,FALSE)</f>
        <v>1</v>
      </c>
      <c r="I556" s="116" t="b">
        <f>VLOOKUP($C556,Sales!$C:$E,3,FALSE)</f>
        <v>0</v>
      </c>
      <c r="J556" s="118">
        <f>SUMIFS(Sales!$H:$H,Sales!$C:$C,'Investor Exit List'!$C556)</f>
        <v>45475</v>
      </c>
      <c r="K556" s="118" t="str">
        <f t="shared" si="96"/>
        <v/>
      </c>
      <c r="L556" s="118">
        <f t="shared" si="97"/>
        <v>45556</v>
      </c>
      <c r="M556" s="118">
        <v>45443</v>
      </c>
      <c r="N556" s="119">
        <f t="shared" si="98"/>
        <v>113</v>
      </c>
      <c r="O556" s="119">
        <f t="shared" si="99"/>
        <v>113</v>
      </c>
      <c r="P556" s="117">
        <f t="shared" si="100"/>
        <v>0</v>
      </c>
      <c r="Q556" s="117">
        <f>SUMIFS(Investors!$M:$M,Investors!$O:$O,FALSE,Investors!$P:$P,FALSE,Investors!$K:$K,"&gt;"&amp;'NSST Print'!$B$3,Investors!$I:$I,"&lt;="&amp;'NSST Print'!$B$3,Investors!$A:$A,'Investor Exit List'!$A556,Investors!$E:$E,'Investor Exit List'!$C556,Investors!$L:$L,'Investor Exit List'!$B556)-(SUMIFS(Investors!$M:$M,Investors!$I:$I,"&lt;="&amp;'NSST Print'!$B$3,Investors!$J:$J,"&gt;"&amp;'NSST Print'!$B$3,Investors!$A:$A,'Investor Exit List'!$A556,Investors!$E:$E,'Investor Exit List'!$C556,Investors!$L:$L,'Investor Exit List'!$B556)+SUMIFS(Investors!$M:$M,Investors!$I:$I,"&lt;="&amp;'NSST Print'!$B$3,Investors!$J:$J,"",Investors!$A:$A,'Investor Exit List'!$A556,Investors!$E:$E,'Investor Exit List'!$C556,Investors!$L:$L,'Investor Exit List'!$B556))+SUMIFS(Investors!$S:$S,Investors!$O:$O,FALSE,Investors!$P:$P,FALSE,Investors!$K:$K,"&gt;"&amp;'NSST Print'!$B$3,Investors!$I:$I,"&lt;="&amp;'NSST Print'!$B$3,Investors!$A:$A,'Investor Exit List'!$A556,Investors!$E:$E,'Investor Exit List'!$C556,Investors!$L:$L,'Investor Exit List'!$B556)-(SUMIFS(Investors!$S:$S,Investors!$I:$I,"&lt;="&amp;'NSST Print'!$B$3,Investors!$J:$J,"&gt;"&amp;'NSST Print'!$B$3,Investors!$A:$A,'Investor Exit List'!$A556,Investors!$E:$E,'Investor Exit List'!$C556,Investors!$L:$L,'Investor Exit List'!$B556)+SUMIFS(Investors!$S:$S,Investors!$I:$I,"&lt;="&amp;'NSST Print'!$B$3,Investors!$J:$J,"",Investors!$A:$A,'Investor Exit List'!$A556,Investors!$E:$E,'Investor Exit List'!$C556,Investors!$L:$L,'Investor Exit List'!$B556))</f>
        <v>662431.50684931513</v>
      </c>
      <c r="R556" s="117">
        <f t="shared" si="101"/>
        <v>662431.50684931513</v>
      </c>
      <c r="S556" s="117">
        <f>SUMIFS(Investors!$M:$M,Investors!$O:$O,TRUE,Investors!$A:$A,'Investor Exit List'!$A556,Investors!$E:$E,'Investor Exit List'!$C556,Investors!$L:$L,'Investor Exit List'!$B556)+SUMIFS(Investors!$S:$S,Investors!$O:$O,TRUE,Investors!$A:$A,'Investor Exit List'!$A556,Investors!$E:$E,'Investor Exit List'!$C556,Investors!$L:$L,'Investor Exit List'!$B556)</f>
        <v>0</v>
      </c>
      <c r="T556" s="118" t="str">
        <f t="shared" si="102"/>
        <v/>
      </c>
      <c r="U556" s="116" t="b">
        <v>0</v>
      </c>
      <c r="V556" s="117">
        <f t="shared" si="103"/>
        <v>0</v>
      </c>
      <c r="W556" s="116">
        <v>0</v>
      </c>
      <c r="X556" s="116" t="b">
        <v>0</v>
      </c>
      <c r="Y556" s="119">
        <f>IF(H556=FALSE,VLOOKUP($C556,Sales!$C:$F,4,FALSE),1)</f>
        <v>1</v>
      </c>
      <c r="Z556" s="116" t="str">
        <f t="shared" si="104"/>
        <v/>
      </c>
      <c r="AA556" s="118">
        <f t="shared" si="105"/>
        <v>45556</v>
      </c>
      <c r="AB556" s="118" t="str">
        <f t="shared" si="106"/>
        <v>HVP201-ZZEE01</v>
      </c>
      <c r="AC556" s="118">
        <f t="shared" si="107"/>
        <v>45556</v>
      </c>
    </row>
    <row r="557" spans="1:29" ht="16" x14ac:dyDescent="0.2">
      <c r="A557" s="116" t="s">
        <v>236</v>
      </c>
      <c r="B557" s="116">
        <v>2</v>
      </c>
      <c r="C557" s="116" t="s">
        <v>909</v>
      </c>
      <c r="D557" s="116" t="s">
        <v>891</v>
      </c>
      <c r="E557" s="116" t="s">
        <v>2074</v>
      </c>
      <c r="F557" s="117">
        <f>SUMIFS(Investors!$M:$M,Investors!$O:$O,FALSE,Investors!$P:$P,FALSE,Investors!$K:$K,"&gt;"&amp;'NSST Print'!$B$3,Investors!$I:$I,"&lt;="&amp;'NSST Print'!$B$3,Investors!$A:$A,'Investor Exit List'!$A557,Investors!$E:$E,'Investor Exit List'!$C557,Investors!$L:$L,'Investor Exit List'!$B557)-(SUMIFS(Investors!$M:$M,Investors!$I:$I,"&lt;="&amp;'NSST Print'!$B$3,Investors!$J:$J,"&gt;"&amp;'NSST Print'!$B$3,Investors!$A:$A,'Investor Exit List'!$A557,Investors!$E:$E,'Investor Exit List'!$C557,Investors!$L:$L,'Investor Exit List'!$B557)+SUMIFS(Investors!$M:$M,Investors!$I:$I,"&lt;="&amp;'NSST Print'!$B$3,Investors!$J:$J,"",Investors!$A:$A,'Investor Exit List'!$A557,Investors!$E:$E,'Investor Exit List'!$C557,Investors!$L:$L,'Investor Exit List'!$B557))</f>
        <v>0</v>
      </c>
      <c r="G557" s="118">
        <v>45107</v>
      </c>
      <c r="H557" s="116" t="b">
        <f>VLOOKUP($C557,Sales!$C:$E,2,FALSE)</f>
        <v>1</v>
      </c>
      <c r="I557" s="116" t="b">
        <f>VLOOKUP($C557,Sales!$C:$E,3,FALSE)</f>
        <v>1</v>
      </c>
      <c r="J557" s="118">
        <f>SUMIFS(Sales!$H:$H,Sales!$C:$C,'Investor Exit List'!$C557)</f>
        <v>45688</v>
      </c>
      <c r="K557" s="118">
        <f t="shared" si="96"/>
        <v>45688</v>
      </c>
      <c r="L557" s="118">
        <f t="shared" si="97"/>
        <v>45837</v>
      </c>
      <c r="M557" s="118">
        <v>45443</v>
      </c>
      <c r="N557" s="119">
        <f t="shared" si="98"/>
        <v>0</v>
      </c>
      <c r="O557" s="119">
        <f t="shared" si="99"/>
        <v>0</v>
      </c>
      <c r="P557" s="117">
        <f t="shared" si="100"/>
        <v>0</v>
      </c>
      <c r="Q557" s="117">
        <f>SUMIFS(Investors!$M:$M,Investors!$O:$O,FALSE,Investors!$P:$P,FALSE,Investors!$K:$K,"&gt;"&amp;'NSST Print'!$B$3,Investors!$I:$I,"&lt;="&amp;'NSST Print'!$B$3,Investors!$A:$A,'Investor Exit List'!$A557,Investors!$E:$E,'Investor Exit List'!$C557,Investors!$L:$L,'Investor Exit List'!$B557)-(SUMIFS(Investors!$M:$M,Investors!$I:$I,"&lt;="&amp;'NSST Print'!$B$3,Investors!$J:$J,"&gt;"&amp;'NSST Print'!$B$3,Investors!$A:$A,'Investor Exit List'!$A557,Investors!$E:$E,'Investor Exit List'!$C557,Investors!$L:$L,'Investor Exit List'!$B557)+SUMIFS(Investors!$M:$M,Investors!$I:$I,"&lt;="&amp;'NSST Print'!$B$3,Investors!$J:$J,"",Investors!$A:$A,'Investor Exit List'!$A557,Investors!$E:$E,'Investor Exit List'!$C557,Investors!$L:$L,'Investor Exit List'!$B557))+SUMIFS(Investors!$S:$S,Investors!$O:$O,FALSE,Investors!$P:$P,FALSE,Investors!$K:$K,"&gt;"&amp;'NSST Print'!$B$3,Investors!$I:$I,"&lt;="&amp;'NSST Print'!$B$3,Investors!$A:$A,'Investor Exit List'!$A557,Investors!$E:$E,'Investor Exit List'!$C557,Investors!$L:$L,'Investor Exit List'!$B557)-(SUMIFS(Investors!$S:$S,Investors!$I:$I,"&lt;="&amp;'NSST Print'!$B$3,Investors!$J:$J,"&gt;"&amp;'NSST Print'!$B$3,Investors!$A:$A,'Investor Exit List'!$A557,Investors!$E:$E,'Investor Exit List'!$C557,Investors!$L:$L,'Investor Exit List'!$B557)+SUMIFS(Investors!$S:$S,Investors!$I:$I,"&lt;="&amp;'NSST Print'!$B$3,Investors!$J:$J,"",Investors!$A:$A,'Investor Exit List'!$A557,Investors!$E:$E,'Investor Exit List'!$C557,Investors!$L:$L,'Investor Exit List'!$B557))</f>
        <v>0</v>
      </c>
      <c r="R557" s="117">
        <f t="shared" si="101"/>
        <v>0</v>
      </c>
      <c r="S557" s="117">
        <f>SUMIFS(Investors!$M:$M,Investors!$O:$O,TRUE,Investors!$A:$A,'Investor Exit List'!$A557,Investors!$E:$E,'Investor Exit List'!$C557,Investors!$L:$L,'Investor Exit List'!$B557)+SUMIFS(Investors!$S:$S,Investors!$O:$O,TRUE,Investors!$A:$A,'Investor Exit List'!$A557,Investors!$E:$E,'Investor Exit List'!$C557,Investors!$L:$L,'Investor Exit List'!$B557)</f>
        <v>0</v>
      </c>
      <c r="T557" s="118" t="str">
        <f t="shared" si="102"/>
        <v/>
      </c>
      <c r="U557" s="116" t="b">
        <v>0</v>
      </c>
      <c r="V557" s="117">
        <f t="shared" si="103"/>
        <v>0</v>
      </c>
      <c r="W557" s="116">
        <v>0</v>
      </c>
      <c r="X557" s="116" t="b">
        <v>0</v>
      </c>
      <c r="Y557" s="119">
        <f>IF(H557=FALSE,VLOOKUP($C557,Sales!$C:$F,4,FALSE),1)</f>
        <v>1</v>
      </c>
      <c r="Z557" s="116" t="str">
        <f t="shared" si="104"/>
        <v/>
      </c>
      <c r="AA557" s="118">
        <f t="shared" si="105"/>
        <v>0</v>
      </c>
      <c r="AB557" s="118" t="str">
        <f t="shared" si="106"/>
        <v>HVP202-ZBUR01</v>
      </c>
      <c r="AC557" s="118">
        <f t="shared" si="107"/>
        <v>45837</v>
      </c>
    </row>
    <row r="558" spans="1:29" ht="16" x14ac:dyDescent="0.2">
      <c r="A558" s="116" t="s">
        <v>52</v>
      </c>
      <c r="B558" s="116">
        <v>15</v>
      </c>
      <c r="C558" s="116" t="s">
        <v>909</v>
      </c>
      <c r="D558" s="116" t="s">
        <v>891</v>
      </c>
      <c r="E558" s="116" t="s">
        <v>2017</v>
      </c>
      <c r="F558" s="117">
        <f>SUMIFS(Investors!$M:$M,Investors!$O:$O,FALSE,Investors!$P:$P,FALSE,Investors!$K:$K,"&gt;"&amp;'NSST Print'!$B$3,Investors!$I:$I,"&lt;="&amp;'NSST Print'!$B$3,Investors!$A:$A,'Investor Exit List'!$A558,Investors!$E:$E,'Investor Exit List'!$C558,Investors!$L:$L,'Investor Exit List'!$B558)-(SUMIFS(Investors!$M:$M,Investors!$I:$I,"&lt;="&amp;'NSST Print'!$B$3,Investors!$J:$J,"&gt;"&amp;'NSST Print'!$B$3,Investors!$A:$A,'Investor Exit List'!$A558,Investors!$E:$E,'Investor Exit List'!$C558,Investors!$L:$L,'Investor Exit List'!$B558)+SUMIFS(Investors!$M:$M,Investors!$I:$I,"&lt;="&amp;'NSST Print'!$B$3,Investors!$J:$J,"",Investors!$A:$A,'Investor Exit List'!$A558,Investors!$E:$E,'Investor Exit List'!$C558,Investors!$L:$L,'Investor Exit List'!$B558))</f>
        <v>0</v>
      </c>
      <c r="G558" s="118">
        <v>45107</v>
      </c>
      <c r="H558" s="116" t="b">
        <f>VLOOKUP($C558,Sales!$C:$E,2,FALSE)</f>
        <v>1</v>
      </c>
      <c r="I558" s="116" t="b">
        <f>VLOOKUP($C558,Sales!$C:$E,3,FALSE)</f>
        <v>1</v>
      </c>
      <c r="J558" s="118">
        <f>SUMIFS(Sales!$H:$H,Sales!$C:$C,'Investor Exit List'!$C558)</f>
        <v>45688</v>
      </c>
      <c r="K558" s="118">
        <f t="shared" si="96"/>
        <v>45688</v>
      </c>
      <c r="L558" s="118">
        <f t="shared" si="97"/>
        <v>45837</v>
      </c>
      <c r="M558" s="118">
        <v>45443</v>
      </c>
      <c r="N558" s="119">
        <f t="shared" si="98"/>
        <v>0</v>
      </c>
      <c r="O558" s="119">
        <f t="shared" si="99"/>
        <v>0</v>
      </c>
      <c r="P558" s="117">
        <f t="shared" si="100"/>
        <v>0</v>
      </c>
      <c r="Q558" s="117">
        <f>SUMIFS(Investors!$M:$M,Investors!$O:$O,FALSE,Investors!$P:$P,FALSE,Investors!$K:$K,"&gt;"&amp;'NSST Print'!$B$3,Investors!$I:$I,"&lt;="&amp;'NSST Print'!$B$3,Investors!$A:$A,'Investor Exit List'!$A558,Investors!$E:$E,'Investor Exit List'!$C558,Investors!$L:$L,'Investor Exit List'!$B558)-(SUMIFS(Investors!$M:$M,Investors!$I:$I,"&lt;="&amp;'NSST Print'!$B$3,Investors!$J:$J,"&gt;"&amp;'NSST Print'!$B$3,Investors!$A:$A,'Investor Exit List'!$A558,Investors!$E:$E,'Investor Exit List'!$C558,Investors!$L:$L,'Investor Exit List'!$B558)+SUMIFS(Investors!$M:$M,Investors!$I:$I,"&lt;="&amp;'NSST Print'!$B$3,Investors!$J:$J,"",Investors!$A:$A,'Investor Exit List'!$A558,Investors!$E:$E,'Investor Exit List'!$C558,Investors!$L:$L,'Investor Exit List'!$B558))+SUMIFS(Investors!$S:$S,Investors!$O:$O,FALSE,Investors!$P:$P,FALSE,Investors!$K:$K,"&gt;"&amp;'NSST Print'!$B$3,Investors!$I:$I,"&lt;="&amp;'NSST Print'!$B$3,Investors!$A:$A,'Investor Exit List'!$A558,Investors!$E:$E,'Investor Exit List'!$C558,Investors!$L:$L,'Investor Exit List'!$B558)-(SUMIFS(Investors!$S:$S,Investors!$I:$I,"&lt;="&amp;'NSST Print'!$B$3,Investors!$J:$J,"&gt;"&amp;'NSST Print'!$B$3,Investors!$A:$A,'Investor Exit List'!$A558,Investors!$E:$E,'Investor Exit List'!$C558,Investors!$L:$L,'Investor Exit List'!$B558)+SUMIFS(Investors!$S:$S,Investors!$I:$I,"&lt;="&amp;'NSST Print'!$B$3,Investors!$J:$J,"",Investors!$A:$A,'Investor Exit List'!$A558,Investors!$E:$E,'Investor Exit List'!$C558,Investors!$L:$L,'Investor Exit List'!$B558))</f>
        <v>0</v>
      </c>
      <c r="R558" s="117">
        <f t="shared" si="101"/>
        <v>0</v>
      </c>
      <c r="S558" s="117">
        <f>SUMIFS(Investors!$M:$M,Investors!$O:$O,TRUE,Investors!$A:$A,'Investor Exit List'!$A558,Investors!$E:$E,'Investor Exit List'!$C558,Investors!$L:$L,'Investor Exit List'!$B558)+SUMIFS(Investors!$S:$S,Investors!$O:$O,TRUE,Investors!$A:$A,'Investor Exit List'!$A558,Investors!$E:$E,'Investor Exit List'!$C558,Investors!$L:$L,'Investor Exit List'!$B558)</f>
        <v>0</v>
      </c>
      <c r="T558" s="118" t="str">
        <f t="shared" si="102"/>
        <v/>
      </c>
      <c r="U558" s="116" t="b">
        <v>0</v>
      </c>
      <c r="V558" s="117">
        <f t="shared" si="103"/>
        <v>0</v>
      </c>
      <c r="W558" s="116">
        <v>0</v>
      </c>
      <c r="X558" s="116" t="b">
        <v>0</v>
      </c>
      <c r="Y558" s="119">
        <f>IF(H558=FALSE,VLOOKUP($C558,Sales!$C:$F,4,FALSE),1)</f>
        <v>1</v>
      </c>
      <c r="Z558" s="116" t="str">
        <f t="shared" si="104"/>
        <v/>
      </c>
      <c r="AA558" s="118">
        <f t="shared" si="105"/>
        <v>0</v>
      </c>
      <c r="AB558" s="118" t="str">
        <f t="shared" si="106"/>
        <v>HVP202-ZCRO01</v>
      </c>
      <c r="AC558" s="118">
        <f t="shared" si="107"/>
        <v>45837</v>
      </c>
    </row>
    <row r="559" spans="1:29" ht="16" x14ac:dyDescent="0.2">
      <c r="A559" s="116" t="s">
        <v>910</v>
      </c>
      <c r="B559" s="116">
        <v>1</v>
      </c>
      <c r="C559" s="116" t="s">
        <v>909</v>
      </c>
      <c r="D559" s="116" t="s">
        <v>891</v>
      </c>
      <c r="E559" s="116" t="s">
        <v>2237</v>
      </c>
      <c r="F559" s="117">
        <f>SUMIFS(Investors!$M:$M,Investors!$O:$O,FALSE,Investors!$P:$P,FALSE,Investors!$K:$K,"&gt;"&amp;'NSST Print'!$B$3,Investors!$I:$I,"&lt;="&amp;'NSST Print'!$B$3,Investors!$A:$A,'Investor Exit List'!$A559,Investors!$E:$E,'Investor Exit List'!$C559,Investors!$L:$L,'Investor Exit List'!$B559)-(SUMIFS(Investors!$M:$M,Investors!$I:$I,"&lt;="&amp;'NSST Print'!$B$3,Investors!$J:$J,"&gt;"&amp;'NSST Print'!$B$3,Investors!$A:$A,'Investor Exit List'!$A559,Investors!$E:$E,'Investor Exit List'!$C559,Investors!$L:$L,'Investor Exit List'!$B559)+SUMIFS(Investors!$M:$M,Investors!$I:$I,"&lt;="&amp;'NSST Print'!$B$3,Investors!$J:$J,"",Investors!$A:$A,'Investor Exit List'!$A559,Investors!$E:$E,'Investor Exit List'!$C559,Investors!$L:$L,'Investor Exit List'!$B559))</f>
        <v>0</v>
      </c>
      <c r="G559" s="118">
        <v>44868</v>
      </c>
      <c r="H559" s="116" t="b">
        <f>VLOOKUP($C559,Sales!$C:$E,2,FALSE)</f>
        <v>1</v>
      </c>
      <c r="I559" s="116" t="b">
        <f>VLOOKUP($C559,Sales!$C:$E,3,FALSE)</f>
        <v>1</v>
      </c>
      <c r="J559" s="118">
        <f>SUMIFS(Sales!$H:$H,Sales!$C:$C,'Investor Exit List'!$C559)</f>
        <v>45688</v>
      </c>
      <c r="K559" s="118">
        <f t="shared" si="96"/>
        <v>45688</v>
      </c>
      <c r="L559" s="118">
        <f t="shared" si="97"/>
        <v>45598</v>
      </c>
      <c r="M559" s="118">
        <v>45443</v>
      </c>
      <c r="N559" s="119">
        <f t="shared" si="98"/>
        <v>0</v>
      </c>
      <c r="O559" s="119">
        <f t="shared" si="99"/>
        <v>0</v>
      </c>
      <c r="P559" s="117">
        <f t="shared" si="100"/>
        <v>0</v>
      </c>
      <c r="Q559" s="117">
        <f>SUMIFS(Investors!$M:$M,Investors!$O:$O,FALSE,Investors!$P:$P,FALSE,Investors!$K:$K,"&gt;"&amp;'NSST Print'!$B$3,Investors!$I:$I,"&lt;="&amp;'NSST Print'!$B$3,Investors!$A:$A,'Investor Exit List'!$A559,Investors!$E:$E,'Investor Exit List'!$C559,Investors!$L:$L,'Investor Exit List'!$B559)-(SUMIFS(Investors!$M:$M,Investors!$I:$I,"&lt;="&amp;'NSST Print'!$B$3,Investors!$J:$J,"&gt;"&amp;'NSST Print'!$B$3,Investors!$A:$A,'Investor Exit List'!$A559,Investors!$E:$E,'Investor Exit List'!$C559,Investors!$L:$L,'Investor Exit List'!$B559)+SUMIFS(Investors!$M:$M,Investors!$I:$I,"&lt;="&amp;'NSST Print'!$B$3,Investors!$J:$J,"",Investors!$A:$A,'Investor Exit List'!$A559,Investors!$E:$E,'Investor Exit List'!$C559,Investors!$L:$L,'Investor Exit List'!$B559))+SUMIFS(Investors!$S:$S,Investors!$O:$O,FALSE,Investors!$P:$P,FALSE,Investors!$K:$K,"&gt;"&amp;'NSST Print'!$B$3,Investors!$I:$I,"&lt;="&amp;'NSST Print'!$B$3,Investors!$A:$A,'Investor Exit List'!$A559,Investors!$E:$E,'Investor Exit List'!$C559,Investors!$L:$L,'Investor Exit List'!$B559)-(SUMIFS(Investors!$S:$S,Investors!$I:$I,"&lt;="&amp;'NSST Print'!$B$3,Investors!$J:$J,"&gt;"&amp;'NSST Print'!$B$3,Investors!$A:$A,'Investor Exit List'!$A559,Investors!$E:$E,'Investor Exit List'!$C559,Investors!$L:$L,'Investor Exit List'!$B559)+SUMIFS(Investors!$S:$S,Investors!$I:$I,"&lt;="&amp;'NSST Print'!$B$3,Investors!$J:$J,"",Investors!$A:$A,'Investor Exit List'!$A559,Investors!$E:$E,'Investor Exit List'!$C559,Investors!$L:$L,'Investor Exit List'!$B559))</f>
        <v>0</v>
      </c>
      <c r="R559" s="117">
        <f t="shared" si="101"/>
        <v>0</v>
      </c>
      <c r="S559" s="117">
        <f>SUMIFS(Investors!$M:$M,Investors!$O:$O,TRUE,Investors!$A:$A,'Investor Exit List'!$A559,Investors!$E:$E,'Investor Exit List'!$C559,Investors!$L:$L,'Investor Exit List'!$B559)+SUMIFS(Investors!$S:$S,Investors!$O:$O,TRUE,Investors!$A:$A,'Investor Exit List'!$A559,Investors!$E:$E,'Investor Exit List'!$C559,Investors!$L:$L,'Investor Exit List'!$B559)</f>
        <v>0</v>
      </c>
      <c r="T559" s="118" t="str">
        <f t="shared" si="102"/>
        <v/>
      </c>
      <c r="U559" s="116" t="b">
        <v>0</v>
      </c>
      <c r="V559" s="117">
        <f t="shared" si="103"/>
        <v>0</v>
      </c>
      <c r="W559" s="116">
        <v>0</v>
      </c>
      <c r="X559" s="116" t="b">
        <v>0</v>
      </c>
      <c r="Y559" s="119">
        <f>IF(H559=FALSE,VLOOKUP($C559,Sales!$C:$F,4,FALSE),1)</f>
        <v>1</v>
      </c>
      <c r="Z559" s="116" t="str">
        <f t="shared" si="104"/>
        <v/>
      </c>
      <c r="AA559" s="118">
        <f t="shared" si="105"/>
        <v>0</v>
      </c>
      <c r="AB559" s="118" t="str">
        <f t="shared" si="106"/>
        <v>HVP202-ZDUP04</v>
      </c>
      <c r="AC559" s="118">
        <f t="shared" si="107"/>
        <v>45598</v>
      </c>
    </row>
    <row r="560" spans="1:29" ht="16" x14ac:dyDescent="0.2">
      <c r="A560" s="116" t="s">
        <v>452</v>
      </c>
      <c r="B560" s="116">
        <v>3</v>
      </c>
      <c r="C560" s="116" t="s">
        <v>909</v>
      </c>
      <c r="D560" s="116" t="s">
        <v>891</v>
      </c>
      <c r="E560" s="116" t="s">
        <v>2133</v>
      </c>
      <c r="F560" s="117">
        <f>SUMIFS(Investors!$M:$M,Investors!$O:$O,FALSE,Investors!$P:$P,FALSE,Investors!$K:$K,"&gt;"&amp;'NSST Print'!$B$3,Investors!$I:$I,"&lt;="&amp;'NSST Print'!$B$3,Investors!$A:$A,'Investor Exit List'!$A560,Investors!$E:$E,'Investor Exit List'!$C560,Investors!$L:$L,'Investor Exit List'!$B560)-(SUMIFS(Investors!$M:$M,Investors!$I:$I,"&lt;="&amp;'NSST Print'!$B$3,Investors!$J:$J,"&gt;"&amp;'NSST Print'!$B$3,Investors!$A:$A,'Investor Exit List'!$A560,Investors!$E:$E,'Investor Exit List'!$C560,Investors!$L:$L,'Investor Exit List'!$B560)+SUMIFS(Investors!$M:$M,Investors!$I:$I,"&lt;="&amp;'NSST Print'!$B$3,Investors!$J:$J,"",Investors!$A:$A,'Investor Exit List'!$A560,Investors!$E:$E,'Investor Exit List'!$C560,Investors!$L:$L,'Investor Exit List'!$B560))</f>
        <v>0</v>
      </c>
      <c r="G560" s="118">
        <v>45107</v>
      </c>
      <c r="H560" s="116" t="b">
        <f>VLOOKUP($C560,Sales!$C:$E,2,FALSE)</f>
        <v>1</v>
      </c>
      <c r="I560" s="116" t="b">
        <f>VLOOKUP($C560,Sales!$C:$E,3,FALSE)</f>
        <v>1</v>
      </c>
      <c r="J560" s="118">
        <f>SUMIFS(Sales!$H:$H,Sales!$C:$C,'Investor Exit List'!$C560)</f>
        <v>45688</v>
      </c>
      <c r="K560" s="118">
        <f t="shared" si="96"/>
        <v>45688</v>
      </c>
      <c r="L560" s="118">
        <f t="shared" si="97"/>
        <v>45837</v>
      </c>
      <c r="M560" s="118">
        <v>45443</v>
      </c>
      <c r="N560" s="119">
        <f t="shared" si="98"/>
        <v>0</v>
      </c>
      <c r="O560" s="119">
        <f t="shared" si="99"/>
        <v>0</v>
      </c>
      <c r="P560" s="117">
        <f t="shared" si="100"/>
        <v>0</v>
      </c>
      <c r="Q560" s="117">
        <f>SUMIFS(Investors!$M:$M,Investors!$O:$O,FALSE,Investors!$P:$P,FALSE,Investors!$K:$K,"&gt;"&amp;'NSST Print'!$B$3,Investors!$I:$I,"&lt;="&amp;'NSST Print'!$B$3,Investors!$A:$A,'Investor Exit List'!$A560,Investors!$E:$E,'Investor Exit List'!$C560,Investors!$L:$L,'Investor Exit List'!$B560)-(SUMIFS(Investors!$M:$M,Investors!$I:$I,"&lt;="&amp;'NSST Print'!$B$3,Investors!$J:$J,"&gt;"&amp;'NSST Print'!$B$3,Investors!$A:$A,'Investor Exit List'!$A560,Investors!$E:$E,'Investor Exit List'!$C560,Investors!$L:$L,'Investor Exit List'!$B560)+SUMIFS(Investors!$M:$M,Investors!$I:$I,"&lt;="&amp;'NSST Print'!$B$3,Investors!$J:$J,"",Investors!$A:$A,'Investor Exit List'!$A560,Investors!$E:$E,'Investor Exit List'!$C560,Investors!$L:$L,'Investor Exit List'!$B560))+SUMIFS(Investors!$S:$S,Investors!$O:$O,FALSE,Investors!$P:$P,FALSE,Investors!$K:$K,"&gt;"&amp;'NSST Print'!$B$3,Investors!$I:$I,"&lt;="&amp;'NSST Print'!$B$3,Investors!$A:$A,'Investor Exit List'!$A560,Investors!$E:$E,'Investor Exit List'!$C560,Investors!$L:$L,'Investor Exit List'!$B560)-(SUMIFS(Investors!$S:$S,Investors!$I:$I,"&lt;="&amp;'NSST Print'!$B$3,Investors!$J:$J,"&gt;"&amp;'NSST Print'!$B$3,Investors!$A:$A,'Investor Exit List'!$A560,Investors!$E:$E,'Investor Exit List'!$C560,Investors!$L:$L,'Investor Exit List'!$B560)+SUMIFS(Investors!$S:$S,Investors!$I:$I,"&lt;="&amp;'NSST Print'!$B$3,Investors!$J:$J,"",Investors!$A:$A,'Investor Exit List'!$A560,Investors!$E:$E,'Investor Exit List'!$C560,Investors!$L:$L,'Investor Exit List'!$B560))</f>
        <v>0</v>
      </c>
      <c r="R560" s="117">
        <f t="shared" si="101"/>
        <v>0</v>
      </c>
      <c r="S560" s="117">
        <f>SUMIFS(Investors!$M:$M,Investors!$O:$O,TRUE,Investors!$A:$A,'Investor Exit List'!$A560,Investors!$E:$E,'Investor Exit List'!$C560,Investors!$L:$L,'Investor Exit List'!$B560)+SUMIFS(Investors!$S:$S,Investors!$O:$O,TRUE,Investors!$A:$A,'Investor Exit List'!$A560,Investors!$E:$E,'Investor Exit List'!$C560,Investors!$L:$L,'Investor Exit List'!$B560)</f>
        <v>0</v>
      </c>
      <c r="T560" s="118" t="str">
        <f t="shared" si="102"/>
        <v/>
      </c>
      <c r="U560" s="116" t="b">
        <v>0</v>
      </c>
      <c r="V560" s="117">
        <f t="shared" si="103"/>
        <v>0</v>
      </c>
      <c r="W560" s="116">
        <v>0</v>
      </c>
      <c r="X560" s="116" t="b">
        <v>0</v>
      </c>
      <c r="Y560" s="119">
        <f>IF(H560=FALSE,VLOOKUP($C560,Sales!$C:$F,4,FALSE),1)</f>
        <v>1</v>
      </c>
      <c r="Z560" s="116" t="str">
        <f t="shared" si="104"/>
        <v/>
      </c>
      <c r="AA560" s="118">
        <f t="shared" si="105"/>
        <v>0</v>
      </c>
      <c r="AB560" s="118" t="str">
        <f t="shared" si="106"/>
        <v>HVP202-ZVAN10</v>
      </c>
      <c r="AC560" s="118">
        <f t="shared" si="107"/>
        <v>45837</v>
      </c>
    </row>
    <row r="561" spans="1:29" ht="16" x14ac:dyDescent="0.2">
      <c r="A561" s="116" t="s">
        <v>539</v>
      </c>
      <c r="B561" s="116">
        <v>13</v>
      </c>
      <c r="C561" s="116" t="s">
        <v>913</v>
      </c>
      <c r="D561" s="116" t="s">
        <v>891</v>
      </c>
      <c r="E561" s="116" t="s">
        <v>2159</v>
      </c>
      <c r="F561" s="117">
        <f>SUMIFS(Investors!$M:$M,Investors!$O:$O,FALSE,Investors!$P:$P,FALSE,Investors!$K:$K,"&gt;"&amp;'NSST Print'!$B$3,Investors!$I:$I,"&lt;="&amp;'NSST Print'!$B$3,Investors!$A:$A,'Investor Exit List'!$A561,Investors!$E:$E,'Investor Exit List'!$C561,Investors!$L:$L,'Investor Exit List'!$B561)-(SUMIFS(Investors!$M:$M,Investors!$I:$I,"&lt;="&amp;'NSST Print'!$B$3,Investors!$J:$J,"&gt;"&amp;'NSST Print'!$B$3,Investors!$A:$A,'Investor Exit List'!$A561,Investors!$E:$E,'Investor Exit List'!$C561,Investors!$L:$L,'Investor Exit List'!$B561)+SUMIFS(Investors!$M:$M,Investors!$I:$I,"&lt;="&amp;'NSST Print'!$B$3,Investors!$J:$J,"",Investors!$A:$A,'Investor Exit List'!$A561,Investors!$E:$E,'Investor Exit List'!$C561,Investors!$L:$L,'Investor Exit List'!$B561))</f>
        <v>1100000</v>
      </c>
      <c r="G561" s="118">
        <v>44833</v>
      </c>
      <c r="H561" s="116" t="b">
        <f>VLOOKUP($C561,Sales!$C:$E,2,FALSE)</f>
        <v>0</v>
      </c>
      <c r="I561" s="116" t="b">
        <f>VLOOKUP($C561,Sales!$C:$E,3,FALSE)</f>
        <v>0</v>
      </c>
      <c r="J561" s="118">
        <f>SUMIFS(Sales!$H:$H,Sales!$C:$C,'Investor Exit List'!$C561)</f>
        <v>45646</v>
      </c>
      <c r="K561" s="118" t="str">
        <f t="shared" si="96"/>
        <v/>
      </c>
      <c r="L561" s="118">
        <f t="shared" si="97"/>
        <v>45563</v>
      </c>
      <c r="M561" s="118">
        <v>45443</v>
      </c>
      <c r="N561" s="119">
        <f t="shared" si="98"/>
        <v>120</v>
      </c>
      <c r="O561" s="119">
        <f t="shared" si="99"/>
        <v>120</v>
      </c>
      <c r="P561" s="117">
        <f t="shared" si="100"/>
        <v>0</v>
      </c>
      <c r="Q561" s="117">
        <f>SUMIFS(Investors!$M:$M,Investors!$O:$O,FALSE,Investors!$P:$P,FALSE,Investors!$K:$K,"&gt;"&amp;'NSST Print'!$B$3,Investors!$I:$I,"&lt;="&amp;'NSST Print'!$B$3,Investors!$A:$A,'Investor Exit List'!$A561,Investors!$E:$E,'Investor Exit List'!$C561,Investors!$L:$L,'Investor Exit List'!$B561)-(SUMIFS(Investors!$M:$M,Investors!$I:$I,"&lt;="&amp;'NSST Print'!$B$3,Investors!$J:$J,"&gt;"&amp;'NSST Print'!$B$3,Investors!$A:$A,'Investor Exit List'!$A561,Investors!$E:$E,'Investor Exit List'!$C561,Investors!$L:$L,'Investor Exit List'!$B561)+SUMIFS(Investors!$M:$M,Investors!$I:$I,"&lt;="&amp;'NSST Print'!$B$3,Investors!$J:$J,"",Investors!$A:$A,'Investor Exit List'!$A561,Investors!$E:$E,'Investor Exit List'!$C561,Investors!$L:$L,'Investor Exit List'!$B561))+SUMIFS(Investors!$S:$S,Investors!$O:$O,FALSE,Investors!$P:$P,FALSE,Investors!$K:$K,"&gt;"&amp;'NSST Print'!$B$3,Investors!$I:$I,"&lt;="&amp;'NSST Print'!$B$3,Investors!$A:$A,'Investor Exit List'!$A561,Investors!$E:$E,'Investor Exit List'!$C561,Investors!$L:$L,'Investor Exit List'!$B561)-(SUMIFS(Investors!$S:$S,Investors!$I:$I,"&lt;="&amp;'NSST Print'!$B$3,Investors!$J:$J,"&gt;"&amp;'NSST Print'!$B$3,Investors!$A:$A,'Investor Exit List'!$A561,Investors!$E:$E,'Investor Exit List'!$C561,Investors!$L:$L,'Investor Exit List'!$B561)+SUMIFS(Investors!$S:$S,Investors!$I:$I,"&lt;="&amp;'NSST Print'!$B$3,Investors!$J:$J,"",Investors!$A:$A,'Investor Exit List'!$A561,Investors!$E:$E,'Investor Exit List'!$C561,Investors!$L:$L,'Investor Exit List'!$B561))</f>
        <v>1467384.9315068494</v>
      </c>
      <c r="R561" s="117">
        <f t="shared" si="101"/>
        <v>0</v>
      </c>
      <c r="S561" s="117">
        <f>SUMIFS(Investors!$M:$M,Investors!$O:$O,TRUE,Investors!$A:$A,'Investor Exit List'!$A561,Investors!$E:$E,'Investor Exit List'!$C561,Investors!$L:$L,'Investor Exit List'!$B561)+SUMIFS(Investors!$S:$S,Investors!$O:$O,TRUE,Investors!$A:$A,'Investor Exit List'!$A561,Investors!$E:$E,'Investor Exit List'!$C561,Investors!$L:$L,'Investor Exit List'!$B561)</f>
        <v>0</v>
      </c>
      <c r="T561" s="118" t="str">
        <f t="shared" si="102"/>
        <v/>
      </c>
      <c r="U561" s="116" t="b">
        <v>0</v>
      </c>
      <c r="V561" s="117">
        <f t="shared" si="103"/>
        <v>0</v>
      </c>
      <c r="W561" s="116">
        <v>0</v>
      </c>
      <c r="X561" s="116" t="b">
        <v>0</v>
      </c>
      <c r="Y561" s="119">
        <f>IF(H561=FALSE,VLOOKUP($C561,Sales!$C:$F,4,FALSE),1)</f>
        <v>1</v>
      </c>
      <c r="Z561" s="116" t="str">
        <f t="shared" si="104"/>
        <v>Release</v>
      </c>
      <c r="AA561" s="118">
        <f t="shared" si="105"/>
        <v>45563</v>
      </c>
      <c r="AB561" s="118" t="str">
        <f t="shared" si="106"/>
        <v>HVP203-ZSON01</v>
      </c>
      <c r="AC561" s="118">
        <f t="shared" si="107"/>
        <v>45563</v>
      </c>
    </row>
    <row r="562" spans="1:29" ht="16" x14ac:dyDescent="0.2">
      <c r="A562" s="116" t="s">
        <v>914</v>
      </c>
      <c r="B562" s="116">
        <v>2</v>
      </c>
      <c r="C562" s="116" t="s">
        <v>917</v>
      </c>
      <c r="D562" s="116" t="s">
        <v>891</v>
      </c>
      <c r="E562" s="116" t="s">
        <v>2238</v>
      </c>
      <c r="F562" s="117">
        <f>SUMIFS(Investors!$M:$M,Investors!$O:$O,FALSE,Investors!$P:$P,FALSE,Investors!$K:$K,"&gt;"&amp;'NSST Print'!$B$3,Investors!$I:$I,"&lt;="&amp;'NSST Print'!$B$3,Investors!$A:$A,'Investor Exit List'!$A562,Investors!$E:$E,'Investor Exit List'!$C562,Investors!$L:$L,'Investor Exit List'!$B562)-(SUMIFS(Investors!$M:$M,Investors!$I:$I,"&lt;="&amp;'NSST Print'!$B$3,Investors!$J:$J,"&gt;"&amp;'NSST Print'!$B$3,Investors!$A:$A,'Investor Exit List'!$A562,Investors!$E:$E,'Investor Exit List'!$C562,Investors!$L:$L,'Investor Exit List'!$B562)+SUMIFS(Investors!$M:$M,Investors!$I:$I,"&lt;="&amp;'NSST Print'!$B$3,Investors!$J:$J,"",Investors!$A:$A,'Investor Exit List'!$A562,Investors!$E:$E,'Investor Exit List'!$C562,Investors!$L:$L,'Investor Exit List'!$B562))</f>
        <v>0</v>
      </c>
      <c r="G562" s="118">
        <v>44868</v>
      </c>
      <c r="H562" s="116" t="b">
        <f>VLOOKUP($C562,Sales!$C:$E,2,FALSE)</f>
        <v>1</v>
      </c>
      <c r="I562" s="116" t="b">
        <f>VLOOKUP($C562,Sales!$C:$E,3,FALSE)</f>
        <v>1</v>
      </c>
      <c r="J562" s="118">
        <f>SUMIFS(Sales!$H:$H,Sales!$C:$C,'Investor Exit List'!$C562)</f>
        <v>45688</v>
      </c>
      <c r="K562" s="118">
        <f t="shared" si="96"/>
        <v>45688</v>
      </c>
      <c r="L562" s="118">
        <f t="shared" si="97"/>
        <v>45598</v>
      </c>
      <c r="M562" s="118">
        <v>45443</v>
      </c>
      <c r="N562" s="119">
        <f t="shared" si="98"/>
        <v>0</v>
      </c>
      <c r="O562" s="119">
        <f t="shared" si="99"/>
        <v>0</v>
      </c>
      <c r="P562" s="117">
        <f t="shared" si="100"/>
        <v>0</v>
      </c>
      <c r="Q562" s="117">
        <f>SUMIFS(Investors!$M:$M,Investors!$O:$O,FALSE,Investors!$P:$P,FALSE,Investors!$K:$K,"&gt;"&amp;'NSST Print'!$B$3,Investors!$I:$I,"&lt;="&amp;'NSST Print'!$B$3,Investors!$A:$A,'Investor Exit List'!$A562,Investors!$E:$E,'Investor Exit List'!$C562,Investors!$L:$L,'Investor Exit List'!$B562)-(SUMIFS(Investors!$M:$M,Investors!$I:$I,"&lt;="&amp;'NSST Print'!$B$3,Investors!$J:$J,"&gt;"&amp;'NSST Print'!$B$3,Investors!$A:$A,'Investor Exit List'!$A562,Investors!$E:$E,'Investor Exit List'!$C562,Investors!$L:$L,'Investor Exit List'!$B562)+SUMIFS(Investors!$M:$M,Investors!$I:$I,"&lt;="&amp;'NSST Print'!$B$3,Investors!$J:$J,"",Investors!$A:$A,'Investor Exit List'!$A562,Investors!$E:$E,'Investor Exit List'!$C562,Investors!$L:$L,'Investor Exit List'!$B562))+SUMIFS(Investors!$S:$S,Investors!$O:$O,FALSE,Investors!$P:$P,FALSE,Investors!$K:$K,"&gt;"&amp;'NSST Print'!$B$3,Investors!$I:$I,"&lt;="&amp;'NSST Print'!$B$3,Investors!$A:$A,'Investor Exit List'!$A562,Investors!$E:$E,'Investor Exit List'!$C562,Investors!$L:$L,'Investor Exit List'!$B562)-(SUMIFS(Investors!$S:$S,Investors!$I:$I,"&lt;="&amp;'NSST Print'!$B$3,Investors!$J:$J,"&gt;"&amp;'NSST Print'!$B$3,Investors!$A:$A,'Investor Exit List'!$A562,Investors!$E:$E,'Investor Exit List'!$C562,Investors!$L:$L,'Investor Exit List'!$B562)+SUMIFS(Investors!$S:$S,Investors!$I:$I,"&lt;="&amp;'NSST Print'!$B$3,Investors!$J:$J,"",Investors!$A:$A,'Investor Exit List'!$A562,Investors!$E:$E,'Investor Exit List'!$C562,Investors!$L:$L,'Investor Exit List'!$B562))</f>
        <v>0</v>
      </c>
      <c r="R562" s="117">
        <f t="shared" si="101"/>
        <v>0</v>
      </c>
      <c r="S562" s="117">
        <f>SUMIFS(Investors!$M:$M,Investors!$O:$O,TRUE,Investors!$A:$A,'Investor Exit List'!$A562,Investors!$E:$E,'Investor Exit List'!$C562,Investors!$L:$L,'Investor Exit List'!$B562)+SUMIFS(Investors!$S:$S,Investors!$O:$O,TRUE,Investors!$A:$A,'Investor Exit List'!$A562,Investors!$E:$E,'Investor Exit List'!$C562,Investors!$L:$L,'Investor Exit List'!$B562)</f>
        <v>0</v>
      </c>
      <c r="T562" s="118" t="str">
        <f t="shared" si="102"/>
        <v/>
      </c>
      <c r="U562" s="116" t="b">
        <v>0</v>
      </c>
      <c r="V562" s="117">
        <f t="shared" si="103"/>
        <v>0</v>
      </c>
      <c r="W562" s="116">
        <v>0</v>
      </c>
      <c r="X562" s="116" t="b">
        <v>0</v>
      </c>
      <c r="Y562" s="119">
        <f>IF(H562=FALSE,VLOOKUP($C562,Sales!$C:$F,4,FALSE),1)</f>
        <v>1</v>
      </c>
      <c r="Z562" s="116" t="str">
        <f t="shared" si="104"/>
        <v/>
      </c>
      <c r="AA562" s="118">
        <f t="shared" si="105"/>
        <v>0</v>
      </c>
      <c r="AB562" s="118" t="str">
        <f t="shared" si="106"/>
        <v>HVP301-ZTRU01</v>
      </c>
      <c r="AC562" s="118">
        <f t="shared" si="107"/>
        <v>45598</v>
      </c>
    </row>
    <row r="563" spans="1:29" ht="16" x14ac:dyDescent="0.2">
      <c r="A563" s="116" t="s">
        <v>918</v>
      </c>
      <c r="B563" s="116">
        <v>1</v>
      </c>
      <c r="C563" s="116" t="s">
        <v>917</v>
      </c>
      <c r="D563" s="116" t="s">
        <v>891</v>
      </c>
      <c r="E563" s="116" t="s">
        <v>2239</v>
      </c>
      <c r="F563" s="117">
        <f>SUMIFS(Investors!$M:$M,Investors!$O:$O,FALSE,Investors!$P:$P,FALSE,Investors!$K:$K,"&gt;"&amp;'NSST Print'!$B$3,Investors!$I:$I,"&lt;="&amp;'NSST Print'!$B$3,Investors!$A:$A,'Investor Exit List'!$A563,Investors!$E:$E,'Investor Exit List'!$C563,Investors!$L:$L,'Investor Exit List'!$B563)-(SUMIFS(Investors!$M:$M,Investors!$I:$I,"&lt;="&amp;'NSST Print'!$B$3,Investors!$J:$J,"&gt;"&amp;'NSST Print'!$B$3,Investors!$A:$A,'Investor Exit List'!$A563,Investors!$E:$E,'Investor Exit List'!$C563,Investors!$L:$L,'Investor Exit List'!$B563)+SUMIFS(Investors!$M:$M,Investors!$I:$I,"&lt;="&amp;'NSST Print'!$B$3,Investors!$J:$J,"",Investors!$A:$A,'Investor Exit List'!$A563,Investors!$E:$E,'Investor Exit List'!$C563,Investors!$L:$L,'Investor Exit List'!$B563))</f>
        <v>0</v>
      </c>
      <c r="G563" s="118">
        <v>44833</v>
      </c>
      <c r="H563" s="116" t="b">
        <f>VLOOKUP($C563,Sales!$C:$E,2,FALSE)</f>
        <v>1</v>
      </c>
      <c r="I563" s="116" t="b">
        <f>VLOOKUP($C563,Sales!$C:$E,3,FALSE)</f>
        <v>1</v>
      </c>
      <c r="J563" s="118">
        <f>SUMIFS(Sales!$H:$H,Sales!$C:$C,'Investor Exit List'!$C563)</f>
        <v>45688</v>
      </c>
      <c r="K563" s="118">
        <f t="shared" si="96"/>
        <v>45688</v>
      </c>
      <c r="L563" s="118">
        <f t="shared" si="97"/>
        <v>45563</v>
      </c>
      <c r="M563" s="118">
        <v>45443</v>
      </c>
      <c r="N563" s="119">
        <f t="shared" si="98"/>
        <v>0</v>
      </c>
      <c r="O563" s="119">
        <f t="shared" si="99"/>
        <v>0</v>
      </c>
      <c r="P563" s="117">
        <f t="shared" si="100"/>
        <v>0</v>
      </c>
      <c r="Q563" s="117">
        <f>SUMIFS(Investors!$M:$M,Investors!$O:$O,FALSE,Investors!$P:$P,FALSE,Investors!$K:$K,"&gt;"&amp;'NSST Print'!$B$3,Investors!$I:$I,"&lt;="&amp;'NSST Print'!$B$3,Investors!$A:$A,'Investor Exit List'!$A563,Investors!$E:$E,'Investor Exit List'!$C563,Investors!$L:$L,'Investor Exit List'!$B563)-(SUMIFS(Investors!$M:$M,Investors!$I:$I,"&lt;="&amp;'NSST Print'!$B$3,Investors!$J:$J,"&gt;"&amp;'NSST Print'!$B$3,Investors!$A:$A,'Investor Exit List'!$A563,Investors!$E:$E,'Investor Exit List'!$C563,Investors!$L:$L,'Investor Exit List'!$B563)+SUMIFS(Investors!$M:$M,Investors!$I:$I,"&lt;="&amp;'NSST Print'!$B$3,Investors!$J:$J,"",Investors!$A:$A,'Investor Exit List'!$A563,Investors!$E:$E,'Investor Exit List'!$C563,Investors!$L:$L,'Investor Exit List'!$B563))+SUMIFS(Investors!$S:$S,Investors!$O:$O,FALSE,Investors!$P:$P,FALSE,Investors!$K:$K,"&gt;"&amp;'NSST Print'!$B$3,Investors!$I:$I,"&lt;="&amp;'NSST Print'!$B$3,Investors!$A:$A,'Investor Exit List'!$A563,Investors!$E:$E,'Investor Exit List'!$C563,Investors!$L:$L,'Investor Exit List'!$B563)-(SUMIFS(Investors!$S:$S,Investors!$I:$I,"&lt;="&amp;'NSST Print'!$B$3,Investors!$J:$J,"&gt;"&amp;'NSST Print'!$B$3,Investors!$A:$A,'Investor Exit List'!$A563,Investors!$E:$E,'Investor Exit List'!$C563,Investors!$L:$L,'Investor Exit List'!$B563)+SUMIFS(Investors!$S:$S,Investors!$I:$I,"&lt;="&amp;'NSST Print'!$B$3,Investors!$J:$J,"",Investors!$A:$A,'Investor Exit List'!$A563,Investors!$E:$E,'Investor Exit List'!$C563,Investors!$L:$L,'Investor Exit List'!$B563))</f>
        <v>0</v>
      </c>
      <c r="R563" s="117">
        <f t="shared" si="101"/>
        <v>0</v>
      </c>
      <c r="S563" s="117">
        <f>SUMIFS(Investors!$M:$M,Investors!$O:$O,TRUE,Investors!$A:$A,'Investor Exit List'!$A563,Investors!$E:$E,'Investor Exit List'!$C563,Investors!$L:$L,'Investor Exit List'!$B563)+SUMIFS(Investors!$S:$S,Investors!$O:$O,TRUE,Investors!$A:$A,'Investor Exit List'!$A563,Investors!$E:$E,'Investor Exit List'!$C563,Investors!$L:$L,'Investor Exit List'!$B563)</f>
        <v>0</v>
      </c>
      <c r="T563" s="118" t="str">
        <f t="shared" si="102"/>
        <v/>
      </c>
      <c r="U563" s="116" t="b">
        <v>0</v>
      </c>
      <c r="V563" s="117">
        <f t="shared" si="103"/>
        <v>0</v>
      </c>
      <c r="W563" s="116">
        <v>0</v>
      </c>
      <c r="X563" s="116" t="b">
        <v>0</v>
      </c>
      <c r="Y563" s="119">
        <f>IF(H563=FALSE,VLOOKUP($C563,Sales!$C:$F,4,FALSE),1)</f>
        <v>1</v>
      </c>
      <c r="Z563" s="116" t="str">
        <f t="shared" si="104"/>
        <v/>
      </c>
      <c r="AA563" s="118">
        <f t="shared" si="105"/>
        <v>0</v>
      </c>
      <c r="AB563" s="118" t="str">
        <f t="shared" si="106"/>
        <v>HVP301-ZVAN09</v>
      </c>
      <c r="AC563" s="118">
        <f t="shared" si="107"/>
        <v>45563</v>
      </c>
    </row>
    <row r="564" spans="1:29" ht="16" x14ac:dyDescent="0.2">
      <c r="A564" s="116" t="s">
        <v>326</v>
      </c>
      <c r="B564" s="116">
        <v>3</v>
      </c>
      <c r="C564" s="116" t="s">
        <v>920</v>
      </c>
      <c r="D564" s="116" t="s">
        <v>891</v>
      </c>
      <c r="E564" s="116" t="s">
        <v>2099</v>
      </c>
      <c r="F564" s="117">
        <f>SUMIFS(Investors!$M:$M,Investors!$O:$O,FALSE,Investors!$P:$P,FALSE,Investors!$K:$K,"&gt;"&amp;'NSST Print'!$B$3,Investors!$I:$I,"&lt;="&amp;'NSST Print'!$B$3,Investors!$A:$A,'Investor Exit List'!$A564,Investors!$E:$E,'Investor Exit List'!$C564,Investors!$L:$L,'Investor Exit List'!$B564)-(SUMIFS(Investors!$M:$M,Investors!$I:$I,"&lt;="&amp;'NSST Print'!$B$3,Investors!$J:$J,"&gt;"&amp;'NSST Print'!$B$3,Investors!$A:$A,'Investor Exit List'!$A564,Investors!$E:$E,'Investor Exit List'!$C564,Investors!$L:$L,'Investor Exit List'!$B564)+SUMIFS(Investors!$M:$M,Investors!$I:$I,"&lt;="&amp;'NSST Print'!$B$3,Investors!$J:$J,"",Investors!$A:$A,'Investor Exit List'!$A564,Investors!$E:$E,'Investor Exit List'!$C564,Investors!$L:$L,'Investor Exit List'!$B564))</f>
        <v>0</v>
      </c>
      <c r="G564" s="118">
        <v>44889</v>
      </c>
      <c r="H564" s="116" t="b">
        <f>VLOOKUP($C564,Sales!$C:$E,2,FALSE)</f>
        <v>1</v>
      </c>
      <c r="I564" s="116" t="b">
        <f>VLOOKUP($C564,Sales!$C:$E,3,FALSE)</f>
        <v>1</v>
      </c>
      <c r="J564" s="118">
        <f>SUMIFS(Sales!$H:$H,Sales!$C:$C,'Investor Exit List'!$C564)</f>
        <v>45688</v>
      </c>
      <c r="K564" s="118">
        <f t="shared" si="96"/>
        <v>45688</v>
      </c>
      <c r="L564" s="118">
        <f t="shared" si="97"/>
        <v>45619</v>
      </c>
      <c r="M564" s="118">
        <v>45443</v>
      </c>
      <c r="N564" s="119">
        <f t="shared" si="98"/>
        <v>0</v>
      </c>
      <c r="O564" s="119">
        <f t="shared" si="99"/>
        <v>0</v>
      </c>
      <c r="P564" s="117">
        <f t="shared" si="100"/>
        <v>0</v>
      </c>
      <c r="Q564" s="117">
        <f>SUMIFS(Investors!$M:$M,Investors!$O:$O,FALSE,Investors!$P:$P,FALSE,Investors!$K:$K,"&gt;"&amp;'NSST Print'!$B$3,Investors!$I:$I,"&lt;="&amp;'NSST Print'!$B$3,Investors!$A:$A,'Investor Exit List'!$A564,Investors!$E:$E,'Investor Exit List'!$C564,Investors!$L:$L,'Investor Exit List'!$B564)-(SUMIFS(Investors!$M:$M,Investors!$I:$I,"&lt;="&amp;'NSST Print'!$B$3,Investors!$J:$J,"&gt;"&amp;'NSST Print'!$B$3,Investors!$A:$A,'Investor Exit List'!$A564,Investors!$E:$E,'Investor Exit List'!$C564,Investors!$L:$L,'Investor Exit List'!$B564)+SUMIFS(Investors!$M:$M,Investors!$I:$I,"&lt;="&amp;'NSST Print'!$B$3,Investors!$J:$J,"",Investors!$A:$A,'Investor Exit List'!$A564,Investors!$E:$E,'Investor Exit List'!$C564,Investors!$L:$L,'Investor Exit List'!$B564))+SUMIFS(Investors!$S:$S,Investors!$O:$O,FALSE,Investors!$P:$P,FALSE,Investors!$K:$K,"&gt;"&amp;'NSST Print'!$B$3,Investors!$I:$I,"&lt;="&amp;'NSST Print'!$B$3,Investors!$A:$A,'Investor Exit List'!$A564,Investors!$E:$E,'Investor Exit List'!$C564,Investors!$L:$L,'Investor Exit List'!$B564)-(SUMIFS(Investors!$S:$S,Investors!$I:$I,"&lt;="&amp;'NSST Print'!$B$3,Investors!$J:$J,"&gt;"&amp;'NSST Print'!$B$3,Investors!$A:$A,'Investor Exit List'!$A564,Investors!$E:$E,'Investor Exit List'!$C564,Investors!$L:$L,'Investor Exit List'!$B564)+SUMIFS(Investors!$S:$S,Investors!$I:$I,"&lt;="&amp;'NSST Print'!$B$3,Investors!$J:$J,"",Investors!$A:$A,'Investor Exit List'!$A564,Investors!$E:$E,'Investor Exit List'!$C564,Investors!$L:$L,'Investor Exit List'!$B564))</f>
        <v>0</v>
      </c>
      <c r="R564" s="117">
        <f t="shared" si="101"/>
        <v>0</v>
      </c>
      <c r="S564" s="117">
        <f>SUMIFS(Investors!$M:$M,Investors!$O:$O,TRUE,Investors!$A:$A,'Investor Exit List'!$A564,Investors!$E:$E,'Investor Exit List'!$C564,Investors!$L:$L,'Investor Exit List'!$B564)+SUMIFS(Investors!$S:$S,Investors!$O:$O,TRUE,Investors!$A:$A,'Investor Exit List'!$A564,Investors!$E:$E,'Investor Exit List'!$C564,Investors!$L:$L,'Investor Exit List'!$B564)</f>
        <v>0</v>
      </c>
      <c r="T564" s="118" t="str">
        <f t="shared" si="102"/>
        <v/>
      </c>
      <c r="U564" s="116" t="b">
        <v>0</v>
      </c>
      <c r="V564" s="117">
        <f t="shared" si="103"/>
        <v>0</v>
      </c>
      <c r="W564" s="116">
        <v>0</v>
      </c>
      <c r="X564" s="116" t="b">
        <v>0</v>
      </c>
      <c r="Y564" s="119">
        <f>IF(H564=FALSE,VLOOKUP($C564,Sales!$C:$F,4,FALSE),1)</f>
        <v>1</v>
      </c>
      <c r="Z564" s="116" t="str">
        <f t="shared" si="104"/>
        <v/>
      </c>
      <c r="AA564" s="118">
        <f t="shared" si="105"/>
        <v>0</v>
      </c>
      <c r="AB564" s="118" t="str">
        <f t="shared" si="106"/>
        <v>HVP302-ZAFR01</v>
      </c>
      <c r="AC564" s="118">
        <f t="shared" si="107"/>
        <v>45619</v>
      </c>
    </row>
    <row r="565" spans="1:29" ht="16" x14ac:dyDescent="0.2">
      <c r="A565" s="116" t="s">
        <v>176</v>
      </c>
      <c r="B565" s="116">
        <v>2</v>
      </c>
      <c r="C565" s="116" t="s">
        <v>920</v>
      </c>
      <c r="D565" s="116" t="s">
        <v>891</v>
      </c>
      <c r="E565" s="116" t="s">
        <v>2055</v>
      </c>
      <c r="F565" s="117">
        <f>SUMIFS(Investors!$M:$M,Investors!$O:$O,FALSE,Investors!$P:$P,FALSE,Investors!$K:$K,"&gt;"&amp;'NSST Print'!$B$3,Investors!$I:$I,"&lt;="&amp;'NSST Print'!$B$3,Investors!$A:$A,'Investor Exit List'!$A565,Investors!$E:$E,'Investor Exit List'!$C565,Investors!$L:$L,'Investor Exit List'!$B565)-(SUMIFS(Investors!$M:$M,Investors!$I:$I,"&lt;="&amp;'NSST Print'!$B$3,Investors!$J:$J,"&gt;"&amp;'NSST Print'!$B$3,Investors!$A:$A,'Investor Exit List'!$A565,Investors!$E:$E,'Investor Exit List'!$C565,Investors!$L:$L,'Investor Exit List'!$B565)+SUMIFS(Investors!$M:$M,Investors!$I:$I,"&lt;="&amp;'NSST Print'!$B$3,Investors!$J:$J,"",Investors!$A:$A,'Investor Exit List'!$A565,Investors!$E:$E,'Investor Exit List'!$C565,Investors!$L:$L,'Investor Exit List'!$B565))</f>
        <v>0</v>
      </c>
      <c r="G565" s="118">
        <v>44848</v>
      </c>
      <c r="H565" s="116" t="b">
        <f>VLOOKUP($C565,Sales!$C:$E,2,FALSE)</f>
        <v>1</v>
      </c>
      <c r="I565" s="116" t="b">
        <f>VLOOKUP($C565,Sales!$C:$E,3,FALSE)</f>
        <v>1</v>
      </c>
      <c r="J565" s="118">
        <f>SUMIFS(Sales!$H:$H,Sales!$C:$C,'Investor Exit List'!$C565)</f>
        <v>45688</v>
      </c>
      <c r="K565" s="118">
        <f t="shared" si="96"/>
        <v>45688</v>
      </c>
      <c r="L565" s="118">
        <f t="shared" si="97"/>
        <v>45578</v>
      </c>
      <c r="M565" s="118">
        <v>45443</v>
      </c>
      <c r="N565" s="119">
        <f t="shared" si="98"/>
        <v>0</v>
      </c>
      <c r="O565" s="119">
        <f t="shared" si="99"/>
        <v>0</v>
      </c>
      <c r="P565" s="117">
        <f t="shared" si="100"/>
        <v>0</v>
      </c>
      <c r="Q565" s="117">
        <f>SUMIFS(Investors!$M:$M,Investors!$O:$O,FALSE,Investors!$P:$P,FALSE,Investors!$K:$K,"&gt;"&amp;'NSST Print'!$B$3,Investors!$I:$I,"&lt;="&amp;'NSST Print'!$B$3,Investors!$A:$A,'Investor Exit List'!$A565,Investors!$E:$E,'Investor Exit List'!$C565,Investors!$L:$L,'Investor Exit List'!$B565)-(SUMIFS(Investors!$M:$M,Investors!$I:$I,"&lt;="&amp;'NSST Print'!$B$3,Investors!$J:$J,"&gt;"&amp;'NSST Print'!$B$3,Investors!$A:$A,'Investor Exit List'!$A565,Investors!$E:$E,'Investor Exit List'!$C565,Investors!$L:$L,'Investor Exit List'!$B565)+SUMIFS(Investors!$M:$M,Investors!$I:$I,"&lt;="&amp;'NSST Print'!$B$3,Investors!$J:$J,"",Investors!$A:$A,'Investor Exit List'!$A565,Investors!$E:$E,'Investor Exit List'!$C565,Investors!$L:$L,'Investor Exit List'!$B565))+SUMIFS(Investors!$S:$S,Investors!$O:$O,FALSE,Investors!$P:$P,FALSE,Investors!$K:$K,"&gt;"&amp;'NSST Print'!$B$3,Investors!$I:$I,"&lt;="&amp;'NSST Print'!$B$3,Investors!$A:$A,'Investor Exit List'!$A565,Investors!$E:$E,'Investor Exit List'!$C565,Investors!$L:$L,'Investor Exit List'!$B565)-(SUMIFS(Investors!$S:$S,Investors!$I:$I,"&lt;="&amp;'NSST Print'!$B$3,Investors!$J:$J,"&gt;"&amp;'NSST Print'!$B$3,Investors!$A:$A,'Investor Exit List'!$A565,Investors!$E:$E,'Investor Exit List'!$C565,Investors!$L:$L,'Investor Exit List'!$B565)+SUMIFS(Investors!$S:$S,Investors!$I:$I,"&lt;="&amp;'NSST Print'!$B$3,Investors!$J:$J,"",Investors!$A:$A,'Investor Exit List'!$A565,Investors!$E:$E,'Investor Exit List'!$C565,Investors!$L:$L,'Investor Exit List'!$B565))</f>
        <v>0</v>
      </c>
      <c r="R565" s="117">
        <f t="shared" si="101"/>
        <v>0</v>
      </c>
      <c r="S565" s="117">
        <f>SUMIFS(Investors!$M:$M,Investors!$O:$O,TRUE,Investors!$A:$A,'Investor Exit List'!$A565,Investors!$E:$E,'Investor Exit List'!$C565,Investors!$L:$L,'Investor Exit List'!$B565)+SUMIFS(Investors!$S:$S,Investors!$O:$O,TRUE,Investors!$A:$A,'Investor Exit List'!$A565,Investors!$E:$E,'Investor Exit List'!$C565,Investors!$L:$L,'Investor Exit List'!$B565)</f>
        <v>0</v>
      </c>
      <c r="T565" s="118" t="str">
        <f t="shared" si="102"/>
        <v/>
      </c>
      <c r="U565" s="116" t="b">
        <v>0</v>
      </c>
      <c r="V565" s="117">
        <f t="shared" si="103"/>
        <v>0</v>
      </c>
      <c r="W565" s="116">
        <v>0</v>
      </c>
      <c r="X565" s="116" t="b">
        <v>0</v>
      </c>
      <c r="Y565" s="119">
        <f>IF(H565=FALSE,VLOOKUP($C565,Sales!$C:$F,4,FALSE),1)</f>
        <v>1</v>
      </c>
      <c r="Z565" s="116" t="str">
        <f t="shared" si="104"/>
        <v/>
      </c>
      <c r="AA565" s="118">
        <f t="shared" si="105"/>
        <v>0</v>
      </c>
      <c r="AB565" s="118" t="str">
        <f t="shared" si="106"/>
        <v>HVP302-ZKRO01</v>
      </c>
      <c r="AC565" s="118">
        <f t="shared" si="107"/>
        <v>45578</v>
      </c>
    </row>
    <row r="566" spans="1:29" ht="16" x14ac:dyDescent="0.2">
      <c r="A566" s="116" t="s">
        <v>412</v>
      </c>
      <c r="B566" s="116">
        <v>6</v>
      </c>
      <c r="C566" s="116" t="s">
        <v>920</v>
      </c>
      <c r="D566" s="116" t="s">
        <v>891</v>
      </c>
      <c r="E566" s="116" t="s">
        <v>2121</v>
      </c>
      <c r="F566" s="117">
        <f>SUMIFS(Investors!$M:$M,Investors!$O:$O,FALSE,Investors!$P:$P,FALSE,Investors!$K:$K,"&gt;"&amp;'NSST Print'!$B$3,Investors!$I:$I,"&lt;="&amp;'NSST Print'!$B$3,Investors!$A:$A,'Investor Exit List'!$A566,Investors!$E:$E,'Investor Exit List'!$C566,Investors!$L:$L,'Investor Exit List'!$B566)-(SUMIFS(Investors!$M:$M,Investors!$I:$I,"&lt;="&amp;'NSST Print'!$B$3,Investors!$J:$J,"&gt;"&amp;'NSST Print'!$B$3,Investors!$A:$A,'Investor Exit List'!$A566,Investors!$E:$E,'Investor Exit List'!$C566,Investors!$L:$L,'Investor Exit List'!$B566)+SUMIFS(Investors!$M:$M,Investors!$I:$I,"&lt;="&amp;'NSST Print'!$B$3,Investors!$J:$J,"",Investors!$A:$A,'Investor Exit List'!$A566,Investors!$E:$E,'Investor Exit List'!$C566,Investors!$L:$L,'Investor Exit List'!$B566))</f>
        <v>0</v>
      </c>
      <c r="G566" s="118">
        <v>44876</v>
      </c>
      <c r="H566" s="116" t="b">
        <f>VLOOKUP($C566,Sales!$C:$E,2,FALSE)</f>
        <v>1</v>
      </c>
      <c r="I566" s="116" t="b">
        <f>VLOOKUP($C566,Sales!$C:$E,3,FALSE)</f>
        <v>1</v>
      </c>
      <c r="J566" s="118">
        <f>SUMIFS(Sales!$H:$H,Sales!$C:$C,'Investor Exit List'!$C566)</f>
        <v>45688</v>
      </c>
      <c r="K566" s="118">
        <f t="shared" si="96"/>
        <v>45688</v>
      </c>
      <c r="L566" s="118">
        <f t="shared" si="97"/>
        <v>45606</v>
      </c>
      <c r="M566" s="118">
        <v>45443</v>
      </c>
      <c r="N566" s="119">
        <f t="shared" si="98"/>
        <v>0</v>
      </c>
      <c r="O566" s="119">
        <f t="shared" si="99"/>
        <v>0</v>
      </c>
      <c r="P566" s="117">
        <f t="shared" si="100"/>
        <v>0</v>
      </c>
      <c r="Q566" s="117">
        <f>SUMIFS(Investors!$M:$M,Investors!$O:$O,FALSE,Investors!$P:$P,FALSE,Investors!$K:$K,"&gt;"&amp;'NSST Print'!$B$3,Investors!$I:$I,"&lt;="&amp;'NSST Print'!$B$3,Investors!$A:$A,'Investor Exit List'!$A566,Investors!$E:$E,'Investor Exit List'!$C566,Investors!$L:$L,'Investor Exit List'!$B566)-(SUMIFS(Investors!$M:$M,Investors!$I:$I,"&lt;="&amp;'NSST Print'!$B$3,Investors!$J:$J,"&gt;"&amp;'NSST Print'!$B$3,Investors!$A:$A,'Investor Exit List'!$A566,Investors!$E:$E,'Investor Exit List'!$C566,Investors!$L:$L,'Investor Exit List'!$B566)+SUMIFS(Investors!$M:$M,Investors!$I:$I,"&lt;="&amp;'NSST Print'!$B$3,Investors!$J:$J,"",Investors!$A:$A,'Investor Exit List'!$A566,Investors!$E:$E,'Investor Exit List'!$C566,Investors!$L:$L,'Investor Exit List'!$B566))+SUMIFS(Investors!$S:$S,Investors!$O:$O,FALSE,Investors!$P:$P,FALSE,Investors!$K:$K,"&gt;"&amp;'NSST Print'!$B$3,Investors!$I:$I,"&lt;="&amp;'NSST Print'!$B$3,Investors!$A:$A,'Investor Exit List'!$A566,Investors!$E:$E,'Investor Exit List'!$C566,Investors!$L:$L,'Investor Exit List'!$B566)-(SUMIFS(Investors!$S:$S,Investors!$I:$I,"&lt;="&amp;'NSST Print'!$B$3,Investors!$J:$J,"&gt;"&amp;'NSST Print'!$B$3,Investors!$A:$A,'Investor Exit List'!$A566,Investors!$E:$E,'Investor Exit List'!$C566,Investors!$L:$L,'Investor Exit List'!$B566)+SUMIFS(Investors!$S:$S,Investors!$I:$I,"&lt;="&amp;'NSST Print'!$B$3,Investors!$J:$J,"",Investors!$A:$A,'Investor Exit List'!$A566,Investors!$E:$E,'Investor Exit List'!$C566,Investors!$L:$L,'Investor Exit List'!$B566))</f>
        <v>0</v>
      </c>
      <c r="R566" s="117">
        <f t="shared" si="101"/>
        <v>0</v>
      </c>
      <c r="S566" s="117">
        <f>SUMIFS(Investors!$M:$M,Investors!$O:$O,TRUE,Investors!$A:$A,'Investor Exit List'!$A566,Investors!$E:$E,'Investor Exit List'!$C566,Investors!$L:$L,'Investor Exit List'!$B566)+SUMIFS(Investors!$S:$S,Investors!$O:$O,TRUE,Investors!$A:$A,'Investor Exit List'!$A566,Investors!$E:$E,'Investor Exit List'!$C566,Investors!$L:$L,'Investor Exit List'!$B566)</f>
        <v>0</v>
      </c>
      <c r="T566" s="118" t="str">
        <f t="shared" si="102"/>
        <v/>
      </c>
      <c r="U566" s="116" t="b">
        <v>0</v>
      </c>
      <c r="V566" s="117">
        <f t="shared" si="103"/>
        <v>0</v>
      </c>
      <c r="W566" s="116">
        <v>0</v>
      </c>
      <c r="X566" s="116" t="b">
        <v>0</v>
      </c>
      <c r="Y566" s="119">
        <f>IF(H566=FALSE,VLOOKUP($C566,Sales!$C:$F,4,FALSE),1)</f>
        <v>1</v>
      </c>
      <c r="Z566" s="116" t="str">
        <f t="shared" si="104"/>
        <v/>
      </c>
      <c r="AA566" s="118">
        <f t="shared" si="105"/>
        <v>0</v>
      </c>
      <c r="AB566" s="118" t="str">
        <f t="shared" si="106"/>
        <v>HVP302-ZNUN01</v>
      </c>
      <c r="AC566" s="118">
        <f t="shared" si="107"/>
        <v>45606</v>
      </c>
    </row>
    <row r="567" spans="1:29" ht="16" x14ac:dyDescent="0.2">
      <c r="A567" s="116" t="s">
        <v>395</v>
      </c>
      <c r="B567" s="116">
        <v>4</v>
      </c>
      <c r="C567" s="116" t="s">
        <v>921</v>
      </c>
      <c r="D567" s="116" t="s">
        <v>891</v>
      </c>
      <c r="E567" s="116" t="s">
        <v>2117</v>
      </c>
      <c r="F567" s="117">
        <f>SUMIFS(Investors!$M:$M,Investors!$O:$O,FALSE,Investors!$P:$P,FALSE,Investors!$K:$K,"&gt;"&amp;'NSST Print'!$B$3,Investors!$I:$I,"&lt;="&amp;'NSST Print'!$B$3,Investors!$A:$A,'Investor Exit List'!$A567,Investors!$E:$E,'Investor Exit List'!$C567,Investors!$L:$L,'Investor Exit List'!$B567)-(SUMIFS(Investors!$M:$M,Investors!$I:$I,"&lt;="&amp;'NSST Print'!$B$3,Investors!$J:$J,"&gt;"&amp;'NSST Print'!$B$3,Investors!$A:$A,'Investor Exit List'!$A567,Investors!$E:$E,'Investor Exit List'!$C567,Investors!$L:$L,'Investor Exit List'!$B567)+SUMIFS(Investors!$M:$M,Investors!$I:$I,"&lt;="&amp;'NSST Print'!$B$3,Investors!$J:$J,"",Investors!$A:$A,'Investor Exit List'!$A567,Investors!$E:$E,'Investor Exit List'!$C567,Investors!$L:$L,'Investor Exit List'!$B567))</f>
        <v>1100000</v>
      </c>
      <c r="G567" s="118">
        <v>44861</v>
      </c>
      <c r="H567" s="116" t="b">
        <f>VLOOKUP($C567,Sales!$C:$E,2,FALSE)</f>
        <v>0</v>
      </c>
      <c r="I567" s="116" t="b">
        <f>VLOOKUP($C567,Sales!$C:$E,3,FALSE)</f>
        <v>0</v>
      </c>
      <c r="J567" s="118">
        <f>SUMIFS(Sales!$H:$H,Sales!$C:$C,'Investor Exit List'!$C567)</f>
        <v>45646</v>
      </c>
      <c r="K567" s="118" t="str">
        <f t="shared" si="96"/>
        <v/>
      </c>
      <c r="L567" s="118">
        <f t="shared" si="97"/>
        <v>45591</v>
      </c>
      <c r="M567" s="118">
        <v>45443</v>
      </c>
      <c r="N567" s="119">
        <f t="shared" si="98"/>
        <v>148</v>
      </c>
      <c r="O567" s="119">
        <f t="shared" si="99"/>
        <v>148</v>
      </c>
      <c r="P567" s="117">
        <f t="shared" si="100"/>
        <v>0</v>
      </c>
      <c r="Q567" s="117">
        <f>SUMIFS(Investors!$M:$M,Investors!$O:$O,FALSE,Investors!$P:$P,FALSE,Investors!$K:$K,"&gt;"&amp;'NSST Print'!$B$3,Investors!$I:$I,"&lt;="&amp;'NSST Print'!$B$3,Investors!$A:$A,'Investor Exit List'!$A567,Investors!$E:$E,'Investor Exit List'!$C567,Investors!$L:$L,'Investor Exit List'!$B567)-(SUMIFS(Investors!$M:$M,Investors!$I:$I,"&lt;="&amp;'NSST Print'!$B$3,Investors!$J:$J,"&gt;"&amp;'NSST Print'!$B$3,Investors!$A:$A,'Investor Exit List'!$A567,Investors!$E:$E,'Investor Exit List'!$C567,Investors!$L:$L,'Investor Exit List'!$B567)+SUMIFS(Investors!$M:$M,Investors!$I:$I,"&lt;="&amp;'NSST Print'!$B$3,Investors!$J:$J,"",Investors!$A:$A,'Investor Exit List'!$A567,Investors!$E:$E,'Investor Exit List'!$C567,Investors!$L:$L,'Investor Exit List'!$B567))+SUMIFS(Investors!$S:$S,Investors!$O:$O,FALSE,Investors!$P:$P,FALSE,Investors!$K:$K,"&gt;"&amp;'NSST Print'!$B$3,Investors!$I:$I,"&lt;="&amp;'NSST Print'!$B$3,Investors!$A:$A,'Investor Exit List'!$A567,Investors!$E:$E,'Investor Exit List'!$C567,Investors!$L:$L,'Investor Exit List'!$B567)-(SUMIFS(Investors!$S:$S,Investors!$I:$I,"&lt;="&amp;'NSST Print'!$B$3,Investors!$J:$J,"&gt;"&amp;'NSST Print'!$B$3,Investors!$A:$A,'Investor Exit List'!$A567,Investors!$E:$E,'Investor Exit List'!$C567,Investors!$L:$L,'Investor Exit List'!$B567)+SUMIFS(Investors!$S:$S,Investors!$I:$I,"&lt;="&amp;'NSST Print'!$B$3,Investors!$J:$J,"",Investors!$A:$A,'Investor Exit List'!$A567,Investors!$E:$E,'Investor Exit List'!$C567,Investors!$L:$L,'Investor Exit List'!$B567))</f>
        <v>1461553.4246575343</v>
      </c>
      <c r="R567" s="117">
        <f t="shared" si="101"/>
        <v>0</v>
      </c>
      <c r="S567" s="117">
        <f>SUMIFS(Investors!$M:$M,Investors!$O:$O,TRUE,Investors!$A:$A,'Investor Exit List'!$A567,Investors!$E:$E,'Investor Exit List'!$C567,Investors!$L:$L,'Investor Exit List'!$B567)+SUMIFS(Investors!$S:$S,Investors!$O:$O,TRUE,Investors!$A:$A,'Investor Exit List'!$A567,Investors!$E:$E,'Investor Exit List'!$C567,Investors!$L:$L,'Investor Exit List'!$B567)</f>
        <v>0</v>
      </c>
      <c r="T567" s="118" t="str">
        <f t="shared" si="102"/>
        <v/>
      </c>
      <c r="U567" s="116" t="b">
        <v>0</v>
      </c>
      <c r="V567" s="117">
        <f t="shared" si="103"/>
        <v>0</v>
      </c>
      <c r="W567" s="116">
        <v>0</v>
      </c>
      <c r="X567" s="116" t="b">
        <v>0</v>
      </c>
      <c r="Y567" s="119">
        <f>IF(H567=FALSE,VLOOKUP($C567,Sales!$C:$F,4,FALSE),1)</f>
        <v>1</v>
      </c>
      <c r="Z567" s="116" t="str">
        <f t="shared" si="104"/>
        <v>Release</v>
      </c>
      <c r="AA567" s="118">
        <f t="shared" si="105"/>
        <v>45591</v>
      </c>
      <c r="AB567" s="118" t="str">
        <f t="shared" si="106"/>
        <v>HVP303-ZKRI02</v>
      </c>
      <c r="AC567" s="118">
        <f t="shared" si="107"/>
        <v>45591</v>
      </c>
    </row>
    <row r="568" spans="1:29" x14ac:dyDescent="0.2">
      <c r="A568" s="120" t="s">
        <v>2240</v>
      </c>
      <c r="B568" s="120">
        <v>0</v>
      </c>
      <c r="C568" s="120" t="s">
        <v>927</v>
      </c>
      <c r="D568" s="120" t="s">
        <v>209</v>
      </c>
      <c r="E568" s="120" t="s">
        <v>2241</v>
      </c>
      <c r="F568" s="120">
        <v>0</v>
      </c>
      <c r="G568" s="120"/>
      <c r="H568" s="120" t="b">
        <v>0</v>
      </c>
      <c r="I568" s="120" t="b">
        <v>0</v>
      </c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 t="b">
        <v>0</v>
      </c>
      <c r="V568" s="120"/>
      <c r="W568" s="120">
        <v>1330640.05</v>
      </c>
      <c r="X568" s="120" t="b">
        <v>0</v>
      </c>
      <c r="Y568" s="120"/>
      <c r="Z568" s="120"/>
      <c r="AA568" s="120"/>
      <c r="AB568" s="120"/>
      <c r="AC568" s="120"/>
    </row>
  </sheetData>
  <mergeCells count="1">
    <mergeCell ref="A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204E"/>
  </sheetPr>
  <dimension ref="A1:E72"/>
  <sheetViews>
    <sheetView workbookViewId="0"/>
  </sheetViews>
  <sheetFormatPr baseColWidth="10" defaultColWidth="8.83203125" defaultRowHeight="15" x14ac:dyDescent="0.2"/>
  <cols>
    <col min="1" max="4" width="39" customWidth="1"/>
  </cols>
  <sheetData>
    <row r="1" spans="1:5" ht="19" x14ac:dyDescent="0.2">
      <c r="E1" s="121" t="s">
        <v>2242</v>
      </c>
    </row>
    <row r="2" spans="1:5" ht="29" x14ac:dyDescent="0.2">
      <c r="D2" s="122" t="s">
        <v>2243</v>
      </c>
    </row>
    <row r="3" spans="1:5" ht="29" x14ac:dyDescent="0.2">
      <c r="A3" s="150" t="s">
        <v>17</v>
      </c>
      <c r="B3" s="136"/>
      <c r="C3" s="136"/>
      <c r="D3" s="137"/>
    </row>
    <row r="6" spans="1:5" ht="17" x14ac:dyDescent="0.2">
      <c r="A6" s="123" t="s">
        <v>1928</v>
      </c>
      <c r="B6" s="123" t="s">
        <v>19</v>
      </c>
      <c r="C6" s="123" t="s">
        <v>2244</v>
      </c>
      <c r="D6" s="123" t="s">
        <v>2245</v>
      </c>
    </row>
    <row r="7" spans="1:5" ht="19" x14ac:dyDescent="0.25">
      <c r="A7" s="124">
        <v>44439</v>
      </c>
      <c r="B7" s="125">
        <v>0.69</v>
      </c>
      <c r="C7" s="125">
        <v>2.88</v>
      </c>
      <c r="D7" s="125">
        <v>0</v>
      </c>
    </row>
    <row r="8" spans="1:5" ht="19" x14ac:dyDescent="0.25">
      <c r="A8" s="124">
        <v>44469</v>
      </c>
      <c r="B8" s="125">
        <v>6153.47</v>
      </c>
      <c r="C8" s="125">
        <v>20700</v>
      </c>
      <c r="D8" s="125">
        <v>142.83000000000001</v>
      </c>
    </row>
    <row r="9" spans="1:5" ht="19" x14ac:dyDescent="0.25">
      <c r="A9" s="124">
        <v>44500</v>
      </c>
      <c r="B9" s="125">
        <v>27493.93</v>
      </c>
      <c r="C9" s="125">
        <v>39100</v>
      </c>
      <c r="D9" s="125">
        <v>1963.75</v>
      </c>
    </row>
    <row r="10" spans="1:5" ht="19" x14ac:dyDescent="0.25">
      <c r="A10" s="124">
        <v>44530</v>
      </c>
      <c r="B10" s="125">
        <v>39490.47</v>
      </c>
      <c r="C10" s="125">
        <v>6612.5</v>
      </c>
      <c r="D10" s="125">
        <v>4603.54</v>
      </c>
    </row>
    <row r="11" spans="1:5" ht="19" x14ac:dyDescent="0.25">
      <c r="A11" s="124">
        <v>44561</v>
      </c>
      <c r="B11" s="125">
        <v>34809.07</v>
      </c>
      <c r="C11" s="125">
        <v>0</v>
      </c>
      <c r="D11" s="125">
        <v>4987.0200000000004</v>
      </c>
    </row>
    <row r="12" spans="1:5" ht="19" x14ac:dyDescent="0.25">
      <c r="A12" s="124">
        <v>44592</v>
      </c>
      <c r="B12" s="125">
        <v>25737.439999999999</v>
      </c>
      <c r="C12" s="125">
        <v>0</v>
      </c>
      <c r="D12" s="125">
        <v>3416.75</v>
      </c>
    </row>
    <row r="13" spans="1:5" ht="19" x14ac:dyDescent="0.25">
      <c r="A13" s="124">
        <v>44620</v>
      </c>
      <c r="B13" s="125">
        <v>17923.77</v>
      </c>
      <c r="C13" s="125">
        <v>2012.5</v>
      </c>
      <c r="D13" s="125">
        <v>2547.6999999999998</v>
      </c>
    </row>
    <row r="14" spans="1:5" ht="19" x14ac:dyDescent="0.25">
      <c r="A14" s="124">
        <v>44651</v>
      </c>
      <c r="B14" s="125">
        <v>7694.95</v>
      </c>
      <c r="C14" s="125">
        <v>0</v>
      </c>
      <c r="D14" s="125">
        <v>1329.87</v>
      </c>
    </row>
    <row r="15" spans="1:5" ht="19" x14ac:dyDescent="0.25">
      <c r="A15" s="124">
        <v>44681</v>
      </c>
      <c r="B15" s="125">
        <v>33565.07</v>
      </c>
      <c r="C15" s="125">
        <v>22274.94</v>
      </c>
      <c r="D15" s="125">
        <v>561.9</v>
      </c>
    </row>
    <row r="16" spans="1:5" ht="19" x14ac:dyDescent="0.25">
      <c r="A16" s="124">
        <v>44712</v>
      </c>
      <c r="B16" s="125">
        <v>19911.29</v>
      </c>
      <c r="C16" s="125">
        <v>56298.31</v>
      </c>
      <c r="D16" s="125">
        <v>551.12</v>
      </c>
    </row>
    <row r="17" spans="1:4" ht="19" x14ac:dyDescent="0.25">
      <c r="A17" s="124">
        <v>44742</v>
      </c>
      <c r="B17" s="125">
        <v>57111.6</v>
      </c>
      <c r="C17" s="125">
        <v>80343.789999999994</v>
      </c>
      <c r="D17" s="125">
        <v>3852.47</v>
      </c>
    </row>
    <row r="18" spans="1:4" ht="19" x14ac:dyDescent="0.25">
      <c r="A18" s="124">
        <v>44773</v>
      </c>
      <c r="B18" s="125">
        <v>49997.61</v>
      </c>
      <c r="C18" s="125">
        <v>55413.57</v>
      </c>
      <c r="D18" s="125">
        <v>4675.82</v>
      </c>
    </row>
    <row r="19" spans="1:4" ht="19" x14ac:dyDescent="0.25">
      <c r="A19" s="124">
        <v>44804</v>
      </c>
      <c r="B19" s="125">
        <v>49010.03</v>
      </c>
      <c r="C19" s="125">
        <v>30982.39</v>
      </c>
      <c r="D19" s="125">
        <v>4493.24</v>
      </c>
    </row>
    <row r="20" spans="1:4" ht="19" x14ac:dyDescent="0.25">
      <c r="A20" s="124">
        <v>44834</v>
      </c>
      <c r="B20" s="125">
        <v>30938.76</v>
      </c>
      <c r="C20" s="125">
        <v>10350</v>
      </c>
      <c r="D20" s="125">
        <v>3425.4</v>
      </c>
    </row>
    <row r="21" spans="1:4" ht="19" x14ac:dyDescent="0.25">
      <c r="A21" s="124">
        <v>44865</v>
      </c>
      <c r="B21" s="125">
        <v>31855.81</v>
      </c>
      <c r="C21" s="125">
        <v>0</v>
      </c>
      <c r="D21" s="125">
        <v>1362.36</v>
      </c>
    </row>
    <row r="22" spans="1:4" ht="19" x14ac:dyDescent="0.25">
      <c r="A22" s="124">
        <v>44895</v>
      </c>
      <c r="B22" s="125">
        <v>57998.29</v>
      </c>
      <c r="C22" s="125">
        <v>0</v>
      </c>
      <c r="D22" s="125">
        <v>3649</v>
      </c>
    </row>
    <row r="23" spans="1:4" ht="19" x14ac:dyDescent="0.25">
      <c r="A23" s="124">
        <v>44926</v>
      </c>
      <c r="B23" s="125">
        <v>49641.63</v>
      </c>
      <c r="C23" s="125">
        <v>0</v>
      </c>
      <c r="D23" s="125">
        <v>2707.2</v>
      </c>
    </row>
    <row r="24" spans="1:4" ht="19" x14ac:dyDescent="0.25">
      <c r="A24" s="124">
        <v>44957</v>
      </c>
      <c r="B24" s="125">
        <v>71919.64</v>
      </c>
      <c r="C24" s="125">
        <v>0</v>
      </c>
      <c r="D24" s="125">
        <v>1766.93</v>
      </c>
    </row>
    <row r="25" spans="1:4" ht="19" x14ac:dyDescent="0.25">
      <c r="A25" s="124">
        <v>44985</v>
      </c>
      <c r="B25" s="125">
        <v>116840.82</v>
      </c>
      <c r="C25" s="125">
        <v>0</v>
      </c>
      <c r="D25" s="125">
        <v>6530.48</v>
      </c>
    </row>
    <row r="26" spans="1:4" ht="19" x14ac:dyDescent="0.25">
      <c r="A26" s="124">
        <v>45016</v>
      </c>
      <c r="B26" s="125">
        <v>224301.31</v>
      </c>
      <c r="C26" s="125">
        <v>0</v>
      </c>
      <c r="D26" s="125">
        <v>5945.09</v>
      </c>
    </row>
    <row r="27" spans="1:4" ht="19" x14ac:dyDescent="0.25">
      <c r="A27" s="124">
        <v>45046</v>
      </c>
      <c r="B27" s="125">
        <v>106203.74</v>
      </c>
      <c r="C27" s="125">
        <v>0</v>
      </c>
      <c r="D27" s="125">
        <v>9664.42</v>
      </c>
    </row>
    <row r="28" spans="1:4" ht="19" x14ac:dyDescent="0.25">
      <c r="A28" s="124">
        <v>45077</v>
      </c>
      <c r="B28" s="125">
        <v>222519.64</v>
      </c>
      <c r="C28" s="125">
        <v>0</v>
      </c>
      <c r="D28" s="125">
        <v>6054.16</v>
      </c>
    </row>
    <row r="29" spans="1:4" ht="19" x14ac:dyDescent="0.25">
      <c r="A29" s="124">
        <v>45107</v>
      </c>
      <c r="B29" s="125">
        <v>393896.21</v>
      </c>
      <c r="C29" s="125">
        <v>0</v>
      </c>
      <c r="D29" s="125">
        <v>12101.97</v>
      </c>
    </row>
    <row r="30" spans="1:4" ht="19" x14ac:dyDescent="0.25">
      <c r="A30" s="124">
        <v>45138</v>
      </c>
      <c r="B30" s="125">
        <v>259590.93</v>
      </c>
      <c r="C30" s="125">
        <v>0</v>
      </c>
      <c r="D30" s="125">
        <v>17468.09</v>
      </c>
    </row>
    <row r="31" spans="1:4" ht="19" x14ac:dyDescent="0.25">
      <c r="A31" s="124">
        <v>45169</v>
      </c>
      <c r="B31" s="125">
        <v>241364.67</v>
      </c>
      <c r="C31" s="125">
        <v>0</v>
      </c>
      <c r="D31" s="125">
        <v>14897.28</v>
      </c>
    </row>
    <row r="32" spans="1:4" ht="19" x14ac:dyDescent="0.25">
      <c r="A32" s="124">
        <v>45199</v>
      </c>
      <c r="B32" s="125">
        <v>291385.94</v>
      </c>
      <c r="C32" s="125">
        <v>0</v>
      </c>
      <c r="D32" s="125">
        <v>17422.060000000001</v>
      </c>
    </row>
    <row r="33" spans="1:4" ht="19" x14ac:dyDescent="0.25">
      <c r="A33" s="124">
        <v>45230</v>
      </c>
      <c r="B33" s="125">
        <v>342067.18</v>
      </c>
      <c r="C33" s="125">
        <v>0</v>
      </c>
      <c r="D33" s="125">
        <v>21887.62</v>
      </c>
    </row>
    <row r="34" spans="1:4" ht="19" x14ac:dyDescent="0.25">
      <c r="A34" s="124">
        <v>45260</v>
      </c>
      <c r="B34" s="125">
        <v>289283.88</v>
      </c>
      <c r="C34" s="125">
        <v>0</v>
      </c>
      <c r="D34" s="125">
        <v>20676.71</v>
      </c>
    </row>
    <row r="35" spans="1:4" ht="19" x14ac:dyDescent="0.25">
      <c r="A35" s="124">
        <v>45291</v>
      </c>
      <c r="B35" s="125">
        <v>158795.4</v>
      </c>
      <c r="C35" s="125">
        <v>0</v>
      </c>
      <c r="D35" s="125">
        <v>13562.87</v>
      </c>
    </row>
    <row r="36" spans="1:4" ht="19" x14ac:dyDescent="0.25">
      <c r="A36" s="124">
        <v>45322</v>
      </c>
      <c r="B36" s="125">
        <v>125751.22</v>
      </c>
      <c r="C36" s="125">
        <v>0</v>
      </c>
      <c r="D36" s="125">
        <v>8270.9699999999993</v>
      </c>
    </row>
    <row r="37" spans="1:4" ht="19" x14ac:dyDescent="0.25">
      <c r="A37" s="124">
        <v>45351</v>
      </c>
      <c r="B37" s="125">
        <v>98288.58</v>
      </c>
      <c r="C37" s="125">
        <v>0</v>
      </c>
      <c r="D37" s="125">
        <v>7449.16</v>
      </c>
    </row>
    <row r="38" spans="1:4" ht="19" x14ac:dyDescent="0.25">
      <c r="A38" s="124">
        <v>45382</v>
      </c>
      <c r="B38" s="125">
        <v>69622.62</v>
      </c>
      <c r="C38" s="125">
        <v>0</v>
      </c>
      <c r="D38" s="125">
        <v>5912.17</v>
      </c>
    </row>
    <row r="39" spans="1:4" ht="19" x14ac:dyDescent="0.25">
      <c r="A39" s="124">
        <v>45412</v>
      </c>
      <c r="B39" s="125">
        <v>34734.9</v>
      </c>
      <c r="C39" s="125">
        <v>0</v>
      </c>
      <c r="D39" s="125">
        <v>2398.9699999999998</v>
      </c>
    </row>
    <row r="40" spans="1:4" ht="19" x14ac:dyDescent="0.25">
      <c r="A40" s="126" t="s">
        <v>1837</v>
      </c>
      <c r="B40" s="127">
        <f>SUM(B7:B39)</f>
        <v>3585900.5600000005</v>
      </c>
      <c r="C40" s="127">
        <f>SUM(C7:C39)</f>
        <v>324090.88</v>
      </c>
      <c r="D40" s="127">
        <f>SUM(D7:D39)</f>
        <v>216278.92</v>
      </c>
    </row>
    <row r="42" spans="1:4" ht="19" x14ac:dyDescent="0.2">
      <c r="A42" s="128" t="s">
        <v>2246</v>
      </c>
      <c r="B42" s="151">
        <f>(SUMIFS(Investors!$M:$M,Investors!$I:$I,"&lt;="&amp;'NSST Print'!B3,Investors!$J:$J,"&gt;"&amp;'NSST Print'!B3)+SUMIFS(Investors!$M:$M,Investors!$I:$I,"&lt;="&amp;'NSST Print'!B3,Investors!$J:$J,""))</f>
        <v>0</v>
      </c>
      <c r="C42" s="152"/>
      <c r="D42" s="129" t="s">
        <v>2247</v>
      </c>
    </row>
    <row r="43" spans="1:4" ht="19" x14ac:dyDescent="0.2">
      <c r="A43" s="13" t="s">
        <v>2248</v>
      </c>
      <c r="B43" s="153">
        <f>+B40</f>
        <v>3585900.5600000005</v>
      </c>
      <c r="C43" s="134"/>
      <c r="D43" s="14" t="s">
        <v>2249</v>
      </c>
    </row>
    <row r="44" spans="1:4" ht="19" x14ac:dyDescent="0.2">
      <c r="A44" s="13" t="s">
        <v>2250</v>
      </c>
      <c r="B44" s="153">
        <f>+D40</f>
        <v>216278.92</v>
      </c>
      <c r="C44" s="134"/>
      <c r="D44" s="14" t="s">
        <v>2249</v>
      </c>
    </row>
    <row r="45" spans="1:4" ht="19" x14ac:dyDescent="0.2">
      <c r="A45" s="13" t="s">
        <v>2251</v>
      </c>
      <c r="B45" s="153">
        <f>+B40-D40</f>
        <v>3369621.6400000006</v>
      </c>
      <c r="C45" s="134"/>
      <c r="D45" s="14" t="s">
        <v>2252</v>
      </c>
    </row>
    <row r="46" spans="1:4" ht="19" x14ac:dyDescent="0.2">
      <c r="A46" s="13" t="s">
        <v>2253</v>
      </c>
      <c r="B46" s="153">
        <f>+C40</f>
        <v>324090.88</v>
      </c>
      <c r="C46" s="134"/>
      <c r="D46" s="14"/>
    </row>
    <row r="47" spans="1:4" ht="19" x14ac:dyDescent="0.2">
      <c r="A47" s="13" t="s">
        <v>2254</v>
      </c>
      <c r="B47" s="153">
        <f>+B40-D40-C40</f>
        <v>3045530.7600000007</v>
      </c>
      <c r="C47" s="134"/>
      <c r="D47" s="14"/>
    </row>
    <row r="48" spans="1:4" ht="19" x14ac:dyDescent="0.2">
      <c r="A48" s="13" t="s">
        <v>2255</v>
      </c>
      <c r="B48" s="153">
        <v>1861191.23</v>
      </c>
      <c r="C48" s="134"/>
      <c r="D48" s="14" t="s">
        <v>2256</v>
      </c>
    </row>
    <row r="49" spans="1:4" ht="19" x14ac:dyDescent="0.2">
      <c r="A49" s="13" t="s">
        <v>2257</v>
      </c>
      <c r="B49" s="153">
        <f>SUMIFS(Investors!$M:$M,Investors!$J:$J,"&lt;="&amp;'NSST Print'!B3)+137832.56</f>
        <v>230364473.20999983</v>
      </c>
      <c r="C49" s="134"/>
      <c r="D49" s="14"/>
    </row>
    <row r="50" spans="1:4" ht="19" x14ac:dyDescent="0.2">
      <c r="A50" s="13" t="s">
        <v>2258</v>
      </c>
      <c r="B50" s="154">
        <v>4183000.82</v>
      </c>
      <c r="C50" s="134"/>
      <c r="D50" s="14"/>
    </row>
    <row r="51" spans="1:4" ht="19" x14ac:dyDescent="0.2">
      <c r="A51" s="13" t="s">
        <v>2259</v>
      </c>
      <c r="B51" s="154">
        <v>-455</v>
      </c>
      <c r="C51" s="134"/>
      <c r="D51" s="14"/>
    </row>
    <row r="52" spans="1:4" ht="19" x14ac:dyDescent="0.2">
      <c r="A52" s="13" t="s">
        <v>2260</v>
      </c>
      <c r="B52" s="154">
        <v>-150000</v>
      </c>
      <c r="C52" s="134"/>
      <c r="D52" s="14"/>
    </row>
    <row r="53" spans="1:4" ht="19" x14ac:dyDescent="0.2">
      <c r="A53" s="13" t="s">
        <v>2261</v>
      </c>
      <c r="B53" s="155">
        <v>0</v>
      </c>
      <c r="C53" s="134"/>
      <c r="D53" s="14" t="s">
        <v>2262</v>
      </c>
    </row>
    <row r="54" spans="1:4" ht="19" x14ac:dyDescent="0.2">
      <c r="A54" s="13"/>
      <c r="B54" s="153"/>
      <c r="C54" s="134"/>
      <c r="D54" s="14"/>
    </row>
    <row r="55" spans="1:4" ht="19" x14ac:dyDescent="0.2">
      <c r="A55" s="13"/>
      <c r="B55" s="153" t="s">
        <v>2263</v>
      </c>
      <c r="C55" s="134"/>
      <c r="D55" s="14"/>
    </row>
    <row r="56" spans="1:4" ht="19" x14ac:dyDescent="0.2">
      <c r="A56" s="13"/>
      <c r="B56" s="153"/>
      <c r="C56" s="134"/>
      <c r="D56" s="14"/>
    </row>
    <row r="57" spans="1:4" ht="19" x14ac:dyDescent="0.2">
      <c r="A57" s="13" t="s">
        <v>2264</v>
      </c>
      <c r="B57" s="153">
        <f>+B53</f>
        <v>0</v>
      </c>
      <c r="C57" s="134"/>
      <c r="D57" s="14" t="s">
        <v>2265</v>
      </c>
    </row>
    <row r="58" spans="1:4" ht="19" x14ac:dyDescent="0.2">
      <c r="A58" s="13" t="s">
        <v>2266</v>
      </c>
      <c r="B58" s="153">
        <f>Dashboard!B13</f>
        <v>159799.14000000001</v>
      </c>
      <c r="C58" s="134"/>
      <c r="D58" s="14" t="s">
        <v>2267</v>
      </c>
    </row>
    <row r="59" spans="1:4" ht="19" x14ac:dyDescent="0.2">
      <c r="A59" s="13" t="s">
        <v>2268</v>
      </c>
      <c r="B59" s="153">
        <f>+B57-B58</f>
        <v>-159799.14000000001</v>
      </c>
      <c r="C59" s="134"/>
      <c r="D59" s="14"/>
    </row>
    <row r="60" spans="1:4" ht="19" x14ac:dyDescent="0.2">
      <c r="A60" s="13"/>
      <c r="B60" s="153"/>
      <c r="C60" s="134"/>
      <c r="D60" s="14"/>
    </row>
    <row r="61" spans="1:4" ht="19" x14ac:dyDescent="0.2">
      <c r="A61" s="13" t="s">
        <v>2266</v>
      </c>
      <c r="B61" s="153">
        <f>Dashboard!B13</f>
        <v>159799.14000000001</v>
      </c>
      <c r="C61" s="134"/>
      <c r="D61" s="14" t="s">
        <v>2269</v>
      </c>
    </row>
    <row r="62" spans="1:4" ht="19" x14ac:dyDescent="0.2">
      <c r="A62" s="13" t="s">
        <v>2270</v>
      </c>
      <c r="B62" s="153">
        <f>(SUMIFS(Investors!$M:$M,Investors!$I:$I,"&lt;="&amp;'NSST Print'!B3,Investors!$J:$J,"&gt;"&amp;'NSST Print'!B3)+SUMIFS(Investors!$M:$M,Investors!$I:$I,"&lt;="&amp;'NSST Print'!B3,Investors!$J:$J,""))</f>
        <v>0</v>
      </c>
      <c r="C62" s="134"/>
      <c r="D62" s="14" t="s">
        <v>2247</v>
      </c>
    </row>
    <row r="63" spans="1:4" ht="19" x14ac:dyDescent="0.2">
      <c r="A63" s="13" t="s">
        <v>2268</v>
      </c>
      <c r="B63" s="153">
        <f>+B61-B62</f>
        <v>159799.14000000001</v>
      </c>
      <c r="C63" s="134"/>
      <c r="D63" s="14" t="s">
        <v>2271</v>
      </c>
    </row>
    <row r="64" spans="1:4" ht="19" x14ac:dyDescent="0.2">
      <c r="A64" s="13"/>
      <c r="B64" s="153"/>
      <c r="C64" s="134"/>
      <c r="D64" s="14"/>
    </row>
    <row r="65" spans="1:4" ht="19" x14ac:dyDescent="0.2">
      <c r="A65" s="13" t="s">
        <v>2254</v>
      </c>
      <c r="B65" s="153">
        <f>+B40-D40-C40</f>
        <v>3045530.7600000007</v>
      </c>
      <c r="C65" s="134"/>
      <c r="D65" s="14"/>
    </row>
    <row r="66" spans="1:4" ht="19" x14ac:dyDescent="0.2">
      <c r="A66" s="13" t="s">
        <v>2255</v>
      </c>
      <c r="B66" s="153">
        <v>1861191.23</v>
      </c>
      <c r="C66" s="134"/>
      <c r="D66" s="14" t="s">
        <v>2256</v>
      </c>
    </row>
    <row r="67" spans="1:4" ht="19" x14ac:dyDescent="0.2">
      <c r="A67" s="13"/>
      <c r="B67" s="153">
        <f>+B65-B66</f>
        <v>1184339.5300000007</v>
      </c>
      <c r="C67" s="134"/>
      <c r="D67" s="14"/>
    </row>
    <row r="68" spans="1:4" ht="19" x14ac:dyDescent="0.2">
      <c r="A68" s="13"/>
      <c r="B68" s="153">
        <v>137832.56</v>
      </c>
      <c r="C68" s="134"/>
      <c r="D68" s="14" t="s">
        <v>2272</v>
      </c>
    </row>
    <row r="69" spans="1:4" ht="19" x14ac:dyDescent="0.2">
      <c r="A69" s="13"/>
      <c r="B69" s="153">
        <f>B67-B68-B70</f>
        <v>886707.83000000066</v>
      </c>
      <c r="C69" s="134"/>
      <c r="D69" s="14" t="s">
        <v>2273</v>
      </c>
    </row>
    <row r="70" spans="1:4" ht="19" x14ac:dyDescent="0.2">
      <c r="A70" s="13"/>
      <c r="B70" s="153">
        <f>B63</f>
        <v>159799.14000000001</v>
      </c>
      <c r="C70" s="134"/>
      <c r="D70" s="14"/>
    </row>
    <row r="71" spans="1:4" ht="19" x14ac:dyDescent="0.25">
      <c r="A71" s="13"/>
      <c r="B71" s="130"/>
      <c r="D71" s="14"/>
    </row>
    <row r="72" spans="1:4" ht="19" x14ac:dyDescent="0.25">
      <c r="A72" s="80"/>
      <c r="B72" s="131"/>
      <c r="C72" s="81"/>
      <c r="D72" s="82"/>
    </row>
  </sheetData>
  <mergeCells count="30"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A3:D3"/>
    <mergeCell ref="B42:C42"/>
    <mergeCell ref="B43:C43"/>
    <mergeCell ref="B44:C44"/>
    <mergeCell ref="B45:C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551A8B"/>
  </sheetPr>
  <dimension ref="A1:F18"/>
  <sheetViews>
    <sheetView workbookViewId="0"/>
  </sheetViews>
  <sheetFormatPr baseColWidth="10" defaultColWidth="8.83203125" defaultRowHeight="15" x14ac:dyDescent="0.2"/>
  <sheetData>
    <row r="1" spans="1:6" ht="29" x14ac:dyDescent="0.2">
      <c r="A1" s="132" t="s">
        <v>2274</v>
      </c>
    </row>
    <row r="5" spans="1:6" x14ac:dyDescent="0.2">
      <c r="A5" t="s">
        <v>2275</v>
      </c>
      <c r="B5" t="s">
        <v>2276</v>
      </c>
      <c r="C5" t="s">
        <v>2277</v>
      </c>
      <c r="D5" t="s">
        <v>2278</v>
      </c>
      <c r="E5" t="s">
        <v>2268</v>
      </c>
      <c r="F5" t="s">
        <v>2279</v>
      </c>
    </row>
    <row r="6" spans="1:6" x14ac:dyDescent="0.2">
      <c r="A6" t="s">
        <v>2280</v>
      </c>
      <c r="B6" t="s">
        <v>2281</v>
      </c>
      <c r="C6">
        <f>Momentum!B49-Momentum!B68</f>
        <v>230226640.64999983</v>
      </c>
      <c r="D6">
        <f>'NSST Print'!B8</f>
        <v>230226640.64999983</v>
      </c>
      <c r="E6">
        <f t="shared" ref="E6:E18" si="0">C6-D6</f>
        <v>0</v>
      </c>
    </row>
    <row r="7" spans="1:6" x14ac:dyDescent="0.2">
      <c r="A7" t="s">
        <v>1941</v>
      </c>
      <c r="B7" t="s">
        <v>2282</v>
      </c>
      <c r="C7">
        <f>Momentum!B61</f>
        <v>159799.14000000001</v>
      </c>
      <c r="D7">
        <f>'NSST Print'!B9</f>
        <v>159799.14000000001</v>
      </c>
      <c r="E7">
        <f t="shared" si="0"/>
        <v>0</v>
      </c>
    </row>
    <row r="8" spans="1:6" x14ac:dyDescent="0.2">
      <c r="A8" t="s">
        <v>2283</v>
      </c>
      <c r="B8" t="s">
        <v>2284</v>
      </c>
      <c r="C8">
        <f>Momentum!B53</f>
        <v>0</v>
      </c>
      <c r="D8">
        <f>Momentum!B61</f>
        <v>159799.14000000001</v>
      </c>
      <c r="E8">
        <f t="shared" si="0"/>
        <v>-159799.14000000001</v>
      </c>
    </row>
    <row r="9" spans="1:6" x14ac:dyDescent="0.2">
      <c r="A9" t="s">
        <v>2285</v>
      </c>
      <c r="B9" t="s">
        <v>2286</v>
      </c>
      <c r="C9">
        <f>'NSST Print'!B13</f>
        <v>139828016.41999993</v>
      </c>
      <c r="D9">
        <f>'Investor Exit List'!F3</f>
        <v>139828016.41999993</v>
      </c>
      <c r="E9">
        <f t="shared" si="0"/>
        <v>0</v>
      </c>
    </row>
    <row r="10" spans="1:6" x14ac:dyDescent="0.2">
      <c r="A10" t="s">
        <v>2287</v>
      </c>
      <c r="B10" t="s">
        <v>2288</v>
      </c>
      <c r="C10">
        <f>'Cashflow Projection'!D61</f>
        <v>-10238.576499999999</v>
      </c>
      <c r="D10">
        <f>Dashboard!B20</f>
        <v>16851824.25</v>
      </c>
      <c r="E10">
        <f t="shared" si="0"/>
        <v>-16862062.826499999</v>
      </c>
    </row>
    <row r="11" spans="1:6" x14ac:dyDescent="0.2">
      <c r="A11" t="s">
        <v>2289</v>
      </c>
      <c r="B11" t="s">
        <v>2290</v>
      </c>
      <c r="C11">
        <f>'NSST Print'!D20+'NSST Print'!E20</f>
        <v>140</v>
      </c>
      <c r="D11">
        <f>'Investor Exit List'!A3</f>
        <v>140</v>
      </c>
      <c r="E11">
        <f t="shared" si="0"/>
        <v>0</v>
      </c>
    </row>
    <row r="12" spans="1:6" x14ac:dyDescent="0.2">
      <c r="A12" t="s">
        <v>2291</v>
      </c>
      <c r="B12" t="s">
        <v>2290</v>
      </c>
      <c r="C12">
        <f>'NSST Print'!B17</f>
        <v>333</v>
      </c>
      <c r="D12">
        <f>'NSST Print'!B17</f>
        <v>333</v>
      </c>
      <c r="E12">
        <f t="shared" si="0"/>
        <v>0</v>
      </c>
    </row>
    <row r="13" spans="1:6" x14ac:dyDescent="0.2">
      <c r="A13" t="s">
        <v>1913</v>
      </c>
      <c r="B13" t="s">
        <v>2290</v>
      </c>
      <c r="C13">
        <f>Dashboard!B11</f>
        <v>20753341.245582536</v>
      </c>
      <c r="D13">
        <f>'Cashflow Projection'!D6</f>
        <v>20753341.245582536</v>
      </c>
      <c r="E13">
        <f t="shared" si="0"/>
        <v>0</v>
      </c>
    </row>
    <row r="14" spans="1:6" x14ac:dyDescent="0.2">
      <c r="A14" t="s">
        <v>1920</v>
      </c>
      <c r="B14" t="s">
        <v>2290</v>
      </c>
      <c r="C14">
        <f>Dashboard!B20</f>
        <v>16851824.25</v>
      </c>
      <c r="D14">
        <f>'Cashflow Projection'!D61</f>
        <v>-10238.576499999999</v>
      </c>
      <c r="E14">
        <f t="shared" si="0"/>
        <v>16862062.826499999</v>
      </c>
    </row>
    <row r="15" spans="1:6" x14ac:dyDescent="0.2">
      <c r="A15" t="s">
        <v>2292</v>
      </c>
      <c r="B15" t="s">
        <v>2288</v>
      </c>
      <c r="C15">
        <f>Dashboard!B24</f>
        <v>-6105314.557</v>
      </c>
      <c r="D15">
        <f>'Cashflow Projection'!D38</f>
        <v>0</v>
      </c>
      <c r="E15">
        <f t="shared" si="0"/>
        <v>-6105314.557</v>
      </c>
    </row>
    <row r="16" spans="1:6" x14ac:dyDescent="0.2">
      <c r="A16" t="s">
        <v>2293</v>
      </c>
      <c r="B16" t="s">
        <v>2288</v>
      </c>
      <c r="C16">
        <f>Dashboard!B24</f>
        <v>-6105314.557</v>
      </c>
      <c r="D16">
        <f>'Cashflow Projection'!D38</f>
        <v>0</v>
      </c>
      <c r="E16">
        <f t="shared" si="0"/>
        <v>-6105314.557</v>
      </c>
    </row>
    <row r="17" spans="1:5" x14ac:dyDescent="0.2">
      <c r="A17" t="s">
        <v>2294</v>
      </c>
      <c r="B17" t="s">
        <v>2288</v>
      </c>
      <c r="C17">
        <f>Dashboard!B26</f>
        <v>19261202.595082536</v>
      </c>
      <c r="D17">
        <f>'Cashflow Projection'!D26+'Cashflow Projection'!D55</f>
        <v>19261202.595082536</v>
      </c>
      <c r="E17">
        <f t="shared" si="0"/>
        <v>0</v>
      </c>
    </row>
    <row r="18" spans="1:5" x14ac:dyDescent="0.2">
      <c r="A18" t="s">
        <v>2295</v>
      </c>
      <c r="B18" t="s">
        <v>2288</v>
      </c>
      <c r="C18">
        <f>Dashboard!B30</f>
        <v>29976325.493665081</v>
      </c>
      <c r="D18">
        <f>'Cashflow Projection'!D35+'Cashflow Projection'!D26+'Cashflow Projection'!D38+'Cashflow Projection'!D55+'Cashflow Projection'!D57</f>
        <v>18859733.202082537</v>
      </c>
      <c r="E18">
        <f t="shared" si="0"/>
        <v>11116592.291582543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Investors</vt:lpstr>
      <vt:lpstr>Opportunities</vt:lpstr>
      <vt:lpstr>Construction</vt:lpstr>
      <vt:lpstr>Updated Construction</vt:lpstr>
      <vt:lpstr>Sales</vt:lpstr>
      <vt:lpstr>Operational Costs</vt:lpstr>
      <vt:lpstr>Xero</vt:lpstr>
      <vt:lpstr>Other Costs</vt:lpstr>
      <vt:lpstr>Cashflow Projection</vt:lpstr>
      <vt:lpstr>Dashboard</vt:lpstr>
      <vt:lpstr>Heron</vt:lpstr>
      <vt:lpstr>NSST Print</vt:lpstr>
      <vt:lpstr>Investor Exit List</vt:lpstr>
      <vt:lpstr>Momentum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2024-06-10T12:56:29Z</dcterms:created>
  <dcterms:modified xsi:type="dcterms:W3CDTF">2024-06-10T13:28:33Z</dcterms:modified>
</cp:coreProperties>
</file>